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2D311A2E-0B0F-4769-9381-E8A06EBCF2BE}"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TDSheet!$A$3:$X$5353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<sst xmlns="http://schemas.openxmlformats.org/spreadsheetml/2006/main" count="73791" uniqueCount="4698">
  <si>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</si>
  <si>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</si>
  <si>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</si>
  <si>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</si>
  <si>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</si>
  <si>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</si>
  <si>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</si>
  <si>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</si>
  <si>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</si>
  <si>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</si>
  <si>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</si>
  <si>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</si>
  <si>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</si>
  <si>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</si>
  <si>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</si>
  <si>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</si>
  <si>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</si>
  <si>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</si>
  <si>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</si>
  <si>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</si>
  <si>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</si>
  <si>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</si>
  <si>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</si>
  <si>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Under Armour</t>
  </si>
  <si>
    <t>UA OutRun the STORM Tight</t>
  </si>
  <si>
    <t>1365665-001</t>
  </si>
  <si>
    <t>Тайтсы</t>
  </si>
  <si>
    <t>Одежда</t>
  </si>
  <si>
    <t>Брюки</t>
  </si>
  <si>
    <t>Бег и Фитнес</t>
  </si>
  <si>
    <t>Мужчины</t>
  </si>
  <si>
    <t>Тайтсы Under Armour черного цвета для занятий спортом и тренировок.</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</si>
  <si>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</si>
  <si>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черный</t>
  </si>
  <si>
    <t>Круглогодично</t>
  </si>
  <si>
    <t>90% полиэстер  10% эластан, подкладка 100% полиэстер</t>
  </si>
  <si>
    <t>US</t>
  </si>
  <si>
    <t>SM</t>
  </si>
  <si>
    <t>46-48</t>
  </si>
  <si>
    <t>MD</t>
  </si>
  <si>
    <t>48-50</t>
  </si>
  <si>
    <t>UA DNA PANT</t>
  </si>
  <si>
    <t>1366439-478</t>
  </si>
  <si>
    <t>Спортивный стиль</t>
  </si>
  <si>
    <t>Мужские утепленные спортивные штаны Under Armour.
Характеристики:
Двухслойный флис с трикотажной текстурой и начесом на внутренней поверхности очень теплый и удобный, с влаговыводящими свойствами
Эластичный пояс со шнурком для регулировки размера
Открытые карманы для рук и потайной карман на молнии с правой стороны
Эластичные шнурки внизу брючин для регулировки размера</t>
  </si>
  <si>
    <t>N/A.</t>
  </si>
  <si>
    <t>голубой</t>
  </si>
  <si>
    <t>100% полиэстер</t>
  </si>
  <si>
    <t>Armour Sport Woven Pant</t>
  </si>
  <si>
    <t>1373004-001</t>
  </si>
  <si>
    <t>Дети</t>
  </si>
  <si>
    <t>Детские-подростковые беговые штаны Under Armour (женские)
87% полиэстер / 13% эластан
Ветро-влагозащитный материал с влаговыводящими свойствами
Технология UA Storm - защищает от непогоды, отталкивает воду при этом не жертвуя воздухопроницаемостью
Технология 4-Way Srtetch анатомически повторяет форму тела и обеспечивает максимальный комфорт движения
Эластичный пояс со шнурком для регулировки размера
Боковые карманы</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</si>
  <si>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</si>
  <si>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87% полиэстер, 13% эластан</t>
  </si>
  <si>
    <t>YSM</t>
  </si>
  <si>
    <t>127-132</t>
  </si>
  <si>
    <t>HG Armour Hi Capri NS</t>
  </si>
  <si>
    <t>1365334-019</t>
  </si>
  <si>
    <t>Капри</t>
  </si>
  <si>
    <t>Женщины</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</si>
  <si>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 Боковой карман.</t>
  </si>
  <si>
    <t>UA HeatGear. Экипировка, которая дарит прохладу во время тренировок и соревнований. Система контроля влаги отводит пот от кожи, позволяя ему быстрее испаряться.  Эластичная ткань обеспечивает комфорт и не сковывает движения.</t>
  </si>
  <si>
    <t>серый</t>
  </si>
  <si>
    <t>XS</t>
  </si>
  <si>
    <t>40-42</t>
  </si>
  <si>
    <t>Rival Fleece Joggers</t>
  </si>
  <si>
    <t>1356487-684</t>
  </si>
  <si>
    <t>Это ваши новые любимые штаны для разминки - они легкие, удобные и очень мягкие внутри. Свободный крой для максимального комфорта. Ультрамягкий флис из смесового хлопка средней плотности с начесом внутри для дополнительного тепла. Эластичный пояс в рубчик с внешней утяжкой.</t>
  </si>
  <si>
    <t>UA Rival Fleece. Ультрамягкий хлопковый флис средней плотности с начесом для дополнительного тепла, отводит пот от кожи и быстро сохнет.  Подходит для разминки и повседневной носки.</t>
  </si>
  <si>
    <t>розовый</t>
  </si>
  <si>
    <t>67% хлопок, 33% полиэстер</t>
  </si>
  <si>
    <t>YLG</t>
  </si>
  <si>
    <t>151-156</t>
  </si>
  <si>
    <t>YXL</t>
  </si>
  <si>
    <t>157-163</t>
  </si>
  <si>
    <t>Meridian Rib WB Ankle Leg-PPL</t>
  </si>
  <si>
    <t>1365801-554</t>
  </si>
  <si>
    <t>Леггинсы</t>
  </si>
  <si>
    <t>Under Armour Meridian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 Растягивающаяся в четырех направлениях конструкция позволяет сосредоточиться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t>
  </si>
  <si>
    <t>фиолетовый</t>
  </si>
  <si>
    <t>83% нейлон, 17% эластан</t>
  </si>
  <si>
    <t>UA Unstoppable Utility Cargo</t>
  </si>
  <si>
    <t>1388827-110</t>
  </si>
  <si>
    <t>Under Armour Unstoppable Utility Cargo — это идеальные брюки для активной жизни, предлагающие стиль и функциональность в повседневной носке. Сделанные из 100% полиэстера, они оснащены технологией UA Storm, что делает их незаменимыми для любого приключения. Технология UA Storm защищает от непогоды, сохраняя воздухопроницаемость, что делает их идеальными для повседневного использования в разнообразных условиях.
- Сверхпрочная ткань из рипстопа обеспечивает долговечность, выдерживая самые тяжелые нагрузки и износ при активной эксплуатации.
- Четырехполосный эластичный материал позволяет свободно перемещаться, обеспечивая полный комфорт и гибкость на весь день.
- Эластичный пояс и функциональная ширинка с застежкой-молнией обеспечивают удобную посадку и свободу движений, не стесняющую в динамичном ритме жизни.
- Вместительные накладные карманы с клапанами и открытые карманы для рук предлагают удобное хранение мелочей, необходимых в городской среде.
- Регулируемая панель на лодыжках с застежкой-молнией поддерживает индивидуальную посадку, обеспечивая максимальное удобство и стильный вид.</t>
  </si>
  <si>
    <t>белый</t>
  </si>
  <si>
    <t>44-46</t>
  </si>
  <si>
    <t>LG</t>
  </si>
  <si>
    <t>50-52</t>
  </si>
  <si>
    <t>XL</t>
  </si>
  <si>
    <t>52-54</t>
  </si>
  <si>
    <t>XXL</t>
  </si>
  <si>
    <t>54-56</t>
  </si>
  <si>
    <t>1356487-036</t>
  </si>
  <si>
    <t>Эти брюки идеально подходят для разминки перед тренировкой - они легкие, удобные и очень мягкие внутри. Ультрамягкий флис средней плотности с начесом на внутренней стороне для дополнительного тепла и комфорта. Эластичный пояс. Открытые боковые карманы. Удлиненные манжеты в рубчик.</t>
  </si>
  <si>
    <t>UA AF Storm Pant</t>
  </si>
  <si>
    <t>1379286-001</t>
  </si>
  <si>
    <t>Невероятно теплый, легкий Armor Fleece® обеспечивает необходимую эластичность. Имея почти нулевой вес, технология UA Storm не пропускает влагу. Благодаря этим двум технологиям вам больше никогда не придется тренироваться в помещении.</t>
  </si>
  <si>
    <t>UA Armour Fleece. Легкий, удобный и супермягкий трикотаж для разминки и повседневной носки. Мягкий внутренний слой удерживает тепло и сохраняет комфортную температуру при ношении.;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</si>
  <si>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черный/серый</t>
  </si>
  <si>
    <t>YXS</t>
  </si>
  <si>
    <t>121-126</t>
  </si>
  <si>
    <t>UA Vanish Seamless Legging</t>
  </si>
  <si>
    <t>1381662-465</t>
  </si>
  <si>
    <t>ХИТ</t>
  </si>
  <si>
    <t>Рекомендуется брать на размер больше, чем привычный размер, при этом для сохранения компрессионных свойств продукта, посадка должна быть достаточно плотной и прилегающей к телу. Благодаря использованию сетчатого материала, подобранного в соответствии с особенностями вашего тела, вы получаете вентиляцию там, где она необходима, а также комфорт благодаря меньшему количеству швов. Это практически самая удобная вещь, в которой вы когда-либо тренировались. Материал отводит пот и быстро сохнет. Высокая посадка для оптимальной поддержки и защиты.</t>
  </si>
  <si>
    <t>92% нейлон, 8% эластан</t>
  </si>
  <si>
    <t>42-44</t>
  </si>
  <si>
    <t>UA Favorite WM Leggings</t>
  </si>
  <si>
    <t>1356403-090</t>
  </si>
  <si>
    <t>Легинсы</t>
  </si>
  <si>
    <t>Леггинсы Under Armour Ua Favorite Wm Leggings. Сверхлегкий материал этих леггинсов просто создан для носки в течение всего дня. Мягкая, сверхлегкая хлопковая ткань обеспечивает невероятный комфорт. Мягкий эластичный пояс.</t>
  </si>
  <si>
    <t>58% хлопок, 31% полиэстер, 11% эластан</t>
  </si>
  <si>
    <t>SPORTSTYLE TRICOT JOGGER</t>
  </si>
  <si>
    <t>1290261-468</t>
  </si>
  <si>
    <t>Свободная посадка позволяет чувствовать полную свободу и абсолютно не сковывает движения атлета. Прочная трикотажная ткань с гладкой внешней стороной и мягким внутренним слоем дарит чувство комфорта и отличается долгим сроком службы. Материал обладает влагоотводящими свойствами и очень быстро высыхает. Ребристый пояс со шнурком, ребристые манжеты, боковые карманы и карман сзади создают идеальное сочетание стиля и удобства. Также имеется внутренний карман для телефона. Внутренний шов: 76 см.</t>
  </si>
  <si>
    <t>синий</t>
  </si>
  <si>
    <t>UA RIVAL TERRY JOGGER</t>
  </si>
  <si>
    <t>1361642-112</t>
  </si>
  <si>
    <t>Если вы хотите чувствовать себя комфортно, в тепле и быть всегда наготове, то джоггеры Rival Terry то, что вам нужно. Они станут вашим новым фаворитом. Ткань French Terry имеет гладкий внешний слой и теплый мягкий внутренний слой. Материал эффективно отводит пот и очень быстро сохнет. Зауженный крой. Эластичный пояс с внешним шнурком. Открытые карманы для рук. Внутренний шов 77 см.</t>
  </si>
  <si>
    <t>UA Rival Terry. Легкий французский трикотаж имеет гладкий внешний слой и теплый, мягкий внутренний слой. Подходит для разминки и повседневной носки.</t>
  </si>
  <si>
    <t>80% хлопок, 20% полиэстер</t>
  </si>
  <si>
    <t>UA Unstoppable Wvn Parachute</t>
  </si>
  <si>
    <t>6000276-001</t>
  </si>
  <si>
    <t>Женские спортивные брюки в стиле «parachute» из легкой и прочной ткани рипстоп для активного образа жизни. Обеспечивают свободу движений и современный расслабленный силуэт.
Встроенный эластичный пояс с внешней регулировкой с помощью шнурка-резинки
Открытые карманы для рук
Широкие штанины, свободная посадка и ощущение комфорта
Низ: регулировка по нижнему краю с помощью эластичной резинки для различных вариантов ношения
Цвет: чёрный (Black)
Детали: фирменный логотип Under Armour
Идеальны для тренировок, прогулок и повседневного спортивного стиля — легко сочетаются с футболками, худи и кроссовками.</t>
  </si>
  <si>
    <t>UA Icon Fleece Jgr Taping</t>
  </si>
  <si>
    <t>1389358-390</t>
  </si>
  <si>
    <t>Under Armour Men's UA Icon Fleece Jgr Taping предлагает комфорт и стиль для повседневной носки, обеспечивая тепло и мягкость. Изготовленное из 80% хлопка и 20% полиэстера, это худи обладает уникальными характеристиками, делающими его незаменимым элементом гардероба.Ультрамягкий флис средней плотности обеспечивает исключительный комфорт и тепло, идеально подходящее для холодной погоды.
- Матовая внутренняя поверхность добавляет дополнительный слой тепла, сохраняя уют через весь день.
- Передний карман-кенгуру практичен и удобен для хранения мелочей или согревания рук.
- Ребристые манжеты и нижний край обеспечивают плотную посадку и защищают от проникновения ветра.
- Фирменные детали из тесьмы придают уникальный стиль и подчеркивают премиальное качество изделия.
- Многофункциональность делает это худи отличным выбором для повседневной носки, будь то на прогулке или в городской среде.</t>
  </si>
  <si>
    <t>зеленый</t>
  </si>
  <si>
    <t>Campus Legging</t>
  </si>
  <si>
    <t>1386482-025</t>
  </si>
  <si>
    <t>Женские леггинсы выполнены из мягкой хлопковой ткани, которая обеспечивает комфорт в течение всего дня и не сковывает движений, а высокий пояс обеспечивает защиту и поддержку.
• Мягкая, легкая хлопковая ткань обеспечивает невероятный комфорт
• Высокий пояс с внутренним прорезным карманом
• Обновленная ластовица для лучшей посадки и комфорта
• Облегающий крой, не слишком узкий и не слишком свободный.</t>
  </si>
  <si>
    <t>58% хлопок, 32% полиэстер, 10% эластан</t>
  </si>
  <si>
    <t>Breathelux Jacquard Crop</t>
  </si>
  <si>
    <t>1318074-100</t>
  </si>
  <si>
    <t>Изготовлен из самой шелковистой и гладкой ткани, которую вы когда-либо носили. Но создан для того, чтобы двигаться так же проворно, как и вы, и в то же время прикрывает вас высокой талией. И они быстро высыхают, когда вы потеете, сохраняя прохладу и легкость.</t>
  </si>
  <si>
    <t>Полиэстер 66%, Нейлон17%, Эластарель 17%</t>
  </si>
  <si>
    <t>UA Armour Fleece Joggers-NVY</t>
  </si>
  <si>
    <t>1373362-410</t>
  </si>
  <si>
    <t>Новое поступление</t>
  </si>
  <si>
    <t>Брюки Under Armour Fleece Joggers созданы для тренировок и повседневной жизни. Изготовленные из 100% полиэстера, они поддерживают оптимальную температуру тела и дают полную свободу движений. Современный дизайн и практичные детали делают их отличным выбором для спорта и повседневной носки. Усиленные колени обеспечивают долговечность, даже при нагрузках и интенсивной активности на тренировках.
- Технология Armour Fleece обеспечивает легкость и тепло, что делает эти брюки идеальными для холодной погоды.
- Материал дышит и быстро сохнет, контролируя влагу и обеспечивая комфорт во время интенсивных тренировок.
- Эластичный пояс с регулируемым шнурком позволяет индивидуально настроить посадку, увеличивая удобство и поддержку.
- Карманы на молнии гарантируют безопасность и сохранность важных мелочей, таких как ключи или телефон.
- Стильный силуэт и современный дизайн подходят как для спорта, так и для повседневного использования, подчеркивая уверенность и динамику.</t>
  </si>
  <si>
    <t>UA Armour Fleece. Легкий, удобный и супермягкий трикотаж для разминки и повседневной носки. Мягкий внутренний слой удерживает тепло и сохраняет комфортную температуру при ношении.</t>
  </si>
  <si>
    <t>MDT</t>
  </si>
  <si>
    <t>48-50 удл</t>
  </si>
  <si>
    <t>LGT</t>
  </si>
  <si>
    <t>50-52 удл</t>
  </si>
  <si>
    <t>UA OutRun the Storm Pant</t>
  </si>
  <si>
    <t>1376799-025</t>
  </si>
  <si>
    <t>Серия UA Outrun The Storm не просто водостойкая - она супер водонепроницаемая, что означает, что она лучше защищает и служит дольше, чем другие средства защиты от дождя. Технология UA Storm отталкивает воду, не жертвуя воздухопроницаемостью. Молнии на щиколотках для легкого надевания/снятия. Используется не содержащая фтора водоотталкивающая пропитка. Светоотражающие детали для бега при слабом освещении.</t>
  </si>
  <si>
    <t>6000276-251</t>
  </si>
  <si>
    <t>Женские спортивные брюки в стиле «parachute» из легкой и прочной ткани рипстоп для активного образа жизни. Обеспечивают свободу движений и современный расслабленный силуэт.
Встроенный эластичный пояс с внешней регулировкой с помощью шнурка-резинки
Открытые карманы для рук
Широкие штанины, свободная посадка и ощущение комфорта
Низ: регулировка по нижнему краю с помощью эластичной резинки для различных вариантов ношения
Детали: фирменный логотип Under Armour
Идеальны для тренировок, прогулок и повседневного спортивного стиля — легко сочетаются с футболками, худи и кроссовками.</t>
  </si>
  <si>
    <t>Tech HiRise Leg</t>
  </si>
  <si>
    <t>1365336-020</t>
  </si>
  <si>
    <t>Держим цены</t>
  </si>
  <si>
    <t>UA HG Authentics Legging</t>
  </si>
  <si>
    <t>1383559-572</t>
  </si>
  <si>
    <t>Встречайте тайтсы UA HG Authentics Legging от Under Armour – идеальное сочетание инновационной технологии и стиля для неустанной спортсменки. Эти высококлассные тайтсы, созданные с использованием уникальной технологии HeatGear®, подарят вам непревзойденный комфорт и поддержку в ходе самых жарких тренировок. Изготовленные из супергладкого материала с двухсторонним растяжением, UA HG Authentics Legging обеспечивают потрясающую свободу движений и формируют силуэт, подчеркивая естественную красоту вашей фигуры. Прохлада и сухость на протяжении всего дня гарантирована благодаря материалу с технологией влагоотведения, который быстро выводит пот и ускоряет испарение влаги, позволяя вам оставаться сосредоточенной на своих целях, не отвлекаясь на дискомфорт. Высокая посадка тайтсов гарантирует надежное прилегание и используется для визуальной коррекции фигуры, придавая уверенности в каждом движении. Широкий пояс не врезается в кожу и не сползает, позволяя вам делать акцент на тренировке, а не на одежде. Эргономические швы и усиленная область промежности способствуют увеличению износостойкости и комфорта. Подборка мягких и прочных материалов предотвращает натирание и раздражение кожи, даже во время длительных и интенсивных упражнений. Закончите свой спортивный образ парой тайтсов UA HG Authentics Legging от Under Armour, и ощутите, как истинное качество превращает каждую тренировку в победу над собственными ограничениями.</t>
  </si>
  <si>
    <t>HG Armour AOP Ankle Leg</t>
  </si>
  <si>
    <t>1365338-664</t>
  </si>
  <si>
    <t>Наслаждайтесь комфортом и стилем в леггинсах Under Armour HG Armour AOP Ankle Leg. Они выполнены из технологичного материала, который обеспечивает максимальную поддержку и свободу движения во время тренировок. Их красивый дизайн с принтом добавит стильный акцент в ваш гардероб, а удобный пояс и манжеты на щиколотках обеспечат идеальную посадку. Специальное покрытие материала защищает от вредного воздействия УФ-лучей, что позволит вам наслаждаться тренировкой даже в ярком солнечном свете. Эти леггинсы подойдут для любого типа физической активности и станут незаменимым предметом гардероба для всех, кто следит за своим здоровьем и образом жизни.</t>
  </si>
  <si>
    <t>87% полиэстер 13% эластан</t>
  </si>
  <si>
    <t>UA Rush Legging</t>
  </si>
  <si>
    <t>1368181-530</t>
  </si>
  <si>
    <t>Ткань Under Armour Rush с минеральными добавками поглощает и отражает энергию, повышая выносливость. Сверхмягкая ткань ColdGear дышащая и эластичная, что обеспечивает превосходную подвижность, но при этом остается невероятно теплой. Технология защиты от запаха предотвращает рост вызывающих запах микробов. Материал отводит пот и очень быстро сохнет. Нескользящий пояс с высокой посадкой для оптимального прилегания и поддержки, которая остается на месте при каждом вашем движении.</t>
  </si>
  <si>
    <t>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t>
  </si>
  <si>
    <t>77% полиэстер, 23% эластан</t>
  </si>
  <si>
    <t>Seamless Legging</t>
  </si>
  <si>
    <t>1306391-513</t>
  </si>
  <si>
    <t>Ткань обладает эффектом второй кожи.
Мягкая трикотажная ткань с сетчатыми вставками, нанесенными на места, где больше всего нужна вентиляция.
Конструкция практически без швов для уменьшения натираний.
Материал тянется в 4-х направлениях, позволяя свободно двигаться.
Материал отводит пот и очень быстро сохнет.
Технология Anti-odor предотвращает появление неприятного запаха и рост бактерий.
Эластичный пояс на бедрах.
Внутренний шов: 53 см.</t>
  </si>
  <si>
    <t>UA Vanish. Самый быстросохнущий материал среди технологий UA. Экипировка из этой ткани легкая, дышащая и быстро высыхает.</t>
  </si>
  <si>
    <t>60% Полиэстер;30% Нейлон;10% Эластан</t>
  </si>
  <si>
    <t>UA PIQUE TRACK PANT</t>
  </si>
  <si>
    <t>1366203-012</t>
  </si>
  <si>
    <t>Спортивные штаны от Мирового бренда Under Armour. Они выполнены из легкого материала с отличными влаговыводящими свойствами. Эластичный пояс со шнурком обеспечивает надежную фиксацию. Предусмотрены боковые карманы. Есть молнии внизу брючин. Для дополнительной вентиляции предусмотрены вставки из сетки. Брюки спортивные Under Armour Sportstyle Pique Track Pant отлично подойдут для активного отдыха и простой повседневной носки.</t>
  </si>
  <si>
    <t>UA STRETCH WOVEN PANT</t>
  </si>
  <si>
    <t>1366215-410</t>
  </si>
  <si>
    <t>100% Полиэстер</t>
  </si>
  <si>
    <t>1368181-369</t>
  </si>
  <si>
    <t>UA Rival Fleece Graphic Jgrs</t>
  </si>
  <si>
    <t>1379776-390</t>
  </si>
  <si>
    <t>Легкая, удобная и очень мягкая внутри, эта вещь согреет вас независимо от того, чем вы занимаетесь.
Ультрамягкая флисовая ткань из смеси хлопка с начесом внутри для дополнительного тепла.
Встроенный эластичный пояс с внешним шнурком.
Открытые карманы для рук и надежный задний карман с застежкой-кнопкой.</t>
  </si>
  <si>
    <t>зеленый/белый</t>
  </si>
  <si>
    <t>1356403-001</t>
  </si>
  <si>
    <t>Сверхлегкий материал этих леггинсов просто создан для носки в течение всего дня. Мягкая, сверхлегкая хлопковая ткань обеспечивает невероятный комфорт. Мягкий эластичный пояс.</t>
  </si>
  <si>
    <t>UA Essential Heritge Flc Jgr-BLK</t>
  </si>
  <si>
    <t>1373817-001</t>
  </si>
  <si>
    <t>Мужские флисовые джоггеры UA Essential Heritage.
Ультракомфортный двухцветный флис из смесового хлопка с начесом внутри для дополнительного тепла.
Эластичный ребристый пояс с внешним шнурком
Открытые карманы для рук</t>
  </si>
  <si>
    <t>63% хлопок, 37% полиэстер</t>
  </si>
  <si>
    <t>UA Favorite Legging Hi Rise</t>
  </si>
  <si>
    <t>1356404-019</t>
  </si>
  <si>
    <t>Сверхлегкий материал этих леггинсов просто создан для носки в течение всего дня. Мягкая, сверхлегкая хлопковая ткань обеспечивает невероятный комфорт. Широкий плоский пояс с высокой посадкой для дополнительной поддержки и внутренним карманом для хранения.  Эластичная тесьма Wordmark на боковых швах.</t>
  </si>
  <si>
    <t>Armour HiRise Leg</t>
  </si>
  <si>
    <t>1365336-600</t>
  </si>
  <si>
    <t>бордовый/черный</t>
  </si>
  <si>
    <t>UA Rival Flc WM Jogger</t>
  </si>
  <si>
    <t>1373374-011</t>
  </si>
  <si>
    <t>Брюки Under Armour Ua Rival Flc Wm Jogger. Абсолютный комфорт и неповторимый стиль, независимо от того, находитесь ли вы в тренажерном зале или занимаетесь спортом. Эта пара брюк с подписью Under Armour пришла, чтобы обновить ваш спортивный гардероб. Изготовлен из ткани премиум-класса, придающей ощущение мягкости и тепла. Он имеет эластичную талию с регулируемым шнурком и логотип, который дополняет его.</t>
  </si>
  <si>
    <t>1373374-690</t>
  </si>
  <si>
    <t>Under Armour UA Rival Flc Wm Jogger - это идеальный выбор для тех, кто ищет комфортные и стильные спортивные штаны для занятий спортом и повседневной жизни. Эти штаны выполнены из мягкого и теплого материала, который обеспечивает максимальный комфорт и тепло в холодную погоду. Уникальный дизайн с логотипом Under Armour делает эти штаны стильными и современными. Удобный пояс со шнурком позволяет регулировать посадку, а боковые карманы с молнией позволяют хранить вещи на месте во время движения. Under Armour UA Rival Flc Wm Jogger - это не только модный аксессуар, но и практичная вещь, которая подойдет для любой ситуации. Они идеально подходят для занятий спортом, прогулок на свежем воздухе и повседневной жизни. Не упустите возможность добавить комфорт и стиль в свой гардероб с помощью спортивных штанов от Under Armour.</t>
  </si>
  <si>
    <t>красный</t>
  </si>
  <si>
    <t>UA HG Armour Prtd Lgs</t>
  </si>
  <si>
    <t>1386938-001</t>
  </si>
  <si>
    <t>Отправляетесь на тренировку? Термолеггинсы Under Armour — это настоящий прорыв в вашем спортивном гардеробе. Убедитесь сами!
- быстросохнущий материал HeatGear обеспечивает легкое ощущение прохлады на коже
- сетчатые панели для оптимальной вентиляции
- карман Drop-in Strength Pocket с правой стороны
- Технология Anti Odor ограничивает рост микроорганизмов, вызывающих неприятные запахи
- идеально подходят для силовых тренировок, футбола, волейбола или бега</t>
  </si>
  <si>
    <t>79% полиэстер, 21% эластан</t>
  </si>
  <si>
    <t>UA Rival Cotton Jogger</t>
  </si>
  <si>
    <t>1357107-600</t>
  </si>
  <si>
    <t>Ультрамягкий флис из хлопка средней плотности с начесом внутри для дополнительного тепла. Обтянутый эластичный пояс со шнурком. Открытые карманы для рук и надежный задний карман на кнопке.</t>
  </si>
  <si>
    <t>UA HG Armour Leggings</t>
  </si>
  <si>
    <t>1361586-690</t>
  </si>
  <si>
    <t>Сверхлегкая ткань HeatGear обеспечивает превосходное покрытие, не утяжеляя вас. Стратегические сетчатые панели для дополнительной вентиляции там, где это необходимо. Материал отводит пот и очень быстро сохнет. Технология защиты от запаха предотвращает рост вызывающих запах микробов. Эргономичный дизайн защищает швы от участков с высокой степенью истирания. Широкий эластичный пояс с надписью.</t>
  </si>
  <si>
    <t>UA Drive Tapered Pant</t>
  </si>
  <si>
    <t>1364410-014</t>
  </si>
  <si>
    <t>Гольф</t>
  </si>
  <si>
    <t>Мужские узкие зауженные брюки Under Armour Golf UA Drive.
 Брюки для гольфа из мягкой эластичной ткани, созданные для комфорта.
 Технология UA Storm отталкивает воду, не жертвуя при этом воздухопроницаемостью.
 Ткань с микронитью UA сохнет быстрее, не прилипает к телу, не натирает и не растягивается, не впитывая пот.
 Функциональный трикотаж обеспечивает комфорт и эластичность трикотажа, сохраняя внешний вид и структуру.
 Из тканого материала- материал впитывает пот и очень быстро сохнет.
Технология защиты от запаха предотвращает рост микробов, вызывающих запах.
Эластичный пояс для максимальной мобильности и безумного комфорта.
 Плоская передняя часть - дизайн с 4 карманами.
 Отделка тканой этикеткой Under Armour на заднем правом кармане.</t>
  </si>
  <si>
    <t>90% полиэстер, 10% эластан</t>
  </si>
  <si>
    <t>30/32</t>
  </si>
  <si>
    <t>32/30</t>
  </si>
  <si>
    <t>32/32</t>
  </si>
  <si>
    <t>34/32</t>
  </si>
  <si>
    <t>34/34</t>
  </si>
  <si>
    <t>36/32</t>
  </si>
  <si>
    <t>36/34</t>
  </si>
  <si>
    <t>38/32</t>
  </si>
  <si>
    <t>38/34</t>
  </si>
  <si>
    <t>1364410-069</t>
  </si>
  <si>
    <t>Мужские узкие зауженные брюки Under Armour Golf UA Drive. Если вы все еще играете в гольф в одежде цвета хаки старой школы, пришло время сделать себе одолжение. Брюки UA Drive легкие, эластичные и созданы специально для современных спортсменов. Потому что, когда вы можете лучше двигаться, вы также можете лучше играть в гольф.
Технология UA Storm отталкивает воду, не жертвуя воздухопроницаемостью.
Легкая, прочная и очень удобная саржа эластичного плетения. Растягивающийся в четырех направлениях материал лучше движется во всех направлениях. Эластичный пояс движется вместе с вами и имеет внутреннюю ручку, которая удерживает рубашку на месте во время раскачивания. Плоская передняя часть, 4 кармана.</t>
  </si>
  <si>
    <t>1364410-289</t>
  </si>
  <si>
    <t>UA Icon Fleece Jogger</t>
  </si>
  <si>
    <t>1373882-110</t>
  </si>
  <si>
    <t>Брюки Under Armour UA Icon Fleece Jogger — это мужские спортивные брюки-джоггеры . Они предназначены для использования в качестве разминочной или повседневной одежды, обеспечивая комфорт, тепло и стильный внешний вид как в спортзале, так и на улице.  Идеально подходят для разминки до и после тренировок, чтобы оставаться в тонусе и сосредоточиться, а также для повседневной носки благодаря свободному крою.
 Ультрамягкий флис средней плотности из смесового хлопка с начесом внутри для дополнительного тепла. Состав: 80% хлопок, 20% полиэстер. Эластичный пояс с внешним шнурком для регулировки посадки.Открытые боковые карманы для рук и надежный задний карман на кнопке. Эластичные манжеты внизу штанин. Вышитый логотип бренда.: Свободный крой (Loose), для полного комфорта.
Эти джоггеры сочетают в себе мягкость флиса с высокой прочностью материалов, обеспечивая отличное прилегание и удержание тепла. Современный крой и яркий цвет делают их стильным элементом спортивного и городского гардероба.</t>
  </si>
  <si>
    <t>бежевый</t>
  </si>
  <si>
    <t>1373882-477</t>
  </si>
  <si>
    <t>UA B Rival Wvn Pant</t>
  </si>
  <si>
    <t>1390155-001</t>
  </si>
  <si>
    <t>Это идеальные разминочные штаны, которые помогут держать ваши мышцы в готовности — для любого вида спорта или тренировки. Они лёгкие, водонепроницаемые и удобные для многослойной носки или компактной упаковки, когда вы переходите к активным действиям.
• Технология UA Storm отталкивает воду, не снижая воздухопроницаемости
• Гладкая тканая основа — лёгкая и чрезвычайно прочная
• Эластичный пояс в кулиске с внешним шнурком-утяжкой
• Открытые боковые карманы</t>
  </si>
  <si>
    <t>YMD</t>
  </si>
  <si>
    <t>134-149</t>
  </si>
  <si>
    <t>1390155-390</t>
  </si>
  <si>
    <t>1390155-410</t>
  </si>
  <si>
    <t>UA Brawler 3.0 Tapered Pant</t>
  </si>
  <si>
    <t>6004997-011</t>
  </si>
  <si>
    <t>Это ваши новые любимые тренировочные штаны практически на все случаи жизни — они легкие, удобные и имеют зауженный крой для аккуратного вида.
Гладкая трикотажная внешняя сторона и начес внутри для мягкости, комфорта и тепла.
Материал отводит влагу и очень быстро сохнет.
Пояс на резинке с внешним шнурком.
Карманы для рук.</t>
  </si>
  <si>
    <t>UA RIVAL LW PANT</t>
  </si>
  <si>
    <t>6009318-001</t>
  </si>
  <si>
    <t>Эта легкая французская махра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Пояс на резинке в кулиске с внешним шнурком-утяжкой
Открытые боковые карманы для рук и задний карман
Прямой крой брючин</t>
  </si>
  <si>
    <t>6009318-011</t>
  </si>
  <si>
    <t>UA Icon Wvn Track Jogger</t>
  </si>
  <si>
    <t>6009662-919</t>
  </si>
  <si>
    <t>Это идеальные спортивные брюки для поддержания мышц в тонусе — для любых видов спорта и тренировок. Они лёгкие, водостойкие и удобны для многослойной носки или компактной упаковки, когда вы переходите к активным действиям.
Технология UA Storm отталкивает воду, не жертвуя воздухопроницаемостью
Тканая основа с текстурой «кринкл» по всей поверхности: лёгкая и прочная
Скрытый эластичный пояс со внутренним шнурком для регулировки
Открытые боковые карманы и надёжный задний карман на молнии
Эластичные манжеты с укреплённой окантовкой
Используется водоотталкивающая пропитка без содержания фтора</t>
  </si>
  <si>
    <t>100% нейлон</t>
  </si>
  <si>
    <t>HeatGear Legging</t>
  </si>
  <si>
    <t>6009975-001</t>
  </si>
  <si>
    <t>HeatGear® — это наш оригинальный функциональный базовый слой: то, что вы надеваете первым и снимаете последним. Поэтому мы сделали эти леггинсы особенно комфортными: они отводят влагу и тянутся, чтобы вы могли двигаться в любых условиях.
Гладкая функциональная ткань HeatGear®: суперлёгкая и дышащая
Материал отводит пот и быстро сохнет
Ткань с растяжением в 4 направлениях обеспечивает свободу движений в любом направлении
Средняя посадка с открытым эластичным поясом и деталью с логотипом-надписью
Обновлённая конструкция ластовицы обеспечивает максимальный комфорт и улучшенную амплитуду движений
Обновлённый дизайн заднего шва для красивой, облегающей посадки по фигуре
Технология контроля запаха эффективно минимизирует неприятные ароматы</t>
  </si>
  <si>
    <t>86% полиэстер, 14% эластан</t>
  </si>
  <si>
    <t>6009975-600</t>
  </si>
  <si>
    <t>HeatGear Graphic Legging</t>
  </si>
  <si>
    <t>6012636-001</t>
  </si>
  <si>
    <t>HeatGear® — наша оригинальная функциональная базовая экипировка, которую вы надеваете первой и снимаете последней. Поэтому мы сделали эти леггинсы особенно комфортными: они отводят влагу и отлично растягиваются, позволяя вам двигаться свободно в любых условиях.
Ключевые особенности:
🔹 Гладкая функциональная ткань HeatGear® — сверхлёгкая и дышащая, обеспечивает комфорт даже во время самых интенсивных тренировок
🔹 Влагоотводящий материал с быстрым высыханием — эффективно отводит пот от тела и быстро сохнет, сохраняя ощущение сухости
🔹 Материал с 4-сторонней эластичностью — свободно растягивается в любом направлении, не сковывая движений
🔹 Средняя посадка с открытым эластичным поясом — украшен фирменным логотипом-надписью для стильного акцента
🔹 Обновленная конструкция ластовицы — обеспечивает максимальный комфорт и расширенную амплитуду движений
🔹 Обновленный дизайн заднего шва — формирует силуэт и визуально подчеркивает достоинства фигуры
🔹 Технология контроля запаха — минимизирует появление неприятных запахов, сохраняя свежесть на протяжении всей тренировки</t>
  </si>
  <si>
    <t>6012636-690</t>
  </si>
  <si>
    <t>UA Hoops Woven Pant</t>
  </si>
  <si>
    <t>1383401-001</t>
  </si>
  <si>
    <t>Баскетбол</t>
  </si>
  <si>
    <t>Спортивные штаны UA Hoops Woven Pant представляют собой идеальное сочетание легкости, удобства и функциональности, необходимых для максимальной производительности на баскетбольной площадке и за её пределами. Эти штаны станут отличным выбором для спортсменов, стремящихся к комфорту без потери профессионального качества. Изготовленные из прочного и одновременно легкого вовен-материала, штаны идеально подходят для активных тренировок и обладают высокой износостойкостью. Ткань обеспечивает хорошую воздухопроницаемость, а благодаря специальной влагоотводящей технологии, кожа остается сухой даже во время самых интенсивных тренировок, что способствует улучшению общего комфорта.</t>
  </si>
  <si>
    <t>SC30 Warm Up OH LZ</t>
  </si>
  <si>
    <t>1305748-001</t>
  </si>
  <si>
    <t>Прилегающий крой, не стесняющий движения. 
Благодаря технологии UA Threadborne Microthread ткань высыхает быстрее, не цепляется за вас и не теряет форму. 
Ультра-мягкий, теплый, невероятно эластичный флис.  
Материал отводит пот и быстро сохнет. 
Эластичный пояс с шнурком на внутренней стороне. 
Карманы по бокам.  
Свободная посадка в бедрах. 
Внутренний шов: 76 см.</t>
  </si>
  <si>
    <t>85% полиэстер, 15% эластан.</t>
  </si>
  <si>
    <t>UA SpeedPocket Ankle Tight</t>
  </si>
  <si>
    <t>1365602-554</t>
  </si>
  <si>
    <t>Сверхмягкая и структурированная ткань свободного кроя обеспечивает постоянное покрытие и комфорт. Сетчатые панели для дополнительной воздухопроницаемости там, где это необходимо. Материал отводит пот и очень быстро сохнет. Технология защиты от запаха предотвращает рост вызывающих запах микробов.</t>
  </si>
  <si>
    <t>72% полиэстер, 28% эластан</t>
  </si>
  <si>
    <t>UA Armour Fleece Jogger</t>
  </si>
  <si>
    <t>1357123-001</t>
  </si>
  <si>
    <t>Armor Fleece - это наш оригинальный заменитель флиса. Эти мужские флисовые спортивные брюки легкие, но невероятно теплые и хорошо растягиваются. Armor Fleece - легкий, дышащий и эластичный материал для превосходной подвижности. Мягкий внутренний слой удерживает тепло. Эластичный пояс с внешним шнурком. Открытые карманы для рук и карман Strength Pocket  с правой стороны. Ребристые манжеты.</t>
  </si>
  <si>
    <t>UA STORM RUN PANT</t>
  </si>
  <si>
    <t>1376800-025</t>
  </si>
  <si>
    <t>Встречайте безграничные возможности под небом любой погоды с новыми спортивными штанами UA Storm Run Pant от Under Armour. Эти штаны разработаны для тех, кто не останавливается перед дождем, ветром или холодом. Технология UA Storm – Легкие, но надежные, эти штаны оснащены революционной технологией UA Storm, которая отталкивает воду без ущерба для дышащих свойств материала. Теперь дождь не помеха – высохните быстрее и чувствуйте себя увереннее в любых условиях. Дышащий комфорт – Специально разработанные ткани обеспечивают отличную вентиляцию, поддерживая оптимальный микроклимат для ваших ног даже во время самых интенсивных тренировок. Эргономичная посадка – Следуйте за своими движениями с полной свободой благодаря эргономичному крою, предусматривающему изогнутые швы для естественного диапазона движений и предотвращающему лишний объем ткани. Встроенные элементы безопасности – Оставайтесь заметными даже в темное время суток благодаря отражающим деталям на штанах UA Storm Run Pant, обеспечивающим повышенную видимость на дороге. Практичность и комфорт – Эластичный пояс с внутренним шнурком для идеальной подгонки, а также функциональные карманы на молнии, чтобы ваши предметы всегда оставались в безопасности. Носите UA Storm Run Pant от Under Armour, и покоряйте маршруты в любую погоду. С этими штанами вы с легкостью найдете баланс между защитой от погодных условий и абсолютной свободой для достижения спортивных высот.</t>
  </si>
  <si>
    <t>UA Armour Fleece Joggers</t>
  </si>
  <si>
    <t>1373362-390</t>
  </si>
  <si>
    <t>UA Drive Pant</t>
  </si>
  <si>
    <t>1364407-001</t>
  </si>
  <si>
    <t>Готовы ли вы к штанам, которые драйвуют каждую вашу тренировку? UA Drive Pant – это именно то, что нужно серьёзным спортсменам, стремящимся к максимальному комфорту и производительности. Созданные с учетом потребностей активного образа жизни, эти многофункциональные штаны от Under Armour станут вашим незаменимым спутником в спортзале и за его пределами.
Ключевые преимущества спортивных штанов UA Drive Pant:
- Высококачественный тканый материал позволяет телу "дышать" и обеспечивает необходимую вентиляцию даже в самые интенсивные моменты вашей тренировки.
- Легкий и эластичный материал не сковывает движения, позволяя выполнять любые упражнения на полную мощность, от приседаний до растяжки.
- Технология влагоотведения от Under Armour эффективно отводит пот от кожи, сохраняя ощущение сухости и свежести на протяжении всего занятия.
- Пояс на резинке с внутренним шнурком обеспечивает надежную и регулируемую посадку, чтоб вы могли сосредоточиться только на вашем тренинге.
- Стиль и функциональность сочетаются в продуманных карманах на молнии, обеспечивая безопасное хранение мелких предметов и гаджетов.
Спортивные штаны UA Drive Pant – не просто одежда, это компонент вашего успеха. Выберите технологичную поддержку для вашей спортивной целеустремленности, и пусть каждый шаг наполняется уверенностью в том, что ваша экипировка создана для достижения результатов. Сделайте выбор в пользу стиля, удобства и производительности – выберите UA Drive Pant.</t>
  </si>
  <si>
    <t>UA Armour Fleece Twist Pants</t>
  </si>
  <si>
    <t>1373361-012</t>
  </si>
  <si>
    <t>Спортивные брюки Under Armour Fleece Twist Pants изготовлены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Эластичный пояс с внутренним шнурком
Открытые боковые карманы для рук и задний карман с правой стороны</t>
  </si>
  <si>
    <t>серый/черный</t>
  </si>
  <si>
    <t>1373361-410</t>
  </si>
  <si>
    <t>UA Drive 5 Pocket Pant</t>
  </si>
  <si>
    <t>1364934-001</t>
  </si>
  <si>
    <t>Эти брюки для гольфа созданы для одного: чтобы вы могли двигаться так, как вам нужно на поле. Технология UA Storm отталкивает воду без ущерба для воздухопроницаемости. Технология 4-Way Stretch позволяет ткани растягиваться во всех направлениях. Эластичный пояс имеет внутренний захват для удержания рубашки на месте во время движения.</t>
  </si>
  <si>
    <t>UA HydraFuse Ankle Leg-PPL</t>
  </si>
  <si>
    <t>1359547-554</t>
  </si>
  <si>
    <t>Леггинсы Under Armour HydraFuse Ankle Leg-PPL - это жгучий коктейль из новейших технологий комфорта и практичности для ваших тренировок. Леггинсы сделаны из сверхмягкой и эластичной ткани, которая покрыта увлажняющими микросферами, активирующимися во время тренировок и предотвращяющими сухост вашей кожи. Легинсы с высокой талией, оснашены эластичным поясов в районе поясницы для ее поддержания, моментально сохнут и отводят пот. Испытайте на себе технологичность и удобство.</t>
  </si>
  <si>
    <t>UA HydraFuse. Поддерживает уровень увлажненности кожи, защищает от обезвоживания, сухости и зуда. Защищает кожу от холода, обладая криопротекторными свойствами. Крошечные капсулы натурального увлажнителя встроены в волокна ткани и активируются при контакте с кожей.</t>
  </si>
  <si>
    <t>UA ColdGear Rush Leggings</t>
  </si>
  <si>
    <t>1366060-001</t>
  </si>
  <si>
    <t>Термобелье (низ)</t>
  </si>
  <si>
    <t>UA RUSH - это то снаряжение, которое вы носите, когда это наиболее важно - ваши самые сложные тренировки, ваши самые важные игры, ваши самые интенсивные тренировки. Оно отлично подходит, держит вас в сухости. UA RUSH - это инфракрасная технология, которая отражает энергию вашего тела, чтобы помочь вам усерднее работать и быстрее восстанавливаться.</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</si>
  <si>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t>
  </si>
  <si>
    <t>84% полиэстер, 16% эластан</t>
  </si>
  <si>
    <t>Pjt Rock Icon Jgr</t>
  </si>
  <si>
    <t>6006247-002</t>
  </si>
  <si>
    <t>Спортивно-повседневные брюки из коллекции Under Armour Project Rock созданы для тех, кто ценит стиль, комфорт и функциональность. Подходят как для тренировок, так и для отдыха или повседневной носки.
Особенности:
Мягкий и приятный на ощупь материал — сочетание хлопка и полиэстера обеспечивает комфорт и отличную посадку.
Эластичный пояс с утяжкой для индивидуальной регулировки.
Удобные боковые карманы для необходимых мелочей.
Современный зауженный крой с манжетами понизу.
Фирменный логотип Project Rock — стильный акцент коллекции.
Назначение:
Идеальный выбор для тренировок, прогулок, активного отдыха и повседневного стиля.</t>
  </si>
  <si>
    <t>73% хлопок, 27% полиэстер</t>
  </si>
  <si>
    <t>W UA Fly Fast Speed Capri</t>
  </si>
  <si>
    <t>1350080-001</t>
  </si>
  <si>
    <t>Компрессионная посадка повышает кровообращение в мышцах, тем самым повышая производительность и сокращая риск микротравм и разрывов. Легкий и влаговыводящий материал обеспечит сухость и комфорт во время тренировки. Ткань тянется во всех направлениях и идеально повторяет  форму тела, не сковывая движения. Благодаря поддержке снижают износ суставов и костей. Противобактериальная обработка предотвращает рост числа бактерий в ткани, тем самым нивелируя риск возникновения нежелательных запахов.  Эластичный пояс для надёжной фиксации и идеальной посадки. Зональные вставки из сетки для лучшей вентиляции и дыхания. Светоотражающие элементы повысят вашу видимость в темноте, сделав вашу тренировку безопасней в ночное время суток. Внутренний карман.</t>
  </si>
  <si>
    <t>Весна</t>
  </si>
  <si>
    <t>1356404-001</t>
  </si>
  <si>
    <t>Плотно прилегает к коже без сдавливания.
Мягкая, сверхлегкая хлопковая ткань обеспечивает невероятный комфорт.
Широкий плоский пояс с высокой посадкой для дополнительной поддержки и защиты благодаря встроенному карману.
Эластичная тесьма Wordmark на боковых швах.
Внутренняя часть штанины: 74 см.</t>
  </si>
  <si>
    <t>Challenger Training Pant</t>
  </si>
  <si>
    <t>1365417-001</t>
  </si>
  <si>
    <t>Футбол</t>
  </si>
  <si>
    <t>В коллекции UA Challenger есть все необходимое для футбола, чтобы вы оставались легко чувствовали себя на поле. Эта экипировка становится все лучше с каждым сезоном. Гладкая эластичная ткань сверхлегкая и позволяет свободно двигаться. Материал отводит пот и очень быстро сохнет. Облегающий эластичный пояс с внутренним шнурком. Надежные карманы на молнии для рук. Молнии на щиколотках для легкого надевания и снятия даже через шипы.</t>
  </si>
  <si>
    <t>UA Iso Chill 7/8 Leg NS</t>
  </si>
  <si>
    <t>1361023-561</t>
  </si>
  <si>
    <t>Мы изменили волокна и добавили научные знания, чтобы создать ткань, которая меняет правила игры, которая быстро отводит тепло от кожи, сохраняя прохладу. Ткань Iso-Chill помогает рассеивать тепло тела, делая его прохладным на ощупь. Материал отводит пот и очень быстро сохнет. Технология защиты от запаха предотвращает рост вызывающих запах микробов. Стратегические сетчатые панели для дополнительной воздухопроницаемости. Высокий нескользящий пояс для оптимальной посадки и поддержки, которые остаются на месте при каждом вашем движении. Передний карман.</t>
  </si>
  <si>
    <t>78% нейлон, 22% эластан</t>
  </si>
  <si>
    <t>Meridian Jogger</t>
  </si>
  <si>
    <t>1371021-001</t>
  </si>
  <si>
    <t>Брюки выполнены из сверхмягкой эластичной ткани. Материал отводит пот и очень быстро сохнет. Детали: конструкция с четырехсторонним растяжением. технология защиты от запаха предотвращает рост вызывающих запах микробов, эластичный пояс, открытые карманы для рук, эластичные манжеты.</t>
  </si>
  <si>
    <t>83% нейлон 17% эластан</t>
  </si>
  <si>
    <t>UA HydraFuse Ankle Leg</t>
  </si>
  <si>
    <t>1359547-676</t>
  </si>
  <si>
    <t>Сверхмягкая и эластичная трикотажная ткань обеспечивает поддержку и длительный комфорт. В ткань встроены крошечные увлажняющие микросферы, которые активируются при контакте и помогают увлажнить сухую кожу. Материал 4-way stretch лучше тянется во всех направлениях.</t>
  </si>
  <si>
    <t>Tech Hi Ankle Leg</t>
  </si>
  <si>
    <t>1365335-044</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</si>
  <si>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 Боковой карман.</t>
  </si>
  <si>
    <t>Meridian Ankle Leg-PNK</t>
  </si>
  <si>
    <t>1369004-698</t>
  </si>
  <si>
    <t>UA UNSTOPPABLE JOGGERS</t>
  </si>
  <si>
    <t>1352027-253</t>
  </si>
  <si>
    <t>Если раньше вы не ходили в спортзал в штанах, то сделаете это сейчас. Разница заключается в деталях - от ультра-удобной ткани до водоотталкивающей отделки, благодаря которой они высыхают быстрее. Технология UA Storm отводит влагу, сохраняя воздухопроницаемость. Ткань отлично растягивается в 4-х направлениях. Материал отводит излишнюю влагу и очень быстро сохнет. Облегающий эластичный пояс с интегрированным шнурком. Открытые карманы для рук и прочный задний карман на молнии.</t>
  </si>
  <si>
    <t>коричневый</t>
  </si>
  <si>
    <t>UA UNSTOPPABLE TAPERED PANTS</t>
  </si>
  <si>
    <t>1352028-410</t>
  </si>
  <si>
    <t>Брюки Unstoppable Tapered Pants от Under Armour предназначены специально для бегунов, ценящих комфорт и технологические инновации. Изготовленные из комбинации полиэстера и эластана, они обеспечивают превосходную свободу движений и комфортность независимо от погодных условий. Технология UA Storm обеспечивает влагозащиту, защищая вас от дождя и гарантируя уверенность в любых погодных условиях.
- Материал мгновенно выводит влагу и быстро её испаряет, благодаря чему сохраняется сухость и комфорт на протяжении всей тренировки.
- Эластичность ткани позволяет полностью сосредоточиться на движении, обеспечивая непревзойденную свободу и поддержку.
- Эластичный пояс со шнурком предлагает надежную фиксацию, поддерживая идеальную посадку во время интенсивных нагрузок.
- Боковые карманы и задний карман на молнии дают быстрый доступ к необходимым вещам.
- Эти брюки идеально подойдут для бега, благодаря их легкости, долговечности и технологическим прорывам.</t>
  </si>
  <si>
    <t>TB12 Sleep Pant</t>
  </si>
  <si>
    <t>1300008-025</t>
  </si>
  <si>
    <t>Узор внутри ткани возвращает инфракрасную энергию вашему телу, усиливая локальный кровоток и увеличивая количество кислорода, достигающего ваших мышц, чтобы быстрее восстановить ваши мышцы. Невероятно мягкая модальная ткань премиум-класса для непревзойденного комфорта. 4-сторонняя эластичная конструкция лучше движется во всех направлениях. Материал впитывает пот и очень быстро сохнет. Застежка на шнурок. Машинная стирка.</t>
  </si>
  <si>
    <t>4-Way Srtetch. Легкий материал повышенной потности и эластичности.</t>
  </si>
  <si>
    <t>Вискоза 91%, Эластан 9%</t>
  </si>
  <si>
    <t>Motion Legging</t>
  </si>
  <si>
    <t>1361109-003</t>
  </si>
  <si>
    <t>Ультрамягкая двойная ткань, дышащая и удобная. Конструкция 4-way stretch лучше растягивается во всех направлениях. Технология защиты от запаха предотвращает рост вызывающих запах бактерий. Широкий плоский пояс с боковым карманом.</t>
  </si>
  <si>
    <t>82% полиэстер; 18% эластан</t>
  </si>
  <si>
    <t>1386938-390</t>
  </si>
  <si>
    <t>Tech HiRise Legging</t>
  </si>
  <si>
    <t>1365336-348</t>
  </si>
  <si>
    <t>Представляем вам модные и функциональные женские тайтсы от известного бренда Under Armour. Эти тайтсы идеально подойдут для занятий спортом и активного образа жизни.Изготовленные из высококачественного материала, состоящего из 87% полиэстера и 13% эластана, они обеспечивают отличную посадку и комфорт во время тренировок. Компрессионная ткань позволяет вашим мышцам работать эффективнее, а плоский шов гарантирует отсутствие нежелательных раздражений на коже.Женские тайтсы Under Armour имеют среднюю посадку, что обеспечивает стабильную поддержку и комфорт во время движения. Они идеально сидят на фигуре, подчеркивая ее преимущества.</t>
  </si>
  <si>
    <t>UA Rival Fleece Joggers</t>
  </si>
  <si>
    <t>1379774-390</t>
  </si>
  <si>
    <t>Мягкий, теплый материал
Эластичный пояс со шнурком для регулировки размера
Боковые карманы
Карман сзади</t>
  </si>
  <si>
    <t>UA Rush Seamless Leggings</t>
  </si>
  <si>
    <t>1361139-001</t>
  </si>
  <si>
    <t>Спортивные тайтсы Under Armour Rush Seamless Leggings - это самые изматывающие тренировки, без потери энергии. Тайтсы изготовлины из специальной ткани UA RUSH c добавлением специальных минеральных составов, что помогает отражать вашу кинетическую энерги, улучшить кровоток, снизить усталость мышц и повысить выносливость. Тайтсы практически не имеют швов для максимального комфорта, а их ткань не только интенсивно отводит пот, но и молниеносно сохнет.</t>
  </si>
  <si>
    <t>Основной материал: 56% нейлон,38% полиэстер,6% эластан</t>
  </si>
  <si>
    <t>1364407-036</t>
  </si>
  <si>
    <t>Готовы ли вы к штанам, которые драйвуют каждую вашу тренировку? UA Drive Pant – это именно то, что нужно серьёзным спортсменам, стремящимся к максимальному комфорту и производительности. Созданные с учетом потребностей активного образа жизни, эти многофункциональные штаны от Under Armour станут вашим незаменимым спутником в спортзале и за его пределами.
Ключевые преимущества спортивных штанов UA Drive Pant:
- Высококачественный тканый материал позволяет телу "дышать" и обеспечивает необходимую вентиляцию даже в самые интенсивные моменты вашей тренировки.
- Легкий и эластичный материал не сковывает движения, позволяя выполнять любые упражнения на полную мощность, от приседаний до растяжки.
- Технология влагоотведения от Under Armour эффективно отводит пот от кожи, сохраняя ощущение сухости и свежести на протяжении всего занятия.
- Пояс на резинке с внутренним шнурком обеспечивает надежную и регулируемую посадку, чтоб вы могли сосредоточиться только на вашем тренинге.
- Стиль и функциональность сочетаются в продуманных карманах на молнии, обеспечивая безопасное хранение мелких предметов и гаджетов.
Спортивные штаны UA Drive Pant – не просто одежда, это компонент вашего успеха. Выберите технологичную поддержку для вашей спортивной целеустремленности, и пусть каждый шаг наполняется уверенностью в том, что ваша экипировка создана для достижения результатов. Сделайте выбор в пользу стиля, удобства и производительности – выберите UA Drive Pant.</t>
  </si>
  <si>
    <t>UA Holiday Vibe Cargo Pant</t>
  </si>
  <si>
    <t>6000850-410</t>
  </si>
  <si>
    <t>Шорты мужские Under Armour Vanish Woven 6In Shorts 1373718-009. Under Armour Vanish Woven 6 In Shorts представляют собой выбор для тех, кто ищет максимальный комфорт и производительность. Эти беговые шорты созданы из 100% полиэстера и отличаются продуманной конструкцией, с акцентом на легкость и быстросохнущие свойства, а шестидюймовый крой идеально подходит для гибкости движений, создавая комфорт и функциональность для бега.
- Быстросохнущий материал UA Vanish поддерживает комфорт во время любых тренировок, сохраняя чувство сухости и свежести.
- Легкость шорт позволяет свободно и быстро двигаться, а дышащая структура предотвращает перегрев.
- Прочные материалы обеспечивают долгосрочную износостойкость, справляясь с интенсивными нагрузками.
- Продуманный дизайн включает эластичный пояс для оптимальной посадки и комфорта, исключая давление на талию.
- Эти шорты станут отличным выбором для мужчин, которые стремятся улучшать свои результаты, добавляя стиль в каждый шаг.</t>
  </si>
  <si>
    <t>UA Unstoppable Vented Taper</t>
  </si>
  <si>
    <t>1383033-251</t>
  </si>
  <si>
    <t>Мужские брюки Under Armour UA Unstoppable Airvent Taper — это идеальный выбор для активного образа жизни. Выполненные из ультра-дышащей и эластичной ткани, они обеспечивают комфорт и долговечность при каждом движении. Материал эффективно отводит пот и быстро сохнет, помогая вам оставаться свежими в течение всего дня. Ткань с 4-сторонней растяжкой позволяет свободу движений без ограничений. Эластичный пояс с внутренней завязкой гарантирует идеальную посадку. Открытые карманы для рук и надежный карман на молнии Strength Pocket с правой стороны обеспечивают удобное хранение мелочей. Зауженный крой по ноге придает стильный и современный вид.</t>
  </si>
  <si>
    <t>96% полиэстер, 4% эластан</t>
  </si>
  <si>
    <t>PJT RCK ICON FLC JOGGER Q3</t>
  </si>
  <si>
    <t>1386883-001</t>
  </si>
  <si>
    <t>Брюки Under Armour PJT RCK ICON FLC JOGGER Q3 — это идеальное сочетание стиля и комфорта для активного образа жизни. Изготовленные из качественного материала, состоящего из хлопка и полиэстера, они обеспечивают мягкость и прочность, оставаясь удобными даже при длительной носке. Свободный крой и эластичная талия с застежкой на завязках гарантируют отличную посадку и комфортную фиксацию, позволяя свободно двигаться. Эти джоггеры отлично подходят для тренировок и повседневного использования, легко сочетаясь с различными элементами гардероба. Их классический дизайн с лаконичными деталями подчеркивает современный стиль и универсальность.</t>
  </si>
  <si>
    <t>1373362-014</t>
  </si>
  <si>
    <t>UA Armour Fleece Joggers – идеальный выбор для всех спортивных энтузиастов. Эти штаны сочетают в себе стиль и функциональность, чтобы поддержать вас во время тренировок и соревнований. Изготовленные из инновационного материала Armour Fleece, они обеспечивают максимальный комфорт и защиту от холода благодаря своей превосходной утепляющей способности. Эластичный пояс с регулируемым шнурком позволяет настроить идеальную посадку, а карманы на молнии предоставляют удобное хранение ваших вещей. Стильные и практичные UA Armour Fleece Joggers – ваш надежный спортивный партнер для достижения ваших целей.</t>
  </si>
  <si>
    <t>Sportstyle Joggers CF Knit</t>
  </si>
  <si>
    <t>1290261-001</t>
  </si>
  <si>
    <t>1290261-011</t>
  </si>
  <si>
    <t>Свободная посадка для полного комфорта. 
Прочная трикотажная ткань с гладкой внешней стороной и мягким внутренним слоем. 
Материал отводит пот и очень быстро сохнет. 
Ребристый пояс с шнурком. 
Карманы по бокам, внутренний карман для телефона и 1 карман сзади. 
Ребристые манжеты.</t>
  </si>
  <si>
    <t>серый/белый</t>
  </si>
  <si>
    <t>1290261-090</t>
  </si>
  <si>
    <t>Прочная трикотажная ткань с гладкой лицевой стороной и мягкой внутренней стороной для сохранения тепла. Материал отводит пот и очень быстро сохнет. Ребристый пояс с внешней утяжкой. Задний левый карман и карманы для рук с внутренним карманом для телефона на правой стороне. Зауженные штанины и ребристые манжеты.</t>
  </si>
  <si>
    <t>1290261-390</t>
  </si>
  <si>
    <t>XLT</t>
  </si>
  <si>
    <t>52-54 удл</t>
  </si>
  <si>
    <t>SPORTSTYLE TRICOT JOGGER-RED</t>
  </si>
  <si>
    <t>1290261-690</t>
  </si>
  <si>
    <t>бордовый</t>
  </si>
  <si>
    <t>UA StormCyclone Pant</t>
  </si>
  <si>
    <t>1320953-299</t>
  </si>
  <si>
    <t>Брюки Under Armour StormCyclone Pant пошиты из эластичного и приятного к телу материала. В то же время материал является достаточно прочным и выносливым, а также он быстро сохнет. Материала Storm, который отталкивает воду, не жертвуя воздухопроницаемостью. Эти брюки узко скроены и обладают 2 боковыми карманами, а также координирующим шнурком. Низ брючин на молнии. Лёгкая и прочная стрейч-ткань изнутри имеет тонкий слой флиса. Удобные, лёгкие обтягивающие штаны, отлично подходят для спорта и отдыха. Модель очень практична и для повседневного использования в городе, и для путешествий автомобилем, самолетом или другим способом. Имеют классический крой. Гарантируют высокую подвижность в самых экстремальных условиях.</t>
  </si>
  <si>
    <t>98% полиэстер, 2% эластан</t>
  </si>
  <si>
    <t>UA STRMPRF GOLF RAIN PTS</t>
  </si>
  <si>
    <t>1342718-001</t>
  </si>
  <si>
    <t>Ветро-влагозащитный материал
Технология UA Storm - защищает от непогоды, отталкивает воду при этом не жертвуя воздухопроницаемостью
Эластичный пояс с застежкой-кнопкой
Боковые карманы на молнии
Карман сзади
Боковые молнии внизу брючин</t>
  </si>
  <si>
    <t>1352028-390</t>
  </si>
  <si>
    <t>Лёгкий и прочный Материал мгновенно выводит влагу и быстро её испаряет, обеспечивая сухость и комфорт. Влагоотталкивающая обработка UA Storm не даст вам промокнуть в условиях дождя. Ткань отлично тянется во всех направления, не сковывает и обеспечивает полную свободу движения. Эластичный пояс со шнурком для надёжной фиксации и идеальной посадки. Боковые карманы и карман сзади на молнии позволят брать с собой необходимые вещи.</t>
  </si>
  <si>
    <t>1356416-558</t>
  </si>
  <si>
    <t>Брюки Under Armour Rival Fleece Joggers. Ультрамягкий флис из смесового хлопка средней плотности с начесом внутри для дополнительного тепла. Обтянутый эластичный пояс с внешним шнурком. Открытые карманы для рук. Удлиненные манжеты в рубчик.</t>
  </si>
  <si>
    <t>Favorites Legging</t>
  </si>
  <si>
    <t>1356463-668</t>
  </si>
  <si>
    <t>Этот сверхлегкий хлопчатобумажный материал создан, чтобы обеспечивать вам ощущение легкости и комфорта. Мягкий, эластичный широкий пояс. Прилегающий крой, который не стесняет движения.</t>
  </si>
  <si>
    <t>58% хлопок, 31% полиэстер, 11 эластан</t>
  </si>
  <si>
    <t>155-159</t>
  </si>
  <si>
    <t>1356487-002</t>
  </si>
  <si>
    <t>1357123-408</t>
  </si>
  <si>
    <t>Armor Fleece - это наш оригинальный заменитель флиса. Эти мужские флисовые спортивные брюки легкие, но невероятно теплые и хорошо растягиваются. Armor Fleece - легкий, дышащий и эластичный материал для превосходной подвижности. Мягкий внутренний слой удерживает тепло. Эластичный пояс с внешним шнурком. Открытые карманы для рук и карман Strength Pocket с правой стороны. Ребристые манжеты.</t>
  </si>
  <si>
    <t>HG Armour Ankle Crop</t>
  </si>
  <si>
    <t>1361237-914</t>
  </si>
  <si>
    <t>Укороченные леггинсы</t>
  </si>
  <si>
    <t>Тренировочные леггинсы Under Armour HG Ankle Crop - вершина технологий женского компрессионного белья. Новейшая технологоия ткани HeatGear регулирует влагообмен и температуру тела в теплую погоду, обеспечивая сухость прохладу и оптимальный комфорт. а технология 4-Way Srtetch анатомически повторяет форму тела и обеспечивает максимальный комфорт движения, обеспечивая поддержку колен, снижая вибрацию и предотвращая смещение суставов.</t>
  </si>
  <si>
    <t>1361586-001</t>
  </si>
  <si>
    <t>Тайтсы Men HG Leggings от Under Armour — это идеальный выбор для спортсменов, стремящихся к лучшим результатам. Они выполнены в классическом цвете и сделаны из 79% полиэстера и 21% эластана, обеспечивая легкость и поддержку. Технология HeatGear и продуманные сетчатые вставки увеличивают комфорт, быстрота высыхания позволяет ощущать свежесть на протяжении всей тренировки. Рекомендуется ручная стирка.
- Ткань HeatGear обеспечивает превосходное покрытие и фиксацию, не утяжеляя, что делает эти тайтсы идеальными для интенсивных тренировок.
- Определенным образом расположенные сетчатые панели улучшают вентиляцию, поддерживая комфортную температуру тела.
- Быстро сохнущий материал отводит влагу, сохраняя ощущение сухости даже в самых жарких условиях.
- Специальная технология защищает от неприятных запахов, предотвращая рост вызывающих запах микробов.
- Эргономичный дизайн увеличивает износостойкость, защищая швы от истирания в ключевых зонах.
- Широкий эластичный пояс с логотипом Under Armour обеспечивает надежную посадку и улучшает общий внешний вид.</t>
  </si>
  <si>
    <t>3XL</t>
  </si>
  <si>
    <t>56-58</t>
  </si>
  <si>
    <t>1361586-090</t>
  </si>
  <si>
    <t>79% полиэстер; 21% эластан</t>
  </si>
  <si>
    <t>1361586-100</t>
  </si>
  <si>
    <t>1361586-390</t>
  </si>
  <si>
    <t>UA HG Armour 3/4 Legging</t>
  </si>
  <si>
    <t>1361588-001</t>
  </si>
  <si>
    <t>1361588-025</t>
  </si>
  <si>
    <t>Under Armour Капри Фитнес Мужчины HeatGear 3/4 Legging
Капри HeatGear 3/4 Legging от Under Armour — это идеальное сочетание стиля и функциональности для фитнеса. Состав из 79% полиэстера и 21% эластана обеспечивает лёгкость и превосходное покрытие, в то время как технологии предотвращают перегрев и неприятный запах. Эргономичный дизайн поддерживает комфорт и предотвращает износ, особенно в ключевых зонах повышенной нагрузки.
- Сверхлегкая ткань HeatGear отлично выводит влагу, позволяя сосредоточиться на тренировках.
- Стратегически расположенные сетчатые панели улучшают вентиляцию, поддерживая оптимальную температуру в наиболее нужных зонах.
- Материал отводит пот и быстро сохнет, совершенствуя комфорт при интенсивных физических нагрузках.
- Технология защиты от запаха предотвращает развитие микробов, сохраняя свежесть капри в течение всего дня.
- Широкий эластичный пояс с маркой обеспечивает надежную фиксированную посадку без соскальзывания или проскальзывания.</t>
  </si>
  <si>
    <t>1361588-100</t>
  </si>
  <si>
    <t>UA JD AF JOGGERS</t>
  </si>
  <si>
    <t>1361959-310</t>
  </si>
  <si>
    <t>Детские-подростковые утепленные спортивные брюки Under Armour.
Характеристики:
Мягкий, теплый материал
Эластичный пояс со шнурком для регулировки размера
Боковые карманы</t>
  </si>
  <si>
    <t>80% хлопок  20% полиэстер</t>
  </si>
  <si>
    <t>1364410-001</t>
  </si>
  <si>
    <t>32/34</t>
  </si>
  <si>
    <t>34/30</t>
  </si>
  <si>
    <t>38/30</t>
  </si>
  <si>
    <t>1364410-036</t>
  </si>
  <si>
    <t>30/30</t>
  </si>
  <si>
    <t>36/30</t>
  </si>
  <si>
    <t>40/30</t>
  </si>
  <si>
    <t>1364410-044</t>
  </si>
  <si>
    <t>1364410-410</t>
  </si>
  <si>
    <t>40/32</t>
  </si>
  <si>
    <t>1365334-001</t>
  </si>
  <si>
    <t>HG Armour HiRise 7/8 NS</t>
  </si>
  <si>
    <t>1365335-001</t>
  </si>
  <si>
    <t>HG Armour Hi Ankle Leg</t>
  </si>
  <si>
    <t>1365335-369</t>
  </si>
  <si>
    <t>Леггинсы Under Armour HG Armour Hi Ankle Leg - это идеальный выбор для тех, кто стремится достичь максимальной производительности и комфорта во время тренировок. Они выполнены из высококачественного материала, который обеспечивает оптимальную вентиляцию и отвод влаги от кожи, что помогает сохранять прохладу и сухость в любых условиях. Технология 4-сторонней растяжимости позволяет свободно двигаться в любом направлении, а плоские швы не натирают и не вызывают дискомфорт во время активности. Леггинсы Under Armour HG Armour Hi Ankle Leg обеспечивают поддержку и укрепление мышц, что улучшает вашу спортивную производительность и помогает достичь поставленных целей. Их высокий посадочный элемент обеспечивает удобство и поддержку во время движения, а сжимающий эффект позволяет вам чувствовать себя уверенно и комфортно на тренировках любой интенсивности. Эти леггинсы легко сочетаются с любой вашей тренировочной одеждой и дополняют ваш образ стилем и уверенностью. Сделайте правильный выбор и достигайте своих спортивных целей с леггинсами Under Armour HG Armour Hi Ankle Leg!</t>
  </si>
  <si>
    <t>HG Armour HiRise Leg NS</t>
  </si>
  <si>
    <t>1365336-001</t>
  </si>
  <si>
    <t>1365336-025</t>
  </si>
  <si>
    <t>Тайтсы Under Armour Tech HiRise Legging — это женские спортивные леггинсы, разработанные для комфорта и поддержки во время тренировок. Они выполнены из ультралегкой влагоотводящей ткани HeatGear.
Материал HeatGear: используется сверхлегкая ткань HeatGear, которая обеспечивает отличное покрытие без утяжеления и обладает всеми преимуществами компрессии UA.Материал эффективно отводит пот и очень быстро сохнет, помогая сохранять ощущение сухости и свежести во время интенсивных нагрузок.Модель имеет широкий эластичный пояс с высокой посадкой для дополнительной поддержки и комфорта.
Стратегические сетчатые вставки обеспечивают необходимую воздухопроницаемость в зонах повышенного потоотделения.
Обновленная эргономичная конструкция исключает швы в местах сильного трения, повышая долговечность и комфорт.
Конструкция из эластичного материала, тянущегося в 4 направлениях, обеспечивает свободу движений в любом направлении.
Имеется удобный боковой карман для хранения мелочей. 
Эти тайтсы идеально подходят в качестве базового слоя для занятий спортом и фитнесом, обеспечивая поддержку и прохладу в теплую погоду.</t>
  </si>
  <si>
    <t>1365336-432</t>
  </si>
  <si>
    <t>HG Armour HiRise Leg</t>
  </si>
  <si>
    <t>1365336-530</t>
  </si>
  <si>
    <t>1365336-587</t>
  </si>
  <si>
    <t>Armour AOP Ankle Leg</t>
  </si>
  <si>
    <t>1365338-963</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</si>
  <si>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t>
  </si>
  <si>
    <t>розовый/черный</t>
  </si>
  <si>
    <t>UA Empowered Tight</t>
  </si>
  <si>
    <t>1365671-001</t>
  </si>
  <si>
    <t>Мы создали это снаряжение, чтобы вы могли бегать в холодную погоду - с вентилируемой панелью, которая дышит, чтобы вы чувствовали себя комфортно и сосредоточенно.  Расширяемый центральный передний карман на поясе водонепроницаем и надежно защищает ваш телефон. Материал отводит пот и очень быстро сохнет. Технология защиты от запаха предотвращает рост вызывающих запах микробов. Боковой карман.</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</si>
  <si>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4-Way Srtetch. Легкий материал повышенной потности и эластичности.</t>
  </si>
  <si>
    <t>1366119-640</t>
  </si>
  <si>
    <t>UA Motion Legging - это уникальные леггинсы, созданные специально для тех, кто ценит комфорт и функциональность во время занятий спортом. Их изысканный дизайн и современные технологии изготовления гарантируют идеальную посадку и отличную поддержку в упражнениях любой интенсивности. Леггинсы изготовлены из прочного материала, который не сковывает движения и позволяет коже дышать. Уникальная ткань с защитой от влаги и ультра-мягкими плоскими швами обеспечивает максимальный комфорт во время тренировок. Кроме того, в леггинсах предусмотрены карманы для мобильных устройств и ключей, что позволяет сохранять свои важные вещи всегда под рукой. UA Motion Legging - это лучший выбор для любителей активного отдыха, которые всегда следят за модными тенденциями и хотят быть на шаг впереди. Будьте стильными и чувствуйте себя уверенно во время занятий спортом с UA Motion Legging!</t>
  </si>
  <si>
    <t>82% полиэстер, 18% эластан</t>
  </si>
  <si>
    <t>UA RIVAL FLC SIGNATURE JGR</t>
  </si>
  <si>
    <t>1366366-432</t>
  </si>
  <si>
    <t>Это ваши новые любимые брюки практически для любого занятия - они легкие, удобные и супер-мягкие внутри. Ультрамягкий флис из смесового хлопка средней плотности с начесом внутри для дополнительного тепла. Обтянутый эластичный пояс с внешним шнурком. Открытые карманы для рук и надежный задний карман на кнопке.Брюки для мужчин трикотаж состав: 80% хлопок 20% полиэстер Обхват груди 106-112 см. Обхват талии 89-94 см. Обхват бедер 102-107 см.</t>
  </si>
  <si>
    <t>CURRY FLEECE JOGGER</t>
  </si>
  <si>
    <t>1366627-011</t>
  </si>
  <si>
    <t>Ультрамягкий флис средней плотности из смесового хлопка с начесом внутри для дополнительного тепла.
Эластичный ребристый пояс с внутренним шнурком.
Открытые карманы для рук.</t>
  </si>
  <si>
    <t>Tech Pant</t>
  </si>
  <si>
    <t>1369385-002</t>
  </si>
  <si>
    <t>HeatGear Armor - это наш оригинальный базовый слой с высокими эксплуатационными характеристиками - тот, который вы надеваете первым, а снимаете последним. Поэтому мы сделали его особенно комфортным, отводит пот и растягивается, чтобы вы могли двигаться несмотря ни на что. Сверхлегкая ткань HeatGear обеспечивает превосходное прилегание. Материал отводит пот и очень быстро сохнет. Технология защиты от запаха предотвращает рост вызывающих запах микробов.</t>
  </si>
  <si>
    <t>1369385-020</t>
  </si>
  <si>
    <t>NEW FABRIC HG Armour Pant</t>
  </si>
  <si>
    <t>1369385-410</t>
  </si>
  <si>
    <t>UA Fly Fast 3.0 Tight</t>
  </si>
  <si>
    <t>1369773-001</t>
  </si>
  <si>
    <t>Компрессия должна быть плотно прилегающей, но не слишком узкой. Подгонка UA Armor Fly Fast дает вам только это и многое другое. Мягкая, быстросохнущая ткань формирует и поддерживает ощущение фиксации, которое очень лестно и заставляет потеть. Сверхлегкая ткань HeatGear обеспечивает превосходное покрытие, не отягощая вас, материал отводит пот и очень быстро сохнет. Технология защиты от запаха предотвращает рост вызывающих запах микробов.</t>
  </si>
  <si>
    <t>UA Launch Tights</t>
  </si>
  <si>
    <t>1369773-348</t>
  </si>
  <si>
    <t>UA RIVAL FLC GRAPHIC JOGGER</t>
  </si>
  <si>
    <t>1370351-011</t>
  </si>
  <si>
    <t>Ультрамягкий флис из смесового хлопка средней плотности.
Матовая внутренняя поверхность для дополнительного тепла.
Скрытый эластичный пояс с внешним шнурком.
Открытые карманы для рук и надежный задний карман на кнопке.
Ребристые манжеты.</t>
  </si>
  <si>
    <t>80% хлопок 20% полиэстер</t>
  </si>
  <si>
    <t>1373361-013</t>
  </si>
  <si>
    <t>UA Armour Fleece Joggers-BLK</t>
  </si>
  <si>
    <t>1373362-001</t>
  </si>
  <si>
    <t>1373362-025</t>
  </si>
  <si>
    <t>1373362-400</t>
  </si>
  <si>
    <t>синий/черный</t>
  </si>
  <si>
    <t>1373362-437</t>
  </si>
  <si>
    <t>Under Armour UA Armour Fleece Joggers - это идеальный выбор для тех, кто ищет комфортные и стильные спортивные штаны для занятий спортом и повседневной жизни. Эти штаны выполнены из мягкого и теплого материала Armour Fleece, который обеспечивает максимальный комфорт и тепло в холодную погоду. Уникальный дизайн с логотипом Under Armour делает эти штаны стильными и современными. Удобный пояс со шнурком позволяет регулировать посадку, а боковые карманы с молнией позволяют хранить вещи на месте во время движения. Under Armour UA Armour Fleece Joggers - это не только модный аксессуар, но и практичная вещь, которая подойдет для любой ситуации. Они идеально подходят для занятий спортом, прогулок на свежем воздухе и повседневной жизни. Не упустите возможность добавить комфорт и стиль в свой гардероб с помощью спортивных штанов от Under Armour.</t>
  </si>
  <si>
    <t>1373362-600</t>
  </si>
  <si>
    <t>UA Essential Fleece Jogger-BLK</t>
  </si>
  <si>
    <t>1373882-001</t>
  </si>
  <si>
    <t>Under Armour UA Essential Fleece Jogger - это идеальный выбор для тех, кто ищет удобство и комфорт во время тренировок или повседневных занятий. Эти штаны изготовлены из мягкого и теплого флиса, который обеспечивает максимальный комфорт в любых условиях. Штаны имеют удобную посадку и современный дизайн, который делает их идеальным выбором для тех, кто хочет выглядеть стильно и уверенно. Эластичный пояс с регулируемым шнурком позволяет создать индивидуальную посадку и обеспечивает дополнительную поддержку. Under Armour UA Essential Fleece Jogger также имеет эластичные манжеты, которые обеспечивают тепло и комфорт в прохладную погоду. Два боковых кармана и один карман на молнии на задней части штанов позволяют хранить вещи на месте во время движения. Эти штаны идеально подходят для занятий спортом или повседневного использования. Они легко сочетаются с другой спортивной одеждой или с обычной повседневной одеждой, что делает их универсальным выбором для любого стиля. Не упустите возможность добавить Under Armour UA Essential Fleece Jogger в свой гардероб и наслаждайтесь комфортом и стилем каждый день.</t>
  </si>
  <si>
    <t>UA Essential Fleece Jogger</t>
  </si>
  <si>
    <t>1373882-012</t>
  </si>
  <si>
    <t>1373882-013</t>
  </si>
  <si>
    <t>1373882-338</t>
  </si>
  <si>
    <t>1373882-391</t>
  </si>
  <si>
    <t>Under Armour UA Essential Fleece Jogger - это идеальный выбор для тех, кто ищет удобство и комфорт во время тренировок или повседневных занятий. Эти штаны изготовлены из мягкого и теплого флиса, который обеспечивает максимальный комфорт в любых условиях. Штаны имеют удобную посадку и современный дизайн, который делает их идеальным выбором для тех, кто хочет выглядеть стильно и уверенно. Эластичный пояс с регулируемым шнурком позволяет создать индивидуальную посадку и обеспечивает дополнительную поддержку. Under Armour UA Essential Fleece Jogger также имеет эластичные манжеты, которые обеспечивают тепло и комфорт в прохладную погоду. Два боковых кармана и один карман на молнии на задней части штанов позволяют хранить вещи на месте во время движения. Эти штаны идеально подходят для занятий спортом или повседневного использования. Они легко сочетаются с другой спортивной одеждой или с обычной повседневной одеждой, что делает их универсальным выбором для любого стиля. Не упустите возможность добавить Under Armour</t>
  </si>
  <si>
    <t>1373882-410</t>
  </si>
  <si>
    <t>1373882-592</t>
  </si>
  <si>
    <t>UA Essential Fleece Jogger - это идеальный выбор для тех, кто ищет комфорт и стиль в одном. Эти спортивные штаны изготовлены из высококачественных материалов и обеспечивают максимальный комфорт во время тренировок или повседневной жизни. Инновационная технология UA Storm обеспечивает водоотталкивающую защиту, что позволяет вам оставаться сухими во время дождя или снега. Технология Moisture Transport System удаляет пот и обеспечивает быстрое высыхание, что позволяет сохранять свежесть и сухость в любых условиях. UA Essential Fleece Jogger - это не только функциональная спортивная одежда, но и стильный аксессуар, который поможет подчеркнуть ваш индивидуальный стиль. Они доступны в различных цветовых вариантах и дизайнах, что позволяет вам выбрать модель, которая наиболее подходит вашему вкусу и стилю. Будьте готовы к любым вызовам с UA Essential Fleece Jogger. Они обеспечат вам надежную защиту и максимальный комфорт в любых условиях, что позволит вам сосредоточиться на своих тренировках или на повседневных задачах.</t>
  </si>
  <si>
    <t>UA Tech Tapered Pant</t>
  </si>
  <si>
    <t>1374606-001</t>
  </si>
  <si>
    <t>Мужские брюки UA Tech Tapered Pant идеально сочетают в себе стиль и функциональность. Их гладкая, эластичная ткань обеспечивает легкость и прочность, а четырехстороннее растяжение способствует свободе движений, что делает их отличным выбором для активного образа жизни. Материал эффективно впитывает пот и быстро высыхает, обеспечивая комфорт в течение всего дня. Четыре кармана, добавляют практичности и позволяют разместить все необходимые мелочи. Эти брюки станут незаменимым элементом вашего гардероба для тренировок и повседневной носки.</t>
  </si>
  <si>
    <t>33/34</t>
  </si>
  <si>
    <t>Motion Jogger</t>
  </si>
  <si>
    <t>1375077-002</t>
  </si>
  <si>
    <t>Брюки Under Armour Motion Jogger для женщин созданы специально для активных фитнес-занятий и движения. Эти брюки сочетают в себе стиль и функциональность благодаря продуманному дизайну и использованию современных материалов. Изготовленные из качественного полиэстера и эластана, они обеспечивают отличную эластичность и комфорт, поддерживая свободу движений во время тренировок. Практичные карманы добавляют удобства, позволяя хранить необходимые мелочи под рукой. Брюки имеют универсальный стильный вид, что делает их идеальными как для занятий спортом, так и для повседневной носки.</t>
  </si>
  <si>
    <t>80% полиэстер, 20% эластан</t>
  </si>
  <si>
    <t>1375077-025</t>
  </si>
  <si>
    <t>1375077-348</t>
  </si>
  <si>
    <t>UA Launch Pant</t>
  </si>
  <si>
    <t>1376800-452</t>
  </si>
  <si>
    <t>Under Armour Storm Run Pant предлагают превосходную защиту и комфорт для бегунов, стремящихся преодолевать дистанции при любых погодных условиях. Состав из 87% полиэстера и 13% эластана дарит максимальный комфорт и свободу движений. Технология UA Storm эффективно отталкивает воду, сохраняя ткани дышащими для поддержания оптимального микроклимата.
- Легкие и комфортные, эти брюки предлагают эргономичную посадку с изогнутыми швами для полного спектра движений.
- Отражающие элементы на брюках увеличивают видимость в темное время суток, способствуя безопасности.
- Эластичный пояс с внутренним шнурком обеспечивает идеальную подгонку, не стесняя движений.
- Функциональные карманы на молнии надежно сохраняют личные вещи, не создавая лишнего объема.
- Они созданы для достижения спортивных высот, придерживая баланс между защитой от любых погодных условий и свободой движения.</t>
  </si>
  <si>
    <t>UA Unstoppable Jogger</t>
  </si>
  <si>
    <t>1376926-001</t>
  </si>
  <si>
    <t>Если раньше вы не тренировались в штанах — теперь захотите. Разница в деталях: от невероятно комфортной ткани до водоотталкивающей отделки, которая быстро сохнет, позволяя заниматься где угодно.
Ткань с эластичным переплетением — лёгкая, прочная и повторяет ваши движения
Материал отводит пот и очень быстро сохнет
Ткань с четырёхсторонним стрейчем обеспечивает свободу движений в любом направлении
Вшитый эластичный пояс со шнурком для регулировки
Открытые карманы для рук и надёжный боковой карман на молнии
Используется фторуглерод-free (без содержания фтора) водоотталкивающая пропитка
Основная ткань содержит как минимум 90% переработанного полиэстера (кроме отделки и декоративных элементов)</t>
  </si>
  <si>
    <t>1376926-698</t>
  </si>
  <si>
    <t>UA OutRun the Storm Pants</t>
  </si>
  <si>
    <t>1377042-348</t>
  </si>
  <si>
    <t>Технология UA Storm отталкивает воду, не жертвуя воздухопроницаемостью.
Ветрозащитная конструкция защитит вас от непогоды.
Прочная, легкая эластичная ткань обеспечивает повышенную подвижность и комфорт.
Материал, растягивающийся в 4 направлениях, лучше тянется.
Обновленный центральный задний карман водонепроницаем и надежно защищает ваш телефон.
Мягкий трикотажный пояс с внутренним шнурком для надежной посадки.
Молнии на щиколотках для легкого надевания/снимания.
Светоотражающие детали .</t>
  </si>
  <si>
    <t>UA QUALIFIER ELITE TIGHT</t>
  </si>
  <si>
    <t>1379296-001</t>
  </si>
  <si>
    <t>Спортивные тайтсы UA QUALIFIER ELITE TIGHT от Under Armour – это синоним технологичного совершенства и комфорта, созданные для атлетов, стремящихся к новым личным рекордам и желающих чувствовать уверенность во время самых напряженных тренировок. Эти тайтсы, изготовленные из высококачественного эластичного материала, превосходно облегают тело, предлагая безупречную поддержку и уменьшенное сопротивление движению, позволяя спортсменам сосредоточиться на их производительности полностью. Продвинутая технология 4-way stretch гарантирует потрясающую гибкость и восстанавливаемость формы после растяжений, то есть тайтсы не теряют свои качества даже после длительного использования и множества стирок. Влагоотводящие свойства материала прекрасно справляются с потом, выделяемым во время интенсивных упражнений, а также быстро высыхают, обеспечивая постоянное ощущение свежести.</t>
  </si>
  <si>
    <t>QUALIFIER ELITE COLD PANT</t>
  </si>
  <si>
    <t>1379307-001</t>
  </si>
  <si>
    <t>Презентуем QUALIFIER ELITE COLD PANT – спортивные штаны от Under Armour, специально разработанные для атлетов, которые не довольствуются малым и несгибаемо движутся вперед, не считаясь с холодом. Идеальное сочетание инноваций и комфорта делает эти штаны незаменимым атрибутом любой спортивной экипировки.
Теплоизоляционные качества: При помощи технологии ColdGear, эти штаны удерживают тепло вашего тела, предотвращая его потерю в холодные дни, а также обеспечивают эффективное дыхание кожи и отвод влаги.
Предельная гибкость и подвижность: Материал с высокой степенью эластичности разработан специально для обеспечения свободы движений, позволяя штанам гнуться и растягиваться вместе с вашим телом при любых нагрузках.
Современный спортивный дизайн: Стильный и утонченный силуэт QUALIFIER ELITE COLD PANT укомплектуют любой спортивный наряд, позволяя без труда переходить от тренировочного зала к повседневным занятиям.
Влагоотводящая технология: Ткань, обладающая способностью быстро отводить влагу, поддерживает комфортное ощущение сухости, даже при интенсивных физических нагрузках.
Функциональные элементы: Комфортные карманы и надежные застежки-молнии позволяют безопасно носить с собой нужные мелочи, а удобный пояс на резинке с внутренним шнурком обеспечивает идеальную посадку.
Долговечность и износостойкость: Использование прочных материалов и качественные швы гарантируют, что штаны QUALIFIER ELITE COLD PANT сохранят свою форму и функциональность надолго.
Универсальный характер: Эти штаны подойдут для широкого спектра активностей и условий – от раннего утреннего бега до вечерних тренировок, от спортзала до улицы, и их можно комбинировать со множеством стилей и верхней одежды.
Когда дело доходит до совокупности производительности и стиля, QUALIFIER ELITE COLD PANT от Under Armour олицетворяют максимум того и другого. Выберите их, чтобы оставаться в форме, чувствовать себя комфортно и выглядеть отлично – независимо от погоды. Эти штаны – ваше преимущество в холод, температурный баланс и поддержка для ваших самых амбициозных спортивных целей.</t>
  </si>
  <si>
    <t>87% полиэстер,13% эластан</t>
  </si>
  <si>
    <t>UA Rival Fleece Jogger</t>
  </si>
  <si>
    <t>1379438-012</t>
  </si>
  <si>
    <t>В этом снаряжении вы согреетесь и будете готовы практически ко всему, что вы делаете — оно легкое, удобное и очень мягкое внутри. Ультрамягкий флис из смесового хлопка с начесом внутри для дополнительного тепла. Скрытый эластичный пояс с внешним шнурком. Открытые карманы для рук.</t>
  </si>
  <si>
    <t>1379438-783</t>
  </si>
  <si>
    <t>1379774-001</t>
  </si>
  <si>
    <t>Брюки UA Rival Fleece Joggers от Under Armour — это превосходное решение для комфорта и стиля во время активного отдыха или ежедневной носки. Изготовленные из 80% хлопка и 20% полиэстера, эти джоггеры обеспечивают тепло и мягкость. Эластичный пояс со шнурком и удобные карманы делают их идеальными, стильными и функциональными. Уход за брюками упрощается деликатной машинной стиркой при 30 градусах.
- Мягкий и теплый материал сохраняет комфорт в любом климате, гарантируя, что брюки Under Armour станут незаменимыми в вашем гардеробе.
- Эластичный пояс со шнурком обеспечивает индивидуальную подгонку, что повышает удобство ношения и адаптируется под любые условия.
- Боковые карманы позволяют держать необходимые мелочи всегда под рукой.
- Задний карман добавляет дополнительной функциональности, обеспечивая полезное пространство для хранения.
- Универсальность материала позволяет наслаждаться активными движениями без ограничений, что делает эти брюки надежным компаньоном.</t>
  </si>
  <si>
    <t>1379774-025</t>
  </si>
  <si>
    <t>1379774-410</t>
  </si>
  <si>
    <t>UA Rival Fleece Script Jgrs</t>
  </si>
  <si>
    <t>1379789-001</t>
  </si>
  <si>
    <t>черный/красный</t>
  </si>
  <si>
    <t>Unstoppable Flc Jogger</t>
  </si>
  <si>
    <t>1379846-001</t>
  </si>
  <si>
    <t>Женские спортивные брюки UA Unstoppable Fleece Sweatpants - это идеальный выбор для комфортной и стильной повседневной носки. Они изготовлены из высококачественного флисового материала, который обеспечивает мягкость и тепло. Эти брюки имеют свободный крой, который обеспечивает полную свободу движения.</t>
  </si>
  <si>
    <t>65% полиэстер, 29% хлопок, 6% эластан</t>
  </si>
  <si>
    <t>XXS</t>
  </si>
  <si>
    <t>38-40</t>
  </si>
  <si>
    <t>XXSS</t>
  </si>
  <si>
    <t>38-40 укороч</t>
  </si>
  <si>
    <t>1379846-348</t>
  </si>
  <si>
    <t>Женские спортивные брюки UA Unstoppable Flc Jogger— это удачный выбор для тех, кто ищет комфорт и стиль в повседневной носке. Изготовленные из 100% полиэстера, они предлагают мягкость и тепло благодаря высококачественному флисовому материалу. Свободный крой обеспечивает полную свободу движений. Ткань из 100% полиэстера гарантирует долговечность и простоту в уходе, благодаря которой брюки долго сохраняют свой внешний вид.
- Высококачественный флис сохраняет тепло и мягкость, что делает их идеальным выбором для прохладной погоды.
- Свободный крой позволяет свободно передвигаться, что особенно важно для активного образа жизни.
- Универсальный дизайн легко впишется как в спортивный, так и в повседневный гардероб, что делает брюки идеальными для разных случаев.
- Брюки обеспечивают оптимальную терморегуляцию, поддерживая комфортную температуру в любую погоду.
- Легкий материал быстро сохнет, идеально подходя для активных тренировок и ежедневной носки.</t>
  </si>
  <si>
    <t>UA Rival Terry Jogger</t>
  </si>
  <si>
    <t>1380843-025</t>
  </si>
  <si>
    <t>Если вы хотите чувствовать себя комфортно, согреться и быть готовым перед игрой или после нее, то экипировка на это очень влияет. Мы называем это Rival Terry. Вы можете назвать его своим новым фаворитом. Легкая махра имеет гладкий внешний слой и теплый, мягкий внутренний слой. Материал отводит влагу и очень быстро сохнет. Эластичный пояс с внешним шнурком. Открытые карманы для рук.</t>
  </si>
  <si>
    <t>1380843-112</t>
  </si>
  <si>
    <t>1380843-390</t>
  </si>
  <si>
    <t>1380843-410</t>
  </si>
  <si>
    <t>UA Rival Fleece Cargo Jogger</t>
  </si>
  <si>
    <t>1382134-001</t>
  </si>
  <si>
    <t>Мужские спортивные брюки UA Rival Fleece Cargo Jogger созданы для максимального комфорта во время тренировок и повседневной носки. Состав из 51% текстиля и 49% полиэстера обеспечивает отличное теплосбережение и мягкость, делая их идеальными для прохладной погоды. Флисовый материал удерживает тепло, обеспечивая уют в прохладных условиях без лишнего веса.
- Прочная ткань гарантирует долговечность и устойчивость к износу, что подходит для повседневной носки.
- Свободный крой позволяет свободно двигаться, не ограничивая активность даже при интенсивных нагрузках.
- Карманы позволяют удобно хранить мелкие предметы, обеспечивая практичность и функциональность.
- Спортивный стиль сочетается с комфортом, создавая идеальный образ для тех, кто ценит уют.
- Легкий уход и сохранение формы после стирки делают их практичным выбором для ежедневной носки.</t>
  </si>
  <si>
    <t>1382134-026</t>
  </si>
  <si>
    <t>1382134-390</t>
  </si>
  <si>
    <t>UA Rival Hi Rise Woven Pant</t>
  </si>
  <si>
    <t>1382727-520</t>
  </si>
  <si>
    <t>Откройте для себя новый пик комфорта и эффективности тренировок с ArmourSport High Rise Woven Pants от Under Armour. Сочетая инновационный дизайн и технологическое мастерство, эти спортивные штаны станут вашим верным спутником в пути к совершенству.
Продвинутый влагоотводящий материал обеспечивает сухость и комфорт на протяжении всей вашей активности, не давая поту помешать вашему прогрессу. С высокой талией, эти штаны обеспечивают дополнительную поддержку и покрытие, что идеально подходит для динамичных движений и разнообразных тренировок.
Практичность в сочетании со стилем – вот что делает ArmourSport High Rise Woven Pants превосходным выбором для современного спортсмена. Интегрированные боковые карманы с безопасной застежкой позволяют надежно хранить ваш телефон, ключи и другие мелкие предметы, так что вы можете полностью сосредоточиться на достижении своих целей.
Уникальная ткань, из которой изготовлены штаны, обладает исключительной прочностью и гарантирует долгий срок службы изделия, справляясь с натиском интенсивных тренировок и частых стирок. Эластичные манжеты и изящный высокий пояс подчеркивают линии тела и добавляют эстетичности в спортивный образ.
Встроенный УФ-фильтр защищает вашу кожу от вредного воздействия солнечных лучей, а отражающие детали повышают вашу видимость при недостаточном освещении, позаботившись о вашей безопасности во время вечерних или утренних пробежек.
ArmourSport High Rise Woven Pants – это не просто спортивные штаны, это ваш персональный атрибут уверенности и выносливости, элегантно сформированный, чтобы вы могли с легкостью преодолевать новые вершины.</t>
  </si>
  <si>
    <t>UA TRAIL RUN PANTS</t>
  </si>
  <si>
    <t>1383245-246</t>
  </si>
  <si>
    <t>Технология UA Storm® отталкивает воду, не жертвуя воздухопроницаемостью. Ветроустойчивая эластичная ткань легкая, но прочная. Мягкий трикотажный пояс с карманами и внешним шнурком. Надежный задний карман на молнии и карманы на кнопках. Карабин с D-образным кольцом быстро фиксирует перчатки или ключи. Используется водоотталкивающая обработка без фтора.</t>
  </si>
  <si>
    <t>1383559-001</t>
  </si>
  <si>
    <t>Встречайте тайтсы UA HG Authentics Legging от Under Armour – идеальное сочетание инновационной технологии и стиля для неустанной спортсменки.
Эти высококлассные тайтсы, созданные с использованием уникальной технологии HeatGear®, подарят вам непревзойденный комфорт и поддержку в ходе самых жарких тренировок. Изготовленные из супергладкого материала с двухсторонним растяжением, UA HG Authentics Legging обеспечивают потрясающую свободу движений и формируют силуэт, подчеркивая естественную красоту вашей фигуры.
Прохлада и сухость на протяжении всего дня гарантирована благодаря материалу с технологией влагоотведения, который быстро выводит пот и ускоряет испарение влаги, позволяя вам оставаться сосредоточенной на своих целях, не отвлекаясь на дискомфорт.
Высокая посадка тайтсов гарантирует надежное прилегание и используется для визуальной коррекции фигуры, придавая уверенности в каждом движении. Широкий пояс не врезается в кожу и не сползает, позволяя вам делать акцент на тренировке, а не на одежде.
Эргономические швы и усиленная область промежности способствуют увеличению износостойкости и комфорта. Подборка мягких и прочных материалов предотвращает натирание и раздражение кожи, даже во время длительных и интенсивных упражнений.
Закончите свой спортивный образ парой тайтсов UA HG Authentics Legging от Under Armour, и ощутите, как истинное качество превращает каждую тренировку в победу над собственными ограничениями.</t>
  </si>
  <si>
    <t>1383559-015</t>
  </si>
  <si>
    <t>UA HG Legging</t>
  </si>
  <si>
    <t>1383559-348</t>
  </si>
  <si>
    <t>1383559-402</t>
  </si>
  <si>
    <t>1383559-681</t>
  </si>
  <si>
    <t>Motion UHR Legging</t>
  </si>
  <si>
    <t>1383607-003</t>
  </si>
  <si>
    <t>Женские тайтсы Motion UHR Legging — это сочетание высоких технологий и стильного дизайна, идеальное для активных женщин, которые ценят комфорт и функциональность в своей тренировочной одежде. Эти леггинсы изготовлены из высокоэластичного материала, который обеспечивает превосходную поддержку и свободу движений. 
Материал эффективно отводит влагу и позволяет коже дышать, сохраняя ощущение сухости и комфорта даже во время самых интенсивных тренировок. Высокая талия обеспечивает дополнительную поддержку и создает эффект подтянутого силуэта, что делает эти леггинсы идеальными для занятий йогой, фитнесом или бегом.
Эргономичный крой и плоские швы минимизируют риск раздражения кожи и обеспечивают идеальную посадку. Эти тайтсы легко сочетаются с различными элементами спортивного гардероба, добавляя стильный и современный акцент вашему образу. Независимо от того, будь это тренировка в зале или прогулка на свежем воздухе, тайтсы Motion UHR Legging станут вашим надежным спутником в достижении новых высот.</t>
  </si>
  <si>
    <t>Tech Print Panel Ankle Leg</t>
  </si>
  <si>
    <t>1386407-002</t>
  </si>
  <si>
    <t>Under Armour Tech Print Panel Ankle Leggings  — стильные и функциональные леггинсы для тренировок и повседневной носки. Мягкий, эластичный и «дышащий» материал комфортно облегает фигуру и обеспечивает свободу движений при упражнениях любого типа. Панельный крой подчёркивает силуэт, а технология влагоотведения удерживает ощущение сухости при интенсивных нагрузках. Подходят для зала, бега, йоги или активного дня.</t>
  </si>
  <si>
    <t>Unstoppable Cargo Pant</t>
  </si>
  <si>
    <t>1386481-251</t>
  </si>
  <si>
    <t>Всегда на высоте — эти брюки изготовлены из самого передового тканого материала, который отталкивает воду, тянется, когда это необходимо, и невероятно прочен. Карманы-кенгуру обеспечивают достаточно места для хранения всех необходимых вещей.
Технология UA Storm отталкивает воду, не жертвуя воздухопроницаемостью
Лёгкая, прочная и исключительно комфортная ткань с эффектом растяжения
Материал с четырёхсторонней растяжкой обеспечивает свободу движений в любом направлении
Резинка по талии с внутренним шнурком-кулиской
Открытые карманы для рук, надёжные карманы-кенгуру с клапанами на застёжке
Резинка по низу штанин
Обработка водоотталкивающим составом без использования фтора</t>
  </si>
  <si>
    <t>1386482-001</t>
  </si>
  <si>
    <t>UA Vibe Woven Jogger</t>
  </si>
  <si>
    <t>1386557-289</t>
  </si>
  <si>
    <t>Брюки UA Vibe Woven Jogger — это сочетание современного дизайна и высокой функциональности для активного образа жизни. Изготовленные с применением технологии UA Storm, они эффективно отталкивают воду, сохраняя воздухопроницаемость. Модифицированный крой и легкая, эластичная ткань обеспечивают максимальный комфорт и свободу движений.
- Технология UA Storm делает брюки водоотталкивающими, не жертвуя их воздухопроницаемостью, что делает их пригодными для любых погодных условий.
- Легкие, эластичные материалы обеспечивают комфорт и долговечность, а их многофункциональный дизайн подходит для повседневного ношения.
- Эластичный пояс с внешним шнурком адаптируется к любой фигуре, обеспечивая надежную и комфортную посадку.
- Открытые карманы и задний карман на кнопке добавляют практичности, позволяя удобно хранить необходимые вещи.
- Эластичные манжеты на щиколотках позволяют сохранить тепло и комфорт даже на пробежке.
- Использованный переработанный полиэстер демонстрирует экологическую ответственность, совместно с современными технологическими решениями.</t>
  </si>
  <si>
    <t>1386557-338</t>
  </si>
  <si>
    <t>UA Vibe Woven Cargo Pants</t>
  </si>
  <si>
    <t>1386558-002</t>
  </si>
  <si>
    <t>Брюки UA Vibe Woven Cargo Pants от Under Armour сочетают в себе стиль и функциональность для ежедневного использования. Их технология UA Storm отталкивает воду, сохраняя воздухопроницаемость, а легкая эластичная ткань обеспечивает высочайший комфорт и долговечность. Эти брюки — идеальный выбор для активного образа жизни.
- Технология UA Storm обеспечивает водоотталкивающее свойство, защищая от погодных условий без ущерба для воздухопроницаемости.
- Легкая, эластичная ткань движется во всех направлениях, предлагая непревзойденный комфорт и полностью адаптируясь под ваши движения.
- Эластичный пояс с наружным шнурком позволяет настроить посадку для оптимального комфорта и поддержки.
- Брюки оснащены открытыми карманами для рук, задним карманом на кнопке и функциональными грузовыми карманами с клапанами.
- Водоотталкивающее средство, не содержащее фтора, гарантирует безопасность и экологичность.
- Использование переработанного полиэстера в основной ткани поддерживает экологически осознанное производство без потери износостойкости.</t>
  </si>
  <si>
    <t>1386558-025</t>
  </si>
  <si>
    <t>1386558-289</t>
  </si>
  <si>
    <t>1386558-308</t>
  </si>
  <si>
    <t>1386558-338</t>
  </si>
  <si>
    <t>PJT RCK HWT PANT TOOLS</t>
  </si>
  <si>
    <t>1386899-273</t>
  </si>
  <si>
    <t>Брюки Under Armour PJT RCK HWT PANT TOOLS созданы для тех, кто ценит комфорт и универсальность. Изготовленные из высококачественного сочетания хлопка и полиэстера, эти брюки обеспечивают мягкость и долговечность, идеально подходя как для активных тренировок, так и для повседневного использования. Свободный крой позволят двигаться без ограничений, а удобная застежка на завязках обеспечивает надежную посадку на талии. Эти брюки легко адаптируются к любым условиям, позволяя создавать как спортивные образы, так и casual-стилизации. Идеальный выбор для тех, кто ищет баланс между функциональностью и стилем, при этом наслаждаясь полным комфортом в течение дня.</t>
  </si>
  <si>
    <t>Motion Ankle Leg EMEA</t>
  </si>
  <si>
    <t>1388647-410</t>
  </si>
  <si>
    <t>Эта специально разработанная ткань обладает уникальной мягкостью, при этом отлично отводит влагу. Она лёгкая, дышащая и готова к активным нагрузкам.
• Ультрамягкая ткань обеспечивает воздухопроницаемость и комфорт
• Материал отводит пот и очень быстро сохнет
• Ткань с 4-сторонней эластичностью свободно двигается в любом направлении
• Широкий плоский пояс с боковым прорезным карманом
• Технология контроля запаха минимизирует появление неприятных ароматов</t>
  </si>
  <si>
    <t>Motion Legging EMEA</t>
  </si>
  <si>
    <t>1388649-338</t>
  </si>
  <si>
    <t>Чрезвычайно мягкий и эластичный материал обеспечивает поддержку и длительный комфорт. Материал выводит пот и быстро сохнет. Фигурный, высокий пояс с двумя боковыми врезными карманами. Технология 4-Way Stretch для свободы движений. Технология контроля запаха помогает сохранять свежесть дольше.</t>
  </si>
  <si>
    <t>HeatGear Rib Legging</t>
  </si>
  <si>
    <t>1388693-348</t>
  </si>
  <si>
    <t>Женские леггинсы HeatGear Rib Legging от Under Armour — это сочетание стиля, функциональности и комфорта, необходимого для активного образа жизни. Изготовленные из фирменной ткани HeatGear, эти леггинсы обеспечивают превосходное отведение влаги и быстро сохнут, сохраняя чувство свежести даже во время самых интенсивных тренировок. Ребристая текстура добавляет оригинальности и динамичности вашему образу, а плотная посадка поддерживает мышцы и подчеркивает фигуру. Эластичный пояс обеспечивает надежную фиксацию и комфорт в носке. Эти леггинсы станут отличным выбором как для занятий спортом, так и для повседневной носки, сочетаясь с различными топами и кроссовками.</t>
  </si>
  <si>
    <t>UA Unstoppable Joggers</t>
  </si>
  <si>
    <t>1388823-001</t>
  </si>
  <si>
    <t>Under Armour Unstoppable Joggers — идеальный выбор для активного образа жизни, сочетающий превосходную функциональность и комфорт. Изготовленные из 90% полиэстера и 10% эластана, эти брюки обеспечивают защиту и свободу движений благодаря технологии UA Storm и эластичной конструкции. Удобные карманы включают открытые карманы для рук, задний карман на молнии и боковой карман на липучке, обеспечивая безопасное хранение ваших вещей.
- Технология UA Storm обеспечивает отличную защиту от влаги, сохраняя воздухопроницаемость, что делает эти брюки идеальными для всех погодных условий.
- Легкая и прочная ткань предлагает исключительный комфорт, не утяжеляя, и гарантирует длительную износостойкость.
- Четырехполосная эластичность обеспечивает свободу движений, поддерживая вас во время интенсивных тренировок и повседневной активности.
- Эластичный пояс с шнурком и ширинка на кнопке обеспечивают надежную и комфортную посадку, легко регулируемую под ваше удобство.
- Экологически безопасное водоотталкивающее средство не содержит фтора и защищает от влаги, сохраняя окружающую среду и вашу одежду.</t>
  </si>
  <si>
    <t>UA Unstoppable Woven Jogger</t>
  </si>
  <si>
    <t>1388823-005</t>
  </si>
  <si>
    <t>1388823-014</t>
  </si>
  <si>
    <t>1388823-299</t>
  </si>
  <si>
    <t>XXLT</t>
  </si>
  <si>
    <t>54-56 удл</t>
  </si>
  <si>
    <t>1388827-001</t>
  </si>
  <si>
    <t>1389358-001</t>
  </si>
  <si>
    <t>1389358-391</t>
  </si>
  <si>
    <t>Это мужские спортивные брюки-джоггеры под названием UA Icon Fleece Taping Joggers. Они предназначены для использования в качестве разминочной или повседневной одежды, обеспечивая комфорт, тепло и стильный внешний вид как в спортзале, так и на улице. 
 Идеально подходят для разминки до и после тренировок, чтобы оставаться в тонусе и сосредоточиться, а также для повседневной носки благодаря чистому, слегка свободному крою. Ультрамягкий флис средней плотности из смесового хлопка с начесом внутри для дополнительного тепла. Состав: 80% хлопок, 20% полиэстер. Эластичный пояс с внешним шнурком для регулировки посадки. Открытые боковые карманы для рук и надежный задний карман на кнопке. Эластичные манжеты внизу штанин. Фирменная брендированная окантовка (taping details) по бокам. Облегающий крой (Fitted), не слишком узкий и не слишком свободный.
Эти джоггеры сочетают в себе мягкость флиса с высокой прочностью материалов, обеспечивая отличное прилегание и удержание тепла. Контрастные детали и современный крой делают их стильным элементом спортивного и городского гардероба.</t>
  </si>
  <si>
    <t>UA Rival Terry AOP Jogger Q1</t>
  </si>
  <si>
    <t>1390143-025</t>
  </si>
  <si>
    <t>Встречайте идеальное сочетание комфорта и стиля — брюки Under Armour Rival Terry AOP Jogger Q1. Эти штаны словно созданы для тех, кто ценит мягкость, тепло и свободу движений. Легкая французская футеровка с начесом нежно обнимает кожу своей мягкой внутренней стороной, в то время как гладкая внешняя поверхность добавляет изысканности вашему образу.
Инновационная ткань работает вместе с вами: она эффективно отводит влагу, позволяя телу дышать, и моментально высыхает, чтобы вы чувствовали себя комфортно даже в самых активных моментах дня.
Эластичный пояс с внешней шнуровкой создает идеальную посадку, подстраиваясь под вашу фигуру, а открытые карманы добавляют практичности, предоставляя место для мелочей или рук в моменты отдыха.
Эти брюки — не просто одежда, это ваш надежный спутник, который следует за вами повсюду: будь то утренняя пробежка, тренировка в зале или просто прогулка по городу. Они олицетворяют собой гармонию удобства, функциональности и современного дизайна.</t>
  </si>
  <si>
    <t>UA Rival Wvn Windbreaker Pnt</t>
  </si>
  <si>
    <t>1390150-011</t>
  </si>
  <si>
    <t>Незаменимая вещь для спортсменов, обеспечивающая защиту от ветра и свободу движений, легкая и дышащая, с технологией UA Storm. Сетчатая подкладка. Молнии на щиколотках для удобства надевания и снимания.</t>
  </si>
  <si>
    <t>1390150-390</t>
  </si>
  <si>
    <t>1390150-410</t>
  </si>
  <si>
    <t>UA Unstoppable Cargo Pant</t>
  </si>
  <si>
    <t>1390256-004</t>
  </si>
  <si>
    <t>Эти брюки — как надежный компаньон в ваших приключениях. Они созданы для тех, кто ценит практичность и стиль, кто готов двигаться вперед, не отвлекаясь на мелочи. Свободный крой дарит вам ощущение безграничной свободы. Никаких стеснений, только легкость движений, будь то долгий день в городе, поход за город или интенсивная тренировка. Они словно вторая кожа, только лучше — они созданы, чтобы служить вам.
Боковой карман на молнии — это маленький, но важный штрих, который делает эти брюки незаменимыми. Он достаточно вместителен, чтобы хранить ключи, телефон или другие необходимые мелочи, и при этом надежно защищает их. Молния добавляет уверенности: всё ваше остается на месте, где бы вы ни находились. Этот карман — не просто деталь, это символ того, что каждая функция продумана с заботой о вас.
Ткань этих брюк сочетает в себе прочность и комфорт. Она мягкая, но устойчивая, готовая выдержать любые испытания. Будь то внезапный порыв ветра или активные движения, брюки остаются верными вам, не теряя формы и не создавая дискомфорта.
С первого взгляда Under Armour Unstoppable Cargo Pant кажутся минималистичными, но именно в этой простоте кроется их сила. Никаких лишних деталей, только чистый дизайн, который говорит сам за себя. Это выбор тех, кто предпочитает стиль, который не кричит, а действует. Они универсальны: подходят как для повседневной жизни, так и для активного отдыха.
Эти брюки — больше, чем одежда. Это свобода передвижения, уверенность в каждом шаге и забота о деталях. Unstoppable Cargo Pant — это выбор тех, кто живет активно, ценит комфорт и не боится быть собой. Наденьте их, и вы поймете: иногда самые простые решения становятся самыми значимыми.
Это брюки, которые говорят о вас: вы человек действия, готовый к любым вызовам.</t>
  </si>
  <si>
    <t>1390256-014</t>
  </si>
  <si>
    <t>1390256-299</t>
  </si>
  <si>
    <t>1390256-338</t>
  </si>
  <si>
    <t>UA Best Track Pant</t>
  </si>
  <si>
    <t>1390288-001</t>
  </si>
  <si>
    <t>Каждому нужен спортивный костюм. И точка. Он сохраняет мышцы разогретыми и готовыми к движению. Текстурированная ткань легкая и прочная.
- Технология UA Storm отталкивает воду, не снижая воздухопроницаемости  
- Ткань с текстурой по всей поверхности — легкая и прочная  
- Эластичный пояс с кулиской снаружи  
- Открытые карманы для рук и застёгивающийся карман сзади на кнопках  
- Молнии на щиколотках для удобства надевания и снятия</t>
  </si>
  <si>
    <t>1390288-014</t>
  </si>
  <si>
    <t>UA Unstoppable Tapered Pants</t>
  </si>
  <si>
    <t>6003861-014</t>
  </si>
  <si>
    <t>Всегда на высоте! Эти зауженные брюки изготовлены из нашей самой передовой тканой ткани, которая отталкивает воду, растягивается, когда нужно, и отличается исключительной прочностью. Благодаря этому, выходя на улицу, вы можете чувствовать себя уверенно.
Технология UA Storm отталкивает воду, не снижая воздухопроницаемости.
Легкая, прочная и невероятно комфортная эластичная тканая ткань.
Материал с четырёхсторонним растяжением обеспечивает свободу движений во всех направлениях.
Эластичный пояс со вшитой резинкой и внутренним регулировочным шнурком.
Открытые карманы для рук и безопасный задний карман на молнии.</t>
  </si>
  <si>
    <t>6003861-299</t>
  </si>
  <si>
    <t>6003861-338</t>
  </si>
  <si>
    <t>6003861-498</t>
  </si>
  <si>
    <t>6004997-001</t>
  </si>
  <si>
    <t>UA M Ch. Pro Pant</t>
  </si>
  <si>
    <t>6005131-008</t>
  </si>
  <si>
    <t>Коллекция UA Challenger включает всю необходимую экипировку для футбола. Эти штаны созданы, чтобы вы оставались лёгкими и чувствовали себя быстро на поле.
• Ткань UA Microthread сохнет быстрее, не прилипает к телу, не вызывает натирания и растягивается, не впитывая пот
• Материал с 4-сторонней растяжкой обеспечивает свободу движений в любом направлении
• Ткань эффективно отводит влагу и очень быстро сохнет
• Жаккардовые вставки для дополнительной воздухопроницаемости
• Эластичный пояс с противоскользящим покрытием и внутренним шнурком для надёжной и комфортной посадки
• Защищённый карман на молнии с правой стороны</t>
  </si>
  <si>
    <t>UA Icon Heavy Rib Jogger</t>
  </si>
  <si>
    <t>6005696-418</t>
  </si>
  <si>
    <t>UA Icon Fleece — чистый, объёмный крой, который одинаково стильно смотрится как с тренировочной экипировкой, так и с повседневной одеждой. Эти плотные джоггеры с ребристыми вставками созданы для самых холодных дней: невероятно тёплые, уютные и при этом функциональные.
🔹 Исключительно мягкий плотный футер из хлопкового смесового полотна с начёсом изнутри — для дополнительного тепла и максимального комфорта
🔹 Эластичный пояс в чехле с внутренним шнурком — надёжная, но мягкая фиксация по талии
🔹 Открытые карманы для рук + надёжный задний карман на кнопке — безопасно храните мелочи даже в движении
🔹 Свободный, объёмный крой + ребристые манжеты — комфорт без ограничений, при этом джоггеры хорошо держат форму и не сползают
Зима наступает — а вы встречаете её уверенно.
UA Icon Fleece. Тепло с характером. Стиль без компромиссов.</t>
  </si>
  <si>
    <t>UA BCL Pro Storm Pants</t>
  </si>
  <si>
    <t>6005898-002</t>
  </si>
  <si>
    <t>Когда погода не идеальна для бега, наденьте многослойную одежду: водонепроницаемые штаны, которые при этом невероятно легкие и дышащие. Так вы сможете бегать, не беспокоясь о погоде.
Технология UA Storm отталкивает воду и обеспечивает максимальную воздухопроницаемость.
Легкий эластичный материал с передней вставкой из рипстоп-ткани обеспечивает повышенный комфорт и долговечность.
Эластичный пояс с внутренним шнурком для регулировки посадки.
Карманы для рук на молнии, внутренний карман для мультимедийных устройств и задний карман на молнии.
Молнии на лодыжках для удобного надевания и снятия.
Светоотражающие элементы для лучшей видимости в условиях плохой освещенности.</t>
  </si>
  <si>
    <t>6005898-025</t>
  </si>
  <si>
    <t>UA BCL Storm Pant</t>
  </si>
  <si>
    <t>6005899-025</t>
  </si>
  <si>
    <t>Когда погода не хочет подстраиваться под ваш график пробежек, наденьте водонепроницаемые штаны, которые при этом невероятно легкие и дышащие. Это значит, что вы сможете бегать, не беспокоясь о прогнозе погоды.
Технология UA Storm отталкивает воду, не снижая воздухопроницаемости.
Легкая эластичная тканая ткань обеспечивает превосходный комфорт и долговечность.
Вытачки на коленях для дополнительной свободы движений.
Эластичный пояс с внутренним шнурком.
Открытые карманы для рук с внутренним карманом для гаджетов.
Молнии на лодыжках для удобного надевания и снимания.
Светоотражающие элементы для пробежек в условиях недостаточной освещенности.</t>
  </si>
  <si>
    <t>UA Tech WM Tape Legging</t>
  </si>
  <si>
    <t>6006027-338</t>
  </si>
  <si>
    <t>Эластичная ткань с технологией HeatGear® — эффективно отводит влагу, сохраняя ощущение прохлады и сухости во время интенсивных тренировок
🔹 Завышенная посадка по талии — обеспечивает надёжную фиксацию и комфортную поддержку в области живота
🔹 Контрастные боковые вставки — добавляют стильный акцент и дополнительную поддержку мышц
🔹 Облегающий крой — повторяет контуры тела, не сковывая движений
🔹 Логотип Under Armour на боку — узнаваемый фирменный знак бренда</t>
  </si>
  <si>
    <t>Pjt Rock Legging</t>
  </si>
  <si>
    <t>6006309-002</t>
  </si>
  <si>
    <t>Тренировочное снаряжение Project Rock создано, чтобы помочь вам найти границы, а затем преодолеть их. Все в этой коллекции было одобрено лично Дуэйном Джонсоном, самым трудолюбивым в зале. Любом зале.</t>
  </si>
  <si>
    <t>UA Unstoppable Rstop Cargo</t>
  </si>
  <si>
    <t>6007025-001</t>
  </si>
  <si>
    <t>Женские брюки Under Armour UA Unstoppable Ripstop Cargo сочетают стиль, функциональность и комфорт.
Особенности:
Лёгкий и прочный материал с технологией Ripstop защищает от разрывов и износа.
Водоотталкивающая пропитка помогает оставаться сухой в непогоду.
Эластичная ткань 4-way stretch обеспечивает свободу движений.
Удобный пояс с утяжкой и объёмные карманы-карго для практичности.
Современный свободный крой и универсальный чёрный цвет.
Назначение:
Идеальны для активного отдыха, прогулок и повседневного стиля.</t>
  </si>
  <si>
    <t>93% нейлон, 7% эластан</t>
  </si>
  <si>
    <t>6007025-110</t>
  </si>
  <si>
    <t>Женские брюки Under Armour UA Unstoppable Ripstop Cargo сочетают стиль, функциональность и комфорт.
Особенности:
Лёгкий и прочный материал с технологией Ripstop защищает от разрывов и износа.
Водоотталкивающая пропитка помогает оставаться сухой в непогоду.
Эластичная ткань 4-way stretch обеспечивает свободу движений.
Удобный пояс с утяжкой и объёмные карманы-карго для практичности.
Современный свободный крой и универсальный  цвет.
Назначение:
Идеальны для активного отдыха, прогулок и повседневного стиля.</t>
  </si>
  <si>
    <t>UA Rival Fleece Nov Pants</t>
  </si>
  <si>
    <t>6009352-410</t>
  </si>
  <si>
    <t>Эти брюки согреют вас и подготовят практически к любым занятиям — они лёгкие, удобные и невероятно мягкие с внутренней стороны.
Ультрамягкий флис из хлопковой смеси с начёсом внутри для дополнительного тепла
Эластичный рифлёный пояс со внутренним шнурком для регулировки
Открытые боковые карманы и задний карман на надёжной кнопке
Рифлёные манжеты на штанинах</t>
  </si>
  <si>
    <t>W Explor Hike Tech Pant</t>
  </si>
  <si>
    <t>6009567-016</t>
  </si>
  <si>
    <t>Trail Running</t>
  </si>
  <si>
    <t>Женские походные брюки, разработанные специально для преодоления трудностей бездорожья. Лёгкие, сверхпрочные, эластичные, быстро сохнущие и с карманами для надёжного хранения вещей. Ни один поход не будет слишком сложным.
Сверхпрочная тканая основа рипстоп: лёгкая и дышащая
Скрытый эластичный пояс со внутренним шнурком для регулировки
Надёжные грузовые карманы на молнии
Прямой крой штанин с внутренней кулиской на шнурке по нижнему краю для надёжной, индивидуальной посадки</t>
  </si>
  <si>
    <t>M Explor Hike Pant ​</t>
  </si>
  <si>
    <t>6009581-016</t>
  </si>
  <si>
    <t>Мужские походные брюки, разработанные специально для преодоления трудностей бездорожья. Лёгкие, сверхпрочные, эластичные, быстро сохнущие и водоотталкивающие. Ни один поход не будет слишком сложным.
Технология UA Storm отталкивает воду, не жертвуя воздухопроницаемостью
Эластичная тканая основа рипстоп: лёгкая и чрезвычайно прочная
Ткань с растяжением в 4 направлениях обеспечивает свободу движений в любом направлении
Влагоотводящая, эластичная ткань Airvent на верхней части спины для дополнительной вентиляции там, где это необходимо
Скрытый эластичный пояс с ремешком и пряжкой для надёжной фиксации
Открытые боковые карманы и вместительные грузовые карманы с защитой
Прямой крой штанин с регулировкой на шнурке по нижнему краю для надёжной, индивидуальной посадки и стильного вида
Используется водоотталкивающая пропитка без содержания фтора</t>
  </si>
  <si>
    <t>6009662-001</t>
  </si>
  <si>
    <t>Luna Wvn Utility Pant</t>
  </si>
  <si>
    <t>6009700-008</t>
  </si>
  <si>
    <t>Эти брюки созданы с упором на функциональность. Они выполнены из нашей самой технологичной тканой материи, которая отталкивает воду и обладает невероятной прочностью. Кроме того, предусмотрены надёжные карманы для хранения вещей и регулируемые манжеты.
Сверхпрочная тканая основа рипстоп с блестящим финишем: лёгкая и комфортная
Скрытый эластичный пояс с функциональной гульфикой и застёжкой на кнопку
Надёжные боковые карманы на молнии, открытые задние карманы и грузовой карман на кнопке
Регулировка на шнурке по нижнему краю для индивидуальной посадки и стильного вида
Свободный крой по всей длине с плоской передней частью (flat front)</t>
  </si>
  <si>
    <t>SMS</t>
  </si>
  <si>
    <t>42-44 укороч</t>
  </si>
  <si>
    <t>XSS</t>
  </si>
  <si>
    <t>40-42 укороч</t>
  </si>
  <si>
    <t>UA HeatGear Legging</t>
  </si>
  <si>
    <t>6010002-019</t>
  </si>
  <si>
    <t>Наслаждайтесь невероятным комфортом и высокой производительностью с женскими леггинсами HeatGear. Созданные для тех, кто ценит и стиль, и функциональность, эти леггинсы станут идеальным спутником для активной жизни. Облегающий крой обеспечивает плавный силуэт и приятные ощущения при движении.
Материал: Изготовлены из премиальной смеси полиэстера и эластана для долговечности и эластичности.
Технологии:
HeatGear®: Помогает сохранять прохладу и сухость в тёплую погоду
4-сторонняя растяжка: Обеспечивает свободу движений в любом направлении
Управление влагоотведением: Отводит пот от тела, помогая оставаться сухой и лёгкой
Защита от запаха: Предотвращает рост бактерий, вызывающих неприятные ароматы
Идеально подходят для: Футбола и бега — обеспечивают поддержку и комфорт во время тренировок.
Сезон: Подходят для любого времени года, что делает их универсальным элементом вашего гардероба.
Особенности посадки: Плотное прилегание для обтекаемого внешнего вида и ощущения свободы движений.</t>
  </si>
  <si>
    <t>6010002-338</t>
  </si>
  <si>
    <t>UA HeatGear Mesh Legging</t>
  </si>
  <si>
    <t>6010009-600</t>
  </si>
  <si>
    <t>Тренировочные леггинсы Under Armour HeatGear Mesh оснащены технологией HeatGear, которая эффективно отводит влагу от поверхности кожи. Это поддерживает оптимальную температуру тела даже при интенсивных нагрузках. Воздухопроницаемость материала повышает комфорт при носке, позволяя пользователю полностью сосредоточиться на тренировке. Эти свойства делают леггинсы идеальным решением для круглогодичного использования.
Функциональные карманы
Тренировочные леггинсы Under Armour HeatGear Mesh имеют практичные карманы, позволяющие хранить небольшие вещи во время активности. Такое решение обеспечивает безопасное хранение ключей, карт или телефона, что повышает удобство во время тренировок. В результате пользователь может полностью сосредоточиться на достижении спортивных целей, не беспокоясь о личных вещах.
Тренировочные леггинсы Under Armour HeatGear Mesh — особенности:
Длинные штанины, обеспечивающие полное покрытие ног;
Карманы для хранения небольших вещей;
Дышащий материал, поддерживающий термический комфорт;
Быстросохнущая ткань из полиэстера и эластана;
Технология HeatGear, отводящая влагу от кожи.</t>
  </si>
  <si>
    <t>Sport Terry Trend Pant</t>
  </si>
  <si>
    <t>6010916-014</t>
  </si>
  <si>
    <t>Этот лёгкий французский терри обладает мягкой фактурой флиса, но без излишнего тепла начёсанного материала. Благодаря этому он идеально подходит для прохладных летних вечеров или утренних тренировок.
Лёгкая ткань французского терри обеспечивает превосходный комфорт и воздухопроницаемость
Ткань с растяжением в 4 направлениях обеспечивает свободу движений в любом направлении
Скрытый эластичный пояс с внешним шнурком для регулировки
Открытые боковые карманы
Свободный крой по всей длине с декоративной складкой спереди (pintuck) для стильного, утончённого вида</t>
  </si>
  <si>
    <t>96% хлопок, 4% эластан</t>
  </si>
  <si>
    <t>6010916-338</t>
  </si>
  <si>
    <t>SU Woven Pants</t>
  </si>
  <si>
    <t>6010986-001</t>
  </si>
  <si>
    <t>Эти брюки созданы с упором на функциональность. Они выполнены из функциональной тканой материи, которая отталкивает воду и обладает невероятной прочностью. Кроме того, предусмотрены надёжные карманы для хранения ваших вещей и регулируемый нижний край для индивидуального стиля.
Технология UA Storm отталкивает воду, не жертвуя воздухопроницаемостью
Тканая основа с блестящим финишем: лёгкая и прочная
Скрытый эластичный пояс с внешним шнурком для регулировки
Открытые боковые карманы, а также грузовые карманы сбоку и сзади
Свободный крой с удлинённой длиной, чтобы красиво ниспадать поверх обуви, и шнурок для регулировки ширины штанин
Используется водоотталкивающая пропитка без содержания фтора</t>
  </si>
  <si>
    <t>Sport Terry Jogger</t>
  </si>
  <si>
    <t>6011020-001</t>
  </si>
  <si>
    <t>Этот лёгкий трикотаж с изнанкой «фрэнч терри» мягкий, как флис, но не создает ощущения излишнего тепла, характерного для ворсистого флиса. Поэтому он идеально подходит для прохладных летних ночей или утренних тренировок.
Легкая ткань «французский трикотаж» обеспечивает превосходный комфорт и воздухопроницаемость.
Эластичный материал, растягивающийся в четырех направлениях, обеспечивает лучшую подвижность во всех направлениях.
Эластичный пояс в обшивке с внешним шнурком
Открытые боковые карманы
Вшитые эластичные манжеты</t>
  </si>
  <si>
    <t>Luna Wvn Jogger</t>
  </si>
  <si>
    <t>6011400-008</t>
  </si>
  <si>
    <t>Всегда на высоте — эти джоггеры выполнены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Водонепроницаемый материал: защищает от влаги, не жертвуя воздухопроницаемостью
Стретч-ткань плотного плетения: лёгкая, прочная и движется вместе с вами
Эластичный пояс в кулиске с внутренним шнурком для регулировки посадки
Открытые боковые карманы для рук и задний карман для мелочей
Эластичные манжеты внизу штанин в кулиске для надёжной фиксации и стильного силуэта</t>
  </si>
  <si>
    <t>95% нейлон, 5% эластан</t>
  </si>
  <si>
    <t>6011400-110</t>
  </si>
  <si>
    <t>Rival Fleece Script Pt</t>
  </si>
  <si>
    <t>6012293-011</t>
  </si>
  <si>
    <t>UA Rival LW Graphic Jogger</t>
  </si>
  <si>
    <t>6014688-338</t>
  </si>
  <si>
    <t>Тренировочные брюки Under Armour UA Rival черного цвета — идеальный выбор для повседневной носки и отдыха. Дизайн в стиле джоггеров обеспечивает комфорт и стиль, а эластичные манжеты на щиколотках гарантируют посадку по фигуре и свободу движений. Эти брюки прекрасно подходят для занятий как в помещении, так и на открытом воздухе, полностью отвечая вашим потребностям в комфорте и современном внешнем виде.</t>
  </si>
  <si>
    <t>Luna Wvn Pant</t>
  </si>
  <si>
    <t>6014752-230</t>
  </si>
  <si>
    <t>Всегда на высоте — эти брюки выполнены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Водонепроницаемый материал: защищает от влаги, не жертвуя воздухопроницаемостью
Стретч-ткань плотного плетения: лёгкая, прочная и движется вместе с вами
Эластичный пояс в кулиске с внутренним шнурком для регулировки посадки
Надёжные боковые карманы на молнии для безопасного хранения вещей
Внутренний шнурок-банджи по нижнему краю для индивидуальной регулировки длины и стильного внешнего вида</t>
  </si>
  <si>
    <t>CGI Balaclava</t>
  </si>
  <si>
    <t>1365985-001</t>
  </si>
  <si>
    <t>Балаклава</t>
  </si>
  <si>
    <t>Аксессуары</t>
  </si>
  <si>
    <t>Головные уборы</t>
  </si>
  <si>
    <t>Унисекс</t>
  </si>
  <si>
    <t>Балаклава Men ColdGear Balaclava от Under Armour — это незаменимый аксессуар для холодной погоды, который сочетает тепло и комфорт. Изготовлена из 100% полиэстера, она оснащена технологией ColdGear для максимального сохранения тепла. Эта модель обеспечивает полное покрытие лица и может быть преобразована в снуд для шеи. Рекомендуется машинная стирка при 30 градусах.
- Флисовый материал обеспечивает мягкость и комфорт при контакте с кожей, что делает балаклаву идеальной для зимних условий и длительного ношения.
- Инфракрасная технология ColdGear помогает сохранять естественное тепло тела, обеспечивая обогрев даже при низких температурах.
- Вариативный дизайн позволяет использовать изделие как полный лицевой покров или трансформировать в снуд для шеи, обеспечивая универсальность.
- Боковые кнопки улучшают посадку и защиту ушей от ветра, обеспечивая дополнительный комфорт в холодную погоду.
- Легкий и дышащий материал отводит влагу, сохраняя сухость и предотвращая перегрев при активной деятельности.</t>
  </si>
  <si>
    <t>Tech size</t>
  </si>
  <si>
    <t>OSFM</t>
  </si>
  <si>
    <t>58-60</t>
  </si>
  <si>
    <t>Men's UA Branded Bucket</t>
  </si>
  <si>
    <t>1376704-001</t>
  </si>
  <si>
    <t>Панама</t>
  </si>
  <si>
    <t>Панама Under Armour Blitzing  отлично защитит от солнца и сохранит ваш стильный вид. Дышащий текстурированный трикотаж очень мягкий и обеспечивает комфорт на весь день. Шляпа имеет традиционную посадку, обеспечивающую непринужденность, и расширенные поля для большей защиты. Регулируемый шнурок обеспечивает надежную посадку.</t>
  </si>
  <si>
    <t>100% хлопок</t>
  </si>
  <si>
    <t>M/L</t>
  </si>
  <si>
    <t>L/XL</t>
  </si>
  <si>
    <t>59-62</t>
  </si>
  <si>
    <t>ESSENTIAL BUCKET</t>
  </si>
  <si>
    <t>1376704-338</t>
  </si>
  <si>
    <t>UA Charged Valsetz Mid</t>
  </si>
  <si>
    <t>3027382-251</t>
  </si>
  <si>
    <t>Ботинки</t>
  </si>
  <si>
    <t>Обувь</t>
  </si>
  <si>
    <t>Зимняя обувь</t>
  </si>
  <si>
    <t>Тактика</t>
  </si>
  <si>
    <t>Ботинки UA Charged Valsetz Mid предлагают отличное сочетание прочности, комфорта и инновационных технологий. Эти ботинки средней высоты созданы для максимальной поддержки и защиты в сложных условиях. Верх из прочного синтетического материала и текстиля обеспечивает отличную износостойкость и долгий срок службы. Технология Charged Cushioning® в межподошве дарит превосходную амортизацию и энергоотдачу, снижая усталость при длительном ношении. Резиновая подошва с глубоким протектором гарантирует надежное сцепление с различными поверхностями, что обеспечивает уверенность в каждом шаге. Эти ботинки идеальны для активного отдыха и профессионального использования, предоставляя комфорт и защиту на весь день.</t>
  </si>
  <si>
    <t>верх: текстиль, иск.кожа; подкладка: текстиль; подошва: резина</t>
  </si>
  <si>
    <t>7</t>
  </si>
  <si>
    <t>7,5</t>
  </si>
  <si>
    <t>8</t>
  </si>
  <si>
    <t>8,5</t>
  </si>
  <si>
    <t>9</t>
  </si>
  <si>
    <t>9,5</t>
  </si>
  <si>
    <t>10</t>
  </si>
  <si>
    <t>10,5</t>
  </si>
  <si>
    <t>11</t>
  </si>
  <si>
    <t>11,5</t>
  </si>
  <si>
    <t>Verge 2.0 Mid Gore-tex ®</t>
  </si>
  <si>
    <t>3000309-500</t>
  </si>
  <si>
    <t>Туризм</t>
  </si>
  <si>
    <t>Воздухопроницаемая и 100% водонепроницаемая мембрана GORE-TEX гарантирует сухость и отличное качество даже после длительной носки. Легкий, быстросохнущий дышащий текстильный верх. Сварные накладки для увеличения поддержки и долговечности. Пластина ESS для защиты, стабильности и лучшей поддержки. Легкая промежуточная подошва EVA для оптимальной амортизации. Подошва Michelin с узором Wild Gripper для отличного сцепления на различных участках, обеспечивает прочность и долговечность обуви. Перепад: 8 мм.</t>
  </si>
  <si>
    <t>Осень</t>
  </si>
  <si>
    <t>60% искусственная кожа;40% текстиль</t>
  </si>
  <si>
    <t>UA Micro G Valsetz</t>
  </si>
  <si>
    <t>3023743-001</t>
  </si>
  <si>
    <t>Легкий верх из синтетической кожи и текстиля, прочный и дышащий.
Сварная накладка в передней части стопы и формованный носок из ТПУ для дополнительной защиты.
Петли на пятке и язычке для легкого надевания и снятия.
Формованные стельки Insite® Contoura®, предотвращающие усталость, с амортизирующей пеной.
Межподошва из пеноматериала Micro G® во всю длину обеспечивает максимальную долговечную и отзывчивую амортизацию.
Противоскользящая резиновая подошва с выступами для улучшенного сцепления с различными поверхностями.</t>
  </si>
  <si>
    <t>UA Micro G. Технология беговых кроссовок, которая превращает амортизированный удар во взрывной толчок. Пена UA Micro G легче и тоньше, чем обычная, что повышает эффективность тренировки благодаря адаптивности и постоянному контролю движений, обеспечивая комфорт и стабильность.</t>
  </si>
  <si>
    <t>верх 52% текстиль, 48% синтетический материал, подошва резина</t>
  </si>
  <si>
    <t>W BLITZING LOW ADJ</t>
  </si>
  <si>
    <t>6009335-477</t>
  </si>
  <si>
    <t>Кепка</t>
  </si>
  <si>
    <t>Кепки</t>
  </si>
  <si>
    <t>Эта кепка не только защищает от солнца — атласная потогоночная лента приятна на ощупь и помогает снизить ломкость волос.
Основные особенности:
UA Low: Классическая бейсболка с низкой посадкой и неструктурированной передней панелью — плотно прилегает к голове
Дышащая трикотажная ткань невероятно мягкая, обеспечивая комфорт в течение всего дня
Атласная потогоночная лента уменьшает трение, раздражение и ломкость волос
Тонкая регулируемая застежка на текстильной ленте
Увеличенное отверстие сзади позволяет удобно носить кепку с разными причёсками</t>
  </si>
  <si>
    <t>6009335-600</t>
  </si>
  <si>
    <t>M BLITZING LOW STORM ADJ</t>
  </si>
  <si>
    <t>1369781-498</t>
  </si>
  <si>
    <t>Благодаря технологии UA Storm изделие отталкивает воду и при этом обладает воздухопроницаемостью. Модель имеет изогнутый козырек и структурированные передние панели. Кепка обладает безупречным качеством и удобной посадкой, регулируется по размеру при помощи зажима. Такая кепка дополнит повседневный образ и подчеркнет спортивные пристрастия обладателя.</t>
  </si>
  <si>
    <t>Favorites Hat</t>
  </si>
  <si>
    <t>1369790-102</t>
  </si>
  <si>
    <t>UA Favorites Hat — это не просто бейсболка, это всепогодный аксессуар, который станет ярким дополнением вашего спортивного или повседневного гардероба. Созданная с учетом требований активного образа жизни, эта бейсболка объединяет в себе комфорт, функциональность и стильный дизайн, который подчеркнёт вашу индивидуальность. Разработанная с учетом инновационных технологий Under Armour, бейсболка обеспечивает оптимальную вентиляцию благодаря встроенным воздухопроницаемым панелям, что позволяет голове оставаться сухой и прохладной даже во время интенсивных тренировок или жаркого летнего дня. Мягкий и гибкий козырек не только защитит ваши глаза от солнечных лучей, но и придаст неповторимый вид вашей внешности.</t>
  </si>
  <si>
    <t>65% полиэстер, 35% хлопок</t>
  </si>
  <si>
    <t>Project Rock Trucker</t>
  </si>
  <si>
    <t>1369815-308</t>
  </si>
  <si>
    <t>Бейсболка Under Armour Project Rock Trucker — это стильный и функциональный аксессуар, созданный в сотрудничестве с известным актером и спортсменом Дуэйном "Скалой" Джонсоном. Эта бейсболка сочетается с его философией бескомпромиссного труда и настойчивости.
1. Высококачественный материал: Изготовлена из прочных и дышащих материалов, эта бейсболка обеспечивает комфорт в течение всего дня.
2. Дизайн Trucker: Классический дизайн с сетчатыми вставками обеспечивает отличную вентиляцию и помогает сохранять голову в прохладе даже во время интенсивных тренировок.
3. Фирменный стиль: Лицевая часть украшена логотипом Project Rock в виде быка, символизирующего силу и решимость, что добавляет уникальности и мотивации.
4. Регулируемая посадка: Задний ремешок позволяет легко отрегулировать размер бейсболки, обеспечивая идеальную посадку для любого объема головы.
5. Влаговыводящая технология: Специальная технология отвода влаги помогает сохранять кожу сухой, впитывая пот и предотвращая его накопление.
Эта бейсболка представляет собой идеальный выбор как для спортивных занятий, так и для повседневного ношения. Она не только подчеркивает ваш личный стиль, но и поддерживает ваши активные занятия, соответствуя высоким стандартам качества и функциональности, установленным брендом Under Armour и Дуэйном Джонсоном.</t>
  </si>
  <si>
    <t>Men's UA Blitzing</t>
  </si>
  <si>
    <t>1376700-035</t>
  </si>
  <si>
    <t>Мужская бейсболка UA Blitzing.
Дышащая текстурированная трикотажная ткань очень мягкая для комфорта в течение всего дня.
Встроенная эластичная эластичная лента HeatGear отводит пот, сохраняя прохладу и сухость.
Эластичная конструкция обеспечивает удобную посадку
Вышитые логотипы</t>
  </si>
  <si>
    <t>58-61</t>
  </si>
  <si>
    <t>1376700-400</t>
  </si>
  <si>
    <t>1376700-410</t>
  </si>
  <si>
    <t>Men's UA Blitzing Adj</t>
  </si>
  <si>
    <t>1376701-452</t>
  </si>
  <si>
    <t>Бейсболка</t>
  </si>
  <si>
    <t>Under Armour Men's Blitzing Adj сочетает в себе стиль и функциональность, обеспечивая комфорт в течение всего дня. Изготовленная из 100% полиэстера, эта бейсболка идеально подходит для повседневного ношения благодаря своей мягкой и дышащей текстурированной трикотажной ткани. Вышитые логотипы добавляют стиль и индивидуальность, подчеркивая фирменный дизайн.
- Дышащая трикотажная ткань обеспечивает отличную вентиляцию, поддерживая комфортную температуру и предотвращая перегрев.
- Встроенная эластичная лента HeatGear эффективно отводит пот, обеспечивая прохладу и сухость на протяжении всего дня.
- Регулируемая застежка на ремешке позволяет настроить посадку для максимального комфорта и надежности.
- Мягкость материала делает кепку приятной на ощупь, что важно для длительного ношения.
- Прочная конструкция и материалы гарантируют длительное использование, сохраняя первоначальный вид и качество.</t>
  </si>
  <si>
    <t>1376701-600</t>
  </si>
  <si>
    <t>Мужская кепка UA Blitzing.
Дышащая текстурированная трикотажная ткань очень мягкая для комфорта в течение всего дня.
Встроенная эластичная лента HeatGear отводит пот, сохраняя прохладу и сухость.
Регулируемая застежка на ремешке
Вышитые логотипы</t>
  </si>
  <si>
    <t>Men's UA Team Blitzing</t>
  </si>
  <si>
    <t>1376702-001</t>
  </si>
  <si>
    <t>Бейсболка Under Armour Men's UA Team Blitzing — это стильное и функциональное дополнение к любому спортивному или повседневному образу. Созданная с учетом передовых технологий, эта бейсболка обеспечивает максимальный комфорт и защиту в любой ситуации. Изготовленная из мягкой и дышащей ткани, она эффективно отводит влагу и поддерживает комфортную температуру головы в течение всего дня.
Обновленная конструкция обеспечивает отличную посадку, а встроенная эластичная лента внутри ободка гарантирует, что бейсболка надежно удержится на месте даже при интенсивной активности. Удобный крой с изогнутым козырьком защищает глаза от солнца, а брендированные детали и логотип Under Armour добавляют современный и динамичный акцент.
Особая технология предотвращает образование неприятных запахов, поддерживая ощущение свежести на долгое время. Эта бейсболка идеально подходит для различных видов спорта, тренировок на открытом воздухе, а также повседневного использования. С Under Armour Men's UA Team Blitzing вы получите надежную защиту и стильный внешний вид, который станет ярким дополнением вашего гардероба.</t>
  </si>
  <si>
    <t>55-58</t>
  </si>
  <si>
    <t>1376702-100</t>
  </si>
  <si>
    <t>Youth Branded Lockup Adj</t>
  </si>
  <si>
    <t>1381646-410</t>
  </si>
  <si>
    <t>Защищает от солнца, а повязка сохраняет голову сухой и прохладной — это всё, что вам нужно. Регулируемая застёжка на ремешке.</t>
  </si>
  <si>
    <t>53-57</t>
  </si>
  <si>
    <t>M AV CAMPER</t>
  </si>
  <si>
    <t>1383436-002</t>
  </si>
  <si>
    <t>Представляем вам бейсболку Under Armour Iso-Chill Armourvent Camper-BLK – идеальное сочетание стиля и передовых технологий, созданное для активных мужчин. Изготовленная из 100% полиэстера, эта бейсболка обеспечивает непревзойденный комфорт и высокую функциональность в различных условиях.
Технология ArmourVent: Обеспечивает превосходную воздухопроницаемость благодаря легкой, эластичной и прочной ткани, позволяя оставаться прохладным во время любой физической активности.
Материал Iso-Chill: Инновационная технология, которая рассеивает тепло тела, создавая ощущение прохлады при прикосновении.
Универсальность: Идеально подходит для бега, повседневной носки и тренировок — станет незаменимым аксессуаром в вашем гардеробе.
Стандартный крой: Обеспечивает комфортную и плотную посадку, подходящую для любого размера головы.
Сезонность: Подходит для использования в любое время года, гарантируя комфорт и стиль круглый год.
Эта бейсболка сочетает в себе функциональность и элегантный современный дизайн, делая её лучшим выбором для тех, кто ценит и эффективность, и внешний вид. Повысьте уровень своего спортивного снаряжения с бейсболкой Iso-Chill Armourvent Camper-BLK и почувствуйте разницу на своей следующей тренировке или прогулке.</t>
  </si>
  <si>
    <t>1383436-069</t>
  </si>
  <si>
    <t>M Iso-chill Armourvent Adj</t>
  </si>
  <si>
    <t>1383440-001</t>
  </si>
  <si>
    <t>Бейсболка UA M Iso-chill Armourvent Adj от Under Armour представляет собой современное решение для активного отдыха и спорта в жаркую погоду. Выполненная из 100% полиэстера, она сочетает в себе инновационные технологии и эргономичный дизайн. Технология Iso-Chill в этой бейсболке обеспечивает эффективное рассеивание тепла, позволяя держать голову в прохладе даже при интенсивной физической активности. Вентилируемые отверстия ArmourVent способствуют максимальной циркуляции воздуха, улучшая дыхание и повышая комфорт. Регулируемый задний ремешок с логотипом UA обеспечивает надежную и удобную посадку, легко адаптируясь к различным размерам головы. Мягкая подкладка в области лба предотвращает раздражение кожи, что делает бейсболку комфортной для ежедневного использования.
- Технология Iso-Chill в полимерном составе эффективно отводит тепло, обеспечивая ощущение прохлады в любых условиях.
- Армированные вентиляционные отверстия ArmourVent способствуют улучшенной циркуляции воздуха, повышая дышащие свойства изделия.
- Регулируемый ремешок с логотипом UA гарантирует индивидуальную посадку без дискомфорта.
- Мягкая подкладка в области лба предотвращает раздражение кожи, обеспечивая комфорт при длительном ношении.
- Изготовлена из 100% полиэстера, что делает изделие прочным и легким в уходе.
- Подходит для деликатной или ручной стирки, что упрощает уход за изделием.</t>
  </si>
  <si>
    <t>W Iso-chill Armourvent Adj</t>
  </si>
  <si>
    <t>1383445-377</t>
  </si>
  <si>
    <t>Эта шляпа была разработана таким образом, чтобы голова оставалась прохладной за счет специальных вентиляционных отверстий, которые выводят излишнее тепло. Горячий воздух может выходить наружу, но при этом отверстия достаточно малы, чтобы солнечные лучи не доставляли дискомфорта.
Технология ArmourVent® обеспечивает максимальную воздухопроницаемость благодаря легкой, эластичной, прочной и быстро высыхающей ткани
Потовпитывающая лента Iso-Chill помогает рассеивать тепло тела, создавая ощущение прохлады при прикосновении
Регулируемый ремешок для точной фиксации
Обновленное, более широкое отверстие сзади позволяет носить шляпу с различными прическами</t>
  </si>
  <si>
    <t>W Iso-chill Launch Adj</t>
  </si>
  <si>
    <t>1383478-001</t>
  </si>
  <si>
    <t>Отправляйтесь покорять свои ежедневные цели с невероятной прохладой и комфортом в новой бейсболке UA W Iso-Chill Launch Adj. Смелый дизайн и передовые технологии делают эту бейсболку идеальным аксессуаром для тех, кто стремится оставаться впереди темпа активного лета. Уникальная ткань Iso-Chill от Under Armour быстро отводит тепло от вашего тела, создавая ощущение прохлады на коже, даже когда температура окружающей среды зашкаливает. Материал бейсболки обладает выдающейся дышащей способностью, благодаря чему голова остается сухой даже во время интенсивных тренировок или долгих прогулок под жарким солнцем. Облачитесь в бейсболку UA W Iso-Chill Launch Adj и ощутите прохладу и уверенность в любой ситуации. Этот стильный и функциональный аксессуар позволит вам с головой окунуться в ритм активного лета и оставаться прохладным во время любого приключения!</t>
  </si>
  <si>
    <t>UA Iso-Chill. Экипировка для тренировок в жаркую погоду. Работает как система охлаждения - охлаждает тело, позволяя тренироваться дольше. Плоские нейлоновые волокна ткани с двуокисью титана прилегают к коже и отводят тепло лучше, чем обычный нейлон.</t>
  </si>
  <si>
    <t>1383478-100</t>
  </si>
  <si>
    <t>M OUTDOOR MID ADJ</t>
  </si>
  <si>
    <t>1386658-709</t>
  </si>
  <si>
    <t>Защищает от солнца, а впитывающий пот ободок сохраняет голову сухой и прохладной — всё, что вам нужно.
• UA Mid: современная квадратная тулья средней высоты с жёсткой передней панелью — сидит чуть выше, не прилегая плотно к голове
• Прочная и комфортная ткань стретч-вивинг
• Регулируемая застёжка-снепбэк
• Декоративный шнур-верёвка вдоль передней части козырька
• Вышитый логотип-нашивка</t>
  </si>
  <si>
    <t>M SPORTSTYLE METAL ADJ</t>
  </si>
  <si>
    <t>1389695-410</t>
  </si>
  <si>
    <t>Хлопчатобумажная саржа обеспечивает мягкую посадку и комфорт на ощупь UPF 50+ защищает вашу кожу от вредных солнечных лучей Регулируемая застежка на ремешке</t>
  </si>
  <si>
    <t>M DRIVE MID STR</t>
  </si>
  <si>
    <t>1389887-025</t>
  </si>
  <si>
    <t>95% полиэстер, 5% эластан</t>
  </si>
  <si>
    <t>1389887-069</t>
  </si>
  <si>
    <t>S/M</t>
  </si>
  <si>
    <t>53-55</t>
  </si>
  <si>
    <t>XL/XXL</t>
  </si>
  <si>
    <t>61-65</t>
  </si>
  <si>
    <t>M Drive 5 Panel Snapback</t>
  </si>
  <si>
    <t>1389890-100</t>
  </si>
  <si>
    <t>Защита от солнца с технологией UPF и поддержание сухости и прохлады головы — всё, что вам нужно для трассы.
ДНК продукта:
Ткань с добавлением стрейча и защитой UPF 50+ защищает кожу от вредного воздействия ультрафиолетовых лучей
Регулируемая застёжка на кнопках
Декоративный шнур по краю козырька</t>
  </si>
  <si>
    <t>M's Brushed Blitzing</t>
  </si>
  <si>
    <t>6007147-022</t>
  </si>
  <si>
    <t>6009335-001</t>
  </si>
  <si>
    <t>6009335-100</t>
  </si>
  <si>
    <t>6009335-110</t>
  </si>
  <si>
    <t>M DRIVE MID NYLON ADJ</t>
  </si>
  <si>
    <t>6012684-338</t>
  </si>
  <si>
    <t>W ESSENTIAL LOW ADJ</t>
  </si>
  <si>
    <t>6012685-001</t>
  </si>
  <si>
    <t>Создана, чтобы защищать от солнца: кепка из хлопкового твила обеспечивает мягкую, «обношенную» посадку и приятные ощущения, а увеличенное отверстие сзади позволяет носить её с любой причёской.
Основные особенности:
UA Low: Классическая бейсболка с низкой посадкой и неструктурированной передней панелью — плотно прилегает к голове
Ткань из хлопкового твила: обеспечивает мягкую, комфортную посадку и приятные тактильные ощущения
Регулируемая застёжка на ремешке: для индивидуальной подгонки по размеру
Увеличенное отверстие сзади: позволяет удобно носить кепку с разными вариантами укладки волос — хвостом, пучком или косой</t>
  </si>
  <si>
    <t>6012685-100</t>
  </si>
  <si>
    <t>UA CGI Down Jkt-BLK</t>
  </si>
  <si>
    <t>1375442-001</t>
  </si>
  <si>
    <t>Пуховик</t>
  </si>
  <si>
    <t>Куртки и пуховики</t>
  </si>
  <si>
    <t>Ветро-влагозащитный, теплый материал
Утеплитель: 100% утиный пух
Технология UA Storm - защищает от непогоды, отталкивает воду при этом не жертвуя воздухопроницаемостью
Технология ColdGear Infrared - это усовершенствованная технология ColdGear, оригинальный метод нанесения струйной печатью слоя керамики на внутреннюю поверхность тонких двухслойных изделий, позволяет быстрее прогревать воздушный слой под одеждой и дольше оставаться телу в тепле. 
Без увеличения веса и объема экипировки
Боковые карманы на молнии</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</si>
  <si>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</si>
  <si>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Armour Down 2.0 Vest</t>
  </si>
  <si>
    <t>1372650-431</t>
  </si>
  <si>
    <t>Жилет</t>
  </si>
  <si>
    <t>Идеальный союз стиля и функциональности – спортивный пуховый жилет Under Armour Armour Down 2.0 Vest. Он создан для комфорта и тепла в холодные дни, позволяя вам наслаждаться активными тренировками и приключениями на свежем воздухе. Высококачественный перонышковый наполнитель обеспечивает превосходную теплоизоляцию, поддерживая оптимальную температуру тела в любых погодных условиях. Удобный крой и легкий вес позволяют свободно двигаться и не ограничивают вашу активность. Защитите себя от ветра и непогоды благодаря водоотталкивающему покрытию, которое также обеспечивает долговечность и долговечность пухового жилета. Подчеркните свой спортивный стиль с помощью элегантного дизайна Under Armour Armour Down 2.0 Vest и готовьтесь к непрерывным достижениям на тренировках и в повседневной жизни.</t>
  </si>
  <si>
    <t>UA STRM SESSION HBD JKT</t>
  </si>
  <si>
    <t>1378494-112</t>
  </si>
  <si>
    <t>Куртка</t>
  </si>
  <si>
    <t>UA Storm сохраняет вас сухим, легкий утеплитель сохраняет тепло, а эластичные боковые панели и панели под мышками позволяют вам двигаться — это все, что вам нужно, чтобы оставаться на улице, когда погода меняется.Технология Under Armour Storm отталкивает воду и сохраняет воздухопроницаемость. Прочный тканый материал спереди, поддерживаемый гибкими ткаными боковыми поверхностями, обеспечивает большую мобильность и комфорт. Регулируемый эластичный капюшон обеспечивает идеальную посадку одежды по форме тела. Карманы для рук, защищенные молниями, и внутренний нагрудный карман.</t>
  </si>
  <si>
    <t>белый/черный</t>
  </si>
  <si>
    <t>CGR Jacket Dark Maroon / Dark Maroon / Peach Horizon</t>
  </si>
  <si>
    <t>1316034-601</t>
  </si>
  <si>
    <t>Технология UA Storm отталкивает воду, не жертвуя воздухопроницаемостью
ColdGear® Reactor адаптируется к вашему уровню активности для правильной воздухопроницаемости
Высококачественная изоляция удерживает тепло и обладает превосходной вентиляцией
Стретч-флисовые боковые и подмышчные панели обеспечивают большую мобильность
Теплые, надежные карманные молнии и карманы на груди
Удлиненный крой</t>
  </si>
  <si>
    <t>UA STRM INS RUN VEST</t>
  </si>
  <si>
    <t>1380870-001</t>
  </si>
  <si>
    <t>Мужской жилет UA Storm Insulate Run Vest — это баланс между теплом и вентиляцией для комфортной пробежки. Сделанный из 100% полиэстера, он оснащен передовой технологией UA Storm для защиты от осадков без ущерба для воздухопроницаемости. Качественная ткань и эластичный трикотаж обеспечивают свободу движений, подходя для интенсивных упражнений.
- Утепленная передняя часть удерживает тепло, обеспечивая комфорт в прохладные утренние часы или дни.
- Вентиляционные элементы препятствуют перегреву, поддерживая оптимальную циркуляцию воздуха во время активности.
- Надежные карманы на молнии идеально подходят для хранения мелких предметов, оставляя руки свободными во время движения.
- Встроенный внутренний карман для медиа позволяет удобно носить с собой устройства и аксессуары.
- Светоотражающие детали повышают видимость в темноте, обеспечивая безопасность на дорожках и трассах.</t>
  </si>
  <si>
    <t>LEGEND DOWN HOODED JACKET</t>
  </si>
  <si>
    <t>1385837-390</t>
  </si>
  <si>
    <t>Куртка LEGEND DOWN HOODED JACKET – лучший выбор для холодного сезона, предлагая безупречный баланс тепла, защиты и стиля. В её основе лежит высококачественный нейлон, обеспечивающий лёгкость и долговечность. Стильный, спортивный дизайн идеально подходит для повседневной носки, не теряя актуальности вне зависимости от трендов.
- Пуховая изоляция обеспечивает исключительное тепло, удерживая комфортную температуру даже в сильные морозы.
- 100% нейлоновый материал гарантирует прочность и длительное сохранение формы, защищая от ветра и влаги.
- Эргономичный капюшон добавляет дополнительное тепло и защиту, обеспечивая полный комфорт в неблагоприятных условиях.
- Легкая и компактная конструкция позволяет свободно двигаться и носить куртку как в городских, так и в туристических условиях.
- Внутренние и внешние карманы обеспечивают удобное хранение вещей, всегда держа их под рукой.</t>
  </si>
  <si>
    <t>зеленый/черный</t>
  </si>
  <si>
    <t>UA CGI DOWN VST</t>
  </si>
  <si>
    <t>1378837-001</t>
  </si>
  <si>
    <t>Пуховый жилет Under Armour CGI Down Vest обеспечивает максимальный комфорт даже в холодное время года. Наполнитель из утиного пуха и технология ColdGear® Infrared хорошо удерживают тепло тела, чтобы Вы не мерзли даже в сильный мороз.
Состав: Верх -100% полиэстер; Наполнитель - пух, гусиный пух
Технология UA Storm отталкивает воду без ущерба для воздухопроницаемости
Технология COLD GEAR Infrared Нанесение керамического принта методом струйной печати на внутреннюю поверхность двухслойного или многослойного изделия, что позволяет быстрее прогревать воздушный слой под одеждой и дольше оставаться телу в тепле без увеличения веса и объема экипировки
Нагрудные карманы на молнии
Боковые карманы</t>
  </si>
  <si>
    <t>1385852-001</t>
  </si>
  <si>
    <t>FC Insulated Jacket Static Blue / Venetian Blue / Venetian Blue</t>
  </si>
  <si>
    <t>1321441-414</t>
  </si>
  <si>
    <t>Прилегающий крой, не стесняющий движения.
Технология UA Storm отталкивает воду, не жертвуя воздухопроницаемостью.
Технология ColdGear Infrared использует термопроводящее покрытие с внутренней стороны, которое удерживает тепло тела.
Ткань рип-стоп достаточно легкая, но прочная.
Карманы на молнии по бокам и на груди.
Регулируемый низ.</t>
  </si>
  <si>
    <t>100% Нейлон</t>
  </si>
  <si>
    <t>1385852-015</t>
  </si>
  <si>
    <t>1385837-002</t>
  </si>
  <si>
    <t>черный/синий</t>
  </si>
  <si>
    <t>Armour Down 2.0 Parka-BLK</t>
  </si>
  <si>
    <t>1372649-001</t>
  </si>
  <si>
    <t>Абсолютная защита от холода с паркой Armour Down 2.0 Parka. Забудьте о зимней стуже и насладитесь комфортом в самых холодных условиях. У нас представлено все, что вам нужно для тепла и стиля в одной парке.
Наша парка создана с использованием самых передовых технологий и материалов, чтобы обеспечить вам максимальную защиту. Изготовленная из прочных тканей и наполнена уникальным дизайном пухового наполнителя, парка Armour Down 2.0 Parka не пропускает холод, сохраняя ваше тело в комфортном и теплом состоянии.
Особенная водоотталкивающая обработка придает парке дополнительную надежность во время дождя или снега, позволяя вам наслаждаться природой без дискомфорта. Прорезиненные молнии и манжеты обеспечивают защиту от ветра, предотвращая проникновение холода и снижение температуры внутри парки.
Armour Down 2.0 Parka не только функциональна, но и стильна. Современный дизайн придает парке элегантность и позволяет вам выглядеть модно и уверенно в любой ситуации. Благодаря разнообразию цветовых решений, вы можете выбрать парку, которая отражает вашу индивидуальность.
Защитите себя от холодных зимних ветров с паркой Armour Down 2.0 Parka. Вы заслуживаете только самое лучшее!</t>
  </si>
  <si>
    <t>LEGEND DOWN PARKA</t>
  </si>
  <si>
    <t>1385839-410</t>
  </si>
  <si>
    <t>Парка</t>
  </si>
  <si>
    <t>Куртка LEGEND DOWN PARKA от Under Armour создана для суровых зимних условий, предлагая непревзойденное тепло и защиту. Она сочетает в себе качественную изоляцию и прочный нейлон для обеспечения максимального комфорта и долговечности. Пуховая подкладка гарантирует превосходное удержание тепла, удерживая холод на улице и сохраняет тепло внутри.
- 100% нейлон отличается невероятной прочностью, что делает куртку устойчивой к погодным испытаниям и ежедневному износу.
- Удлиненный крой и продуманный капюшон обеспечивают дополнительную защиту от ветра и снегопада, сохраняя тело в тепле.
- Стильный и функциональный дизайн предоставляет множество вариантов для сочетания с разной одеждой, делая её подходящей для любого случая.
- Водоотталкивающее покрытие защищает от влаги, обеспечивая сухость и комфорт в дождливую или снежную погоду.
- Большое количество карманов добавляет удобства, позволяя хранить личные вещи с легким доступом.</t>
  </si>
  <si>
    <t>PJT RCK WORK JACKET</t>
  </si>
  <si>
    <t>1386904-707</t>
  </si>
  <si>
    <t>Мужская куртка Under Armour Pjt Rck Work Jacket — это идеальное сочетание стиля, комфорта и функциональности для современных активных мужчин. Созданная специально для использования в различных погодных условиях, она оснащена капюшоном, обеспечивающим дополнительную защиту от ветра и дождя. Застежка на молнии позволяет легко надевать и снимать куртку, а также регулирует уровень вентиляции. Практичные карманы на молнии обеспечивают безопасное хранение мелких предметов и удобный доступ к ним. Функциональный и современный дизайн этой куртки делает её идеальной для повседневной носки, тренировок на свежем воздухе или путешествий. Независимо от условий, эта куртка будет вашим надежным компаньоном, обеспечивающим комфорт и стиль.</t>
  </si>
  <si>
    <t>LIMITLESS DOWN JACKET</t>
  </si>
  <si>
    <t>1384641-308</t>
  </si>
  <si>
    <t>Технология UA Storm отталкивает воду без ущерба для воздухопроницаемости. Утеплитель из утиного пуха 700-fill Allied обеспечивает экстремальное тепло и имеет ответственное происхождение и отслеживается по метке. Инфракрасная подкладка ColdGear® с мягким термопроводящим покрытием поглощает и удерживает тепло вашего тела. Большие надежные карманы для рук на молнии. Внутренние манжеты из мягкого трикотажа ColdGear® для дополнительного комфорта. Подол регулируется, а регулируемый капюшон обеспечивает комфортную посадку</t>
  </si>
  <si>
    <t>Limitless Down Puffer Parka</t>
  </si>
  <si>
    <t>1384644-001</t>
  </si>
  <si>
    <t>Практически невесомая технологичная одежда для холодной погоды с мягкой и уютной внешней отделкой — пуховик UA Limitless Down не выглядит как техническая куртка, но работает именно так.
• Технология UA Storm отталкивает влагу, не жертвуя воздухопроницаемостью
• Утеплитель из утиного пуха Allied с показателем 700 fill power обеспечивает экстремальное тепло; пух ответственно получен и прослеживается по специальной метке
• Подкладка ColdGear® Infrared с мягким теплопроводящим покрытием поглощает и сохраняет тепло вашего тела
• Регулируемый капюшон увеличенного размера и особый дизайн воротника для дополнительного тепла и комфорта
• Просторные защищённые карманы для рук на молнии и внутренний нагрудный карман
• Мягкие трикотажные манжеты ColdGear® для повышенного комфорта и удлинённый крой для максимальной защиты тела
• Используется водоотталкивающая пропитка без содержания фтора</t>
  </si>
  <si>
    <t>FC Insulated Jacket Black / Charcoal / Ghost Gray</t>
  </si>
  <si>
    <t>1321441-001</t>
  </si>
  <si>
    <t>UA STORM OUTRUN COLD JACKET-BLU</t>
  </si>
  <si>
    <t>1373664-437</t>
  </si>
  <si>
    <t>Куртка Under Armour синего цвета современного кроя.</t>
  </si>
  <si>
    <t>CGR Jacket Black / Black / Ghost Gray</t>
  </si>
  <si>
    <t>1316034-001</t>
  </si>
  <si>
    <t>UA STRM SESSION GOLF JKT</t>
  </si>
  <si>
    <t>1378057-001</t>
  </si>
  <si>
    <t>Мужская куртка Under Armour Golf Storm Session с полной молнией. Мягкая, прочная, мягкая одежда, которая обеспечивает легкость и тепло и идеально подходит для холодных месяцев.
 Технология UA Storm отталкивает воду, не жертвуя воздухопроницаемостью. Высокая изоляция с стеганой прострочкой, которая удерживает тепло, но при этом пропускает воздух, чтобы вы не перегрелись. Гладкая ткань рипстоп в сочетании с легкой эластичной тканью обеспечивает долговечность и мобильность. Двустворчатая сетка обеспечивает максимальную мобильность.
 Карманы для рук на молнии. Отдека логотипом Under Armour UA на левой груди. Свободный крой.</t>
  </si>
  <si>
    <t>UA Insulate Parka</t>
  </si>
  <si>
    <t>1364910-001</t>
  </si>
  <si>
    <t>Технология UA Storm отталкивает воду без ущерба для воздухопроницаемости. Гладкая ветрозащитная ткань, легкая и чрезвычайно прочная. Синтетический утеплитель для тепла без лишнего объема. Мягкий эластичный трикотаж ColdGear на воротнике и манжетах для дополнительного комфорта и тепла. Надежные карманы на молнии для рук. Удлиненный крой с фигурным краем для максимального прикрытия.</t>
  </si>
  <si>
    <t>LEGEND DOWN VEST</t>
  </si>
  <si>
    <t>1385838-025</t>
  </si>
  <si>
    <t>Жилет LEGEND DOWN VEST от Under Armour представляет собой идеальное решение для прохладной погоды. Сочетание стильного дизайна и функциональности удовлетворит требования любого активного мужчины, обеспечивая тепло и комфорт при повседневной носке. Пуховая изоляция предлагает исключительное удержание тепла, сохраняя комфорт даже в холодные дни.
- 100% нейлоновая ткань обеспечивает долговечность и стойкость к износу, что гарантирует длительный срок службы жилета.
- Легкая конструкция позволяет легко комбинировать жилет с другими предметами одежды без ограничения подвижности.
- Элегантный и современный дизайн соответствует последним модным тенденциям, делая жилет универсальным для любых ситуаций.
- Комфорт и удобство обеспечиваются за счет мягкой подкладки и эргономичного кроя, которая поддерживает естественную подвижность.
- Практичные карманы дают возможность хранить необходимые мелочи всегда под рукой, добавляя функциональных удобств.</t>
  </si>
  <si>
    <t>CGI Down Blocked Jkt</t>
  </si>
  <si>
    <t>1372693-176</t>
  </si>
  <si>
    <t>1385838-001</t>
  </si>
  <si>
    <t>UA OutRun the STORM Vest</t>
  </si>
  <si>
    <t>1365670-001</t>
  </si>
  <si>
    <t>UA Outrun The Storm обладают супер-водостойкостью, что означает, что они лучше защищают и служат дольше, чем другие дождевики для бега. Они более эластичны и удобны, поэтому вы сможете сосредоточиться на них больше. Технология UA Storm отталкивает воду без ущерба для воздухопроницаемости. Ветрозащитная конструкция защищает вас от непогоды. Легкая тканая ткань рипстоп - прочная, но удобная. Конструкция с обратной вентиляцией для дополнительной воздухопроницаемости</t>
  </si>
  <si>
    <t>90% полиэстер, 10% эластан, подкладка 100% полиэстер</t>
  </si>
  <si>
    <t>UA CGI DOWN CRINKLE JKT</t>
  </si>
  <si>
    <t>1378830-001</t>
  </si>
  <si>
    <t>Куртка (пуховик) Under Armour ColdGear Down Blocked Jacket обеспечивает максимальный комфорт даже в холодное время года. Наполнитель из утиного пуха и технология ColdGear® Infrared хорошо удерживают тепло тела, чтобы Вы не мерзли даже в сильный мороз.
Состав: Верх -100% полиэстер; Наполнитель - пух, гусиный пух
Технология UA Storm отталкивает воду без ущерба для воздухопроницаемости
Технология COLD GEAR Infrared Нанесение керамического принта методом струйной печати на внутреннюю поверхность двухслойного или многослойного изделия, что позволяет быстрее прогревать воздушный слой под одеждой и дольше оставаться телу в тепле без увеличения веса и объема экипировки
Нагрудные карманы на молнии
Боковые карманы</t>
  </si>
  <si>
    <t>DEFINE THE RUN STORM JACKET-BLK//REF</t>
  </si>
  <si>
    <t>1314551-001</t>
  </si>
  <si>
    <t>Куртка Under Armour DEFINE THE RUN STORM JACKET. Мы упростили поиск всего необходимого для бега снаряжения — просто найдите UA Run Anywhere. Все это легкое, быстрое, с карманами и дополнительными функциями, необходимыми бегуну. Технология UA Storm отталкивает воду, не жертвуя воздухопроницаемостью. Ветронепроницаемая ткань рипстоп обеспечивает превосходную защиту и долговечность. Конструкция заднего вентиляционного отверстия для дополнительной воздухопроницаемости. Полностью упаковывается в собственную сумку внутри надежного левого кармана на молнии. Заниженная фасонная кромка для лучшей защиты. Светоотражающая окантовка на манжетах, кромке и капюшоне</t>
  </si>
  <si>
    <t>Down Sweater Hooded Black / Black / Charcoal</t>
  </si>
  <si>
    <t>1316023-001</t>
  </si>
  <si>
    <t>Наполнитель: 90% пух, 10% перо. Технология UA Storm - защищает от непогоды, отталкивает воду при этом не жертвуя воздухопроницаемостью. Технология Pertex позволяет телу дышать. Внутренний карман на молнии. Боковые карманы на молнии.</t>
  </si>
  <si>
    <t>92% нейлон,  8% полиэстер.</t>
  </si>
  <si>
    <t>Down Sweater Hooded - WARM Black / Black / Charcoal</t>
  </si>
  <si>
    <t>1323839-001</t>
  </si>
  <si>
    <t>Технология UA Storm - защищает от непогоды, отталкивает воду при этом не жертвуя воздухопроницаемостью. 
Технология Pertex позволяет телу дышать.
Внутренний карман на молнии.
Боковые карманы на молнии.
Наполнитель: 90% пух, 10% перо.</t>
  </si>
  <si>
    <t>100% полиэстер.</t>
  </si>
  <si>
    <t>UA Armour Down Parka</t>
  </si>
  <si>
    <t>1342791-001</t>
  </si>
  <si>
    <t>Технология UA Storm отталкивает воду без ущерба для воздухопроницаемости. Утеплитель Allied с утиным пухом на 600 наполнителей обеспечивает исключительное тепло, получен из этичных источников и отслеживается с помощью бирки. Легкая тканая ткань обеспечивает превосходный комфорт и долговечность. Большой капюшон из трех частей с расширенным покрытием шеи и регулируемым шнурком. Застежка-молния спереди с клапаном Storm. Уютная подкладка Velboa на шее и карманах для дополнительного тепла и комфорта. Надежные верхние карманы на молнии и открытые нижние карманы для рук. Увеличенная посадка и увеличенная длина корпуса для полного покрытия.</t>
  </si>
  <si>
    <t>Зима</t>
  </si>
  <si>
    <t>100% нейлон. Наполнитель: гусиный пух.</t>
  </si>
  <si>
    <t>UA CG Reactor Jacket</t>
  </si>
  <si>
    <t>1342792-626</t>
  </si>
  <si>
    <t>Куртка с утеплителем ColdGear - идеально подойдет для тренировок в холодную погоду. Утеплитель подстраивается под уровень вашей активности и поддерживает оптимальный температурный режим и вентиляцию. Материал верха с технологией UA Storm отталкивает влагу и защищает от ветра, оставаясь при этом дышащим.</t>
  </si>
  <si>
    <t>UA ColdGear Reactor. Интеллектуальный "изоляционный" слой, который адаптируется к любой активности и поддерживает оптимальную температуру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</si>
  <si>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Демисезон</t>
  </si>
  <si>
    <t>основной материал: 100% полиэстер</t>
  </si>
  <si>
    <t>Rival Terry Taped FZ</t>
  </si>
  <si>
    <t>1363671-001</t>
  </si>
  <si>
    <t>Если вы хотите чувствовать себя комфортно, в тепле и готовым включиться в игру, то это именна та ветровка, которая Вам необходима.Сверхмягкий, легкий материал Terry с начесом на внутренней стороне для дополнительного тепла. Материал отводит пот и очень быстро сохнет. Тянущаяся в четырех направлениях конструкция обеспечивает наилучши комфорт во ремя движения. Открытые карманы для рук.</t>
  </si>
  <si>
    <t>70% полиэстер, 25% тенсел, 5% эластан</t>
  </si>
  <si>
    <t>UA STRM ARMOUR DOWN 2.0 VST</t>
  </si>
  <si>
    <t>1372650-390</t>
  </si>
  <si>
    <t>зеленый/серый</t>
  </si>
  <si>
    <t>UA STRM ARMOUR DOWN 2.0 JKT</t>
  </si>
  <si>
    <t>1372651-012</t>
  </si>
  <si>
    <t>Погрузитесь в комфорт и легкость с пуховиком Armour Down 2.0! 
Наша лучшая модель из коллекции пуховиков предлагает утонченный дизайн и непревзойденное качество. Изготовленный из высококачественного пуха, Armour Down 2.0 обеспечивает непревзойденную теплоизоляцию и комфорт, чтобы вы чувствовали себя уютно даже в самые холодные дни.
Стильная и функциональная, эта модель пуховика идеально подходит для любых погодных условий. Капюшон с регулируемыми завязками позволяет создать индивидуальную посадку и защиту от ветра, а мягкая подкладка воротника обеспечивает уют и дополнительное тепло для шеи. 
Armour Down 2.0 также имеет практичные карманы на молнии для хранения ваших ценностей и фирменную марку "Armour" на рукаве, добавляющую неповторимую деталь к этому пуховику.
Не сомневайтесь в качестве - Armour Down 2.0 прошел тщательные испытания и изготовлен с использованием самых современных технологий и материалов. Этот пуховик станет вашим верным спутником на прогулках, отдыхе на природе или в повседневной жизни.
Привнесите стиль, комфорт и тепло в свою жизнь с Armour Down 2.0 - идеальным выбором для модных и активных людей, которые ценят комфорт и качество в одежде.</t>
  </si>
  <si>
    <t>1372651-410</t>
  </si>
  <si>
    <t>синий/серый</t>
  </si>
  <si>
    <t>1372693-410</t>
  </si>
  <si>
    <t>UA CGI Down Vest-BLK</t>
  </si>
  <si>
    <t>1375456-001</t>
  </si>
  <si>
    <t>UA STRM SESSION HBD LT JKT</t>
  </si>
  <si>
    <t>1378496-011</t>
  </si>
  <si>
    <t>100% полиэстер
Ветро-влагозащитный материал
Синтетический утеплитель, расположенный спереди
Технология UA Storm - защищает от непогоды, отталкивает воду при этом не жертвуя воздухопроницаемостью
Боковые карманы на молнии
Прорези для больших пальцев на рукавах</t>
  </si>
  <si>
    <t>серый/стальной</t>
  </si>
  <si>
    <t>91% полиэстер, 9% эластан</t>
  </si>
  <si>
    <t>LAUNCH INSULATED VEST</t>
  </si>
  <si>
    <t>1378502-001</t>
  </si>
  <si>
    <t>Защищает вас от дождя и согревает благодаря стратегической изоляции. Технология UA Storm отталкивает воду, не жертвуя воздухопроницаемостью. Стратегический синтетический утеплитель 60 г на передней части тела для легкого тепла без лишнего объема. Надежные карманы на молнии для рук с внутренним карманом для медиа. Светоотражающие детали для лучшей видимости на пробежках при слабом освещении.</t>
  </si>
  <si>
    <t>UA CGI LGHTWGHT DOWN JKT</t>
  </si>
  <si>
    <t>1378840-044</t>
  </si>
  <si>
    <t>Технология ColdGear Infrared поддерживает температуру тела без утяжеления и увеличения объема. Специальный принт на внутренней стороне, который дольше сохраняет тепло, позволяет тренироваться в очень холодную погоду. Технология UA Storm отталкивает воду, не жертвуя воздухопроницаемостью. Утеплитель Allied из утиного пуха плотностью 700 обеспечивает исключительное тепло, производится ответственно и отслеживается по бирке. Подкладка ColdGear Infrared использует мягкое термопроводящее покрытие, которое поглощает и сохраняет тепло вашего тела. Надежные карманы для рук на молнии.</t>
  </si>
  <si>
    <t>серый/синий</t>
  </si>
  <si>
    <t>STORM INSULATE RUN HBD JKT</t>
  </si>
  <si>
    <t>1380868-001</t>
  </si>
  <si>
    <t>Мужская куртка UA Storm Insulate Run Hybrid Jacket разработана для комфорта и защиты в любую погоду. Изготовлена из 100% полиэстера, она оснащена технологией UA Storm, которая отталкивает воду, не жертвуя воздухопроницаемостью. Идеальна для ежедневного использования благодаря инновационным материалам и изоляции. Технология UA Storm надежно защищает от влаги, поддерживая идеальный баланс между воздухопроницаемостью и водоотталкиванием.
- Изоляция передней части сохраняет тепло, обеспечивая комфорт при понижении температуры.
- Идеальный крой из полиэстера гарантирует долговечность даже в условиях интенсивного использования.
- Легкий и эргономичный дизайн повышает мобильность, что делает куртку идеальной для активного образа жизни.
- Синтетический утеплитель добавляет слой тепла без увеличения объема, снижая вес куртки.
- Светоотражающие элементы улучшают видимость в условиях низкой освещенности, повышая безопасность.</t>
  </si>
  <si>
    <t>UA Launch Insulated Jacket</t>
  </si>
  <si>
    <t>1380868-587</t>
  </si>
  <si>
    <t>Мужская утепленная беговая куртке Under Armour UA Launch Insulated Jacket предназначена  специально для бега, тренировок на открытом воздухе и повседневного ношения в прохладное время года.
Технология UA Storm отталкивает воду, не жертвуя при этом воздухопроницаемостью, сохраняя сухость.
Прочный тканый материал корпуса сочетается с мягкими, эластичными трикотажными вставками на нижней кромке и манжетах для повышенной мобильности и комфорта.Стратегический синтетический утеплитель плотностью 80 г на передней части обеспечивает легкое тепло без лишнего объема.
Дышащие сетчатые вставки под мышками для дополнительной вентиляции.Материал тянется в четырех направлениях.Свободный крой (Loose fit) для полного комфорта.Надежные карманы для рук на молнии с внутренним медиа-карманом.Светоотражающие детали улучшают видимость в условиях низкой освещенности.Состав: 100% полиэстер; вставки: 88% полиэстер/12% эластан. 
На куртке присутствует фирменный логотип Under Armour.</t>
  </si>
  <si>
    <t>1384641-001</t>
  </si>
  <si>
    <t>LIMITLESS DOWN VEST</t>
  </si>
  <si>
    <t>1384642-110</t>
  </si>
  <si>
    <t>Мужской жилет, коллекция UA Limitless Down предназначен для тренировок на открытом воздухе, бега и повседневного ношения в прохладную и холодную погоду. Он разработан для обеспечения максимального тепла без лишнего объема.
Водоотталкивающее покрытие отталкивает воду, не жертвуя при этом воздухопроницаемостью, сохраняя сухость и комфорт.
Высококачественный утиный пух плотностью 700-fill Allied обеспечивает экстремальное тепло.Мягкое термопроводящее покрытие внутри подкладки поглощает и сохраняет собственное тепло тела, позволяя дольше оставаться в тепле.Материал: Прочный корпус из 100% нейлона.
Свободный крой (Loose fit) для полного комфорта.Большие защищенные карманы для рук на молнии и внутренний нагрудный карман.
Регулируемый внутренний низ для надежной посадки.На жилете присутствует фирменный логотип Under Armour.</t>
  </si>
  <si>
    <t>1385837-001</t>
  </si>
  <si>
    <t>1385837-299</t>
  </si>
  <si>
    <t>1385838-299</t>
  </si>
  <si>
    <t>1385839-001</t>
  </si>
  <si>
    <t>UA Unstoppable Anorak</t>
  </si>
  <si>
    <t>1387891-001</t>
  </si>
  <si>
    <t>Анорак</t>
  </si>
  <si>
    <t>Этот анорак всегда на высоте - он сделан из нашей самой техничной ткани, которая отталкивает воду, растягивается, когда вам это нужно, и безумно прочна. А застежка-молния спереди делает его очень удобным для надевания. Технология UA Storm отталкивает воду, не жертвуя воздухопроницаемостью. Легкий, прочный и суперкомфортный тканый материал со стрейчевой структурой 4-Way Stretch отлично тянется во всех направлениях. Надежные карманы для рук на молнии и передний карман с клапаном. Регулируемый низ подола и эластичные манжеты для надежной посадки. Рукава реглан. Используется водоотталкивающая обработка без фтора.</t>
  </si>
  <si>
    <t>UA M Challenger Pro Jkt</t>
  </si>
  <si>
    <t>6004051-001</t>
  </si>
  <si>
    <t>В коллекции UA Challenger вы найдете всю необходимую футбольную экипировку. Эта куртка создана для того, чтобы вам было тепло и вы были готовы ко всему на поле.
Детали:
Технология UA Storm отталкивает воду, не жертвуя воздухопроницаемостью.
Легкая эластичная ткань обеспечивает превосходный комфорт и долговечность.
Материал отводит пот и очень быстро сохнет.
Эластичный материал, растягивающийся в 4 направлениях, обеспечивает лучшую свободу движений.
Надежные боковые карманы на молнии и открытые нагрудные карманы.
Заниженный, фигурный низ для лучшей защиты спины.</t>
  </si>
  <si>
    <t>97% полиэстер, 3% эластан</t>
  </si>
  <si>
    <t>UA Sportswear Ins Jkt</t>
  </si>
  <si>
    <t>6006363-001</t>
  </si>
  <si>
    <t>Эта лёгкая утеплённая куртка обеспечит вам комфорт и позволит сосредоточиться. Она сохраняет тепло, когда слишком холодно, но при этом дышит, чтобы вы не перегрелись, когда становится жарко.
Детали:
Технология UA Storm отталкивает воду, не жертвуя воздухопроницаемостью.
Лёгкий тканый материал обеспечивает непревзойдённый комфорт и долговечность.
Синтетический утеплитель плотностью 80 г по всей длине обеспечивает лёгкость и тепло, не создавая лишнего объёма.
Надежные карманы для рук на молнии.
Регулируемый капюшон, а также эластичные манжеты и нижний край на резинке обеспечивают надёжную посадку.</t>
  </si>
  <si>
    <t>UA Sportswear Ins Vest</t>
  </si>
  <si>
    <t>6006364-001</t>
  </si>
  <si>
    <t>Этот лёгкий утеплённый жилет обеспечит вам комфорт и поможет сосредоточиться. Он сохраняет тепло, когда слишком холодно, но при этом дышит, чтобы вы не перегрелись, когда на улице становится теплее.
Технология UA Storm отталкивает воду, не жертвуя воздухопроницаемостью.
Лёгкий тканый материал обеспечивает непревзойдённый комфорт и долговечность.
Синтетический утеплитель плотностью 80 г по всей поверхности обеспечивает лёгкость и тепло, не создавая лишнего объёма.
Надежные карманы для рук на молнии.
Вшитый эластичный нижний край для надёжной посадки.</t>
  </si>
  <si>
    <t>UA PERFORMANCE TECH MESH - GRAPHIC 6" 3PK</t>
  </si>
  <si>
    <t>6011483-361</t>
  </si>
  <si>
    <t>Трусы (3 шт)</t>
  </si>
  <si>
    <t>Нижнее белье</t>
  </si>
  <si>
    <t>Мужские спортивные трусы-боксеры из мягкой влагоотводящей ткани. Анатомический крой и эластичная поддержка обеспечивают комфорт во время тренировок. Удобная широкая резинка и плоские швы предотвращают натирание.
Мягкий материал с влаговыводящими свойствами
Технология 4-Way Srtetch анатомически повторяет форму тела и обеспечивает максимальный комфорт движения
Эластичный пояс</t>
  </si>
  <si>
    <t>голубой/ черный</t>
  </si>
  <si>
    <t>88% полиэстер, 12% эластан</t>
  </si>
  <si>
    <t>UA PERFORMANCE MESH BOXERS - SOLID 6" 3PK</t>
  </si>
  <si>
    <t>1390498-400</t>
  </si>
  <si>
    <t>Мы создали версию наших UA Performance Tech™ Boxerjock® из сетчатого материала по всей поверхности, чтобы значительно улучшить вентиляцию. Это функциональные боксеры для тренировок.
Невероятно мягкий, дышащий сетчатый материал по всей поверхности для превосходной вентиляции
Швы, не вызывающие натирания
Материал отводит влагу и очень быстро сохнет
Технология контроля запаха уменьшает неприятный запах
Эластичный пояс
Функциональная гульфик с застежкой на пуговицу</t>
  </si>
  <si>
    <t>UA PERFORMANCE TECH MOD - SOLID 6" 3PK</t>
  </si>
  <si>
    <t>6011475-110</t>
  </si>
  <si>
    <t>Трусы Under Armour M PERF TECH 6IN — идеальный выбор для мужчин, ищущих комфорт и поддержку во время фитнеса. В комплекте три пары, выполненные из высококачественного материала с составом 90% полиэстера и 10% эластана. Эта комбинация гарантирует эластичность, прочность и отличный отвод влаги, обеспечивая сухость и комфорт в течение всего дня. Эргономичный дизайн и мягкие швы предотвращают натирание, даря полную свободу движений. Средняя длина 6 дюймов обеспечивает оптимальную посадку и поддержку, делая эти трусы идеальными для занятий спортом и активного отдыха.</t>
  </si>
  <si>
    <t>коричневый/бежевый</t>
  </si>
  <si>
    <t>UA PERFORMANCE TECH - SOLID 6" 3PK</t>
  </si>
  <si>
    <t>1383878-006</t>
  </si>
  <si>
    <t>1383878-477</t>
  </si>
  <si>
    <t>UA PERFORMANCE TECH MESH - PRINT 6" 3PK</t>
  </si>
  <si>
    <t>1383885-024</t>
  </si>
  <si>
    <t>Мы создали версию наших боксеров UA Performance Tech™ Boxerjock® с сетчатой структурой по всей поверхности, чтобы значительно улучшить вентиляцию. Это высокопроизводительные боксеры-брифы, предназначенные для тренировок.
• Невероятно мягкая, дышащая сетчатая ткань по всей поверхности для превосходной вентиляции
• Материал с 4-сторонней растяжкой обеспечивает свободу движений в любом направлении
• Ткань эффективно отводит влагу и очень быстро сохнет
• Эластичный пояс повышенной прочности и отсутствие боковых и задних швов для максимального комфорта
• Технология контроля запаха снижает появление неприятных ароматов
• Удлинённый нижний край ложится ровно и не скручивается — не задирается и не сползает
• Основная часть изделия изготовлена как минимум на 80% из переработанного полиэстера (за исключением отделки и декоративных элементов)
• Функциональная гульфик</t>
  </si>
  <si>
    <t>UA PURE STRETCH NO SHOW THONG -PRINT 3PK</t>
  </si>
  <si>
    <t>1383894-466</t>
  </si>
  <si>
    <t>Женские бесшовные стринги с мягким эластичным материалом и комфортной посадкой. Незаметны под одеждой и идеально подходят для активного дня. Упаковка: 3 штуки</t>
  </si>
  <si>
    <t>черный/зеленый/синий</t>
  </si>
  <si>
    <t>76% полиамид, 24% эластан</t>
  </si>
  <si>
    <t>PS Hipster 3Pack</t>
  </si>
  <si>
    <t>1325616-001</t>
  </si>
  <si>
    <t>Трусы</t>
  </si>
  <si>
    <t>Супермягкая эластичная ткань обеспечивает превосходный комфорт в течение всего дня для любой деятельности. Технология Anti-odor предотвращает появление неприятного запаха.</t>
  </si>
  <si>
    <t>68% нейлон;32% эластан</t>
  </si>
  <si>
    <t>UA PERFORMANCE TECH - SOLID 6"</t>
  </si>
  <si>
    <t>1383849-001</t>
  </si>
  <si>
    <t>M UA PERF TECH 6IN</t>
  </si>
  <si>
    <t>1383878-001</t>
  </si>
  <si>
    <t>1383878-003</t>
  </si>
  <si>
    <t>1383878-035</t>
  </si>
  <si>
    <t>1383878-044</t>
  </si>
  <si>
    <t>серый/красный/синий</t>
  </si>
  <si>
    <t>1383878-400</t>
  </si>
  <si>
    <t>Боксеры Under Armour UA Performance Tech™ 6" Boxerjock (3 шт.).Предназначены для интенсивных тренировок и активного образа жизни. Они обеспечивают максимальный комфорт и функциональность благодаря легкой, прочной и дышащей ткани, которая сохраняет прохладу. 
 Невероятно легкая, мягкая и прочная ткань с зонами из дышащей сетки для вентиляции там, где это больше всего необходимо. Основная часть состоит как минимум на 90% из переработанного полиэстера и 10% эластана. Материал отводит пот от тела и очень быстро сохнет. Конструкция из ткани, растягивающейся в 4 направлениях, обеспечивает лучшую мобильность в любом направлении. Предотвращает рост вызывающих запах микробов, обеспечивая свежесть. Отсутствие боковых и задних швов для максимального комфорта и предотвращения натирания. Эластичный пояс Performance с металлизированным логотипом, который не скатывается. Длина внутреннего шва 6 дюймов (примерно 15 см). Облегающий крой (Fitted), не слишком тугой и не слишком свободный.Комплектация: Поставляется в комплекте из 3-х штук. 
Эти боксеры сочетают в себе высокую прочность и функциональные свойства спортивной одежды Under Armour, обеспечивая отличную вентиляцию и быстрое высыхание. Покупатели хвалят их за исключительный комфорт, посадку и качество.</t>
  </si>
  <si>
    <t>UA PERFORMANCE TECH-CAMO SUB</t>
  </si>
  <si>
    <t>1383879-001</t>
  </si>
  <si>
    <t>Чрезвычайно легкий, мягкий и прочный материал с вставками из дышащей сетки в зонах, где требуется максимальная вентиляция
Отсутствие боковых и задних швов для исключительного комфорта
Материал с четырёхсторонним растяжением обеспечивает свободу движений в любом направлении
Ткань эффективно отводит пот и очень быстро сохнет
Технология контроля запахов снижает образование неприятных ароматов в нижнем белье
Эластичный пояс для плотной и комфортной посадки
Удлинённый край изделия, который лежит ровно и не сползает — никакого скручивания или задирания вверх</t>
  </si>
  <si>
    <t>UA PERF TECH - SOLID 6 IN 3PK</t>
  </si>
  <si>
    <t>1383879-392</t>
  </si>
  <si>
    <t>UA PERFORMANCE TECH - NOVELTY 6" 3PK</t>
  </si>
  <si>
    <t>1383879-498</t>
  </si>
  <si>
    <t>серый/черный/синий</t>
  </si>
  <si>
    <t>M UA PERF TECH 3IN</t>
  </si>
  <si>
    <t>1383882-001</t>
  </si>
  <si>
    <t>Трусы Under Armour M PERF TECH 3IN — отличный выбор для мужчин, стремящихся к максимальному комфорту и поддержке во время фитнеса. В упаковке три пары, изготовленные из качественного материала: 90% полиэстера и 10% эластана. Это обеспечивает прочность, эластичность и отличное отведение влаги, что помогает сохранять сухость и свежесть. Благодаря эргономичному дизайну и мягким швам эти трусы предотвращают натирания и обеспечивают свободу движений. Длина 3 дюйма обеспечивает оптимальную посадку и поддержку, делая их идеальными для спортивных занятий и активного образа жизни.</t>
  </si>
  <si>
    <t>1383882-035</t>
  </si>
  <si>
    <t>M UA PERF TECH NOV 3IN</t>
  </si>
  <si>
    <t>1383883-001</t>
  </si>
  <si>
    <t>Трусы Under Armour (3 пары) – идеальный выбор для мужчин, ведущих активный образ жизни. Модель M Ua Perf Tech Nov 3In разработана специально для занятий фитнесом и обеспечивает максимальный комфорт и свободу движений. Эти трусы выполнены из высококачественного материала, состоящего на 90% из полиэстера и на 10% из эластана, что обеспечивает отличную эластичность и прочность. Технология отвода влаги позволяет сохранять кожу сухой даже при интенсивных нагрузках, а эргономичный крой предотвращает натирание и обеспечивает наилучшую посадку. Эластичный пояс надежно фиксирует изделие на месте, обеспечивая дополнительный комфорт.</t>
  </si>
  <si>
    <t>UA PERFORMANCE TECH MESH - SOLID 6" 3PK</t>
  </si>
  <si>
    <t>1383884-006</t>
  </si>
  <si>
    <t>Трусы Under Armour PERFORMANCE TECH MESH — это идеальный выбор для мужчин, ценящих комфорт и поддержку во время тренировок. В комплекте три пары, изготовленные из высококачественного материала с содержанием 88% полиэстера и 12% эластана, что обеспечивает эластичность и долговечность. Технология сетчатой структуры улучшает вентиляцию, эффективно отводя влагу и сохраняя свежесть. Эргономичный дизайн и мягкие швы предотвращают натирания, обеспечивая свободу движений. Эти трусы идеально подходят для спорта и активного отдыха, даря комфорт и уверенность в каждой тренировке.</t>
  </si>
  <si>
    <t>UA PERFORMANCE COTTON-SOLID</t>
  </si>
  <si>
    <t>1383889-001</t>
  </si>
  <si>
    <t>Трусы Under Armour PERFORMANCE COTTON-SOLID разработаны специально для мужчин, ведущих активный образ жизни и занимающихся спортом. В комплект входят три пары, выполненные из высококачественной комбинации материалов: 57% хлопок, 38% полиэстер и 5% эластан. Эта смесь обеспечивает превосходную прочность и комфорт. Натуральный хлопок обеспечивает мягкость на ощупь, полиэстер активно отводит влагу, поддерживая кожу сухой, а эластан дарит изделию эластичность и отличную посадку. Трусы быстро сохнут и сохраняют форму даже после многократных стирок, что делает их идеальными для ежедневных тренировок и повседневной носки.</t>
  </si>
  <si>
    <t>57% хлопок, 38% полиэстер, 5% эластан</t>
  </si>
  <si>
    <t>1383889-005</t>
  </si>
  <si>
    <t>UA PERFORMANCE COTTON - SOLID 6" 3PK</t>
  </si>
  <si>
    <t>1383889-006</t>
  </si>
  <si>
    <t>57% хлопок, 38% полиэстер, 5% спандекс</t>
  </si>
  <si>
    <t>1383889-025</t>
  </si>
  <si>
    <t>серый/красный/черный</t>
  </si>
  <si>
    <t>1383889-035</t>
  </si>
  <si>
    <t>1383889-100</t>
  </si>
  <si>
    <t>Боксеры Under Armour UA Performance Cotton 6" Boxerjock (3 шт.), мужские.
Предназначены для повседневной носки, а также могут использоваться для спортивных тренировок (например, бега или фитнеса), поскольку сочетают комфорт хлопка с функциональными свойствами спортивной одежды. Сверхмягкая смесовая хлопковая ткань (57% хлопок, 38% полиэстер, 5% эластан), которая приятна к телу, но при этом сохнет гораздо быстрее, чем обычный хлопок. Материал эффективно отводит пот от тела и быстро сохнет.
 Конструкция из ткани, растягивающейся в 4 направлениях, обеспечивает лучшую мобильность в любом направлении. Предотвращает рост вызывающих запах микробов, обеспечивая свежесть. Отсутствие боковых и задних швов для максимального комфорта и предотвращения натирания.
 Эластичный пояс Performance, который сохраняет форму. Длина внутреннего шва 6 дюймов (примерно 15 см). Облегающий крой (Fitted), повторяющий контуры тела без эффекта компрессии.Поставляется в комплекте из 3-х штук. 
Эти боксеры сочетают в себе мягкость хлопка с функциональными свойствами спортивной одежды Under Armour, обеспечивая комфорт, воздухопроницаемость и быстрое высыхание. Они идеально подходят для активного образа жизни и высоко ценятся покупателями за отличную посадку и отсутствие натирания.</t>
  </si>
  <si>
    <t>1383889-410</t>
  </si>
  <si>
    <t>UA PERFORMANCE COTTON - PRINT 6" 3PK</t>
  </si>
  <si>
    <t>1383890-392</t>
  </si>
  <si>
    <t>черный/зеленый</t>
  </si>
  <si>
    <t>1383891-001</t>
  </si>
  <si>
    <t>Трусы Under Armour PERFORMANCE COTTON-SOLID, предназначенные для мужчин, идеально подойдут для фитнес-тренировок и активного образа жизни. В набор входят три пары, каждая из которых выполнена из комбинации материалов: 57% хлопок, 38% полиэстер и 5% эластан. Благодаря этому сочетанию они обладают мягкостью, прочностью и высокой эластичностью. Хлопок обеспечивает комфорт и приятные ощущения на коже, полиэстер эффективно отводит влагу, а эластан гарантирует удобную посадку и свободу движений. Эти трусы быстро сохнут и сохраняют свою форму даже после частых стирок, предлагая идеальное сочетание комфорта и функциональности для ежедневного использования и занятий спортом.</t>
  </si>
  <si>
    <t>1383891-005</t>
  </si>
  <si>
    <t>UA PERFORMANCE COTTON - SOLID 3" 3PK</t>
  </si>
  <si>
    <t>1383891-006</t>
  </si>
  <si>
    <t>1383891-025</t>
  </si>
  <si>
    <t>UA PERFORMANCE CTTN PRINT 3 IN</t>
  </si>
  <si>
    <t>1383892-391</t>
  </si>
  <si>
    <t>Under Armour UA Performance Cttn Print 3-Pack  — набор из трёх комфортных хлопковых трусов, созданных для повседневной носки и активного образа жизни. Благородный хлопок обеспечивает мягкость и хорошую вентиляцию, оставаясь комфортным даже при длительном ношении. Эргономичный крой обеспечивает надёжную посадку и свободу движений. Практичный комплект на каждый день — удобный, дышащий и мягкий.</t>
  </si>
  <si>
    <t>UA PURE STRETCH NO SHOW THONG -SOLID 3PK</t>
  </si>
  <si>
    <t>1383893-009</t>
  </si>
  <si>
    <t>Комплект женских бесшовных стрингов с комфортной посадкой и минималистичным дизайном. Средняя посадка на бедрах (mid-rise) — комфортно и практично для тренировок и повседневной носки. Практически не видны под одеждой, идеально подходят для активного дня.
Особенности:
Тонкая и лёгкая ткань 4 сторонний стрейч (4-way stretch) — идеально адаптируется к телу и не ограничивает движения
Технологии отведения влаги и контроля запаха — сохраняют ощущение сухости и свежести даже во время активностей 
Бесшовный дизайн с лазерной обрезкой, без подгибов — формирует гладкий силуэт и не оставляет следов под одеждой 
Без ярлыков (tagless) и с хлопковым ластовицей — минимум раздражения и комфорт при длительной носке
Количество: 3 штуки в упаковке</t>
  </si>
  <si>
    <t>зеленый/бледно-красный</t>
  </si>
  <si>
    <t>90% Переработанный полиэстер, 10% Эластан</t>
  </si>
  <si>
    <t>UA PURE STRETCH NO SHOW HIPSTER-SOLID 3PK</t>
  </si>
  <si>
    <t>1383895-001</t>
  </si>
  <si>
    <t>Лёгкие женские трусы‑хипстеры, создающие ощущение “второй кожи”. Благодаря отсутствию швов и лазерной обработке краёв, они практически не заметны под одеждой. Материал с четырёхсторонней растяжимостью обеспечивает свободу движений и комфорт в течение всего дня. Особенности включают мягкую хлопковую ластовицу, бесшовную конструкцию (tagless) и технологию подавления запаха — идеальные для спорта и повседневной активности.</t>
  </si>
  <si>
    <t>76% полиамида, 24% эластана</t>
  </si>
  <si>
    <t>1383895-681</t>
  </si>
  <si>
    <t>розовы/красный/черный</t>
  </si>
  <si>
    <t>UA PURE STRETCH NO SHOW BIKINI-SOLID 3PK</t>
  </si>
  <si>
    <t>1383897-001</t>
  </si>
  <si>
    <t>Ультратонкие женские трусы-бикини с посадкой средней высоты. Бесшовная конструкция и лазерная обработка краёв делают их практически невидимыми под одеждой. Лёгкий и эластичный материал с растяжением в четырёх направлениях обеспечивает комфорт, свободу движений и идеальную посадку. Мягкая хлопковая ластовица и отсутствие ярлыков обеспечивают удобство на весь день. Подходят как для тренировок, так и для повседневной носки.</t>
  </si>
  <si>
    <t>UA PURE STRETCH NO SHOW BIKINI</t>
  </si>
  <si>
    <t>1383898-622</t>
  </si>
  <si>
    <t>UA PERFORMANCE TECH MESH - GRAPHIC 6" "ENERGY SINGLES"</t>
  </si>
  <si>
    <t>1388624-290</t>
  </si>
  <si>
    <t>Невероятно мягкий, дышащий сетчатый материал по всей поверхности изделия для превосходной вентиляции
Эластичный материал с растяжением в 4 направлениях обеспечивает свободу движений в любую сторону
Ткань эффективно отводит влагу и очень быстро сохнет
Функциональный пояс и отсутствие боковых и задних швов для максимального комфорта
Технология контроля запаха снижает появление неприятных запахов в нижнем белье
Удлинённая нижняя кромка лежит ровно и не сдвигается — не закручивается и не поднимается
Формованная гульфик-вставка, декоративная застёжка (не расстёгивается)</t>
  </si>
  <si>
    <t>1390498-001</t>
  </si>
  <si>
    <t>6011483-001</t>
  </si>
  <si>
    <t>UA PERFORMANCE TECH - GRAPHIC 6" 3PK</t>
  </si>
  <si>
    <t>6012789-425</t>
  </si>
  <si>
    <t>Мы взяли нашу технологию отведения влаги и охлаждения и создали лучшее мужское белье на рынке. Наши боксеры обеспечивают ощущение прохлады, надежно сидят и дарят посадку без отвлечения внимания — облегающую, но не тесную.
Невероятно легкая, мягкая и износостойкая ткань с дышащими сетчатыми вставками для вентиляции именно там, где это нужнее всего
Материал с 4-сторонней растяжкой для свободы движений в любом направлении
Ткань отводит пот и очень быстро сохнет
Эластичный пояс и отсутствие боковых и задних швов для максимального комфорта
Технология контроля запаха уменьшает неприятный запах
Удлиненная нижняя кромка лежит ровно и не подворачивается — не скатывается и не задирается
Основная часть изделия изготовлена как минимум на 90% из переработанного полиэстера (без учета отделки и декоративных элементов)
Функциональный гульфик</t>
  </si>
  <si>
    <t>Y UA Performance Tech 3pk NS</t>
  </si>
  <si>
    <t>1379519-001</t>
  </si>
  <si>
    <t>Носки (3 пары)</t>
  </si>
  <si>
    <t>Носки и гетры</t>
  </si>
  <si>
    <t>Ультратонкая, легкая конструкция, которая почти не ощущается. Материал отводит пот и быстро сохнет. Сетчатые панели на передней части стопы для дополнительной воздухопроницаемости. Встроенный супинатор уменьшает усталость стопы.</t>
  </si>
  <si>
    <t>26-31</t>
  </si>
  <si>
    <t>31-36</t>
  </si>
  <si>
    <t>36-39</t>
  </si>
  <si>
    <t>1379519-100</t>
  </si>
  <si>
    <t>Y UA Perform Tech 3p Crew</t>
  </si>
  <si>
    <t>1379521-001</t>
  </si>
  <si>
    <t>Это не просто старые носки. Они сохранят ваши ноги прохладными. Они дают вам поддержку свода стопы. Это носки, созданные для спортсменов. Прочный материал впитывает пот и очень быстро сохнет. Новая конструкция Locked-In Fit надежно удерживает носок на пятке, не допуская регулировки. Средняя амортизация по всей стопе для комфорта и защиты. Сетчатые вставки в верхней части стопы для дополнительной воздухопроницаемости. Встроенная поддержка свода стопы помогает снизить усталость ног.</t>
  </si>
  <si>
    <t>1379521-100</t>
  </si>
  <si>
    <t>UA Yth Essential No Show 6pk</t>
  </si>
  <si>
    <t>1382610-004</t>
  </si>
  <si>
    <t>Носки (6 пар)</t>
  </si>
  <si>
    <t>Ультратонкая, легкая конструкция, которая не ощущается на ноге. Материал отводит пот и быстро сохнет. Сетчатые панели на передней части стопы обеспечивают дополнительную воздухопроницаемость. Встроенная поддержка свода снижает усталость стопы.</t>
  </si>
  <si>
    <t>черный/серый/белый</t>
  </si>
  <si>
    <t>UA Breathe Lite Ultra Low 3p</t>
  </si>
  <si>
    <t>1370075-100</t>
  </si>
  <si>
    <t>Универсальные легкие носки специально разработаны для женской стопы. Задний язычок предотвращает сползание носков, а передний комфортный язычок защищает от надавливания шнурков. Эластичные нити повторяют форму стопы для комфортной посадки. Мягкий материал впитывает влагу и очень быстро высыхает. Технология Anti-Odor помогает предотвратить появление дискомфорта. Дышащая сетка в верхней части стопы для улучшенной воздухопроницаемости. Энерговозвратная амортизация в стельке обеспечивает защиту в зонах сильного удара. Встроеная поддержка свода стопы снижает уровень усталости.</t>
  </si>
  <si>
    <t>92% полиэстер, 8% эластан</t>
  </si>
  <si>
    <t>34-36</t>
  </si>
  <si>
    <t>UA Performance Tech 3pk NS</t>
  </si>
  <si>
    <t>1379503-001</t>
  </si>
  <si>
    <t>Прочный материал впитывает пот и очень быстро сохнет. Конструкция Locked-In Fit надежно удерживает носок на пятке. Амортизация по всей стопе для комфорта и защиты. Сетчатые вставки в верхней части стопы для дополнительной воздухопроницаемости. Встроенная поддержка свода стопы помогает снизить усталость ног.</t>
  </si>
  <si>
    <t>37-41</t>
  </si>
  <si>
    <t>UA Performance Tech 3pk Low</t>
  </si>
  <si>
    <t>1379504-001</t>
  </si>
  <si>
    <t>Это не просто носки. Они сохраняют твои ноги в прохладе и поддерживают суставы. Они даже имеют технологию против запаха. Эти носки созданы для спортсменов. Прочный материал отводит пот и быстро сохнет. Новая конструкция Locked-In Fit надежно фиксирует носок на пятке, не требуя дополнительной регулировки. Средняя амортизация по всей стопе для комфорта и защиты. Сетчатые панели на верхней части стопы для дополнительной воздухопроницаемости. Встроенный супинатор помогает уменьшить усталость стопы.</t>
  </si>
  <si>
    <t>1379504-100</t>
  </si>
  <si>
    <t>UA Performance Tech 3pk Qtr</t>
  </si>
  <si>
    <t>1379510-011</t>
  </si>
  <si>
    <t>Ткань HeatGear® отводит пот с кожи, сохраняя прохладу, сухость и легкость.
Технология защиты от запаха предотвращает рост вызывающих неприятный запах микробов.
Динамическая поддержка свода стопы помогает снизить усталость ног.
Стратегическая подушка уменьшает объем, обеспечивает гибкость и воздухопроницаемость.
Сетчатые вставки для дополнительной воздухопроницаемости.</t>
  </si>
  <si>
    <t>41-45</t>
  </si>
  <si>
    <t>UA Performance Tech 3pk Crew</t>
  </si>
  <si>
    <t>1379512-001</t>
  </si>
  <si>
    <t>46-49</t>
  </si>
  <si>
    <t>1379512-011</t>
  </si>
  <si>
    <t>Носки Under Armour Performance Tech 3pk Crew — универсальное решение для повседневного комфорта и активности. В комплекте три пары, подходящих для любого пола благодаря унисекс-дизайну. Они изготовлены из высококачественного материала, содержащего 98% полиэстера и 2% эластана, что обеспечивает долговечность, эластичность и отличную воздухопроницаемость. Эти носки эффективно отводят влагу, сохраняя ваши ноги сухими и свежими весь день. Мягкие швы предотвращают натирание, обеспечивая максимальный комфорт. Идеальны для носки на каждый день, а также для занятий спортом и активного отдыха.</t>
  </si>
  <si>
    <t>серый/белый/черный</t>
  </si>
  <si>
    <t>1379512-100</t>
  </si>
  <si>
    <t>Носки Under Armour Golf Performance Tech Crew - 3 шт. в упаковке.
- Ткань HeatGear® отводит пот с кожи, сохраняя прохладу, сухость и легкость.
- Технология предотвращения запаха предотвращает рост микробов, вызывающих запах.
- Динамическая поддержка свода стопы помогает снизить усталость ног.
- Стратегическая амортизация уменьшает объем, обеспечивает гибкость и воздухопроницаемость.
- Сетчатые панели для дополнительной воздухопроницаемости</t>
  </si>
  <si>
    <t>UA Perf Tech Nov 3pk Crew</t>
  </si>
  <si>
    <t>1379515-002</t>
  </si>
  <si>
    <t>Носки Under Armour UA Perf Tech Nov 3pk Crew — это сочетание передовых технологий, комфорта и надежности, созданное специально для активного образа жизни. В набор входят три пары носков, которые обеспечат вам долговременную поддержку и удобство на протяжении всего дня, будь то тренировки, пробежки или повседневные задачи.
Эти носки выполнены из высококачественного материала с отличными влагоотводящими свойствами, что гарантирует вашим ногам сухость и комфорт даже при интенсивных физических нагрузках. Технология отвода влаги не только помогает быстро справиться с потоотделением, но и предотвращает образование неприятных запахов благодаря антибактериальной обработке.
Длина Crew обеспечивает дополнительную защиту и поддержку голеностопа, а усиленная пятка и носок повышают износостойкость и долговечность носков. Эластичная манжета надежно фиксирует носки на ноге, предотвращая их соскальзывание и скатывание.
Особое внимание уделено амортизации и поддержке — стратегически размещенные зоны с дополнительной подкладкой обеспечивают превосходный комфорт и снижают нагрузку на ногу при движении. Сетчатые вставки способствуют лучшей вентиляции, поддерживая оптимальную температуру в любой ситуации.
Дизайн носков Under Armour UA Perf Tech Nov 3pk Crew отличается стильным и лаконичным видом, что делает их универсальным выбором, хорошо сочетающимся с различной спортивной и повседневной обувью.
Эти носки станут незаменимым элементом вашего гардероба, предоставляя комфорт, надежность и стиль, на которые можно положиться как в спорте, так и в повседневной жизни.</t>
  </si>
  <si>
    <t>UA Essential No Show 6pk</t>
  </si>
  <si>
    <t>1382611-001</t>
  </si>
  <si>
    <t>•   Ультратонкая и легкая конструкция, которая практически не ощущается
•   Материал отводит пот и очень быстро сохнет.
•   Сетчатые панели на передней части стопы для дополнительной воздухопроницаемости
•   Встроенная поддержка свода стопы снижает усталость стопы
•   Подогнанная пятка повторяет контуры стопы для лучшей посадки</t>
  </si>
  <si>
    <t>35-37</t>
  </si>
  <si>
    <t>1382611-100</t>
  </si>
  <si>
    <t>UA Magnetico Pocket 1pk OTC</t>
  </si>
  <si>
    <t>1385176-731</t>
  </si>
  <si>
    <t>Гетры</t>
  </si>
  <si>
    <t>Гетры Under Armour Magnetico Pocket 1pk OTC созданы для мужчин, занимающихся футболом, обеспечивают комфорт и поддержку на поле. Они состоят из 54% полиэстера, 42% нейлона и 4% эластана, что обеспечивает прочность и эластичность. Технология отвода влаги позволяет сохранять ноги сухими даже при интенсивных нагрузках, а дышащие материалы улучшают циркуляцию воздуха. Дизайн с карманом добавляет функциональности и стиля. Эргономичная посадка и прочные швы гарантируют длительный срок службы и максимальное удобство. Эти гетры — идеальный выбор для тех, кто ценит качество и высокие спортивные результаты.</t>
  </si>
  <si>
    <t>желтый</t>
  </si>
  <si>
    <t>54% полиэстер, 42% нейлон, 4% эластан</t>
  </si>
  <si>
    <t>Unisex UA Perf Tech 6pk Crew</t>
  </si>
  <si>
    <t>1386242-003</t>
  </si>
  <si>
    <t>Это не просто обычные носки. Они сохраняют ваши ноги прохладными. Они обеспечивают поддержку свода стопы. Это носки, созданные для спортсменов.
• Прочный материал отводит влагу и очень быстро сохнет
• Новый дизайн Locked-In Fit надёжно фиксирует носок на пятке, обеспечивая посадку без необходимости поправок
• Средняя амортизация по всей стопе для комфорта и защиты
• Сетчатые вставки на верхней части стопы для дополнительной вентиляции
• Встроенная поддержка свода стопы помогает снизить усталость ног</t>
  </si>
  <si>
    <t>1386242-011</t>
  </si>
  <si>
    <t>1386242-101</t>
  </si>
  <si>
    <t>UA BCL AD Run Cushion 3pk NS</t>
  </si>
  <si>
    <t>1387044-001</t>
  </si>
  <si>
    <t>Эти носки выходят на новый уровень благодаря легкости и воздухопроницаемости, но одновременно обеспечивают поддержку стопы. Материал отводит пот и быстро сохнет.</t>
  </si>
  <si>
    <t>Womens UA Breathe 3pk NS Tab</t>
  </si>
  <si>
    <t>1387052-001</t>
  </si>
  <si>
    <t>UA BCL Lite 1pk NS</t>
  </si>
  <si>
    <t>6009333-731</t>
  </si>
  <si>
    <t>Носки</t>
  </si>
  <si>
    <t>Мы усовершенствовали нашу пряжу и создали наши самые быстросохнущие носки. Материал равномерно распределяет влагу и ускоряет её испарение, чтобы вы дольше оставались прохладными и сухими во время бега.
Особенности:
Сверхлегкая, быстросохнущая пряжа с шелковисто-мягкими тактильными ощущениями, которая отводит пот и сохраняет прохладу и сухость во время бега
Благодаря плотной посадке носки надежно фиксируются на пятке и не сползают
Сетчатые вставки сверху и снизу стопы для обеспечения воздухопроницаемости и легкости в ключевых зонах
Встроенная поддержка средней части стопы
Технология контроля запаха для более комфортной носки
Бесшовный мысок для максимального комфорта и снижения трения
Концепция «левый/правый» со специальной формой и конструкцией
Светоотражающий логотип для пробежек в условиях плохой освещенности</t>
  </si>
  <si>
    <t>93% полиэстер, 7% эластан</t>
  </si>
  <si>
    <t>UA W FLOW BREAKTHRU 4</t>
  </si>
  <si>
    <t>3026641-113</t>
  </si>
  <si>
    <t>Кроссовки</t>
  </si>
  <si>
    <t>Обувь для спорта</t>
  </si>
  <si>
    <t>Дышащий верх UA IntelliKnit с накладками из синтетической кожи.
3D-формованная стелька с низкой степенью сжатия обеспечивает лучший возврат энергии.
Технология амортизации UA Flow обеспечивает улучшенный отскок и поддержку сцепления.
Прочная подошва UA Flow для максимального сцепления.</t>
  </si>
  <si>
    <t>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t>
  </si>
  <si>
    <t>белый/золотой</t>
  </si>
  <si>
    <t>верх: 51% кожа, 49% текстиль, подкладка: текстиль, подошва: 100% этиленвинилацетат (ЭВА)</t>
  </si>
  <si>
    <t>5,5</t>
  </si>
  <si>
    <t>UA W Charged Impulse 3-PPL</t>
  </si>
  <si>
    <t>3025427-500</t>
  </si>
  <si>
    <t>UA W Charged Impulse 3 - кроссовки, которые помогут воплотить в жизнь ваши самые смелые спортивные цели. Они обладают максимальной амортизацией и удобством для более продолжительных и эффективных тренировок. Кроссовки имеют прочную и легкую конструкцию, которая поддерживает вашу ногу в течение всего дня. Технология Charged Cushioning в этих кроссовках обеспечивает исключительную амортизацию и отзывчивость, а также защищает ваши суставы от повреждений при интенсивных тренировках. Кроме того, имеются дополнительные вставки из перфорированной сетки в верхней части, которые обеспечивают дополнительную вентиляцию.
Продуманный и современный дизайн безусловно привлечет внимание окружающих и добавит дополнительный стиль вашему образу. Кроссовки UA W Charged Impulse 3 - это лучший выбор для тех, кто ищет долговечность, комфорт и высокую функциональность во время своих тренировок.</t>
  </si>
  <si>
    <t>UA Charged Cushioning. Технология амортизации кроссовок поглощает удар при каждом шаге и обеспечивает непревзойденный уровень комфорта при длительном беге.</t>
  </si>
  <si>
    <t>62% текстиль, 38% синтетическое волокно, подошва: 100% резина</t>
  </si>
  <si>
    <t>6,5</t>
  </si>
  <si>
    <t>UA W Charged Pursuit 3</t>
  </si>
  <si>
    <t>3024889-111</t>
  </si>
  <si>
    <t>Беговые кроссовки UA W Charged Pursuit 3  выполнены из износостойкой и легкой синтетической сетчатой ткани. Конструкция плотно прилегающего язычка Вurrito обеспечивает точную посадку и эффективную поддержку среднего отдела стопы. Внешний задник гарантирует поддержку и блокировку низкой платформы, благодаря средней вставке из гладкого трикотажа стопа ощущает себя комфортно, а свод стопы надежно поддерживается с учетом индивидуальных особенностей. Стелька 4D Foam принимает форму ступни, снижает вероятность проскальзывания и обеспечивает идеальное удобство при носке. Промежуточная подошва Charged Cushioning гарантирует идеальную амортизацию. Не оставляющая следов резиновая подошва во всю стопу повышает износостойкость, гарантирует оптимальное сцепление и поддержку.ичную амортизацию во время бега.</t>
  </si>
  <si>
    <t>Верх: 86% текстиль, 14% синтетический материал~Подошва: 70% резина, 30% этиленвинилацетат (ЭВА)</t>
  </si>
  <si>
    <t>3024889-001</t>
  </si>
  <si>
    <t>верх: 86% текстиль, 14% синтетический материал, подкладка: текстиль, подошва: 70% резина, 30% ЭВА</t>
  </si>
  <si>
    <t>6</t>
  </si>
  <si>
    <t>UA Charged Pursuit 3 BL</t>
  </si>
  <si>
    <t>3026518-400</t>
  </si>
  <si>
    <t>Кроссовки UA Charged Pursuit 3 от Under Armour предлагают исключительный комфорт и поддержку для спортсменов, стремящихся к максимальным достижениям. Эта модель выполнена в классическом цвете и изготовлена из 86% текстиля и 14% полиэстера. Технология Charged Cushioning обеспечивает превосходную амортизацию и возврат энергии, позволяя сохранять высокий уровень производительности весь день. Легкий сетчатый верх способствует отличной вентиляции и поддерживает оптимальное прилегание. Защитные усиления в ключевых зонах гарантируют долговечность и износостойкость, увеличивая срок службы обуви. Подъязычник и воротник с мягкой подкладкой добавляют комфорта и предотвращают натирание, обеспечивая непрерывный комфорт при каждом шаге.
- Технология Charged Cushioning в UA Charged Pursuit 3 обеспечивает энергоэффективную амортизацию, увеличивая производительность атлета и снижая его утомляемость.
- Легкий сетчатый верх из текстиля максимизирует вентиляцию, сохраняя прохладу и комфорт при самых активных нагрузках.
- Усиления в контактных зонах подошвы улучшили износостойкость, продлевая срок службы спортивных кроссовок.
- Инновационная структура поддержки адаптируется к естественному движению стопы, предотвращая дискомфорт и усталость.
- Подъязычник и воротник с мягкой подкладкой обеспечивают непрерывный комфорт, защищая от натираний.</t>
  </si>
  <si>
    <t>верх: 100% текстиль, подкладка: текстиль, подошва: 70% резина,30% этиленвинилацетат (эва)</t>
  </si>
  <si>
    <t>UA W HOVR Sonic 6</t>
  </si>
  <si>
    <t>3026128-003</t>
  </si>
  <si>
    <t>Знакомьтесь с новым прорывом в мире функциональной обуви – кроссовки UA W HOVR Sonic 6! Эти кроссовки – ваш идеальный партнер для бега, который обеспечит несравненный комфорт и поддержку на каждом шагу.
Инновационная технология UA HOVR обеспечивает невероятное ощущение "нулевой гравитации" под ногами, снижает нагрузку на стопу и обеспечивает возврат энергии, что помогает вам бежать эффективнее и увереннее. С каждым шагом вы ощутите, как энергия возвращается, подталкивая вас вперед.
Эти кроссовки не просто обеспечивают комфорт, они также символизируют стиль и инновационность. Сетчатый верх обеспечивает отличную вентиляцию и удерживает форму, а уникальная система шнуровки гарантирует плотное и комфортное облегание стопы.
Разработанные с учетом потребностей активных женщин, UA W HOVR Sonic 6 сочетают в себе элегантность и технологичность. Использование половинчатого воротника и язычка для надежности и удобства при надевании, а также встроенные элементы для стабилизации стопы делают их идеальным выбором для серьезных бегунов и тех, кто ценит комфорт и поддержку.
Подошва с уникальным рисунком обеспечивает отличное сцепление с любой поверхностью, позволяя вам уверенно двигаться по асфальту или тропам. А благодаря стильному дизайну и множеству цветовых решений, эти кроссовки станут вашим фаворитом не только во время занятий спортом, но и в повседневной жизни.
С кроссовками UA W HOVR Sonic 6 каждый ваш бег превращается в стремление к совершенству. Это не просто кроссовки – это стимул для вашего личного рекорда и повседневного комфорта. Впустите будущее бега в свою жизнь уже сегодня!</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</si>
  <si>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</si>
  <si>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верх 87% текстиль, 13% синтетика, подкладка текстиль, подошва резина</t>
  </si>
  <si>
    <t>UA W Charged Rogue 3 Storm</t>
  </si>
  <si>
    <t>3025524-002</t>
  </si>
  <si>
    <t>Премьера сезона – кроссовки UA W Charged Rogue 3 Storm, созданные командой Under Armour, чтобы заставить каждую непогоду отступить перед вашей решимостью. Сочетание динамичного дизайна, передовых технологий и беспрецедентной стойкости к элементам – вот что делает эти кроссовки непреодолимым выбором для спортсменок, жаждущих превзойти самих себя.
Погода больше не проблема: Проектировавшиеся с технологией UA Storm, этот чудо-кроссовок обеспечивает водонепроницаемую защиту, сохраняя ноги сухими и комфортными даже в самый ливневый день.
Высокие энергетические показатели: Заряженные вставки Charged Cushioning в средней подошве гарантируют отличное энерговозвращение и оптимальное смягчение, взрывая каждый шаг необходимым ресурсом для длительных тренировок.
Адаптивная поддержка: Легкие, прочные материалы верха кроссовка, сочетающиеся с продуманной системой шнуровки, создают идеальную посадку, которая адаптируется под конкретные движения вашей стопы.
Превосходное сцепление: Прочная резиновая подошва с уникальным рисунком обеспечивает исключительное сцепление с поверхностью, позволяя уверенно покорять мокрые и скользкие дороги.
Дышащий комфорт: Верх кроссовка из сетчатого материала пропускает воздух, регулируя температуру внутри и облегчая каждый пробег, несмотря на влажную погоду.
Элегантность и мощь: В UA W Charged Rogue 3 Storm гармонично сочетается современный дизайн и женственность, подчеркивая ваш стиль и увеличивая уверенность в каждом шаге.
Износостойкость, проверенная временем: Использование качественных материалов и превосходная сборка делают эти кроссовки стойкими к повседневным нагрузкам и износу.
Возьмите в свои руки контроль над маршрутами с UA W Charged Rogue 3 Storm – кроссовки, которые не щадят погодные условия и позволяют вам ускориться до невиданных ранее скоростей. Улучшенный комфорт, стабильность и водонепроницаемость ждут вас в каждом шаге. Для бегуньи, которая требует от своей обуви больше – UA W Charged Rogue 3 Storm предлагают эффективность при любой погоде, совершенное сцепление и стильный внешний вид для безупречных пробежек.</t>
  </si>
  <si>
    <t>верх 51% текстиль, 49% синтетическое волокно, подошва 80% резина, 20% этиленвинилацетат (ЭВА)</t>
  </si>
  <si>
    <t>3024889-500</t>
  </si>
  <si>
    <t>Remix</t>
  </si>
  <si>
    <t>3020194-101</t>
  </si>
  <si>
    <t>Обивка из пполиматериала внутри кроссвок облегает щиколотку и обеспечивает невероятный комфорт. Усиленный задник для лучшей фиксации и поддержки. Подошва из пены EVA для максимального комфорта. Резиновая подошва обеспечивает прочность, надежное сцепление и поддержку. Перепад: 10 мм.</t>
  </si>
  <si>
    <t>70% текстиль;30% резина</t>
  </si>
  <si>
    <t>UA W HOVR Infinite 3 Storm</t>
  </si>
  <si>
    <t>3024233-001</t>
  </si>
  <si>
    <t>Эта модель кроссовок подходит бегунам, которым важен оптимальный баланс гибкости и амортизации. UA HOVR  Infinite 3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расположены глубокие канавки для максимальной гибкости в ключевых областях. Накладки из углеродистой резины под пяткой повышают сцепление с поверхностью и износостойкость. Сверхлегкий сетчатый верх улучшает воздухопроницаемость и обеспечивает надежную поддержку стопы, что особенно важно при беге на скорость. В районе пятки предусмотрен дополнительный внутренний фиксатор, а вырезанная по всей длине стелька из EVA предотвращает соскальзывание и гарантирует максимальный комфорт.</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</si>
  <si>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</si>
  <si>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верх: 85% текстиль, 15% синт.материалы, подкладка: текстиль, подошва: резина</t>
  </si>
  <si>
    <t>UA Charged Maven Trail WP</t>
  </si>
  <si>
    <t>3027206-200</t>
  </si>
  <si>
    <t>Приготовьтесь покорять новые вершины с кроссовками UA Charged Maven Trail WP от Under Armour. Эти кроссовки разработаны специально для любителей активного отдыха на природе и обеспечат вам непревзойденное удобство и надежность даже в самых суровых условиях.
Основные характеристики и технологии:
- Водонепроницаемая мембрана:
  Надежно защищает ваши ноги от влаги, сохраняя их сухими и комфортными независимо от погодных условий. 
- Технология Charged Cushioning®:
  Инновационная амортизирующая технология обеспечивает превосходную поддержку и защиту от ударных нагрузок, делая каждый шаг максимально комфортным.
- Прочная подошва:
  Специально разработанная для трейлов продвинутая протекторная конструкция обеспечивает отличное сцепление с различными поверхностями – от грязи и песка до каменистых тропинок.
- Дышащий верх:
  Верх из сочетания текстиля и синтетических материалов обеспечивает отличную воздухопроницаемость и вентиляцию, предотвращая перегрев ног во время длительных походов.
- Удобная фиксация:
  Система быстрой шнуровки и плотная посадка гарантируют надежную фиксацию стопы, предотвращая скольжение и минимизируя риск травм.
- Легкость конструкции:
  Легкий вес кроссовок позволяет вам чувствовать меньше усталости и больше наслаждаться вашим приключением.
- Стильный дизайн:
  Удобные и функциональные, эти кроссовки также имеют современный дизайн.</t>
  </si>
  <si>
    <t>верх: 56% синт.материалы, 44% текстиль, подкладка: текстиль, подошва: 100% резина</t>
  </si>
  <si>
    <t>UA Infinite Elite 2</t>
  </si>
  <si>
    <t>3028169-100</t>
  </si>
  <si>
    <t>Работаете над выносливостью? Модель UA Infinite Elite создана с использованием самой новой и упругой амортизации UA HOVR+, чтобы ваши ноги оставались свежими во время длительных тренировок. Благодаря этому вы будете готовы к игре и обгоните всех, когда наступит решающий момент.
Верх из технической сетки обеспечивает лёгкость и воздухопроницаемость для комфортных длительных пробежек
Мягкая конструкция язычка и горловины обеспечивает удобство при надевании и точную посадку
Конструкция пятки помогает мягко приземляться, снижает ударную нагрузку и повышает общую устойчивость
Трёхмерная формованная стелька повторяет форму стопы, обеспечивая максимальный комфорт при первом же шаге
Полноразмерная сверхупругая подошва UA HOVR+ уменьшает нагрузку, возвращает энергию и помогает двигаться вперёд
Лёгкая резиновая подошва спроектирована так, чтобы обеспечивать долговечность и упругость в самых важных зонах</t>
  </si>
  <si>
    <t>UA W HOVR Sonic STRT</t>
  </si>
  <si>
    <t>3024370-001</t>
  </si>
  <si>
    <t>Кроссовки, созданные специально для бега на длинные дистанции, которые отличаются прекрасной гибкостью и оптимальной амортизацией. UA W HOVR Sonic STRT оснащены сенсором Record Sensor и подключаются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t>
  </si>
  <si>
    <t>80% синтетический материал, 20% текстиль</t>
  </si>
  <si>
    <t>UA W HOVR Turbulence 2</t>
  </si>
  <si>
    <t>3026525-001</t>
  </si>
  <si>
    <t>Кроссовки Under Armour Hovr Turbulence 2 предназначены для бегунов на длинные дистанции, которым необходима идеальная комбинация амортизации, отскока, долговечности и эффективности.</t>
  </si>
  <si>
    <t>5</t>
  </si>
  <si>
    <t>HOVR DS RIDGE TREK WP</t>
  </si>
  <si>
    <t>3026736-300</t>
  </si>
  <si>
    <t>Отправляйтесь покорять непроходимые тропы с дерзостью и уверенностью в кроссовках HOVR DS Ridge Trek WP – исключительном выборе для истинных искателей приключений и любителей активного отдыха.
Эти мультитеррейновые кроссовки воплощают в себе инженерное искусство Under Armour, предоставляя вам не только защиту и устойчивость, но и передовые технологии для вашего максимального комфорта в ходе долгих походов. С непревзойденной технологией UA HOVR вы ощутите невообразимую легкость и амортизацию, которые делают каждый шаг энергичным и мягким, снижая усталость и улучшая выносливость.
Защищенные от воды благодаря технологии WP (Waterproof), кроссовки HOVR DS Ridge Trek обеспечат надежную защиту ваших ног даже в экстремальных условиях. Водонепроницаемый верх с защитой от проникновения грязи и влаги позволит вам смело ступать туда, где другие не решатся.
Динамичный и агрессивный дизайн подошвы с улучшенной тракцией обеспечит исключительное сцепление с различными поверхностями, давая уверенность в ходе подъемов и спусков. А усиленная конструкция в области носка защитит от травм и ударов при контакте с камнями или корнями.
Кроссовки HOVR DS Ridge Trek WP выполнены с заботой о деталях: от яркой цветовой палитры до функциональных особенностей, таких как подтяжки для легкого надевания и съема. Ваш комфорт и стабильность обеспечиваются продвинутой системой шнуровки и оптимизированной пяткой, которая обеспечит дополнительную поддержку.
Выбор кроссовок HOVR DS Ridge Trek WP – это выражение желания быть свободным и несгибаемым в лице природных испытаний. Побеждайте любые препятствия и открывайте для себя непознанное в обуви, которая разработана для ваших самых замечательных путешествий.</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</si>
  <si>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Waterproof. Водооталкивающий материал.</t>
  </si>
  <si>
    <t>синтетика, текстиль, резина</t>
  </si>
  <si>
    <t>UA Infinite Elite</t>
  </si>
  <si>
    <t>3027189-001</t>
  </si>
  <si>
    <t>Выдержанная в современной эстетике, каждая деталь кроссовки UA Infinite Elite была продумана для улучшения атлетической функции. Инновационная подошва с уникальным рисунком обеспечивает оптимальное сцепление с разными поверхностями, а также гарантирует плавное перекатывание стопы в процессе бега, повышая таким образом эффективность каждого шага. Специально разработанный материал верха кроссовок прекрасно облегает стопу, создавая ощущение второй кожи и обеспечивая исключительную вентиляцию. Система шнуровки обеспечивает надежную фиксацию, не создавая ненужного давления, что важно для долговременного комфорта на тренировках и соревнованиях. Мягкий язычок и воротник, анатомические стельки, а также профессионально спроектированная амортизационная система в межподошве отвечают за поглощение ударных нагрузок и обеспечение отзывчивой поддержки при каждом ударе пяткой о землю. При этом боковые панели усилены для дополнительной стабилизации, поддерживая правильное положение стопы.</t>
  </si>
  <si>
    <t>верх: 100% текстиль, подкладка: текстиль, подошва: 92% резина, 8% ЭВА</t>
  </si>
  <si>
    <t>UA W Charged Aurora 2</t>
  </si>
  <si>
    <t>3025060-001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</si>
  <si>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Формованная подкладка Micro G адаптируется форму ноги для максимального комфорта. Плотно прилегающий крой не позволяет стопе гулять внутри кроссовка для оптимального комфорта при статичной работе. Мягкая амортизирующая пена Charged обеспечит поглощение ударной энергии и отличную амортизацию. Плоская плотная подошва обеспечит максимальную устойчивость и фиксацию стопы. Данная модель отлично подойдёт для тренинга. Перепад: 6 мм.</t>
  </si>
  <si>
    <t>верх: текстиль, иск.кожа, подкладка: текстиль, подошва: резина</t>
  </si>
  <si>
    <t>UA Charged Pursuit 3</t>
  </si>
  <si>
    <t>3024878-401</t>
  </si>
  <si>
    <t>Беговые кроссовки Under Armour Charged Pursuit 3 отлично подойдут бегунам, которым нужен баланс гибкости и амортизации. Данная обувь выполнена из текстиля, что обеспечивает легкую поддержку и улучшенную воздухопроницаемость.
• Сетчатый верх обеспечивает отличную воздухопроницаемость
• Встроенная стелька повышает амортизационные способности
• Промежуточная подошва Charged Cushioning с использованием прессованной пены для долговечности, обеспечивает оптимальную амортизацию и возврат энергии
• Подошва со специальным рисунком протектора обеспечивает гибкость и надежное сцепление с поверхностью
Перепад (пятка-носок) составляет 8 мм.</t>
  </si>
  <si>
    <t>верх: 86% текстиль, 14% синтетическое волокно, подкладка: текстиль, подошва: 70% резина, 30% ЭВА</t>
  </si>
  <si>
    <t>3024889-602</t>
  </si>
  <si>
    <t>UA W Charged Bandit TR 2</t>
  </si>
  <si>
    <t>3024191-001</t>
  </si>
  <si>
    <t>UA W Charged Bandit TR 2 - это идеальный выбор для тех, кто ищет высокое качество и комфорт в своих кроссовках для занятий спортом и повседневного использования. Кроссовки изготовлены из материалов высокого качества с технологией Charged Cushioning, которая обеспечивает максимальную амортизацию и комфорт. Протектор подошвы - износостойкая, благодаря технологии Micro G, которая обеспечивает максимальную устойчивость при нагрузках. Они также обладают технологией Threadborne, которая обеспечивает прекрасную вентиляцию, защиту от пота и лучшую адаптацию к форме ноги. Кроссовки сделаны из легкого материала, что позволяет ногам дышать и чувствовать себя комфортно во время тренировок или прогулок. Они также имеют удобную и прочную шнуровку, которая обеспечивает идеальную посадку. Кроссовки имеют привлекательный дизайн с логотипом Under Armour, что делает их не только функциональными, но и стильными на вид. Если вы ищете кроссовки, которые сочетали бы в себе стиль, комфорт и высокое качество - то UA W Charged Bandit TR 2 - идеальный выбор.</t>
  </si>
  <si>
    <t>верх: 60% текстиль, 40% синт.материал, подкладка: текстиль, подошва: резина</t>
  </si>
  <si>
    <t>UA W Sonic 7</t>
  </si>
  <si>
    <t>3028003-001</t>
  </si>
  <si>
    <t>Превзойдите границы своих возможностей с женскими беговыми кроссовками Under Armour Ladies Sonic 7 Trail. Созданные для скорости и невероятно лёгкие, эти кроссовки готовы поддерживать вас с первых шагов. Независимо от того, преодолеваете ли вы сложные трассы или выполняете интенсивные упражнения, лёгкая конструкция и упругая амортизация Sonic 7 обеспечат необходимую поддержку, чтобы вы могли продолжать движение вперёд.</t>
  </si>
  <si>
    <t>UA W Surge 3</t>
  </si>
  <si>
    <t>3024894-103</t>
  </si>
  <si>
    <t>Женские беговые кроссовки UA Surge 3.
Легкий дышащий сетчатый верх
Улучшенная амортизация вокруг воротника лодыжки для превосходного комфорта
Мягкая промежуточная подошва из ЭВА обеспечивает легкость и отзывчивость при ходьбе.
Стратегически расположенные резиновые вставки на подошве для долговечности при меньшем весе.</t>
  </si>
  <si>
    <t>верх: 54% текстиль, 46% синтетическое волокно, подкладка: текстиль, подошва: 58% резина, 42% ЭВА</t>
  </si>
  <si>
    <t>UA W Charged Revitalize</t>
  </si>
  <si>
    <t>3026683-001</t>
  </si>
  <si>
    <t>Charged Cushioning® была разработана для защиты от ударов, ощущения мягкости и сохранения чувствительности. Легкий верх из меланжевого текстиля обеспечивает воздухопроницаемость и прочность. Стелька Deluxe Comfort System повторяет форму стопы, обеспечивая максимальный комфорт под ногами. Подошва Charged Cushioning® отзывчива и долговечна для оптимальной отдачи энергии и комфорта в течение всего дня. Прочная резиновая подошва со стратегическим рисунком для сцепления и гибкости там, где это необходимо.</t>
  </si>
  <si>
    <t>UA Charged. Технология амортизации кроссовок поглощает удар при каждом шаге и обеспечивает непревзойденный уровень комфорта при длительном беге.</t>
  </si>
  <si>
    <t>верх: 91% текстиль, 9% синт.материалы, подкладка: текстиль, подошва: 100% резина</t>
  </si>
  <si>
    <t>UA BGS Assert 10 UFM SYN</t>
  </si>
  <si>
    <t>3027099-001</t>
  </si>
  <si>
    <t>Under Armour Bps Assert 10 Ac - это идеальный выбор для детей, которые любят активные игры и занятия спортом. Эти кроссовки сочетают в себе комфорт, стиль и надежность, обеспечивая вашего маленького спортсмена всем необходимым для комфортной и безопасной активности.
Особенности:
Усиленная пятка для дополнительной устойчивости и поддержки.
Плюшевая стелька сохраняет свою форму для большего комфорта.
Промежуточная подошва из EVA обеспечивает невероятную легкость и отзывчивость при ходьбе.
Легкая и прочная резиновая подошва для хорошего сцепления и долговечности.
Эластичные шнурки для удобного надевания и снятия обуви.</t>
  </si>
  <si>
    <t>верх: сетка, подкладка: текстиль, подошва: резина</t>
  </si>
  <si>
    <t>UA BGS RailFit 1</t>
  </si>
  <si>
    <t>3020209-100</t>
  </si>
  <si>
    <t>Верх из двухслойной сетки и мягкого пеноматериала обеспечивает гибкую и облегающую поддержку.
В промежуточной подошве Charged Cushioning используется сжатый пеноматериал, обеспечивающий превосходную отзывчивость, оптимальную амортизацию и взрывной возврат энергии.
Эластичный пяточный ремешок фиксируется на задней части стопы.
Встроенная стелька для комфорта при ходьбе.
Подошва с рельефной текстурой и резиновой вставкой для повышенной прочности и сцепления.
Система шнуровки Rail Fit имеет подвижные петли для шнурков, которые скользят вперед и назад для полностью регулируемой посадки.
Наденьте конструкцию для быстрого и легкого входа.</t>
  </si>
  <si>
    <t>UA Charged Cotton. Натуральный хлопок нового поколения. Ткань быстро высыхает, не прилипает к коже, что обеспечивает циркуляцию воздуха и дополнительный комфорт во время тренировки.</t>
  </si>
  <si>
    <t>Верх Текстиль, Подошва Резина</t>
  </si>
  <si>
    <t>4Y</t>
  </si>
  <si>
    <t>3026525-101</t>
  </si>
  <si>
    <t>UA HOVR Phantom 3 RFLCT</t>
  </si>
  <si>
    <t>3025518-003</t>
  </si>
  <si>
    <t>UA HOVR Phantom 3 RFLCT - это кроссовки, созданные для тех, кто тренируется даже в темное время суток. Они оснащены специальной технологией, которая обеспечивает максимальную светодиодную рефлективность, что позволяет выделить вас на фоне темноты и повышает вашу видимость в любое время суток. Кроме того, кроссовки имеют вентилируемую подошву и перфорированный верх, что позволяет воздуху свободно циркулировать и снижает риск перегрева ваших ног. Кроссовки оснащены инновационной технологией HOVR, которая обеспечивает максимальную амортизацию и поддержку во время тренировок. Вы можете забыть о постоянных болях и дискомфорте при беге на дистанции, благодаря оптимальному комфорту и поддержке этих кроссовок. Стильный дизайн и высокая функциональность UA HOVR Phantom 3 RFLCT - лучший выбор для тех, кто желает продуктивно заниматься спортом в любое время суток. Выберите уверенность и безопасность в каждом шаге с UA HOVR Phantom 3 RFLCT.</t>
  </si>
  <si>
    <t>верх: 89% текстиль, 11% синтетический материал, подкладка: текстиль, подошва: резина</t>
  </si>
  <si>
    <t>UA W Charged Speed Swift</t>
  </si>
  <si>
    <t>3027006-102</t>
  </si>
  <si>
    <t>Знакомьтесь с новыми стандартами скорости и удобства в забегах с UA W Charged Speed Swift от Under Armour — кроссовками, спроектированными для женщин, которые стремятся двигаться быстрее и дольше, совершенно не жертвуя комфортом.Созданные для динамичных и энергичных тренировок, эти кроссовки оснащены революционной технологией Charged Cushioning®, которая обеспечивает непревзойденное поглощение ударов и возвратную энергию при кажом шаге, поддерживая ваши стопы воодушевленными и готовыми к новым вызовам. Легкий, но одновременно прочный верх кроссовок выполнен из сетчатого материала, который гарантирует великолепную вентиляцию и поддержание оптимальной температуры внутри обуви. Сочетание гибкости и воздухопроницаемости делает эти кроссовки идеальными для бега в теплую погоду или продолжительных тренировок в зале. Анатомически разработанная стелька соответствует форме вашей стопы, создавая ощущение естественного и удобного «гнезда», которое снижает усталость и повышает производительность. Низкопрофильный дизайн дополняется усиленной пяткой, обеспечивая стабильность и защиту при беге по пересеченной местности. UA W Charged Speed Swift не просто кроссовки — это манифест мобильности, созданный с учетом специфики женской анатомии. С их помощью каждая тренировка превращается в возможность вновь испытать восхитительное чувство легкости и силы, и каждый забег — в шанс покорить новые горизонты быстроты и изящества. Выбирая UA W Charged Speed Swift, вы выбираете не просто обувь для бега, а настоящего партнера для достижения спортивных мечтаний, инженерную мысль, оформленную в стильный и функциональный дизайн. Начните свой путь к скоростным вершинам с Under Armour — и пусть каждый шаг наполняется зарядом энергии!</t>
  </si>
  <si>
    <t>верх: 98% текстиль, 2% синт.материалы, подкладка: текстиль, подошва: 50% резина, 50% этилвинилацетат (ЭВА)</t>
  </si>
  <si>
    <t>UA BCL 4</t>
  </si>
  <si>
    <t>3027585-348</t>
  </si>
  <si>
    <t>Under Armour BCL 4 SE — это высокотехнологичные беговые кроссовки, созданные для скорости и комфорта. Верх из 86% текстиля и 14% синтетических материалов обеспечивает идеальную поддержку и вентиляцию, а современный дизайн подошвы предлагает легкость и амортизацию на каждом шаге. Зонированный верх из плоского трикотажа обеспечивает необходимую гибкость и воздухопроницаемость, обеспечивая комфорт и поддержку в ключевых зонах.
- Амортизация из пеноматериала в воротнике обеспечивает максимальную фиксацию и комфорт при каждом воздействии пятки.
- Стелька из ЭВА предлагает дополнительную упругость, добавляя комфорта и смягчение шагов на дороге.
- Легкая промежуточная подошва Flow улучшает отзывчивость и долговечность, убирая необходимость в резиновой подошве для более плавного бега.
- Технология Flow обеспечивает плавное скольжение независимо от поверхности, улучшая скорость и эффективность бега.
- Сверхпрочная подошва с цепким рисунком улучшает сцепление и поддерживает естественный удар ноги.</t>
  </si>
  <si>
    <t>верх: 86% текстиль, 14% синт.материалы, подкладка: текстиль, подошва: 100% этилвинилацетат (ЭВА)</t>
  </si>
  <si>
    <t>UA Sonic 7</t>
  </si>
  <si>
    <t>3028002-452</t>
  </si>
  <si>
    <t>UA HOVR Sonic всегда был отичным выбором для бегунов, которые любят дистанции, но хотят большей гибкости. И теперь, благодаря коучингу форм в реальном времени от UA MapMyRun, UA HOVR Sonic 4 также поможет вам стать лучше бегуном.  Технология UA HOVR обеспечивает «ощущение невесомости» для поддержания возврата энергии, что помогает устранить удары. Сжатая сетка Energy Web содержит и формирует пену UA HOVR для возврата энергии. Легкий верх из искусственной сетки для максимальной воздухопроницаемости. Язык прикреплен к стельке с помощью эластичных опорных крыльев для плотного прилегания по всей стопе. Цельная конструкция пятки с наружным задником из ТПУ для дополнительной поддержки и структуры. Особая износостойкая резина под пяткой для поглощения контакта с землей и большей долговечности. Перепад: 8 мм Вес: 281 грамм.</t>
  </si>
  <si>
    <t>верх: 81% текстиль, 19% синт.материалы, подкладка: текстиль, подошва: 100% резина</t>
  </si>
  <si>
    <t>UA Infinite</t>
  </si>
  <si>
    <t>3027523-713</t>
  </si>
  <si>
    <t>Поддержка, которая помогает тренироваться интенсивнее. Созданы с надёжной посадкой и мягкой, пружинистой амортизацией UA HOVR™, чтобы ваши ноги дольше оставались в тонусе.  
Вязаный верх обеспечивает воздухопроницаемость, долговечность и лёгкую фиксацию.  
Система комфортной стельки обеспечивает исключительный комфорт при каждом шаге.  
Реактивная амортизация UA HOVR™ снижает ударные нагрузки, возвращает энергию и помогает двигаться вперёд.  
Прочный резиновый протектор обеспечивает сцепление, износостойкость и гибкость для правильного отталкивания пальцев.</t>
  </si>
  <si>
    <t>UA W FLOW BCL Wind</t>
  </si>
  <si>
    <t>3023561-104</t>
  </si>
  <si>
    <t>UA FLOW fast. легкая безрезиновая и прочная наша новейшая амортизация дает новое ощущение скорости при беге. ПОДКЛЮЧАЕТСЯ К UA MAPMYRUN : отслеживает и анализирует ваши беговые показатели, чтобы помочь вам стать лучше. Верх с технологией Warp  оптимизирует удержание за счет облегчения блокировки и обеспечивает максимальную воздухопроницаемость. Цельная промежуточная подошва FLOW обеспечивает отзывчивую и долговечную амортизацию. Технология FLOW исключает резиновую подошву, создание более легкого и плавного движения по любой поверхности. Материал подошвы сверхпрочный и увеличивает сцепление с грунтом. Перепад: 8 мм. Вес кроссовка: 241 грамм.</t>
  </si>
  <si>
    <t>Верх: 96% текстиль,4% синтетический материал~Подошва: 100% этиленвинилацетат</t>
  </si>
  <si>
    <t>UA Project Rock 7</t>
  </si>
  <si>
    <t>3027600-004</t>
  </si>
  <si>
    <t>Кроссовки Under Armour UA Project Rock 7 представляют собой идеальное сочетание инновационного дизайна и функциональности. Изготовленные из прочных текстильных и синтетических материалов, они обеспечивают превосходную вентиляцию, необходимую для интенсивных тренировок и активного образа жизни. Текстильная подкладка добавляет комфорта, обнимая стопу для максимальной поддержки. Резиновая подошва с надежным сцеплением гарантирует устойчивость на любых поверхностях, а классическая шнуровка позволяет удобно регулировать посадку. Эти кроссовки — часть легендарной линии Project Rock, символизирующей стремление к постоянному совершенствованию и преодолению любых преград.</t>
  </si>
  <si>
    <t>UA W Infinite</t>
  </si>
  <si>
    <t>3027524-001</t>
  </si>
  <si>
    <t>Поддержка, которая нужна, чтобы тренироваться усерднее. Созданы с учетом плотной посадки и мягкими, упругими амортизирующими вставками UA HOVR™, которые дольше сохраняют ощущение свежести ног.
Верх из трикотажа обеспечивает воздухопроницаемость, прочность и легкую фиксацию
Подошва с системой комфортной посадки обеспечивает максимальный комфорт при первом надевании
Реактивная амортизация UA HOVR™ уменьшает нагрузку, возвращает энергию и помогает двигаться вперед
Прочный резиновый протектор обеспечивает сцепление, долговечность и гибкость для правильного отталкивания пальцами</t>
  </si>
  <si>
    <t>UA W BCL 4</t>
  </si>
  <si>
    <t>3027586-104</t>
  </si>
  <si>
    <t>Верх из гладкой вязки для обеспечения эластичности, фиксации и воздухопроницаемости там, где это необходимо. Стелька из EVA обеспечивает дополнительную упругость и эластичность при каждом шаге. Более мягкая и легкая цельная промежуточная подошва Flow обеспечивает отзывчивую и длительную амортизацию. Технология Flow исключает необходимость использования резиновой подошвы, обеспечивая более легкое и плавное движение по любой поверхности. Рисунок подошвы сверхпрочный и цепкий для плавного, естественного приземления.</t>
  </si>
  <si>
    <t>3028003-494</t>
  </si>
  <si>
    <t>UA BCL 4 SE</t>
  </si>
  <si>
    <t>3027585-001</t>
  </si>
  <si>
    <t>UA FLOW FUTR X 4 CAMO</t>
  </si>
  <si>
    <t>3027772-001</t>
  </si>
  <si>
    <t>Кроссовки UA FLOW FUTR X 4 CAMO — это стильная и технологически продвинутая обувь, предназначенная для тех, кто стремится к максимальной производительности и уникальному дизайну. Эти кроссовки выделяются своим камуфляжным узором, который придает им современный и динамичный вид, идеально подходящий для активного образа жизни.
Модель оснащена инновационной подошвой UA Flow, которая обеспечивает легкость, гибкость и отличное сцепление с различными поверхностями без использования резиновой подметки. Это обеспечивает улучшенное ощущение скорости и маневренности во время тренировок или в повседневной активности. Верх кроссовок выполнен из легких и дышащих материалов, которые обеспечивают надежную фиксацию и превосходную вентиляцию, поддерживая комфорт даже при длительной носке.
Оригинальный стиль и производительность UA FLOW FUTR X 4 CAMO делают эти кроссовки идеальным выбором для тех, кто ищет сочетание современного дизайна и передовых технологий в спортивной обуви.</t>
  </si>
  <si>
    <t>верх: 65% текстиль, 35% синт.материалы, подошва: 100% ЭВА</t>
  </si>
  <si>
    <t>9,5/11</t>
  </si>
  <si>
    <t>11/12,5</t>
  </si>
  <si>
    <t>UA U Sonic TR</t>
  </si>
  <si>
    <t>3027764-500</t>
  </si>
  <si>
    <t>UA U Sonic TR представляют собой вершину инженерной мысли и дизайнерской концепции Under Armour, созданные для спортсменов, предъявляющих высокие требования к тренировочной обуви. Эти кроссовки выдержат интенсивные занятия спортом, идеально сконструированные для всех, кто стремится к высшим результатам и постоянному превосходству. Отличительной чертой UA U Sonic TR является их безупречная адаптивность. Верх из сетчатого материала со специальной технологией обеспечивает превосходную вентиляцию, поддержку и гибкость, необходимые для широкого спектра тренировочных упражнений. Интеллектуальное распределение нитей в ткани верха позволяет обуви динамически сжиматься и растягиваться вместе с движениями стопы, обеспечивая естественное ощущение и комфорт. Благодаря внедренным ультрасовременным амортизирующим подошвам, UA U Sonic TR гарантируют исключительную отзывчивость и возвращение энергии при каждом шаге, минимизируя усталость мышц и повышая эффективность тренировки. Стабилизирующие элементы в области среднего и переднего стопы добавляют контроль над движениями и укрепляют основание при выполнении атлетических заданий.</t>
  </si>
  <si>
    <t>верх: 78% текстиль, 22% синт.материалы, подкладка: текстиль, подошва: 87% резина, 13% ЭВА</t>
  </si>
  <si>
    <t>4/5,5</t>
  </si>
  <si>
    <t>4,5/6</t>
  </si>
  <si>
    <t>5/6,5</t>
  </si>
  <si>
    <t>5,5/7</t>
  </si>
  <si>
    <t>3027585-003</t>
  </si>
  <si>
    <t>12</t>
  </si>
  <si>
    <t>UA W HOVR Sonic 5 Storm-BLK</t>
  </si>
  <si>
    <t>3025459-001</t>
  </si>
  <si>
    <t>UA HOVR Sonic — это легкая задача для бегунов, которые любят длинные дистанции, но нуждаются в большей гибкости, дышащих ощущениях и обратной связи в режиме реального времени от Form Coaching от UA MapMyRun, чтобы помочь вам бегать лучше каждый раз, когда вы их зашнуровываете.</t>
  </si>
  <si>
    <t>UA U Infinite Pro 2 Storm</t>
  </si>
  <si>
    <t>6000018-023</t>
  </si>
  <si>
    <t>Лёгкие и устойчивые кроссовки, которые отлично подойдут при влажной и прохладной погоде. Они создавались для комфортного бега на длительные дистанции и ващего комфорта.
Особенности:
Влагоотталкивающая технология UA Storm — защищает от дождя, сохраняя при этом воздухопроницаемость&lt;br&gt;
Подкладка воротника и язычка мягкая — обеспечивает комфорт и лучшее прилегание к ноге&lt;br&gt;
Амортизация UA HOVR+ с подпружинивающим эффектом — снижает ударную нагрузку, возвращая энергию при каждом шаге&lt;br&gt;
Средняя подошва из лёгкой пены EVA — мягкая посадка и стабильность&lt;br&gt;
Прочная резиновая подошва — хорошо хватается за поверхность и выдерживает длительный износ&lt;br&gt;
Конструкция пятки — помогает сделать посадку плавной и снизить нагрузку при приземлении&lt;br&gt;
Технические параметры:&lt;br&gt;
Перепад между пяткой и носком : 8 мм&lt;br&gt;
Пронация: нейтральная</t>
  </si>
  <si>
    <t>верх: 85% текстиль, 15% синт.материалы, подкладка: текстиль, подошва: 100% резина</t>
  </si>
  <si>
    <t>8,5/10</t>
  </si>
  <si>
    <t>9/10,5</t>
  </si>
  <si>
    <t>10/11,5</t>
  </si>
  <si>
    <t>10,5/12</t>
  </si>
  <si>
    <t>11,5/13</t>
  </si>
  <si>
    <t>3027586-494</t>
  </si>
  <si>
    <t>UA W Charged Rogue 4</t>
  </si>
  <si>
    <t>3027005-001</t>
  </si>
  <si>
    <t>Переопределите свои беговые ожидания с Under Armour W Charged Rogue 4, разработанными для амбициозных спортсменок, стремящихся к новым достижениям. Эти кроссовки сочетают безупречный стиль и инновационную функциональность, обеспечивая силу и поддержку для километров впереди. С двойной зоной амортизации, включая пену Charged Cushioning под пяткой и мягкий, адаптивный Micro G пенный слой на передней части стопы, W Charged Rogue 4 гарантируют комфортное смягчение и возврат энергии при каждом шаге. Полиуретановая стелька повторяет анатомию вашей стопы, добавляя дополнительную удобство в долгосрочной перспективе. Легкий сетчатый верх синтезирует дышащую структуру и прочность, создавая оптимальную вентиляцию и при этом сохраняя стопу в безопасности. Высокопрочные волокна крепко удерживают ногу, обеспечивая стабилизацию на быстрых поворотах и внезапных спринтах. Прочная резиновая подошва с уникальным рисунком обеспечивает долговечное сцепление на различных поверхностях, гарантируя уверенный шаг в любой ситуации. Контрастный дизайн с броскими цветовыми акцентами делают эти кроссовки не только функциональным, но и модным дополнением к спортивному гардеробу. В Under Armour W Charged Rogue 4 каждая бегунья найдет технологии, необходимые для обуздания скорости, и стиль, подчеркивающий ее спортивные амбиции. Бегите дальше и быстрее, чувствуя себя превосходно на каждом шагу!</t>
  </si>
  <si>
    <t>верх: 89% текстиль, 11% синт.материалы, подкладка: текстиль, подошва: 80% резина, 20% ЭВА</t>
  </si>
  <si>
    <t>UA W Aurora 3</t>
  </si>
  <si>
    <t>6000760-418</t>
  </si>
  <si>
    <t>Женские тренировочные кроссовки Under Armour Aurora 3 разработаны специально для женской стопы, обеспечивая обтекаемую посадку и поддержку во всех направлениях. Эта модель создана для интенсивных занятий фитнесом, объединяя современные технологии с комфортом использования даже во время самых требовательных тренировок.  Идеально подходят для широкого спектра тренировок в зале, включая силовые упражнения, кардио, бег и длительную ходьбу. Они также отлично подходят для повседневного использования.
 Обновленная промежуточная подошва Charged+ обеспечивает динамическую амортизацию, снижает ударную нагрузку и возвращает энергию, способствуя плавным и быстрым движениям.Верх выполнен из мягкой, дышащей сетки с замшевыми вставками, что гарантирует эффективную вентиляцию и поддержание комфортной температуры стопы.Полноразмерная резиновая подошва с разнонаправленным рисунком протектора обеспечивает максимальную долговечность и отличное сцепление на различных поверхностях.Перепад (Offset): 7 мм.Вес: Примерно 255 грамм (9 унций).
Материал верха: 84% текстиль, 16% синтетика. Эти кроссовки обладают высоким уровнем комфорта, легким весом, отличной амортизацией и поддержкой, что делает их надежным выбором для регулярных тренировок.</t>
  </si>
  <si>
    <t>UA Dynamic 2</t>
  </si>
  <si>
    <t>3028076-308</t>
  </si>
  <si>
    <t>Under Armour UA Dynamic 2  - это универсальные мужские кроссовки для интенсивных тренировок, идеальная обувь для спортсменов, которым нужна универсальность. Модель разработана для эффективного сочетания амортизации беговых кроссовок с необходимой поддержкой для силовых упражнений и боковых движений.  Идеально подходят для разнообразных тренировок, включая занятия в тренажерном зале, бег на короткие и средние дистанции, командные виды спорта, а также для повседневного комфортного ношения.
 Инновационная промежуточная подошва Flow исключает тяжелую резиновую подметку, делая обувь значительно легче и обеспечивая плавный ход и превосходное сцепление на различных поверхностях. Материал подошвы отличается высокой прочностью. Обновленный верх UA IntelliKnit обеспечивает мягкость прилегания и зональную фиксацию стопы. Плюшевый язычок и широкое основание подошвы гарантируют комфорт и устойчивость при резких боковых движениях.Перепад (Offset): 8 мм. Состав: Верх 84% текстиль, 16% синтетика; подошва 100% EVA. 
Эта модель - отличный выбор для тех, кто ищет одну пару обуви для всех видов активности.</t>
  </si>
  <si>
    <t>UA FLOW FUTR X Elite LUX</t>
  </si>
  <si>
    <t>3028334-001</t>
  </si>
  <si>
    <t>Under Armour UA FLOW FUTR X Elite LUX — это кроссовки, объединяющие современный стиль и инновационные технологии для активного образа жизни. Верх выполнен из текстиля и синтетических материалов, что обеспечивает легкость и превосходную воздухопроницаемость, позволяя ногам оставаться свежими даже при интенсивных нагрузках. Подошва из материала ЭВА гарантирует отличную амортизацию и поддержку, снижая ударные нагрузки и обеспечивая комфорт на каждом шагу. Застежка на шнуровке позволяет легко настроить идеальную посадку, фиксируя стопу надежно и комфортно. Элегантный дизайн UA FLOW FUTR X Elite LUX делает эти кроссовки идеальным выбором как для тренировок, так и для повседневной носки, добавляя уверенности в каждом движении.</t>
  </si>
  <si>
    <t>верх: 93% текстиль, 7% синт.материалы, подошва: 100% ЭВА</t>
  </si>
  <si>
    <t>UA W Charged Rogue 5</t>
  </si>
  <si>
    <t>3028262-016</t>
  </si>
  <si>
    <t>Женские кроссовки для бега и тренировок с улучшенной амортизацией и поддержкой. Лёгкие и универсальные, подходят как для пробежек, так и для повседневной активности.
 Верх: дышащая сетчатая конструкция для вентиляции
 Амортизация: технология Charged Cushioning® для мягкой и отзывчивой поддержки
 Подошва: прочная резиновая с гибкими канавками для естественного движения
 Застежка: классическая шнуровка для надёжной фиксации
 Логотип: фирменные элементы Under Armour
Идеальны для ежедневных пробежек, тренировок в зале и активного повседневного использования.</t>
  </si>
  <si>
    <t>UA Charged Commit TR 3</t>
  </si>
  <si>
    <t>3023703-001</t>
  </si>
  <si>
    <t>Это серьезные кроссовки для тренировок. Кожа в верхней части стопы обеспечивает устойчивость, гибкие канавки в нижней части позволяют двигаться, а амортизация Charged Cushioning обеспечивает максимальное поглощение ударов. Все, что вам нужно делать, это работать. Легкий сетчатый верх с текстурированными накладными деталями обеспечивает необходимую воздухопроницаемость. Специальная технология поддержки пятки обеспечивает дополнительную устойчивост. Полностью резиновая подошва со стратегически расположенными гибкими канавками для сцепления на разных поверхностях и гибкости. Перепад: 8 мм. Средний вес кроссовка 300 грамм.</t>
  </si>
  <si>
    <t>верх: 51% текстиль, 41% кожа, 8% синтетика, подкладка: текстиль, подошва: резина</t>
  </si>
  <si>
    <t>UA Charged Revitalize</t>
  </si>
  <si>
    <t>3026679-401</t>
  </si>
  <si>
    <t>Мужские кроссовки UA Charged Revitalize. Технология Charged Cushioning® была разработана для защиты от ударов, ощущения мягкости и при этом отзывчивости.
Легкий текстильный верх дышащий и прочный.
Стелька с системой комфорта Deluxe повторяет форму вашей стопы, обеспечивая максимальный комфорт под ногами.
Межподошва Charged Cushioning® отзывчива и долговечна, обеспечивая оптимальную отдачу энергии и комфорт в течение всего дня.
Прочная резиновая подошва со стратегическим рисунком для сцепления и гибкости там, где это необходимо.</t>
  </si>
  <si>
    <t>UA Shift</t>
  </si>
  <si>
    <t>3027776-104</t>
  </si>
  <si>
    <t>Окунитесь в мир современных технологий и выдержанного стиля с Under Armour Shift — кроссовками для тех, кто всегда в движении. Эта модель предназначена для активных любителей комфорта, которые ценят качество и инновационный подход в каждой детали. Динамичный и эластичный верх Shift обеспечивает непревзойденную вентиляцию и поддержку, окутывая вашу стопу точно и мягко, словно вторая кожа. Сочетание ткани и сетки в верхней части кроссовка гарантирует долговечность и гибкость, позволяя ноге дышать и перемещаться естественно. Инженерная средняя подошва, обогащенная технологией UA Charged Cushioning, предлагает уникальное сочетание поддержки и адаптивного амортизирующего комфорта, возвращая энергию и уменьшая ударную нагрузку при каждом шаге. Эти кроссовки позволяют вам двигаться с легкостью и уверенностью, будь то долгие пробежки или активные тренировки. Разработанная для оптимального сцепления подошва с рельефным рисунком добавляет уверенности в захвате поверхности, позволяя Shift мгновенно реагировать на изменения ваших движений. Плавные линии и стильный дизайн с логотипом UA, красующимся на боковой стороне, делает Shift не просто кроссовками, но и выразительным акцентом в вашем образе. В Under Armour Shift вы найдете идеальный баланс между высокой производительностью и современным стилем. Подходящие для повседневной носки и интенсивных тренировок, они станут незаменимым элементом вашего активного образа жизни.</t>
  </si>
  <si>
    <t>верх: 93% текстиль, 7% синт.материалы, подошва: 100% резина</t>
  </si>
  <si>
    <t>UA W Mojo 2</t>
  </si>
  <si>
    <t>3024131-002</t>
  </si>
  <si>
    <t>Кроссовки Under Armour для занятий спортом и отдыха и на каждый день. Верх из мягкого текстиля обеспечивает чрезвычайно удобную посадку и удобство на ощупь. Вырезанная по всей длине стелька из EVA для дополнительного комфорта при ходьбе. Цельная подошва из пеноматериала EVA для мягкой и легкой амортизации. Резиновая подошва по всей длине для оптимального сцепления и долговечности. Рисунок подошвы, вдохновленный шинами, обеспечивает максимальную гибкость и превосходное сцепление.</t>
  </si>
  <si>
    <t>Верх: 80% текстиль,20% синтетический материал~Подошва: 100% этиленвинилацетат</t>
  </si>
  <si>
    <t>UA JET '25</t>
  </si>
  <si>
    <t>6001585-402</t>
  </si>
  <si>
    <t>Under Armour UA Jet '25 баскетбольные унисекс-кроссовки  для максимальной производительности на площадке.
Кроссовки Under Armour Jet '25 разработаны для обеспечения надежной фиксации и готовности к старту, сочетая в себе необходимые амортизацию и поддержку для интенсивной игры. Эта модель отлично смотрится как на баскетбольной площадке, так и вне ее. 
 Идеально подходят для игры в баскетбол в зале, а также для повседневного использования.
Полноразмерная промежуточная подошва Micro G® обеспечивает отзывчивую амортизацию и эффективное поглощение ударных нагрузок, возвращая энергию при каждом шаге.Верх из смешанных материалов обеспечивает долговечность и воздухопроницаемость там, где это необходимо.
Плюшевый (мягкий) воротник фиксирует пятку и обеспечивает дополнительный комфорт.Прочная резиновая подметка гарантирует отличное сцепление и стабильность на любой поверхности площадки.Верх преимущественно текстиль и синтетические материалы.
Шнуровка: Стандартная. На этих кроссовках присутствует печатный логотип Under Armour.</t>
  </si>
  <si>
    <t>3024878-001</t>
  </si>
  <si>
    <t>3028076-014</t>
  </si>
  <si>
    <t>UA W HOVR Infinite 5</t>
  </si>
  <si>
    <t>3026550-002</t>
  </si>
  <si>
    <t>Женские беговые кроссовки Under Armour Hovr Infinite 5 отлично подойдут бегунам, которым нужна гибкость, амортизация и универсальность.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Данная обувь отлично подойдет для длительных и повседневных пробежек по асфальту и беговой дорожке.
Особенности:  
&lt;li&gt;Верх выполнен из сетчатого текстиля для более лучшего прилегания и увеличения вентиляции &lt;/li&gt;
&lt;li&gt;Формованная стелька обеспечивает комфорт&lt;/li&gt;
&lt;li&gt;Система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использования&lt;/li&gt;
&lt;li&gt;Подошва из твердой резины для надежного сцепления с поверхностью&lt;/li&gt;
&lt;li&gt;Анатомически расположенные глубокие изогнутые канавки для большей гибкости в ключевых областях&lt;/li&gt;
&lt;li&gt;Перепад 8 мм. &lt;/li&gt;</t>
  </si>
  <si>
    <t>верх 98% текстиль, 2% синтетический материал, подкладка текстиль, подошва резина</t>
  </si>
  <si>
    <t>SpeedForm ® Europa</t>
  </si>
  <si>
    <t>1285482-002</t>
  </si>
  <si>
    <t>Для бегунов, которым нужен баланс гибкости и амортизации. 
За счет инновационной структуры UA SpeedForm изделие принимает форму ступни, обеспечивая точную посадку и низкий риск растяжения. 
Панели в области средней части стопыобеспечивают надежную фиксацию и гибкую поддержку. 
Язычок и носок покрыты легкой сеткой для улучшенного прилегания и увеличения вентиляции. 
Внешний задник для дополнительной поддержки и структуры. 
Промежуточная подошва Charged Cushioning на основе прессованной пены повышает способность к реагированию и износостойкость. 
Дутая резина под передней частью стопы легкая, но невероятно отзывчивая. 
Износостойкая резина в области пятки отлично амортизирует толчки при контакте с поверхностью. 
Перепад: 8 мм.</t>
  </si>
  <si>
    <t>70% текстиль;30% искусственный материал</t>
  </si>
  <si>
    <t>3026550-300</t>
  </si>
  <si>
    <t>верх 98% текстиль, 2% синтетика, подкладка текстиль, подошва резина</t>
  </si>
  <si>
    <t>UA W Charged Valsetz</t>
  </si>
  <si>
    <t>3027386-001</t>
  </si>
  <si>
    <t>Ботинки UA W Charged Valsetz — это сочетание стиля, комфорта и высокой функциональности, разработанные специально для активных и динамичных женщин. Эти ботинки обеспечивают превосходную амортизацию благодаря технологии Charged Cushioning, которая поглощает удары и возвращает энергию при каждом шаге. Верх выполнен из прочного и дышащего материала, который сохраняет ваши ноги сухими и комфортными даже в самых сложных условиях. Дополнительная поддержка голеностопа и прочная подошва обеспечивают отличное сцепление и устойчивость на разнообразных поверхностях. Ботинки UA W Charged Valsetz станут надежным спутником как в городских условиях, так и на природе, сочетая в себе стильный дизайн и высокую производительность.</t>
  </si>
  <si>
    <t>3024131-501</t>
  </si>
  <si>
    <t>UA GS Curry 3 Low</t>
  </si>
  <si>
    <t>1285455-003</t>
  </si>
  <si>
    <t>Акценты в этой именной модели Стефа Карри смещены на максимальную защиту голеностопного сустава. Рассчитаны на лёгких и быстрых баскетболистов, но продвинутая амортизация позволяет играть и довольно тяжёлым игрокам. Очень лёгкие.
Технологии : Зоны поддержки Anafoam  в боковой стенке спереди и вокруг пятки, чтобы зафиксировать стопу
Высота : Низкие (Low)
Верх: Верх из прочного текстиля Threadborne с полимерными вставками
Вес, г: 270</t>
  </si>
  <si>
    <t>UA Anafoam. Легкий вес продукта + поддерживающие свойства.</t>
  </si>
  <si>
    <t>Верх Текстиль, Подошва Полимер</t>
  </si>
  <si>
    <t>3,5Y</t>
  </si>
  <si>
    <t>4,5Y</t>
  </si>
  <si>
    <t>5Y</t>
  </si>
  <si>
    <t>6,5Y</t>
  </si>
  <si>
    <t>3024889-003</t>
  </si>
  <si>
    <t>UA W Charged Pursuit3 Twist</t>
  </si>
  <si>
    <t>3026692-400</t>
  </si>
  <si>
    <t>UA W Charged Pursuit3 Twist - кроссовки, которые воплощают в себе баланс между стилем и функциональностью. Эти кроссовки разработаны, чтобы поддерживать активный образ жизни и помогать вам преодолевать любые преграды. Современный и элегантный дизайн делает UA W Charged Pursuit3 Twist идеальным аксессуаром для спорта и повседневной носки. Они гармонично сочетаются с любой вашей спортивной или повседневной одеждой, добавляя стильный акцент к вашему образу. Кроссовки обладают революционной технологией UA Charged, которая обеспечивает оптимальную амортизацию и возвращение энергии, что добавляет дополнительную поддержку и комфорт к каждому вашему шагу. Они также оснащены улучшенной подошвой, которая обеспечивает превосходное сцепление с поверхностью, помогая вам держать баланс и чувствовать себя уверенно во время тренировок или любой другой физической активности. UA W Charged Pursuit3 Twist - это не только кроссовки, но и стильный аксессуар, который поможет вам проявить свою уверенность и достичь новых спортивных высот. Независимо от вашей цели, эти кроссовки будут вашим надежным партнером на пути к успеху.</t>
  </si>
  <si>
    <t>верх - 70%текстиль, 30% полимерные материалы, подкладка - 100% полиэстер, подошва - эва, резина</t>
  </si>
  <si>
    <t>3027189-102</t>
  </si>
  <si>
    <t>GS CURRY 9 STREET</t>
  </si>
  <si>
    <t>3024249-702</t>
  </si>
  <si>
    <t>Технология верха UA WARP обеспечивает повышенный комфорт и контроль во время динамичных баскетбольных движений.
Дышащий сетчатый язычок для удобного надевания.
Стелька из смеси TPE с меньшей остаточной деформацией при сжатии для повышения отдачи энергии.
Технология амортизации UA Flow — сверхлегкая, упругая и обеспечивает невероятное сцепление.</t>
  </si>
  <si>
    <t>Верх: 85% текстиль,15% синтетический материал~Подошва: 100% этиленвинилацетат</t>
  </si>
  <si>
    <t>3,5</t>
  </si>
  <si>
    <t>UA U INFINITE PRO STORM</t>
  </si>
  <si>
    <t>3027588-600</t>
  </si>
  <si>
    <t>Кроссовки Under Armour UA U INFINITE PRO STORM — это высокотехнологичная обувь, созданная для обеспечения максимального комфорта и производительности в любых погодных условиях. Эти кроссовки оснащены инновационной водоотталкивающей технологией Storm, которая защищает ноги от влаги, сохраняя их сухими и комфортными. Подошва кроссовок выполнена из амортизирующего материала, что обеспечивает отличную поддержку и снижает нагрузку на суставы во время интенсивных тренировок или бега.
Дизайн модели сочетает в себе стиль и функциональность: верх из прочных и дышащих материалов обеспечивает оптимальную вентиляцию, а анатомическая форма колодки способствует естественному движению стопы. Оптимальная подгонка и фиксация обеспечиваются благодаря системе шнуровки и комфортному внутреннему покрытию. Under Armour UA U INFINITE PRO STORM — это идеальный выбор для активных людей, которые не хотят идти на компромиссы между стилем и функциональностью, независимо от погодных условий.</t>
  </si>
  <si>
    <t>верх: 86% текстиль, 14% синт.материалы, подошва: 100% ЭВА</t>
  </si>
  <si>
    <t>UA W Infinite Elite</t>
  </si>
  <si>
    <t>3027199-500</t>
  </si>
  <si>
    <t>UA W HOVR Machina 3 Storm-BLK</t>
  </si>
  <si>
    <t>3025799-002</t>
  </si>
  <si>
    <t>UA HOVR Machina 3 — это больше, чем кроссовки. Да, это дает вам возврат энергии UA HOVR®, но также тренирует вас в режиме реального времени, чтобы помочь вам бегать лучше, когда вы подключаете их к UA MapMyRun.
Подходит для длительных и ежедневных пробежек под дождем с водоотталкивающим верхом и светоотражающими деталями.
ПОДКЛЮЧАЕТСЯ К UA MAPMYRUN: отслеживает и анализирует ваши показатели бега, чтобы помочь вам стать лучшим бегуном.
Обработанный верх с технологией UA Storm отталкивает воду, не жертвуя воздухопроницаемостью.
Аэродинамический дизайн пятки для поддержки без лишних слоев или объема
3D-формованная стелька обхватывает вашу ногу для повышенного комфорта при ходьбе.
Отзывчивая амортизация UA HOVR снижает ударную нагрузку, возвращает энергию и помогает двигаться вперед.
Сочетание карбона и вспененной резины в подошве для стратегической прочности и легкого отскока.</t>
  </si>
  <si>
    <t>3028002-403</t>
  </si>
  <si>
    <t>3027600-310</t>
  </si>
  <si>
    <t>UA W RailFit 1 3020139-100</t>
  </si>
  <si>
    <t>3020139-100</t>
  </si>
  <si>
    <t>Верх из двухслойной сетки и мягкого пеноматериала обеспечивает гибкую и облегающую поддержку.
Система шнуровки Rail fit оснащена подвижными петлями для шнурков, которые скользят вперед и назад для полной фиксации и регулируемой посадки.
Эластичный пяточный ремешок фиксируется на задней части стопы.
Встроенная стелька для комфорта при ходьбе.
В промежуточной подошве Charged Cushioning используется сжатый пеноматериал для отличной отзывчивости, оптимальной амортизации и возврата энергии.
Подошва с рельефной текстурой и резиновой вставкой для повышенной прочности и сцепления.
Смещение: 2 мм.</t>
  </si>
  <si>
    <t>UA W Shift</t>
  </si>
  <si>
    <t>3027777-001</t>
  </si>
  <si>
    <t>Женские кроссовки UA W Shift от бренда Under Armour – это стильная и функциональная обувь для активного образа жизни. Эти кроссовки представляют собой идеальное сочетание комфорта, поддержки и стиля для занятий спортом или повседневной носки.
Кроссовки UA W Shift имеют дышащий верх из сетчатого материала, который обеспечивает хорошую циркуляцию воздуха и комфорт во время тренировок. Внутренняя подкладка Softfoam поддерживает стопу и обеспечивает мягкую амортизацию при движении.
Верх из эластичного трикотажа обеспечивает легкую воздухопроницаемость и комфорт.
Конструкция с легким надеванием/снятием.
Зажим для пятки из ТПУ обеспечивает улучшенную фиксацию и посадку по фигуре.
Уникальная подошва с рисунком протектора обеспечивает отличное сцепление с поверхностью, дополнительную прочность и долговечность кроссовок. Кроме того, стильный дизайн и яркие цветовые решения делают кроссовки UA W Shift отличным выбором для модных спортсменок.</t>
  </si>
  <si>
    <t>верх: 70% текстиль, 30% синт.материалы, подкладка: текстиль, подошва: 100% резина</t>
  </si>
  <si>
    <t>3028003-014</t>
  </si>
  <si>
    <t>UA Fat Tire Venture Pro</t>
  </si>
  <si>
    <t>3027212-201</t>
  </si>
  <si>
    <t>Кроссовки с хорошей амортизацией для бега по пересеченной местности, вдохновлённые проходимостью велосипедов Fat Tire.
Верх в кроссовках сделан из прочного рипстопа с зонами из сетки для лучшего проветривания и отвода влаги от стопы. Шнуровка с внешними прочными петлями для более плотной фиксации стопы внутри кроссовка и лучшей управляемости в сложных условиях пересечённой местности. Внутри кроссовок размещена мягкая стелька из пенистого материала, которая увеличивает комфорт при длительном использовании. Промежуточная подошва сделана из фирменной пены UA HOVR с отличными характеристиками по рассеиванию ударной нагрузки и возврату энергии во время отталкивания. Подошва полностью закрыта подметкой из износостойкой резины с агрессивным дизайном протектора, который специально разработан для бега по грунту.</t>
  </si>
  <si>
    <t>верх: 41% кожа, 35% текстиль, 24% синт.материалы, подкладка: текстиль, подошва: 100% резина</t>
  </si>
  <si>
    <t>7,5/9</t>
  </si>
  <si>
    <t>8/9,5</t>
  </si>
  <si>
    <t>3027006-001</t>
  </si>
  <si>
    <t>3027189-002</t>
  </si>
  <si>
    <t>UA Charged Breeze 2</t>
  </si>
  <si>
    <t>3026135-001</t>
  </si>
  <si>
    <t>UA Charged Breeze 2 - это идеальный выбор для тех, кто ищет легкие, комфортные и стильные кроссовки для активного образа жизни. Благодаря инновационной технологии Charged Cushioning, эти кроссовки обеспечивают непревзойденную амортизацию и поддержку, позволяя вам оставаться комфортными на протяжении всего дня. Специально разработанная верхняя часть из сетчатого материала позволяет вашим ногам дышать и оставаться прохладными даже в самых жарких условиях. Усиленная конструкция обеспечивает оптимальную поддержку стопы при каждом движении. UA Charged Breeze 2 оснащены прочной резиновой подошвой, которая обеспечивает надежное сцепление с любой поверхностью. Это позволяет вам быть уверенными в стабильности и безопасности даже при интенсивных тренировках или прогулках по городу. Стильный дизайн UA Charged Breeze 2 дополнит ваш лук, без ущерба для комфорта и функциональности. Эти кроссовки станут вашим надежным спутником, помогая достигать ваших целей в спорте и моде. UA Charged Breeze 2 - это не просто кроссовки, это инструмент для достижения успеха в вашей активной жизни. Не упускайте возможность приобрести их и стать настоящими лидерами в своей области.</t>
  </si>
  <si>
    <t>верх: 85% текстиль, 15% синтетика, подкладка: текстиль, подошва: резина</t>
  </si>
  <si>
    <t>3027212-004</t>
  </si>
  <si>
    <t>UA Charged Valsetz WP Zip</t>
  </si>
  <si>
    <t>3027679-001</t>
  </si>
  <si>
    <t>Under Armour UA Charged Valsetz WP Zip — это прочные и лёгкие тактические ботинки, созданные для надёжности и комфорта в любых условиях.
Особенности модели:
Водонепроницаемая мембрана защищает ноги от влаги и дождя.
Удобная боковая молния и петли на пятке и язычке позволяют быстро надевать и снимать ботинки.
Амортизирующая подошва Charged Cushioning® смягчает каждый шаг и снижает нагрузку на стопу.&lt;br&gt; Формованные стельки Contoura® Support с амортизирующим пеноматериалом для предотвращения усталости. 
Прочный и лёгкий верх из синтетических материалов с усилениями в зонах износа.
Противоскользящая подошва Vibram XS Trek обеспечивает отзывчивость на различных поверхностях благодаря высокой гибкости и сцеплению с мокрой поверхностью. 
Высокий профиль поддерживает голеностоп и добавляет устойчивости.
Назначение: тактическая обувь для повседневной носки, работы на улице, тренировок или активного отдыха.</t>
  </si>
  <si>
    <t>верх: нат.кожа, текстиль, иск.кожа; подкладка: текстиль; подошва: резина</t>
  </si>
  <si>
    <t>UA HOVR Sonic 5 DSD</t>
  </si>
  <si>
    <t>3025447-001</t>
  </si>
  <si>
    <t>Under Armour Hovr Sonic 5 - это кроссовки для любителей стиля и функциональности. Инновационная технология HOVR обеспечивает идеальный баланс между амортизацией и откликом на каждом шагу, что позволяет достичь максимальной производительности и комфорта во время тренировок. Кроссовки выполнены в современном дизайне, который гармонично сочетает в себе функциональность и эстетику. Технология Micro G позволяет эффективно управлять энергией, улучшая скорость и выносливость. Кроме того, эластичный верх из сетчатого материала позволяет ноге дышать, обеспечивая свежесть и комфорт на протяжении всей тренировки. Under Armour Hovr Sonic 5 - кроссовки, которые помогут вам достигать новых высот в тренировках и выразить свой стиль жизни.</t>
  </si>
  <si>
    <t>верх: синтетические материалы, подкладка: текстиль, подошва: резина</t>
  </si>
  <si>
    <t>UA W HOVR Omnia</t>
  </si>
  <si>
    <t>3025054-001</t>
  </si>
  <si>
    <t>Женские кроссовки Ua W Hovr Omnia от Under Armour предназначены для бега и фитнеса. Модель отлично подходит для занятий спортом и интенсивных тренировок. Обувь хорошо сочетается с любой одеждой. Мы взяли нашу супер-пружинную амортизацию UA HOVR и поместили ее в кроссовки, созданные специально для женской стопы.Обувь, созданная специально для женской стопы с дышащим сетчатым верхом и стратегической поддержкой. Формированная четвертичная панель и внутренний ремень для повышения боковой и медиальной стабильности во время всех тренировок.Отзывчивая амортизация UA HOVR уменьшает удары, возвращает энергию и помогает двигаться вперед.Прочная резиновая подошва обеспечивает гибкость сцепления там, где это нужно больше всего.</t>
  </si>
  <si>
    <t>54% синтетический материал, 46% текстиль, подошва: 100% резина</t>
  </si>
  <si>
    <t>UA W Essential</t>
  </si>
  <si>
    <t>3022955-001</t>
  </si>
  <si>
    <t>Дышащий легкий сетчатый верх для комфорта в течение всего дня. Комфортная стелька принимает форму вашей стопы с добавлением набивки в области пятки для амортизации удара пятки. Мягкая межподошва из EVA обеспечивает легкую и отзывчивую езду. Твердая резиновая подошва для универсального сцепления и повышенной прочности.</t>
  </si>
  <si>
    <t>54% полиэстер 46% синтетика, подкладка 100% полиэстер, подошва 100% ЭВА</t>
  </si>
  <si>
    <t>UA W Charged Surge 4</t>
  </si>
  <si>
    <t>3027007-403</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</si>
  <si>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</si>
  <si>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верх: 82% текстиль, 18% синт.материалы, подкладка: текстиль, подошва: 100% резина</t>
  </si>
  <si>
    <t>3027007-672</t>
  </si>
  <si>
    <t>Ripple</t>
  </si>
  <si>
    <t>3021187-004</t>
  </si>
  <si>
    <t>Легкие мужские кроссовки UA Ripple с дышащей верхней сеткой для обеспечения комфорта в каждодневной носке. Внутренняя стелька и подошва имеют уникальную текстуру, что позволяет обеспечить лучшую амортизацию при ходьбе и беге.</t>
  </si>
  <si>
    <t>UA W Speedform Slingwrap</t>
  </si>
  <si>
    <t>1295755-001</t>
  </si>
  <si>
    <t>Превосходная посадка и амортизация слингов Under Armour Threadborne Slingwrap — причина, по которой многие бегуны выбирают эту модель. Компания Under Armour с акцентом на совершенствование технологии верха позаботилась о комфорте пользователя и адекватной вентиляции, влага, образующаяся во время бега, эффективно отводится наружу. Гибкая прочная подошва из высококачественного компаунда оснащена протектором, гарантирующим хорошее сцепление. Современные, инновационные технологии, используемые в конструкции, обеспечивают идеальное прилегание обуви к ноге, обеспечивают гибкость и мягкую посадку стопы. Эта модель обеспечивает тепловой комфорт круглый год. Мужская обувь Under Armour Threadborne Slingwrap очень хорошо работает на различных дистанциях и является выбором требовательных бегунов во всем мире.
Верх с нитями для воздухопроницаемой компрессионной посадки, обеспечивающей легкую направленную прочность. Гибкие ремешки Coreshort для средней части стопы охватывают обе стороны стопы для максимальной фиксации и поддержки.
Светоотражающие элементы на ремешке в средней части стопы для повышения безопасности и видимости при беге в условиях слабого освещения.
Формованная стелька Charged Cushioning повторяет форму стопы, обеспечивая индивидуальную посадку и непревзойденный комфорт. Промежуточная подошва из формованного пеноматериала Charged Cushioning для еще большей отзывчивости и долговечности, оптимальной амортизации и возврата энергии. Встроенная клипса из ТПУ под пяткой для улучшенной поддержки и структуры. Анатомическая подошва, разработанная для естественной посадки и производительности.
Изолированные резиновые вставки на подошве для улучшения гибкости. Светоотражающие детали под пяткой для лучшей видимости.</t>
  </si>
  <si>
    <t>Верх Полимер, Подошва Полимер</t>
  </si>
  <si>
    <t>3024889-100</t>
  </si>
  <si>
    <t>UA W Charged Impulse 3 Knit</t>
  </si>
  <si>
    <t>3026686-300</t>
  </si>
  <si>
    <t>Сверхлегкие и гибкие кроссовки, готовые ко всему. Charged Cushioning® защищает ваши ноги во время длительных пробежек, а текстильный верх обеспечивает вентиляцию ног. Верх обеспечивает воздухопроницаемую компрессионную посадку и легкий вес. Встроенная стелька для дополнительной амортизации и комфорта. Подошва Charged Cushioning® более жесткая в пятке и более мягкая в передней части стопы для поддержки и комфорта. Твердая резиновая подошва закрывает зоны с высокой ударной нагрузкой, обеспечивая большую долговечность и меньший вес.</t>
  </si>
  <si>
    <t>верх: 62% текстиль, 38% синт.материалы~подошва: 100% резина</t>
  </si>
  <si>
    <t>UA W Charged Pursuit 4</t>
  </si>
  <si>
    <t>3028261-002</t>
  </si>
  <si>
    <t>Верх из дышащей сетчатой ткани обеспечивает лёгкость и воздухопроницаемость
— Пенополимерная подкладка вокруг щиколотки и под язычком гарантирует исключительный комфорт при носке
— Мягкая стелька из пеноматериала повторяет форму стопы, обеспечивая дополнительный комфорт подошвы
— Промежуточная подошва Charged Cushioning® изготовлена из компрессионного пеноматериала для максимальной отдачи и долговечности
— Износостойкая подошва с протектором обеспечивает гибкость и надёжное сцепление с поверхностью</t>
  </si>
  <si>
    <t>UA FLOW BCL Wind 2</t>
  </si>
  <si>
    <t>3024903-101</t>
  </si>
  <si>
    <t>UA Flow BCL Wind 2 - это идеальные кроссовки для бега как на длинные, так и на короткие дистанции в любых условиях. Они оснащены передовой технологией UA Flow, которая дает максимальный комфорт при беге благодаря своей легкости и амортизирующим свойствам. Кроссовки также обладают уникальной конструкцией, которая обеспечивает отличную поддержку и стабильность при движении. Кроме того, они изготовлены из прочных материалов, которые обеспечивают долговечность и приятный внешний вид. Выбирайте UA Flow BCL Wind 2, чтобы преодолевать любые дистанции с комфортом и стилем.</t>
  </si>
  <si>
    <t>94% текстиль, 6% синтетический материал~подошва: 100% этиленвинилацетат (эва)</t>
  </si>
  <si>
    <t>3027005-002</t>
  </si>
  <si>
    <t>верх: 89% текстиль, 11% синт.материалы, подошва: 80% резина, 20% ЭВА</t>
  </si>
  <si>
    <t>3027007-002</t>
  </si>
  <si>
    <t>UA BGS Surge 4</t>
  </si>
  <si>
    <t>3027103-001</t>
  </si>
  <si>
    <t>Under Armour Surge 4 BGS — это лёгкие и воздухопроницаемые беговые кроссовки, специально разработанные для детей.
Верх обуви выполнен из дышащей сетки (mesh) с синтетическими накладками, которые обеспечивают прочность, устойчивость и отличную вентиляцию. Внешний ТПУ-контрфорс в области пятки добавляет поддержку и повышает износостойкость.
Промежуточная подошва из цельной EVA-пены обеспечивает отзывчивую и комфортную амортизацию: эффективно гасит ударные нагрузки при беге и одновременно даёт энергичный энерговозврат. Область лодыжки дополнительно усилена мягкой прокладкой, что повышает комфорт и предотвращает натирание.
Робастная подошва оснащена слегка приподнятыми резиновыми выступами, обеспечивающими превосходное сцепление на самых разных поверхностях — от школьного двора до беговой дорожки.
Благодаря идеальному сочетанию комфорта, стабильности и долговечности, Surge 4 BGS идеально подходят для активного образа жизни ребёнка — будь то игры на улице, занятия спортом или прогулки.
Кроссовки рассчитаны на нейтральную пронацию и разработаны как для мальчиков, так и для девочек, обеспечивая надёжную и удобную посадку.</t>
  </si>
  <si>
    <t>4,5</t>
  </si>
  <si>
    <t>3027103-101</t>
  </si>
  <si>
    <t>верх: текстиль, иск.кожа;  подкладка: текстиль; подошва: резина</t>
  </si>
  <si>
    <t>UA GGS SURGE 4</t>
  </si>
  <si>
    <t>3027108-100</t>
  </si>
  <si>
    <t>Кроссовки Under Armour UA GGS Surge 4 созданы специально для девочек, любящих бег и активный образ жизни. Модель оснащена классической шнуровкой, что обеспечивает надежную фиксацию и комфортную посадку на ноге. Верх выполнен из легкого и дышащего сетчатого материала, обеспечивающего отличную вентиляцию и поддержание комфорта даже при длительных пробежках. Специальная межподошва обеспечивает оптимальную амортизацию и поддержку, снижая нагрузку на стопы и суставы. Прочная резиновая подошва гарантирует превосходное сцепление на различных поверхностях, обеспечивая уверенность моментов срывов. Эти стильные и функциональные кроссовки идеально подходят как для тренировок, так и для повседневных прогулок.</t>
  </si>
  <si>
    <t>верх: текстиль, иск.кожа;  подкладка: текстиль; подошва: пластик, резина</t>
  </si>
  <si>
    <t>UA Infinite Pro</t>
  </si>
  <si>
    <t>3027190-103</t>
  </si>
  <si>
    <t>Беговые кроссовки Under Armour Infinite Pro отлично подойдут не только для бега на длинные дистанции, но и для восстановительных пробежек.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Текстильный верх для более лучшего прилегания и увеличения вентиляции
Стелька обеспечивает комфорт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Резиновая подошва обеспечивает надежное сцепление с поверхностью
Светоотражающие элементы для повышения уровня безопасности передвижения в темное время суток
Средний вес мужской версии: 326 гр.
Перепад (пятка-носок) составляет 8 мм.</t>
  </si>
  <si>
    <t>3027199-501</t>
  </si>
  <si>
    <t>3027524-101</t>
  </si>
  <si>
    <t>Under Armour UA Infinite- женские кроссовки для бега на длинные дистанции с технологией HOVR™.
Under Armour Infinite разработаны для бегуний, которым необходим идеальный баланс гибкости и амортизации на длинных дистанциях. В основе лежит мягкая и пружинистая амортизация UA HOVR™, которая помогает снизить ударное воздействие, возвращает энергию и отодвигает наступление усталости ног. 
Идеально подходят для тренировочного бега по асфальту и твердым покрытиям, а также для длительных прогулок. Разработаны для спортсменов с нейтральной пронацией стопы. Отзывчивая амортизация снижает ударное воздействие, возвращает энергию и помогает двигаться вперед.
Вязаный верх (Knit upper) обеспечивает воздухопроницаемость, долговечность и легкую фиксацию стопы.
Роскошная стелька  обеспечивает максимальный комфорт при надевании. Прочная резиновая подошва обеспечивает надежное сцепление, долговечность и гибкость для правильного отталкивания.Перепад (Offset): 8 мм. На кроссовках присутствует печатный логотип Under Armour.</t>
  </si>
  <si>
    <t>3027524-323</t>
  </si>
  <si>
    <t>UA PROJECT ROCK 7</t>
  </si>
  <si>
    <t>3027600-001</t>
  </si>
  <si>
    <t>верх: 69% текстиль, 31% синт.материалы, подкладка: текстиль, подошва: 100% резина</t>
  </si>
  <si>
    <t>UA FLOW FUTR X 4</t>
  </si>
  <si>
    <t>3027639-003</t>
  </si>
  <si>
    <t>Under Armour UA FLOW FUTR X 4 — это кроссовки, в которых сочетаются инновационный дизайн и передовые технологии для максимального комфорта и производительности. Верх из текстиля и синтетических материалов обеспечивает легкость и отличную воздухопроницаемость, позволяя вашим ногам дышать даже в самые интенсивные моменты. Подошва из материала ЭВА гарантирует исключительную амортизацию, смягчая каждый шаг и обеспечивая поддержку при движении. Застежка на шнуровке обеспечивает индивидуальную посадку и надежную фиксацию. Эти кроссовки идеально подходят для спортивных занятий и активных дневных прогулок, предоставляя вам свободу движения и уверенность на каждом шагу.</t>
  </si>
  <si>
    <t>3028003-100</t>
  </si>
  <si>
    <t>Это женские беговые кроссовки Under Armour UA Sonic 7 в расцветке "Triple White" (полностью белые). Они разработаны для бегунов с нейтральной пронацией и отличаются легкой конструкцией и амортизацией UA HOVR™. 
Подходят для тренировок на асфальте и повседневной носки.
 Используется технология UA HOVR™, которая обеспечивает ощущение "нулевой гравитации", снижает ударную нагрузку и возвращает энергию при каждом шаге. Выполнен из тройной жаккардовой сетки, которая обеспечивает легкость, воздухопроницаемость и точную посадку по ноге.
 Резиновая подошва из цельного куска с стратегическими канавками обеспечивает долговечность и хорошее сцепление с поверхностью.
 Формованная стелька из EVA для дополнительного комфорта при надевании.Перепад (дроп): 8 мм. Нейтральный (подходят для бегунов, которым нужен баланс гибкости и амортизации).</t>
  </si>
  <si>
    <t>3028076-403</t>
  </si>
  <si>
    <t>UA Lockdown 7</t>
  </si>
  <si>
    <t>3028512-453</t>
  </si>
  <si>
    <t>Кроссовки Under Armour UA Lockdown 7 — идеальный выбор для тех, кто ценит стиль и функциональность. Верх модели выполнен из высококачественной кожи, синтетических материалов и текстиля, что обеспечивает легкость и прочность конструкции. Текстильная подкладка способствует лучшей вентиляции, даря комфорт даже при длительном ношении. Резиновая подошва гарантирует отличное сцепление с поверхностью, что делает кроссовки идеальными для занятий спортом и активного отдыха. Классическая шнуровка позволяет регулировать плотность посадки, обеспечивая надежную фиксацию стопы в любых условиях.</t>
  </si>
  <si>
    <t>верх: нат.кожа, иск.кожа, текстиль; подкладка: текстиль; подошва: резина</t>
  </si>
  <si>
    <t>6001585-002</t>
  </si>
  <si>
    <t>Кроссовки UA Jet созданы для тех, кто стремится к максимальной производительности как на спортивной площадке, так и за её пределами. Эти кроссовки оснащены промежуточной подошвой Micro G®, которая обеспечивает превосходную амортизацию для комфорта и поддержки при каждом шаге. Верх из комбинированных материалов гарантирует прочность и отличную воздухопроницаемость в ключевых зонах, обеспечивая оптимальные условия для тренировок. Мягкий бортик надёжно фиксирует пятку, добавляя комфорта при носке. Прочная резиновая подошва обеспечивает отличное сцепление и эффективность, будь то на корте или на улице. Эти кроссовки не только функциональны, но и стильно выглядят, что делает их универсальным выбором для активного образа жизни.</t>
  </si>
  <si>
    <t>6001585-600</t>
  </si>
  <si>
    <t>красный/черный</t>
  </si>
  <si>
    <t>UA BGS Turbulence 3</t>
  </si>
  <si>
    <t>6011025-001</t>
  </si>
  <si>
    <t>Бегунам на длинные дистанции нужна идеальная комбинация амортизации, упругости, долговечности и эффективности. И именно это вы получаете с UA Turbulence: отзывчивая амортизация, плавный ход и комфорт на протяжении многих миль.
Двухслойный верх из специально разработанной инженерной сетки обеспечивает объёмную структуру и воздухопроницаемость
Плюшевый стелечный вкладыш (sockliner) сохраняет форму для комфорта в течение всего дня
Промежуточная подошва с амортизацией Charged+ обеспечивает непревзойдённую мягкость и комфорт, возвращая энергию для поддержки на длинных дистанциях
Износостойкая резиновая внешняя подошва обеспечивает надёжное сцепление и долговечность, сохраняя гибкость для эффективного отталкивания носком</t>
  </si>
  <si>
    <t>черный/белый</t>
  </si>
  <si>
    <t>6011025-003</t>
  </si>
  <si>
    <t>6011025-389</t>
  </si>
  <si>
    <t>зеленый/голубой</t>
  </si>
  <si>
    <t>UA GGS Turbulence 3</t>
  </si>
  <si>
    <t>6011026-001</t>
  </si>
  <si>
    <t>Бегунам на длинные дистанции нужна идеальная комбинация амортизации, упругости, долговечности и эффективности. И именно это вы получаете с UA Turbulence: отзывчивая амортизация, плавный ход и комфорт на протяжении многих миль.
Двухслойный верх из специально разработанной инженерной сетки обеспечивает объёмную структуру и воздухопроницаемость
Плюшевый стелечный вкладыш сохраняет форму для комфорта в течение всего дня
Промежуточная подошва с амортизацией Charged+ обеспечивает непревзойдённую мягкость и комфорт, возвращая энергию для поддержки на длинных дистанциях
Износостойкая резиновая внешняя подошва обеспечивает надёжное сцепление и долговечность, сохраняя гибкость для эффективного отталкивания носком</t>
  </si>
  <si>
    <t>черный/розовый</t>
  </si>
  <si>
    <t>3025060-502</t>
  </si>
  <si>
    <t>верх: 60% текстиль, 40% синтетический материал, подошва: 100% резина</t>
  </si>
  <si>
    <t>UA Charged Pursuit 4</t>
  </si>
  <si>
    <t>3028254-003</t>
  </si>
  <si>
    <t>Кроссовки Under Armour Charged Pursuit 4 специально разработаны для мужчин, которые ценят комфорт и производительность во время фитнес-занятий. Верх выполнен из 81% текстиля и 19% синтетических материалов, что обеспечивает легкость и оптимальную воздухопроницаемость, позволяя ногам дышать даже при интенсивных нагрузках. Текстильная подкладка создаёт мягкость и комфорт, предотвращая натирания. Подошва из 100% резины гарантирует превосходное сцепление с любыми поверхностями, обеспечивая уверенность на каждом шагу. Шнуровка позволяет адаптировать посадку для идеальной фиксации. Эти кроссовки сочетают в себе стильный дизайн и передовые технологии, делая тренировки более эффективными.</t>
  </si>
  <si>
    <t>UA Surge 3</t>
  </si>
  <si>
    <t>3024883-302</t>
  </si>
  <si>
    <t>Беговые кроссовки Under Armour Surge 3 созданы для бегунов, которым нужен баланс гибкости и амортизации. Данная обувь выполнена из сетчатого текстиля. Сетчатый верх для более лучшего прилегания. Внутренняя отделка выполнена из текстиля. Стелька из EVA обеспечивает комфорт. Усиленный задник для дополнительной поддержки. Промежуточная подошва из EVA для амртизации без утяжеления. Глубокие гибкие канавки для дополнительной гибкости. Резиновые накладки в стратегически расположенных местах для износостойкости.</t>
  </si>
  <si>
    <t>верх: 52% синтетический материал, 48% текстиль, подкладка: текстиль, подошва: резина</t>
  </si>
  <si>
    <t>UA Charged Edge</t>
  </si>
  <si>
    <t>3026727-044</t>
  </si>
  <si>
    <t>Кроссовки UA Charged Edge от Under Armour — это олицетворение передовых технологий и стильного дизайна, созданные для современных атлетов, стремящихся к высшей эффективности. Изготовленные из 41% кожи, 39% текстиля и 20% полиэстера, они обеспечивают легкость и прочность. Продвинутый сетчатый верх гарантирует отличную циркуляцию воздуха, сохраняя ноги прохладными во время интенсивных нагрузок. Инновационная система амортизации Charged Cushioning превращает ударные нагрузки в мощные толчки, увеличивая динамику каждого шага. Усиленные зоны в конструкции увеличивают долговечность и поддержку без утяжеления. Структура внешней подошвы обеспечивает феноменальное сцепление и контроль, позволяя маневрировать с уверенностью на любых поверхностях.
- Амортизация Charged Cushioning в UA Charged Edge превращает ударные нагрузки в энергию, повышая динамичность и комфорт при каждом шаге.
- Воздухопроницаемый сетчатый верх обеспечивает отличную вентиляцию, поддерживая комфорт в условиях интенсивной нагрузки.
- Встроенные усиления в критических областях увеличивают долговечность и поддержку, не добавляя лишнего веса.
- Особенная структура подошвы с плотной текстурой улучшает сцепление и маневренность на любых поверхностях.
- Усовершенствованная конструкция повторяет натуральные движения стопы, улучшая вашу естественную силу и эффективность.
- Эти кроссовки — не только спортивный аксессуар, но и выражение стремления к победе, реализуя идеальный баланс технологии и стиля.</t>
  </si>
  <si>
    <t>верх: 41% кожа, 39% текстиль, 20% синт.материалы, подкладка: текстиль, подошва: 100% резина</t>
  </si>
  <si>
    <t>UA W Charged Breathe TR 3</t>
  </si>
  <si>
    <t>3023705-001</t>
  </si>
  <si>
    <t>Когда вы бежите или прыгаете, ваша ступня ударяется о землю с весом в 5 раз превышающим ваш собственный… КАЖДЫЙ раз, когда ваша ступня касается земли. Эта обувь помогает поглотить этот удар, поэтому вы чувствуете себя комфортно. Легкий, дышащий сетчатый верх с металлическими вставками сохраняет прохладу и сухость. Созданы специально для женской стопы с обтекаемой формой. В межподошве Charged Cushionin используется формованная под давлением пена для максимальной  долговечности. Полностью резиновая подошва для повышенного сцепления и прочности с распределением давления</t>
  </si>
  <si>
    <t>65% текстиль  35% синтетика, подкладка 100% текстиль, подошва 100% резина</t>
  </si>
  <si>
    <t>3023705-501</t>
  </si>
  <si>
    <t>Когда вы бежите или прыгаете, ваша ступня ударяется о землю с силой, в 5 раз превышающей ваш собственный вес… КАЖДЫЙ раз, когда ваша ступня касается земли. UA Charged Breathe TR 3 помогает поглотить этот удар, поэтому вы чувствуете себя комфортно, а также можете сделать больше. Легкий, дышащий сетчатый верх сохраняет прохладу и сухость. Резиновая подошва гарантирует долговечность и надежное сцепление как взале так и на асфальте. Средний вес кроссовка 230 грамм.</t>
  </si>
  <si>
    <t>65% текстиль, 35% синтетический материал</t>
  </si>
  <si>
    <t>UA W Showstopper</t>
  </si>
  <si>
    <t>1296199-001</t>
  </si>
  <si>
    <t>Кроссовки Under Armour Showstopper выполнены из технологичного текстиля. Threadborne  - прочный и воздухопроницаемый текстильный материал верха. Волокна Dyneema обеспечивают изделию прочность, износоустойчивость и невероятную гибкость. Промежуточная подошва из EVA помогает стабилизировать стопу, обеспечивая уверенный контроль при ходьбе и беге.</t>
  </si>
  <si>
    <t>UA Threadborne. Прочный и воздухопроницаемый материал.</t>
  </si>
  <si>
    <t>UA W Speedform AMP 2.0 Slip</t>
  </si>
  <si>
    <t>3000258-300</t>
  </si>
  <si>
    <t>Инновационная конструкция SpeedForm повторяет форму вашей стопы, обеспечивая точную посадку и исключая любые отвлекающие факторы во время тренировок.
Плотно прилегающий верх обуви с конструкцией «надевай и готов» — для быстрого и удобного обувания.
Внешний задник из термопластичного полиуретана (TPU) для дополнительной поддержки и устойчивости.
Стелька SpeedForm с отводящей влагу функцией обеспечивает дополнительную амортизацию и бесшовный комфорт.
Обувь оснащена открытой «плавающей» полостью между стелькой и промежуточной подошвой, что способствует естественному движению свода стопы.</t>
  </si>
  <si>
    <t>3027006-014</t>
  </si>
  <si>
    <t>UA Charged Rogue 3</t>
  </si>
  <si>
    <t>3024877-101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</si>
  <si>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 Усиленная пятка для надёжной фиксации позволит избежать подворотов и различных травм. Светоотражающие элементы повысят вашу видимость в темноте, сделав вашу тренировку безопасней в ночное время суток.</t>
  </si>
  <si>
    <t>верх: 54% текстиль, 46% синтетический материал, подкладка: 100% полиэстер, подошва: 80% резина, 20% эва</t>
  </si>
  <si>
    <t>UA Charged Engage 2-GRN</t>
  </si>
  <si>
    <t>3025527-301</t>
  </si>
  <si>
    <t>Кроссовки Under Armour UA Charged Engage 2 - это идеальный выбор для занятий спортом и активного образа жизни. Их удобная и гибкая конструкция обеспечивает максимальную поддержку и комфорт во время тренировок. Эти кроссовки оснащены технологией Charged Cushioning в подошве, которая адаптируется к каждому шагу, а также обеспечивает амортизацию и ускоряет возврат энергии. Верх кроссовок выполнен из легкого и дышащего материала для улучшенной циркуляции воздуха, что помогает сохранять ноги сухими и комфортными. Кроссовки Under Armour UA Charged Engage 2 - это идеальный выбор для тех, кто ищет надежную поддержку и комфорт во время тренировок и повседневных занятий.</t>
  </si>
  <si>
    <t>зеленый/оранжевый</t>
  </si>
  <si>
    <t>верх: 72% текстиль, 28% синтетический материал, подкладка: текстиль, подошва: резина</t>
  </si>
  <si>
    <t>3026679-003</t>
  </si>
  <si>
    <t>верх: 91% текстиль; 9% синтетика   низ: 100% резина</t>
  </si>
  <si>
    <t>UA Charged Decoy</t>
  </si>
  <si>
    <t>3026681-002</t>
  </si>
  <si>
    <t>Кроссовки Under Armour Charged Decoy — отличный выбор для бегунов, которым нужна легкая и надежная обувь для повседневного использования и тренировок.</t>
  </si>
  <si>
    <t>верх: 54% кожа, 46% текстиль, подкладка: текстиль, подошва: резина</t>
  </si>
  <si>
    <t>3026681-100</t>
  </si>
  <si>
    <t>3027005-100</t>
  </si>
  <si>
    <t>3026683-002</t>
  </si>
  <si>
    <t>UA W Threadborne Sling</t>
  </si>
  <si>
    <t>1285490-033</t>
  </si>
  <si>
    <t>Для бегунов, которым нужен баланс гибкости и амортизации. 
Верх из ткани Threadborne для обеспечения  воздухопроницаемости. 
Плетение из самого прочного волокна в мире Dyneema  обеспечивает максимальную долговечность и гибкость. 
Внутренний задник с мягкой набивкой обеспечивает защиту. 
Мягкий, прошитый сеткой язычок, прикрепленный к стельке с помощью эластичных опорных клиньев, для улучшения поддержки и плотного прилегания по всей длине стопы. 
Прессованная вкладная стелька  Micro G принимает форму вашей стопы, обеспечивая отличную амортизацию и посадку.
Двухкомпонентная система Charged Cushioning объединяет в себе мягкий бархатный слой пеноматериала поверх слоя плотной укрепленной пены, обеспечивая превосходное сочетание поддержки и комфорта. 
Твердая резиновая подошва покрывает зоны, которые подвержены наиболее сильному внешнему воздействию, для повышенной износостойкости при небольшом весе. 
Перепад: 10 мм.</t>
  </si>
  <si>
    <t>UA HOVR Turbulence 2</t>
  </si>
  <si>
    <t>3026520-004</t>
  </si>
  <si>
    <t>UA HOVR Turbulence 2 - это лидер среди обуви для бега. Они предлагают удивительное сочетание комфорта, поддержки и стиля, чтобы помочь вам достичь новых высот в вашей тренировке. имеют прочный и легкий верх, который обеспечивает поддержку и вентиляцию во время тренировки. Материал верха также обладает влагоотводящими свойствами, чтобы сохранить ваши ноги сухими и комфортными даже в самые интенсивные тренировки. Имеют стильный и современный внешний вид, который подойдет для любого спортивного наряда.
- Легкий сетчатый верх обеспечивает необходимый уровень воздухопроницаемости.
- Классическая шнуровка позволяет индивидуально регулировать обувь.
- Текстильная внутрення часть создаёт удобство для стопы и облегчает поддерживание обуви в чистоте.
- Двухслойная стелька из пенки Deluxe прилегает к стопе, обеспечивая индивидуальное прилегания.
- Технология UA HOVR эффективно снижает силу удара стопы о землю. Система амортизации возвращает энергию, затраченную на движение, что повышает эффективность во время занятий.
- Резиновая рифленая подошва долговечна и обеспечивает хорошее сцепление.</t>
  </si>
  <si>
    <t>верх: 76% текстиль, 24% синтетическое волокно, подкладка: текстиль, подошва: резина</t>
  </si>
  <si>
    <t>3028076-289</t>
  </si>
  <si>
    <t>UA W Dynamic 2</t>
  </si>
  <si>
    <t>3028077-100</t>
  </si>
  <si>
    <t>Under Armour UA W Dynamic 2 универсальные женские кроссовки для интенсивных тренировок.
Кроссовки Under Armour Dynamic 2 разработаны для спортсменок, которым нужна универсальность. Эта модель идеально сочетает в себе амортизацию беговых кроссовок с необходимой поддержкой для силовых упражнений и боковых движений. 
Идеально подходят для широкого спектра тренировок в зале, включая силовые упражнения, кардио, бег на короткие дистанции, а также для повседневного использования.
 Инновационная промежуточная подошва Flow обеспечивает пружинистую и отзывчивую амортизацию без тяжелой резиновой подметки, делая обувь легче и обеспечивая превосходное сцепление с поверхностью.
Обновленный верх UA IntelliKnit обеспечивает мягкость прилегания и зональную фиксацию стопы. Широкое основание подошвы гарантирует устойчивость при резких боковых движениях. Верх преимущественно текстиль. На кроссовках присутствует печатный логотип Under Armour.</t>
  </si>
  <si>
    <t>верх: текстиль, иск.кожа; подкладка: текстиль; подошва: ЭВА</t>
  </si>
  <si>
    <t>3023705-103</t>
  </si>
  <si>
    <t>Когда вы бежите или прыгаете, ваша ступня ударяется о землю с весом в 5 раз превышающим ваш собственный… КАЖДЫЙ раз, когда ваша ступня касается земли. Эта обувь помогает поглотить этот удар, поэтому вы чувствуете себя комфортно. Легкий, дышащий сетчатый верх с металлическими вставками сохраняет прохладу и сухость. Созданы специально для женской стопы с обтекаемой формой. В межподошве Charged Cushionin используется формованная под давлением пена для максимальной  долговечности. Полностью резиновая подошва для повышенного сцепления и прочности с распределением давления.</t>
  </si>
  <si>
    <t>верх 65% текстиль, 35% синтетический материал, подошва резина</t>
  </si>
  <si>
    <t>UA Charged Pursuit 3 Tech</t>
  </si>
  <si>
    <t>3025424-102</t>
  </si>
  <si>
    <t>Кроссовки Under Armour Ua Charged Pursuit 3 Tech. Легкие и гибкие - вот что здесь главное. Много сетки для воздухопроницаемости и Charged Cushioning для защиты от ударов. Просто наденьте их и бегите за километры.  Верх из высокоэффективной сетки для легкости и воздухопроницаемости Прокладка из пеноматериала, расположенная вокруг воротника лодыжки и под языком для невероятно удобной посадки и ощущения. Роскошная стелька из пеноматериала повторяет форму стопы, обеспечивая дополнительный комфорт. В промежуточной подошве Charged Cushioning используется прессованная пена для максимальной отзывчивости и долговечности. Прочный рисунок подошвы для гибкости и сцепления.</t>
  </si>
  <si>
    <t>верх 86% текстиль, 14% синтетика, подкладка текстиль, подошва резина</t>
  </si>
  <si>
    <t>UA W Charged Rogue 3 IRID</t>
  </si>
  <si>
    <t>3025756-101</t>
  </si>
  <si>
    <t>Кроссовки женские UA W Charged Rogue 3 Irid — это воплощение инновационного подхода и модного дизайна от Under Armour. Эти кроссовки идеально подойдут активным женщинам, которые стремятся к совершенству в спорте и в жизни.
Основные характеристики:
- Материалы: Верхняя часть выполнена из высококачественных дышащих и прочных материалов, обеспечивающих комфорт и хорошую вентиляцию даже во время самых интенсивных тренировок. Элементы с иридиевым эффектом придают кроссовкам уникальный и стильный внешний вид.
- Амортизация: Технология Charged Cushioning® в промежуточной подошве обеспечивает отличную амортизацию и возврат энергии, создавая чувство легкости при каждом шаге. Жесткая пена под пяткой и мягкая пена под передней частью стопы обеспечивают оптимальную поддержку и комфорт.
- Подошва: Износостойкая резиновая подошва создана для максимального сцепления с различными поверхностями, проявляя высокую устойчивость и долговечность. Особые зоны, подверженные наибольшей нагрузке, усилены для увеличения срока службы обуви.
- Фит: Система крепления с эластичными шнурками и дополнительной вставкой на пятке обеспечивает надежную фиксацию стопы и легкость при надевании и снятии обуви. 
- Комфорт: Внутренняя отделка из мягкого и приятного на ощупь материала, а также эргономичная стелька создают максимальный комфорт для ваших ног на протяжении всего дня.
- Дизайн: Стильный и современный внешний вид с иридиевым покрытием делает кроссовки ярким акцентом любого спортивного или повседневного образа. Универсальный дизайн легко вписывается в любой гардероб, добавляя нотку элегантности и уверенности.
Кроссовки UA W Charged Rogue 3 Irid — это не только высокофункциональная спортивная обувь, но и стильный аксессуар, который подчеркнет вашу индивидуальность. Они отлично подойдут как для активных тренировок, так и для повседневного использования, обеспечивая комфорт и стиль в каждом шаге.</t>
  </si>
  <si>
    <t>Верх: 54% текстиль, 46% синтетический материал~Подошва: 80% резина, 20% этиленвинилацетат (ЭВА)</t>
  </si>
  <si>
    <t>3028254-002</t>
  </si>
  <si>
    <t>Threadborne ™ Push</t>
  </si>
  <si>
    <t>1296206-500</t>
  </si>
  <si>
    <t>Нитчатый верх кроссовок обеспечивает полную воздухопроницаемость и поддержку.  
Система шнуровки плотно прилегает к ноге и улучшает посадку. 
Стелька из EVA обеспечивает дополнительный комфорт.  
Подошва Charged Cushioning на основе прессованной пены обеспечивает превосходную посадку и максимальный комфорт. 
Резиновая подошва обеспечивает надежное сцепление с поверхностью при любых условиях.  
Анатомически расположенные изогнутые канавки обеспечивают необходимую гибкость в ключевых областях. 
Перепад:  5 мм.</t>
  </si>
  <si>
    <t>70% текстиль, 30% резина.</t>
  </si>
  <si>
    <t>UA HOVR Rise 4-BLK</t>
  </si>
  <si>
    <t>3025565-001</t>
  </si>
  <si>
    <t>UA HOVR Rise 4 - это совершенно новый уровень комфорта и стиля в мире спортивной обуви. Независимо от того, как вы тренируетесь, эти кроссовки гарантируют постоянную поддержку и амортизацию, повышающую вашу производительность до невероятных высот. Современный дизайн и инновационные технологии дают вам не только функциональность, но и ультрасовременный стиль. Революционная ткань с наилучшими дышащими свойствами обеспечивает свежесть и комфорт на протяжении всего дня. Кроссовки UA HOVR Rise 4 - это отличный выбор для тех, кто стремится к совершенству и ищет идеальный баланс между комфортом, производительностью и стилем. Попробуйте сами и вы не пожалеете о своем выборе!14:42</t>
  </si>
  <si>
    <t>88% текстиль, 12% синтетическое волокно, 100% резина</t>
  </si>
  <si>
    <t>Horizon 50</t>
  </si>
  <si>
    <t>3000300-100</t>
  </si>
  <si>
    <t>Для бегунов, которым нужен баланс гибкости и амортизации. Легкий верх из сетки обеспечивает сухость и комфорт. Сварной задник для устойчивости к истиранию. 
Универсальная система шнуровки с фиксацией для индивидуальной посадки. Эластичный воротник на основе лайкры для предотвращения попадания мусора. промежуточная подошва из EVA обеспечивает устойчивость и амортизацию. Резиновая подошва для отличного сцепления с поверхностью. Перепад: 7 мм.</t>
  </si>
  <si>
    <t>3027777-102</t>
  </si>
  <si>
    <t>белый/синий</t>
  </si>
  <si>
    <t>UA Charged Maven Trail-BLU</t>
  </si>
  <si>
    <t>3026136-401</t>
  </si>
  <si>
    <t>Кроссовки для трейлраннинга Under Armour Charged Maven Trail предлагают отличное сочетание легкости, воздухопроницаемости и прочности. Они разработаны специально для бега на тропах и других неровных поверхностях. Имеют удобную и поддерживающую посадку, чтобы обеспечить стабильность и защиту стопы во время бега. Они также легкие и гибкие, что позволяет естественно двигаться и адаптироваться к неровностям трассы.</t>
  </si>
  <si>
    <t>синий/красный</t>
  </si>
  <si>
    <t>верх 53% синт.материалы, 47% текстиль, подошва резина</t>
  </si>
  <si>
    <t>HOVR ™ SLK</t>
  </si>
  <si>
    <t>3021221-001</t>
  </si>
  <si>
    <t>Легкий сетчатый верх обеспечивает воздухопроницаемость
Фирменная внешняя чашка для дополнительной фиксации задней части стопы
Плюшевый носок обеспечивает дополнительную амортизацию
Технология UA HOVR обеспечивает «ощущение невесомости» для поддержания отдачи энергии
Износостойкая резиновая подошва с рельефной текстурой для максимальной прочности
Съемная стелька</t>
  </si>
  <si>
    <t>UA Charged Bandit Trek 2</t>
  </si>
  <si>
    <t>3024267-300</t>
  </si>
  <si>
    <t>Созданы, чтобы помочь вам быстро и легко передвигаться. Они удобные, мягкие, сверхпрочные, а новый дизайн обеспечивает вам еще большую поддержку, не мешая вам при движении. Легкая конструкция верхней части из искусственной сетки для увеличения вентиляция. Устойчивый к истиранию TPU в ключевых областях для дополнительной прочности. Высокие на щиколотке и мягкий язычок для дополнительной поддержки и комфорта. Формованная стелька по всей длине плотно прилегает к стопе, предотвращая скольжение и обеспечивая идеальный комфорт под стопой. В межподошве Charged Cushioning используется формованная под давлением пена для максимальной долговечности. Износостойкая резиновая подошва для сцепления с дорогой для увеличения прочности и сцепления с поверхностью. Высота:13 см. Вес: 320 гр</t>
  </si>
  <si>
    <t>верх: 38% текстиль, 34% кожа, 28% синтетический материал, подкладка: текстиль, подошва: 100% резина</t>
  </si>
  <si>
    <t>UA W HOVR Machina 3</t>
  </si>
  <si>
    <t>3024907-001</t>
  </si>
  <si>
    <t>UA W HOVR Machina 3 - это кроссовки, которые не только обеспечивают комфорт и поддерживают стопу во время бега, но и превращают каждый шаг в опытная, тренировочную сессию. Благодаря технологии HOVR, вы будете испытывать ощущение легкости и свободы движения, а инновационная система Record Sensor поможет оптимизировать вашу тренировку и фиксировать все ее составляющие - скорость, дистанцию и даже время контакта стопы с поверхностью. А лаконичный дизайн кроссовок UA W HOVR Machina 3, сделанный в спортивном стиле, позволит подчеркнуть ваш стиль и демонстрировать свой успех в спорте. Почувствуйте настоящую мощность спорта с UA W HOVR Machina 3!</t>
  </si>
  <si>
    <t>верх: 82% текстиль, 18% синт.материалы~подошва: 62% резина, 38% эва</t>
  </si>
  <si>
    <t>UA W Infinite Pro</t>
  </si>
  <si>
    <t>3027200-100</t>
  </si>
  <si>
    <t>UA W Infinite Pro — это кроссовки, созданные для тех, кто ценит высокую производительность и долговечность обуви. Эти кроссовки идеально подойдут для серьёзных бегунов, ищущих устойчивую и комфортную обувь для долгих дистанций. Верхняя часть выполнена из дышащей сетки с нанесёнными на неё усилениями, что обеспечивает превосходную вентиляцию и поддержку стопы. Подошва со встроенной технологией HOVR™ обеспечивает невероятный уровень энерговозвращения и амортизации, позволяя бегуну чувствовать себя уверенно и комфортно с каждым шагом. Уникальная система шнуровки сохраняет ногу в надёжном положении, предотвращая соскальзывание при движении. Внутренний ботинок обеспечивает дополнительный комфорт и плотное облегание стопы. Изысканный дизайн сочетает в себе элегантность и современные акценты, придавая кроссовкам стильный вид, который будет уместен как на пробежке, так и в повседневной жизни. Подмётка с рисунком, оптимизированным для бега, обеспечивает отличное сцепление и износостойкость. В UA W Infinite Pro каждая деталь продумана так, чтобы улучшить ваш беговой опыт и поддерживать высокую производительность.</t>
  </si>
  <si>
    <t>UA W Charged Aurora 2 +</t>
  </si>
  <si>
    <t>3025238-348</t>
  </si>
  <si>
    <t>Созданные для максимального количества повторений, они имеют усиление в средней части стопы, которое фиксирует и стабилизирует стопу в любом направлении, дышащие материалы и амортизацию для поглощения ударов. Созданы специально для женской стопы и имеют обтекаемую форму. Легкий, дышащий верх обеспечивает прохладу и сухость. Стратегические накладки из TPU обеспечивают стабильность, фиксацию и дополнительную прочность. Промежуточная подошва Charged Cushioning® изготовлена из пеноматериала, формованного под давлением, для максимальной отзывчивости и прочности.</t>
  </si>
  <si>
    <t>верх: 60% текстиль, 40% синт.материалы, подкладка: текстиль, подошва: 100% резина</t>
  </si>
  <si>
    <t>Breathe Trainer</t>
  </si>
  <si>
    <t>3020282-601</t>
  </si>
  <si>
    <t>Верх из эластичной сетки для ощущения легкости и свежести. Синтетический задник обеспечивает дополнительную устойчивость и поддержку. Эластичная система шнуровки отлично прилегает к средней части стопы, обеспечивая плотную посадку. Стелька EVA для дополнительного комфорта и индивидуальной посадки. Амортизация межподошвы EVA во всю длину обеспечивает легкую и отзывчивую езду. Прочная резиновая подошва обеспечивает надежное сцепление с поверхностью и износостойкость, а гибкие канавки гарантируют дополнительную гибкость. Перепад: 7 мм.</t>
  </si>
  <si>
    <t>3026128-103</t>
  </si>
  <si>
    <t>UA HOVR Phantom 3 Storm-BLK</t>
  </si>
  <si>
    <t>3025522-001</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</si>
  <si>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Вес: 315 г</t>
  </si>
  <si>
    <t>53% синтетическое волокно, 47% текстиль, 100% резина</t>
  </si>
  <si>
    <t>3027212-001</t>
  </si>
  <si>
    <t>верх: 42% текстиль, 34% кожа, 24% синт.материалы, подкладка: текстиль, подошва: 100% резина</t>
  </si>
  <si>
    <t>UA HOVR Machina 3</t>
  </si>
  <si>
    <t>3024899-400</t>
  </si>
  <si>
    <t>ПОДКЛЮЧАЕТСЯ К UA MAPMYRUN: отслеживает и анализирует ваши показатели бега, чтобы помочь вам стать лучшим бегуном.
Верх из специально разработанной основы для оптимальной легкости и воздухопроницаемости.
Стратегически продуманный дизайн без каких-либо накладок или швов.
Аэродинамический дизайн пятки и внешняя сторона пятки из ТПУ для дополнительной поддержки и фиксации
Формованная стелька из EVA обеспечивает дополнительный комфорт, упругость и амортизацию для бега с большим пробегом.
Отзывчивая амортизация UA HOVR снижает ударную нагрузку, возвращает энергию и помогает двигаться вперед.
Рифленая резиновая подошва.</t>
  </si>
  <si>
    <t>Верх: 92% текстиль, 8% синтетический материал~Подошва: 70% резина, 30% этиленвинилацетат (ЭВА)</t>
  </si>
  <si>
    <t>UA HOVR MACHINA 4 DL 2.0</t>
  </si>
  <si>
    <t>3026231-100</t>
  </si>
  <si>
    <t>Кроссовки для бега Under Armour HOVR Machina 4 DL 2.0 – это сочетание передовых технологий и непревзойденного комфорта для любого уровня подготовки. Идеально подходящие для тренировок и соревнований, эти кроссовки предлагают уникальное сочетание легкости, амортизации и поддержки.
Основные характеристики:
1. Технология HOVR: Инновационная амортизация HOVR обеспечивает ощущение невесомости и энергоотдачи, уменьшая ударные нагрузки и позволяя бегуну сохранять силы на протяжении всей дистанции.
2. Сетчатый верх: Легкий и дышащий материал верха обеспечивает отличную вентиляцию, сохраняя ноги сухими и комфортными даже при интенсивных нагрузках.
3. SpeedForm 2.0: Обновленная конструкция пятки и передней части стопы для точной посадки и поддержки, что обеспечивает максимальную стабильность и безопасность.
4. Подошва из углеродного каучука: Надежное сцепление с любой поверхностью и высокая износостойкость для длительного срока службы кроссовок.
5. Элементы отражения: Специальные светоотражающие вставки для улучшения видимости в условиях низкой освещенности, обеспечивая безопасность во время утренних или вечерних пробежек.
6. Подключение к приложению UA MapMyRun: Встроенные сенсоры позволяют отслеживать и анализировать данные пробежек в реальном времени, что помогает улучшать результаты и оптимизировать тренировки.
7. Эргономичная стелька: Стелька из материала с эффектом памяти повторяет форму стопы, обеспечивая дополнительный комфорт и поддержку свода стопы.
Under Armour HOVR Machina 4 DL 2.0 – это идеальный выбор для тех, кто ищет высокоэффективные кроссовки, способные выдержать любые испытания и вывести ваш бег на новый уровень.</t>
  </si>
  <si>
    <t>серый, зеленый</t>
  </si>
  <si>
    <t>верх 62% текстиль, 38% синтетика, подкладка текстиль, подошва резина</t>
  </si>
  <si>
    <t>UA W HOVR Machina 3 Clone</t>
  </si>
  <si>
    <t>3026732-600</t>
  </si>
  <si>
    <t>Эти кроссовки, созданные для самых длительных пробежек, оснащены дополнительной эластичной подушкой UA HOVR в носке, которая поможет вам взрываться при каждом шаге. Со всем этим драйвом. Верхняя часть растягивается и адаптируется к форме вашей стопы и манере ходьбы. Аэродинамический дизайн пятки и внешняя обвязка пятки из ТПУ для дополнительной поддержки и посадки. Формованный носок из ЭВА обеспечивает дополнительный комфорт, эластичность и амортизацию для бега в течение всего дня. Подушка HOVR снижает удары, восстанавливает энергию и помогает вам прогрессировать. Сочетание углеродистой и выдувной резины в подошве обеспечивает стратегическую долговечность и легкий отскок.</t>
  </si>
  <si>
    <t>фиолетовый/розовый</t>
  </si>
  <si>
    <t>верх 91% текстиль, 9% синтетический материал, подкладка текстиль, подошва 70% резина, 30% эва</t>
  </si>
  <si>
    <t>UA Charged Vantage 2</t>
  </si>
  <si>
    <t>3024873-001</t>
  </si>
  <si>
    <t>Изящный дизайн, амортизация Charged Cushioning, глубокие канавки для гибкости и мягкая эластичная посадка дают вам все преимущества, необходимые для достижения цели. Легкий, дышащий верх из эластичной сетки с формованной синтетической вставкой в ??средней части стопы для дополнительной прочности и поддержки. Мягкая стелька для максимального комфорта и амортизации. В промежуточной подошве Charged Cushioning используется формованный пено материал для максимальной отзывчивости и долговечности с меньшим весом. Анатомически расположенные глубокие канавки обеспечивают дополнительную гибкость в ключевых областях. Перепад: 8 мм. Средний вес кроссовка 235 грамм. Для бегунов, которым нужен баланс гибкости и амортизации.</t>
  </si>
  <si>
    <t>68% текстиль, 32% синтетический материал~Подошва: 100% резина</t>
  </si>
  <si>
    <t>UA Charged Rogue 3 Knit</t>
  </si>
  <si>
    <t>3026140-500</t>
  </si>
  <si>
    <t>UA Charged Rogue 3 Knit – это новое поколение кроссовок, которое сочетает в себе бескомпромиссную производительность, стильный дизайн и непревзойденный комфорт. Созданные с использованием передовой технологии вязаного материала, эти кроссовки предлагают невероятную поддержку и совершенство в каждом шаге. UA Charged Rogue 3 Knit оснащены инновационной системой амортизации Charged Cushioning, которая обеспечивает мгновенную отдачу энергии и уровень комфорта, как никогда раньше. Таким образом, вы можете достигать новых высот в своих тренировках или соревнованиях, чувствуя себя легкими и подготовленными к вызовам. Ультрамягкий и гибкий верх из вязаного материала обеспечивает идеальную посадку и вентиляцию, подстраиваясь под контуры вашей стопы. Вы будете ощущать свежесть и комфорт даже в самые интенсивные моменты вашей тренировки, благодаря превосходной циркуляции воздуха. Прочная резиновая подошва с износостойкими вставками обеспечивает надежное сцепление и поддержку на любой поверхности. Будь то асфальт, тропы или тренажерный зал, эти кроссовки гарантируют вам уверенность и безопасность во время ваших тренировок. UA Charged Rogue 3 Knit – это не просто кроссовки, это идеальный союз стиля и функциональности. Быть во главе ваших тренировок и показать всему миру, что вы способны преодолеть любые границы, наденьте эти кроссовки и докажите свою непревзойденность.</t>
  </si>
  <si>
    <t>верх: 63% текстиль, 37% синтетика, подкладка: текстиль, подошва: 100% резина</t>
  </si>
  <si>
    <t>3027005-101</t>
  </si>
  <si>
    <t>3023705-101</t>
  </si>
  <si>
    <t>Верх: 65% текстиль,35% синтетический материал Подошва: 100% резина</t>
  </si>
  <si>
    <t>3024894-112</t>
  </si>
  <si>
    <t>67% текстиль, 33% синтетический материал</t>
  </si>
  <si>
    <t>UA HOVR Phantom 3 SE Storm</t>
  </si>
  <si>
    <t>3026610-002</t>
  </si>
  <si>
    <t>Беговые кроссовки Under Armour Hovr Phantom 3 Se обеспечивают стабильность и амортизацию.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Верх выполнен из текстиля для дополнительной воздухопроницаемости. 
Жесткий задник удерживает ногу на месте и предотвращает проскальзывание.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Полноразмерная резиновая подошва с уникальным рисунком протектора для износостойкости и лучшего сцепления с поверхностью.</t>
  </si>
  <si>
    <t>черный/фиолетовый/розовый</t>
  </si>
  <si>
    <t>верх: 85% текстиль, 15% синт.материалы, подошва: 100% резина</t>
  </si>
  <si>
    <t>UA U HOVR Phantom 3 SE PRNT-BLK</t>
  </si>
  <si>
    <t>3027287-001</t>
  </si>
  <si>
    <t>Беговые кроссовки Under Armour Hovr Phantom 3 Se Print обеспечивают гибкость, амортизацию и комфорт.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комфорта.Верх выполнен из текстиля для дополнительной воздухопроницаемостиЖесткий задник для дополнительной защиты стопыСистема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использованияПолноразмерная резиновая подошва с уникальным рисунком протектора для износостойкости и лучшего сцепления с поверхностьюСветоотражающие элементы для повышения уровня безопасности передвижения в темное время суток</t>
  </si>
  <si>
    <t>черный/зеленый/оранжевый</t>
  </si>
  <si>
    <t>верх 73% текстиль, 27% синт.материалы, подошва резина</t>
  </si>
  <si>
    <t>UA TriBase Reign 4 Pro</t>
  </si>
  <si>
    <t>3025080-301</t>
  </si>
  <si>
    <t>Кроссовки выполнены из искусственной сетки с трикотажной конструкцией ботинок и накладками для дополнительной прочности и устойчивости к истиранию. Внешняя стойка для пятки для дополнительной устойчивости с гребневой конструкцией для сцепления во время отжиманий в стойке на голове. Специальная зональная гибкость и сцепление в передней части стопы обеспечивает большую мобильность и дополнительное сцепление. Полноразмерная межподошва из пеноматериала Micro G для максимальной отзывчивой амортизации. UA TriBase  увеличивает контакт с землей, способствует естественному движению и обеспечивает гибкость захвата во время подъема. Полностью резиновая подошва обхватывает стороны для прочности и дополнительной устойчивости к истиранию за счет внутреннего троса. Стратегическая резиновая вставка под носком для более надежного сцепления с полом. Низкая к земле конструкция обеспечивает лучшее ощущение и передачу энергии.</t>
  </si>
  <si>
    <t>UA TriBase. Технология кроссовок для тренировок в зале для лучшего сцепления, стабильности. Обеспечивает максимальный контроль над опорной поверхностью благодаря трем точкам контакта.  Широкая средняя часть кроссовка, эластичные задник и язычок обеспечивают надежную фиксацию. Дышащая ткань с упрочненной структурой плетения волокон и высота ботинка защищают ногу во время упражнений.</t>
  </si>
  <si>
    <t>56% текстиль, 44% синтетический материал~Подошва: 100% резина</t>
  </si>
  <si>
    <t>UA W Charged Lightning</t>
  </si>
  <si>
    <t>1285494-410</t>
  </si>
  <si>
    <t>Жаккардовый верх обеспечивает легкую поддержку благодаря бесшовной конструкции. 
 Однокомпонентная подошва Charged Cushioning дарит ощущение легкости. 
 Твердая резиновая подошва в зонах с высокими ударными нагрузками обеспечивает долговечность. 
 Перепад: 10 мм.</t>
  </si>
  <si>
    <t>3027777-104</t>
  </si>
  <si>
    <t>Женские кроссовки UA W Shift от Under Armour — это баланс комфорта и стиля. Они идеально подходят для занятий спортом и повседневного ношения, предлагая дышащий верх для отличной циркуляции воздуха и мягкую подкладку для амортизации. Стильный дизайн делает их отличным выбором для модной спортсменки. Верх из сетчатого материала гарантирует воздухопроницаемость и комфорт, поддерживая свежесть и легкость во время активного движения.
- Softfoam подкладка обеспечивает мягкую амортизацию и поддержку стопы, уменьшая утомляемость при долгих прогулках или тренировках.
- Эластичный трикотаж сохраняет легкость и комфорт, обеспечивая максимальную гибкость и свободу движений.
- Легкая конструкция позволяет быстро надевать и снимать кроссовки, упрощая повседневное использование.
- Зажим из ТПУ для пятки обеспечивает отличную фиксацию и посадку, повышая стабильность и уверенность при любых нагрузках.
- Уникальная подошва с протектором предлагает надежное сцепление и долговечность, подходя для разнообразных поверхностей.</t>
  </si>
  <si>
    <t>верх: 92% текстиль, 8% синт.материалы, подошва: 100% резина</t>
  </si>
  <si>
    <t>UA W HOVR Sonic 5</t>
  </si>
  <si>
    <t>3024906-001</t>
  </si>
  <si>
    <t>Универсальные тренировочные кроссовки с упругой амортизацией и плавным перекатом, в которых будет комфортно преодолевать даже длинные дистанции. Эта модель оснащена сенсором Record Sensor, чтобы в режиме реального времени следить за своим каденсом, темпом, длиной шага и другими техническими показателями. Таким образом, кроссовки могут выступать в качестве тренера, нужно только подключить датчик к приложению MapMyRun.Система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 глубокий протектор, обеспечивающий максимальную гибкость при движении, а накладки из углеродистой резины под пяткой повышают сцепление с поверхностью и износостойкость.</t>
  </si>
  <si>
    <t>Верх: 90% текстиль, 10% синтетический материал~Подошва: 100% резина</t>
  </si>
  <si>
    <t>3026525-100</t>
  </si>
  <si>
    <t>верх 76% текстиль, 24% синтетическое волокно, подкладка текстиль, подошва резина</t>
  </si>
  <si>
    <t>UA Charged Commit TR 4</t>
  </si>
  <si>
    <t>3026017-403</t>
  </si>
  <si>
    <t>Кроссовки UA Charged Commit TR 4 - это универсальный тренажер, созданный для тех, кто не знает преград в достижении своих целей. Эти стильные и комфортные кроссовки подходят как для интенсивных тренировок в зале, так и для активного отдыха на свежем воздухе, составляя при этом эталон качества и долговечности. Использование проверенной временем технологии Charged Cushioning® от Under Armour обеспечивает высококачественное смягчение ударных нагрузок и обладает отличными восстановительными характеристиками. Это сделает каждый ваш шаг максимально комфортным и эффективным, позволяя сохранять энергию и уменьшать усталость в ногах. Верх кроссовок выполнен из легкого и прочного материала, который гарантирует необходимую воздухопроницаемость и комфорт во время тренировок. Адаптивная конструкция обуви плотно облегает стопу, обеспечивая поддерживающую и безопасную посадку во время любых движений.</t>
  </si>
  <si>
    <t>UA Charged Bandit TR 3</t>
  </si>
  <si>
    <t>3028371-024</t>
  </si>
  <si>
    <t>Under Armour UA Charged Bandit TR 3 — идеальный выбор для бегунов, предпочитающих активный отдых на природе. Износостойкий верх из синтетических материалов и текстиля предлагает превосходную воздухопроницаемость и долговечность. Эти кроссовки гарантируют комфорт и надежность на любых типах поверхностей благодаря агрессивной резиновой подошве. Прочный верх из синтетических материалов и текстиля обеспечивает долговечность и отличную вентиляцию, поддерживая комфорт в течение длительных пробежек.
- Текстильная подкладка мягко поддерживает стопу, предотвращая натирание и обеспечивая комфортное прилегание.
- Агрессивный протектор резиновой подошвы гарантирует надежное сцепление на сложных поверхностях, будь то город или природа.
- Шнуровка позволяет легко адаптировать посадку к индивидуальным предпочтениям, предоставляя надежную фиксацию.
- Легкая конструкция кроссовок способствует естественным движениям, обеспечивая устойчивость и защиту в любых условиях.
- Эти кроссовки идеально подходят для тех, кто ценит сочетание надежности и комфорта в активном образе жизни.</t>
  </si>
  <si>
    <t>верх: иск.кожа, текстиль; подкладка: текстиль; подошва: резина</t>
  </si>
  <si>
    <t>UA W Edge SUEDE</t>
  </si>
  <si>
    <t>6003014-673</t>
  </si>
  <si>
    <t>Эти кроссовки созданы для тренировок как в зале, так и вне его. Технология Charged Cushioning® защищает от ударных нагрузок, вставки из замши обеспечивают устойчивую посадку, а верх из сетчатой ткани — лёгкий и дышащий.
Дышащий верх из сетки с накладками из замши обеспечивает прочность и стабильность во время динамичных движений  
Двухслойная стелька Ortholite гарантирует максимальный комфорт при первом же шаге  
Промежуточная подошва Charged Cushioning® изготовлена из компрессионного пеноматериала для высокой отдачи и долговечности  
Износостойкая подошва из цельной резинына с продуманным протектором обеспечивает надёжное сцепление и удобство при поворотах</t>
  </si>
  <si>
    <t>верх: кожа,текстиль, иск.кожа; подкладка: текстиль; подошва: резина</t>
  </si>
  <si>
    <t>UA W Speedform Europa</t>
  </si>
  <si>
    <t>1285482-962</t>
  </si>
  <si>
    <t>HOVR ™ Sonic</t>
  </si>
  <si>
    <t>3020977-006</t>
  </si>
  <si>
    <t>Технология UA HOVR обеспечивает «ощущение невесомости» и энергетическую амортизацию. 
 Компрессионная сетка Energy Web дополняет пену UA HOVR и обеспечивает возврат энергии. 
 Для бегунов, которым нужен баланс гибкости и амортизации. 
 Верх из мягкого трикотажа быстро высыхает и обеспечивает воздухопроницаемость. 
 Вентилируемая панель посередине повышает воздухопроницаемость. 
 Уникальная конструкция язычка прикреплена к стельке с помощью эластичных крыльев, чтобы обеспечивать плотную посадку по всей ноге. 
 Съемные противомикробные стельки Sockliner Ortholite для непревзойденного комфорта. 
 Резина под передней частью ноги легкая, но невероятно отзывчивая. 
 Высокоабразивная резина, расположенная под пяткой, предотвращает скольжение на любой поверхности. 
 Перепад: 8 мм.</t>
  </si>
  <si>
    <t>Верх: 100% текстиль. Подошва: 100% резина.</t>
  </si>
  <si>
    <t>Threadborne ™ Slingflex</t>
  </si>
  <si>
    <t>1285490-001</t>
  </si>
  <si>
    <t>3025060-100</t>
  </si>
  <si>
    <t>UA W Charged Aurora 2 - это стильные и комфортные женские кроссовки, которые идеально подходят для фитнеса и тренировок. Технология Charged Cushioning в стельке обеспечивает мягкую и амортизирующую поддержку при активных нагрузках, облегчая утомление и уменьшая давление на стопу. Кроме того, технология Threadborne в верхней части обуви позволяет ногам дышать, не допуская перегревания во время тренировки, и обеспечивает идеальную посадку. Подошва изготовлена из особого прочного материала, отлично сцепляющегося с поверхностью, что обеспечивает надежность и безопасность. Кроссовки UA W Charged Aurora 2 также имеют стильный и элегантный дизайн, который позволяет выделиться на тренировке и дарит уверенность на всю оставшуюся часть дня. Независимо от того, занимаетесь вы юогой или кроссфитом, выберите UA W Charged Aurora 2, чтобы чувствовать себя комфортно и выглядеть стильно на тренировке и в повседневной жизни.</t>
  </si>
  <si>
    <t>UA Charged Assert 10</t>
  </si>
  <si>
    <t>3026175-400</t>
  </si>
  <si>
    <t>Встречайте кроссовки, в которых ваша уверенность будет крепнуть с каждым шагом: Under Armour Charged Assert 10. Это идеальное решение для активных спортсменов, которые ищут баланс между поддержкой и гибкостью, необходимыми в беге и активных тренировках. Замечательно сбалансированный силуэт кроссовок Charged Assert 10 сочетает эффективность с элегантностью. Дышащий сетчатый верх обеспечивает необходимую циркуляцию воздуха, в то время как прочные кожаные зоны укрепляют критически важные зоны износа, продлевая жизнь вашей обуви и улучшая её технические характеристики. Обувь оснащена уникальной средней подошвой Charged Cushioning, предлагающей отзывчивую энергию и отличную амортизацию, даря вам необходимую отдачу при беге и спортивных манёврах. Эта подошва работает в унисон с вашими движениями, обеспечивая комфорт и поддержку на протяжении всего дня. Внешняя подошва гарантирует превосходное сцепление с разными типами поверхностей благодаря уникальной резиновой тракционной модели, которая также дополняет долговечность кроссовок. Мягкий воротник и язычок обеспечивают посадку без давления, а традиционная шнуровка позволяет легко регулировать посадку.Under Armour Charged Assert 10 – это воплощение удобства и мощи для тех, кто настаивает на высоких ре зультатов с каждым километром. Обувь, которая позволяет стоять уверенно и двигаться смело. Наступите с уверенностью и ощутите непревзойденное заряженное ускорение, куда бы вас ни занес путь!</t>
  </si>
  <si>
    <t>UA W Charged Bandit TR 2-GRN</t>
  </si>
  <si>
    <t>3024191-302</t>
  </si>
  <si>
    <t>UA W Charged Bandit TR 2 - это идеальный выбор для тех, кто ищет высокое качество и комфорт в своих кроссовках для занятий спортом и повседневного использования. Кроссовки изготовлены из материалов высокого качества с технологией Charged Cushioning, которая обеспечивает максимальную амортизацию и комфорт. Протектор подошвы - износостойкая, благодаря технологии Micro G, которая обеспечивает максимальную устойчивость при нагрузках. Они также обладают технологией Threadborne, которая обеспечивает прекрасную вентиляцию, защиту от пота и лучшую адаптацию к форме ноги. Кроссовки сделаны из легкого материала, что позволяет ногам дышать и чувствовать себя комфортно во время тренировок или прогулок. Они также имеют удобную и прочную шнуровку, которая обеспечивает идеальную посадку. Кроссовки имеют привлекательный дизайн с логотипом Under Armour, что делает их не только функциональными, но и стильными на вид. Если вы ищете кроссовки, которые сочетали бы в себе стиль, комфорт и высокое качество - то UA W Charged Bandit</t>
  </si>
  <si>
    <t>зеленый/фиолетовый</t>
  </si>
  <si>
    <t>верх 59% синт.материалы, 41% текстиль, подошва резина</t>
  </si>
  <si>
    <t>UA W BCL 3</t>
  </si>
  <si>
    <t>3026124-104</t>
  </si>
  <si>
    <t>Откройте для себя мир скорости с новыми кроссовками Under Armour VLCT 3! Идеальный партнер для тех, кто мечтает о динамичности и комфорте в каждом шаге. Продвинутые технологии и инновационный дизайн воплотились в легкости VLCT 3, делая их неотразимым выбором для серьезных бегунов.  Микроволоконный материал верха обеспечивает вентиляцию и поддержку, не ограничивая движения. Стратегически расположенные усилители увеличивают износостойкость и стабильность. Вставка из пены UA HOVR™ в средней части подошвы гарантирует возвращение энергии и супериорное амортизационное действие на весь день.  Аутсоль с уникальным тракционным узором обеспечивает превосходное сцепление с любой поверхностью, позволяя Вам не терять скорость, обходя препятствия. Профиль основания сделан для оптимального распределения давления и гибкости, дополняя вашу технику бега. Выберите VLCT 3 для следующего уровня ваших беговых достижений и почувствуйте, как с каждым шагом вы на шаг ближе к своим целям! Успех начинается с правильной обуви – и Under Armour VLCT 3 готовы вдохнуть энергию в ваш забег.</t>
  </si>
  <si>
    <t>верх: 79% текстиль, 21% синт.материалы, подкладка: текстиль, подошва: 100% ЭВА</t>
  </si>
  <si>
    <t>3024131-005</t>
  </si>
  <si>
    <t>UA W Mojo 2 - это воплощение вашей страсти к активному образу жизни. Эти кроссовки идеально подходят для тех, кто ценит комфорт, функциональность и стиль. Сочетание легкого и дышащего материала в верхней части кроссовок обеспечивает вентиляцию и комфорт в течение всего дня. Удобная шнуровка позволяет вам регулировать посадку и обеспечивает надежную поддержку вашей стопы. Оснащенные инновационной технологией Charged Cushioning, эти кроссовки обеспечивают долговечную амортизацию и отскок для максимальной производительности во время тренировок. Прочная резиновая подошва с амортизирующими элементами по всей поверхности обеспечивает отличное сцепление и устойчивость на различных поверхностях. B UA W Mojo 2 вы можете бросать вызов гравитации и достигать новых высот в своих тренировках. Будьте вдохновленными и готовыми к новым спортивным достижениям с UA W Mojo 2.</t>
  </si>
  <si>
    <t>верх 80% текстиль, 20% синтетическое волокно, подкладка текстиль, подошва 100% эва</t>
  </si>
  <si>
    <t>CURRY 9 STREET</t>
  </si>
  <si>
    <t>3024248-404</t>
  </si>
  <si>
    <t>Кроссовки Under Armour Curry 9 Street. Линейка STREET от Curry Brand и Under Armour включает семь цветов, основанных на персонажах Улицы Сезам, которые отмечаются уникальными отметками на язычке обуви и флажком с намеком на символ около пятки. Классический знак "Улица Сезам" также изображен на подложке для носков. Эта обновленная обувь имеет качественное сцепление UA Flow и UA Warp, новой в баскетболе технологии верха, которая улучшает стабильность стопы. UA Warp работает в тандеме с UA Flow, имея поддерживающие ленты, которые фиксируют стопу на промежуточной подошве UA Flow, обеспечивая естественное движение.</t>
  </si>
  <si>
    <t>UA Warp. Поддержка стопы.; 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t>
  </si>
  <si>
    <t>верх: 100% текстиль~подошва: 100% этиленвинилацетат</t>
  </si>
  <si>
    <t>3027189-400</t>
  </si>
  <si>
    <t>UA W HOVR Sonic 4 Storm</t>
  </si>
  <si>
    <t>3024234-001</t>
  </si>
  <si>
    <t>Кроссовки, созданные специально для бега на длинные дистанции, которые отличаются прекрасной гибкостью и оптимальной амортизацией. UA HOVR  Sonic 4 Colorshift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(термопластичного полиуретана)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 что особенно важно при беге на длинные дистанции.</t>
  </si>
  <si>
    <t>3024906-501</t>
  </si>
  <si>
    <t>92% текстиль,  8% синтетика, подкладка текстиль, подошва резина</t>
  </si>
  <si>
    <t>3026550-301</t>
  </si>
  <si>
    <t>3026017-106</t>
  </si>
  <si>
    <t>верх: 61% кожа, 25% текстиль, 14% синт.материалы, подкладка: текстиль, подошва: 100% резина</t>
  </si>
  <si>
    <t>UA U HOVR DS RIDGE TR</t>
  </si>
  <si>
    <t>3025852-105</t>
  </si>
  <si>
    <t>Идеальный баланс между взрывной силой, прочным верхом и UA HOVR под ногами, который возвращает энергию. Динамичный усиленный верх, оптимизированный для легкости и долговечности.
Стратегические 3D-наложения
Антимикробная стелька Ortholite для комфорта и воздухопроницаемости.
Технология UA HOVR уменьшает воздействие, возвращает энергию и создает ощущение невесомости.
Сверхпрочная подошва Vibram с рисунком выступов Mega Grip для превосходного сцепления на различных поверхностях.</t>
  </si>
  <si>
    <t>UA Vibram. Подошва с уникальным дизайном тяговых выступов для максимального сцепления и долговечности.;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OrthoLite. Амортизация.</t>
  </si>
  <si>
    <t>верх 79% текстиль, 21% синтетика, подкладка текстиль, подошва резина</t>
  </si>
  <si>
    <t>UA Charged Maven Trek</t>
  </si>
  <si>
    <t>3026370-200</t>
  </si>
  <si>
    <t>Мужские кроссовки UA Charged Maven Trek Trail. Созданы, чтобы помочь вам путешествовать по трассе быстро и легко. Они удобные, мягкие, сверхпрочные и цепкие, а высокий воротник на щиколотке обеспечивает еще большую поддержку там, где это необходимо.
Легкие верхние материалы дышащие и прочные.
Высокий воротник на щиколотке и мягкий язычок для дополнительной поддержки и комфорта.
Формованная стелька во всю длину повторяет форму стопы, исключая проскальзывание и обеспечивая идеальный комфорт под ногами.
В межподошве Charged Cushioning используется прессованный пенопласт, обеспечивающий максимальную отзывчивость и долговечность.
Подошва из высокоабразивной резиновой тяги для большей прочности и сцепления с дорогой.</t>
  </si>
  <si>
    <t>верх: 73% текстиль, 27% синт.материалы~подошва: 100% резина</t>
  </si>
  <si>
    <t>3026727-011</t>
  </si>
  <si>
    <t>Under Armour UA Charged Edge-  Универсальные мужские кроссовки для зала и повседневной жизни.
Кроссовки Under Armour Charged Edge разработаны для спортсменов, которым необходим идеальный баланс гибкости и амортизации во время разнообразных тренировок как в зале, так и на улице. Эта модель обеспечивает исключительный комфорт и поддержку, помогая снизить ударную нагрузку при каждом шаге. 
Идеально подходят для широкого спектра тренировок в тренажерном зале, включая силовые упражнения, кардио, а также для повседневного использования и длительных прогулок.
 Промежуточная подошва из компрессионной формованной пены обеспечивает отзывчивую амортизацию, снижает ударное воздействие, возвращает энергию и гарантирует долговечность.Дышащий сетчатый верх с накладками из кожи и синтетических материалов обеспечивает вентиляцию, прочность и поддержку во время динамичных движений.Двухслойная стелька Ortholite для максимального комфорта при надевании.
 Прочная полноразмерная резиновая подошва с стратегическим рисунком обеспечивает отличное сцепление и маневренность на различных поверхностях.
Перепад (Offset): 8 мм.Материал: Верх преимущественно из текстиля, кожи и синтетических материалов; подошва из ЭВА и резины. 
На кроссовках Under Armour UA Charged Edge присутствует печатный логотип бренда, расположенный  на боковой части обуви.</t>
  </si>
  <si>
    <t>UA W HOVR Machina 2</t>
  </si>
  <si>
    <t>3023555-601</t>
  </si>
  <si>
    <t>UA HOVR Machina 2 - это больше, чем кроссовки. Да, это дает вам возврат энергии и скорость движителя, но он также тренирует вас в реальном времени, чтобы помочь вам лучше бегать, когда вы подключаете их к UA MapMyRun. ПОДКЛЮЧЕНИЕ К UA MAPMYRUN: отслеживает и анализирует ваши беговые показатели, чтобы помочь вам стать лучше. Технология UA HOVR обеспечивает ощущение невесомости для поддержания возврата энергии, что помогает исключить удары. Сжатая сетка Energy Web содержит и формирует пену UA HOVR для возврата энергии, которую вы вложили в верхнюю часть из сверхлегкой трехмерной сетки для повышенной воздухопроницаемости и максимальной скорости. Внешняя поддержка пятки для дополнительной стабильности и фиксации Feel Sprint. Накладки из углеродистой резины под пяткой обеспечивают лучшее сцепление и долговечность в зонах сильных ударов. Светоотражающие детали. Перепад: 8 мм Вес кроссовка:  230 грамм.</t>
  </si>
  <si>
    <t>Верх: 77% текстиль,23% синтетический материал~Подошва: 100% резина</t>
  </si>
  <si>
    <t>UA JET '23</t>
  </si>
  <si>
    <t>3026634-002</t>
  </si>
  <si>
    <t>Кроссовки UA JET '23 от Under Armour — идеальный выбор для баскетболистов, стремящихся к максимальной производительности и комфорту на площадке. Они выполнены из 41% кожи, 39% текстиля и 20% полиэстера, обеспечивая надежную поддержку и вентиляцию. Прочный сетчатый верх с синтетическими накладками обеспечивает стабильность и дышащие свойства, что важно для маневренности и комфорта. Средняя подошва с вставкой EVA гарантирует амортизацию и подавление ударных воздействий, а уникальная внешняя подошва обеспечивает исключительное сцепление на различных поверхностях.
- Верх изготовлен из прочных материалов, обеспечивая надежную поддержку и отличные дышащие свойства.
- Средняя подошва EVA снижает ударные нагрузки, обеспечивая комфорт на всех этапах игры.
- Уникальный рисунок и материал подошвы гарантируют стабильное сцепление с площадкой, улучшая устойчивость при быстрых движениях.
- Материалы премиум-класса и прочный дизайн продлевают срок службы обуви, даже при интенсивных нагрузках.
- Эти кроссовки сочетают стиль и функциональность, позволяя спортсменам доминировать на площадке и за ее пределами.</t>
  </si>
  <si>
    <t>верх: 41% кожа, 39% текстиль, 20% синт.материалы, подошва: 100% резина</t>
  </si>
  <si>
    <t>3026634-003</t>
  </si>
  <si>
    <t>3026634-104</t>
  </si>
  <si>
    <t>UA Micro G Pursuit BP</t>
  </si>
  <si>
    <t>3021953-001</t>
  </si>
  <si>
    <t>Беговые кроссовки Under Armour Micro G Pursuit Bp для бегунов с нейтральной пронацией, которым нужен баланс гибкости и амортизации. Данная обувь выполнена из текстиля, что обеспечивает легкую поддержку и улучшенную воздухопроницаемость. Сетчатый верх обеспечивает отличную воздухопроницаемость. Встроенная стелька повышает амортизационные способности. Промежуточная подошва с технологией Micro G качественно гасит нагрузки в течении длительного времени. Амортизирующая подошва с поперечными желобками для гибкости и комфорта.</t>
  </si>
  <si>
    <t>верх: 59% текстиль, 41% синтетический материал, подкладка: 100% полиэстер, подошва: 100% резина</t>
  </si>
  <si>
    <t>UA W Charged Breathe CLR SFT</t>
  </si>
  <si>
    <t>3023658-001</t>
  </si>
  <si>
    <t>Высокий уровень амортизации технологии UA Charged Cushioning гарантирует комфорт, а легкие материалы верха обеспечивает отличную вентиляцию, то что нужно в жаркую погоду. Очень стильный внешний вид, который говорит сам за себя. Эластичный верх из сетки для легкости и воздухопроницаемости. Гибкий ремешок с отверстиями для передней части стопы и асимметричная шнуровка обеспечивают надежную фиксацию и выдающийся стиль. Подошва с усиленной амортизацией обеспечивает максимальный комфорт. Полная резиновая подошва для повышенного сцепления и прочности.</t>
  </si>
  <si>
    <t>72% текстиль, 28% синтетический материал</t>
  </si>
  <si>
    <t>UA Phantom Fore</t>
  </si>
  <si>
    <t>3027876-001</t>
  </si>
  <si>
    <t>Under Armour Phantom Fore Spikeless — универсальные гольф-кроссовки без шипов. Отправляйтесь с поля прямо в клубный дом — эти кроссовки станут вашим новым выбором на каждый день.
Лёгкая водонепроницаемая мембрана и верх, обработанный технологией NeverWet™, сохранят ноги сухими и прохладными в сырую погоду
Мягкий формованный верх из пеноматериала с покрытием из TPU и вязаные горловина и язычок обеспечивают удобство как у носков и комфорт при надевании
Упругая амортизация UA HOVR+™ уменьшает ударную нагрузку, возвращает энергию и помогает двигаться вперёд
Прочная резиновая подошва с протектором, устойчивым к прокручиванию, обеспечивает надёжное сцепление</t>
  </si>
  <si>
    <t>верх: 60% синт.материалы, 40% текстиль, подкладка: текстиль, подошва: 100% резина</t>
  </si>
  <si>
    <t>UA W HOVR Sonic 4</t>
  </si>
  <si>
    <t>3023559-002</t>
  </si>
  <si>
    <t>Кроссовки, созданные специально для бега на длинные дистанции, которые отличаются прекрасной гибкостью и оптимальной амортизацией. UA HOVR  Sonic 4 оснащены сенсором Record Sensor и подключаются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t>
  </si>
  <si>
    <t>UA MG Valsetz Trek Mid L WP-GRY</t>
  </si>
  <si>
    <t>3025577-100</t>
  </si>
  <si>
    <t>Встречайте новейшие ботинки UA Mg Valsetz Trek Mid - идеальный выбор для вашего следующего приключения на природе. Независимо от того, отправляетесь ли вы в поход, треккинг или пешую прогулку, эти ботинки обеспечат вам максимальную комфортность и надежность на каждом шагу. Ботинки Valsetz Trek Mid объединяют в себе прочность и легкость благодаря инновационным материалам и технологиям Under Armour. Прочная верхняя часть изготовлена из прочного и гибкого материала, обеспечивая практически непробиваемую защиту и комфорт на протяжении всего дня. Система UA ClutchFit обеспечивает стойкую поддержку и подгонку, обхватывая вашу ногу и создавая стабильность на неровной поверхности. Благодаря пенной промежуточной подошве Charged Cushioning и амортизации Micro G, вы получите идеальную комбинацию амортизации и отзывчивости, которая поможет снизить утомляемость ног и увеличит вашу энергию во время длительных маршрутов. Ботинки UA Mg Valsetz Trek Mid также обладают водонепроницаемостью и дышащими свойствами, чтобы сохранить ваши ноги сухими и комфортными в любых погодных условиях. Надежная подошва с устойчивым сцеплением и протектором, разработанной под воздействием высоких нагрузок, обеспечивает надежное сцепление на любой поверхности. Обновите свой активный гардероб с помощью ботинок UA Mg Valsetz Trek Mid и готовьтесь к новым приключениям с полной уверенностью. Никогда раньше природа не была настолько близка!</t>
  </si>
  <si>
    <t>Осень/Зима</t>
  </si>
  <si>
    <t>верх: нубук, текстиль, подкладка: текстиль, подошва:резина</t>
  </si>
  <si>
    <t>UA Infinite Pro 2</t>
  </si>
  <si>
    <t>3028168-348</t>
  </si>
  <si>
    <t>Тренируете выносливость? UA Infinite Pro обеспечивает идеальную поддержку и новую, упругую амортизацию UA HOVR+, которая помогает сохранять свежесть в ногах. Поэтому, когда тренер скажет: "Продолжайте бежать", именно вы будете задавать темп.
Легкий сетчатый верх из технологичного материала для воздухопроницаемости и комфорта даже на самых длинных пробежках.
Мягкая окантовка ворота и язычок для улучшенной посадки и комфорта.
Дизайн пятки обеспечивает мягкую посадку, снижает ударную нагрузку и повышает общую стабильность.
Особо упругая амортизация UA HOVR+ уменьшает воздействие, возвращает энергию и помогает двигаться вперед.
Двухкомпонентная промежуточная подошва с легким пеноматериалом EVA для мягких приземлений и дополнительной устойчивости.
Резиновая подошва разработана для обеспечения долговечности и легкой отдачи там, где это необходимо.
UA Infinite Pro — кроссовки, которые поддерживают ваши амбиции и делают каждую тренировку комфортнее.</t>
  </si>
  <si>
    <t>верх: 86% текстиль, 14% синт.материалы, подкладка: текстиль, подошва: 100% резина</t>
  </si>
  <si>
    <t>Breathe Lace Reflective</t>
  </si>
  <si>
    <t>3021057-001</t>
  </si>
  <si>
    <t>Верх из эластичной сетки для воздухопроницаемости. Гибкий ремень в передней части стопы и асимметричная шнуровка обеспечивают надежную фиксацию. Промежуточная подошва из EVA для оптимальной амортизации. Резиновая подошва с тяговыми наконечниками для лучшего сцепления и устойчивости. Перепад: 7 мм.</t>
  </si>
  <si>
    <t>UA HOVR Machina 3 Clone-BLU</t>
  </si>
  <si>
    <t>3026729-302</t>
  </si>
  <si>
    <t>Беговые кроссовки Under Armour Hovr Machina 3 Clone обеспечивают гибкость и амортизацию, и отлично подойдут для бега на средние и длинные дистанции.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Текстильный верх для более лучшего прилегания и увеличения вентиляции
Усиленный задник для дополнительной поддержки стопы
Формованная стелька из EVA для комфорта, упругости и амортизации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Твердая резиновая подошва с уникальным рисунком протектора для износостойкости и лучшего сцепления с поверхностью</t>
  </si>
  <si>
    <t>верх: 92% текстиль, 8% синт.материалы~подошва: 70% резина, 30% ЭВА</t>
  </si>
  <si>
    <t>UA HOVR Phantom 3 Storm-GRY</t>
  </si>
  <si>
    <t>3025522-101</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</si>
  <si>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Падение: 9 мм
Вес: 315 г</t>
  </si>
  <si>
    <t>верх: 53% синт.материалы, 47% текстиль, подкладка: текстиль, подошва: резина</t>
  </si>
  <si>
    <t>UA HOVR Phantom 3 Storm-BLU</t>
  </si>
  <si>
    <t>3025522-400</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</si>
  <si>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Вес: 315 г</t>
  </si>
  <si>
    <t>UA PROJECT ROCK 6</t>
  </si>
  <si>
    <t>3026534-001</t>
  </si>
  <si>
    <t>Кроссовки UA PROJECT ROCK 6 – это сочетание передовых технологий, непревзойденного комфорта и мощного дизайна, созданные специально для тех, кто стремится к максимальной производительности и непреклонно идет к своим целям. Вдохновленные философией Двейна "Скалы" Джонсона, эти кроссовки станут вашим надежным союзником как в зале, так и за его пределами.
- Материал и конструкция: Верх кроссовок выполнен из легкого и дышащего материала, который обеспечивает отличную вентиляцию и гарантирует комфорт во время длительных тренировок. Усиленные накладки в ключевых зонах повышают прочность и долговечность обуви, помогая ей выдерживать самые интенсивные нагрузки.
- Подошва и амортизация: Удобренная амортизационная система UA HOVR™ обеспечивает ощущение гравитационной стабильности и возвращает энергию от каждого шага, минимизируя нагрузку на суставы. Резиновая подошва с многослойным протектором обеспечивает превосходное сцепление с любыми поверхностями и стабильность движений.
- Функциональный дизайн: Разработанная анатомическая форма и улучшенная конструкция пятки обеспечивают надежную фиксацию стопы, минимизируя риск травм. Гибкие зональные вставки позволяют двигаться естественно и свободно.
- Комфорт и подгонка: Кроссовки оснащены мягким и эргономичным внутренним слоем, который комфортно охватывает ногу и предотвращает натирание. Специально разработанная система шнуровки позволяет быстро и надежно зафиксировать обувь, подстраивая ее под индивидуальные особенности стопы.
- Стиль и символика: Эмблема Project Rock на язычке и боковых панелях – это символ силы воли и не останавливаться на достигнутом. Лаконичный и современный дизайн кроссовок позволяет легко сочетать их с различными элементами спортивной и повседневной одежды.
- Универсальность: Эти кроссовки идеально подходят для самых разных видов тренировок – от HIIT и тяжёлой атлетики до кардионагрузок и повседневного бега. Они отлично сочетаются с вашим спортивным и повседневным гардеробом, добавляя нотку стиля и функциональности.
Кроссовки UA PROJECT ROCK 6 – это ваш надежный партнер на пути к новым достижениям. Наденьте их и воплотите свои амбиции в реальность, руководствуясь философией неутомимого труда и несгибаемой решимости!</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</si>
  <si>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TriBase. Технология кроссовок для тренировок в зале для лучшего сцепления, стабильности. Обеспечивает максимальный контроль над опорной поверхностью благодаря трем точкам контакта.  Широкая средняя часть кроссовка, эластичные задник и язычок обеспечивают надежную фиксацию. Дышащая ткань с упрочненной структурой плетения волокон и высота ботинка защищают ногу во время упражнений.</t>
  </si>
  <si>
    <t>верх: 63% полиэстер, 37% полиуретан, подкладка: тектсиль, подошва: 100% резина</t>
  </si>
  <si>
    <t>UA GS PROJECT ROCK 5</t>
  </si>
  <si>
    <t>3025437-100</t>
  </si>
  <si>
    <t>Экипировка Project Rock для тренировок создана, чтобы помочь вам найти свои границы — и уверенно прорваться сквозь них. Каждая деталь этой коллекции лично одобрена Дуэйном Джонсоном — человеком, который работает усерднее всех. В ЛЮБОМ помещении.
🔹 Прочная инженерная сетка верха — лёгкая и дышащая, с продуманной эластичностью и поддержкой в тех зонах, где она действительно нужна
🔹 Мягкий трикотажный воротник — обеспечивает максимальный комфорт и предотвращает натирание
🔹 Формованная лента из ТПУ (полиуретана) от пятки до средней части стопы — надёжно фиксирует пятку, обеспечивает стабильность, при этом сохраняя естественную подвижность передней части стопы
🔹 Технология амортизации UA HOVR™ — снижает ударную нагрузку, возвращает энергию при каждом шаге и помогает эффективно отталкиваться вперёд
🔹 Подошва UA TriBase™ — увеличивает площадь контакта с поверхностью, способствует естественной биомеханике движения и обеспечивает гибкость с надёжным сцеплением при выполнении силовых упражнений
Это не просто обувь. Это фундамент вашей силы.
Project Rock. Где бы вы ни были — вы всегда в своей комнате.</t>
  </si>
  <si>
    <t>UA W Liquify Rebel</t>
  </si>
  <si>
    <t>3023022-002</t>
  </si>
  <si>
    <t>Легкий верх из искусственной сетки с накладкой из моноволокна для дышащей поддержки. Мягкий воротник и язычок для дополнительного комфорта. Формованная стелька по всей длине плотно прилегает к стопе, исключая скольжение и обеспечивая идеальный комфорт под стопой. В межподошве Charged Cushioning используется прессованный пеноматериал для максимальной отзывчивости и долговечности.</t>
  </si>
  <si>
    <t>60% текстиль; 40% искусственный материал</t>
  </si>
  <si>
    <t>UA W HOVR Mega 2 Clone</t>
  </si>
  <si>
    <t>3024480-400</t>
  </si>
  <si>
    <t>Кроссовки Under Armour Hovr Mega 2 Clone отлично подойдут бегунам, которым нужна гибкость, амортизация и универсальность. Уникальный материал верха адаптируется к форме и движениям стопы для более точной посадки.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Данная обувь оборудована сенсором Record Sensor, благодаря которому можно отслеживать, анализировать и сохранять свои результаты в телефоне.
Верх выполнен из сетки для улучшенной воздухопроницаемости
Синтетические накладки для дополнительной поддержки и прочности
Формованная стелька для дополнительной амортизации
Компрессионная сетка Energy Web содержит пену UA Hovr, которая изменяет форму, чтобы вернуть потраченную энергию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Резиновая подошва обеспечивает надежное сцепление с поверхностью</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</si>
  <si>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Clone. Технология анатомической посадки беговых кроссовок: повторяет форму стопы и садится точно по ноге атлета.  С каждым шагом верхняя часть обуви расширяется и сжимается, обеспечивая неизменность ощущений и сверхточное прилегание. Удлиненная передняя часть для лучшего прилегания и ощущения, прошитый рант со стороны пальцев обеспечивает поддержку, стабильность и лучший контакт стопы с обувью.</t>
  </si>
  <si>
    <t>Верх: 88% текстиль,12% синтетический материал~Подошва: 57% резина,43% этиленвинилацетат</t>
  </si>
  <si>
    <t>UA WSPEEDFORM SLINGRIDE FADE-LML/WHT/TTT</t>
  </si>
  <si>
    <t>1288295-884</t>
  </si>
  <si>
    <t>Бег на длинные дистанции — комфортная поддержка, разработанная для бегунов, которые ценят комфорт и хотят бегать дольше.
Технология UA SpeedForm адаптируется к форме стопы и обеспечивает комфорт, позволяя бежать без отвлекающих факторов.
Прочные волокна Dyneema® вплетены в верх кроссовок, обеспечивая одновременно прочность и гибкость.
Бесшовный асимметричный дизайн от носка до пятки плотно облегает стопу в нескольких зонах, делая шаги быстрыми и маневренными.
Мягкий язычок из мягкой сетчатой ткани обеспечивает улучшенный комфорт и посадку.
Двухслойная амортизирующая промежуточная подошва с мягким и комфортным пеноматериалом в верхнем слое и более плотным и жестким пеноматериалом в нижнем слое обеспечивает поддержку и комфорт.
Резиновая подошва во всю длину улучшает прочность, сцепление и поддержку.
Перепад высоты пятки: около 6 мм.
Вес около 193 граммов для размера 37.5.</t>
  </si>
  <si>
    <t>UA W HOVR Infinite 3</t>
  </si>
  <si>
    <t>3023556-400</t>
  </si>
  <si>
    <t>Бегуны на длинные дистанции хотят возврата энергии и эффективности от своей обуви. И это именно то, что обеспечивает UA HOVR Infinite 3. Подключите обувь к UA MapMyRun, чтобы получить персональные советы, которые помогут вам лучше бегать. ПОДКЛЮЧЕНИЕ К UA MAPMYRUN: отслеживает и анализирует ваши беговые показатели, чтобы помочь вам стать лучше. Технология UA HOVR обеспечивает «ощущение невесомости» для поддержания возврата энергии, что помогает исключить удары. Верх из искусственной сетки, чрезвычайно легкий и воздухопроницаемый, со стратегической поддержкой там, где это необходимо. Внутренний задник для дополнительной поддержки, который помогает удерживать заднюю часть стопы на месте. Высеченные, полноразмерные формы для стельки из EVA к стопе, предотвращая проскальзывание и обеспечивая идеальный комфорт под стопой. Анатомически расположенные глубокие канавки для гибкости обеспечивают необходимую гибкость в ключевых областях Накладки из углеродистой резины под пяткой обеспечивают большее сцепление и прочность в зонах сильных ударов. Перепад: 8 мм. Вес кроссовка: 244 грамма.</t>
  </si>
  <si>
    <t>71% текстиль, 29% синтетический материал</t>
  </si>
  <si>
    <t>UA HOVR Infinite Summit 2</t>
  </si>
  <si>
    <t>3023633-304</t>
  </si>
  <si>
    <t>Вы знаете, что детали имеют значение. В этой модели есть все От уникального дизайна с разрезным шнурком до прочных накладок до невероятно отзывчивой амортизации UA HOVR  - вы точно будете их выбирать снова и снова. Технология UA HOVR обеспечивает «ощущение невесомости» для поддержания возврата энергии, что помогает избежать ударов. Компрессионная сетка Energy Web содержит и формирует пену UA HOVR  для возврата вложенной энергии. Легкий, дышащий верх с прочными синтетическими накладками Стелька из EVA обеспечивает отличную амортизацию и отзывчивость. Подошва из твердой резины с глубокими канавками для гибкости для прочности и гибкости там, где это необходимо. Накладки из углеродистой резины под пяткой обеспечивают лучшее сцепление и прочность в зонах сильных ударов. Вес кроссовка 357 грамм.</t>
  </si>
  <si>
    <t>Верх: 62% текстиль, 38% синтетический материал~Подошва: 64% резина, 36% этиленвинилацетат (ЭВА)</t>
  </si>
  <si>
    <t>UA PROJECT ROCK 7 Q4</t>
  </si>
  <si>
    <t>3027668-300</t>
  </si>
  <si>
    <t>Under Armour UA PROJECT ROCK 7 Q4 — кроссовки, разработанные для тех, кто стремится к максимуму в тренировках и жизни. Верхняя часть выполнена из прочного текстиля и синтетических материалов, что гарантирует легкость и отличную вентиляцию. Текстильная подкладка обеспечивает дополнительный комфорт при носке, предотвращая трение и натирание. Резиновая подошва специально спроектирована для отличного сцепления и устойчивости на любых поверхностях, будь то тренажерный зал или асфальт. Застежка на шнуровке позволяет легко настроить плотность посадки, обеспечивая надежную фиксацию. Эти кроссовки — идеальный выбор для интенсивных тренировок, благодаря своему прочному и стильному дизайну.</t>
  </si>
  <si>
    <t>коричневый/черный</t>
  </si>
  <si>
    <t>UA W Charged Decoy</t>
  </si>
  <si>
    <t>3026685-500</t>
  </si>
  <si>
    <t>Отправляйтесь навстречу приключениям с кроссовками UA W Charged Decoy – идеальным союзником для тех, кто стремится к свободе движения и настоящему комфорту. UA W Charged Decoy – это пример того, как стиль и функциональность могут сливаться воедино, создавая идеальную обувь для активного и динамичного образа жизни современной женщины. С амортизирующей технологией Charged Cushioning эти кроссовки гарантируют упругий и отзывчивый шаг, даря энергию и поддержку там, где это нужно больше всего. Легкий и прочный верх из сетки обеспечивает высокую воздухопроницаемость, поддерживая ваши ноги в прохладе и комфорте в течение всего дня. Интегрированный язычок и уникальная конструкция облегают ногу, предоставляя безупречную посадку, словно кроссовки становятся естественным продолжением вашего движения. Удобная и адаптивная шнуровка обеспечивает гибкость и стабильность, позволяя кроссовкам UA W Charged Decoy идеально подходить для широкого спектра деятельности — от быстрых прогулок до тренировочных сессий в спортзале. Дизайн Подошвы, созданный с учетом принципов тракции и долговечности, подарит вам уверенность в каждом шаге, независимо от поверхности. И, благодаря современному дизайну, эти кроссовки станут стильным дополнением к вашему повседневному или спортивному гардеробу. Кроссовки UA W Charged Decoy – это выбор для женщин, которые не просто следуют за трендами, но и устанавливают их самостоятельно, в каждом аспекте своей энергичной жизни. Не дайте ничему удержать вас на месте – берите от жизни все с UA W Charged Decoy.</t>
  </si>
  <si>
    <t>верх 54% кожа, 46% текстиль, подкладка текстиль, подошва резина</t>
  </si>
  <si>
    <t>3027524-114</t>
  </si>
  <si>
    <t>верх: 87% текстиль, 13% синт.материалы, подкладка: текстиль, подошва: 100% резина</t>
  </si>
  <si>
    <t>UA W Charged Breeze</t>
  </si>
  <si>
    <t>3025130-001</t>
  </si>
  <si>
    <t>Изящный дизайн, амортизация Charged Cushioning, глубокие канавки для гибкости и мягкая эластичная посадка дают вам все преимущества, необходимые для достижения цели. Легкий, дышащий верх из эластичной сетки с формованной синтетической вставкой в средней части стопы для дополнительной прочности и поддержки. Мягкая стелька для максимального комфорта и амортизации. В промежуточной подошве Charged Cushioning используется формованный пено материал для максимальной отзывчивости и долговечности с меньшим весом. Анатомически расположенные глубокие канавки обеспечивают дополнительную гибкость в ключевых областях.</t>
  </si>
  <si>
    <t>UA Charged. Технология амортизации кроссовок поглощает удар при каждом шаге и обеспечивает непревзойденный уровень комфорта при длительном беге.; UA Breeze. Легкая и дышащая ткань из сверхпрочных волокон, которые используются в канатах морских судов. Устойчива к износу, меньше натирает, быстро сохнет и мягкая на ощупь.</t>
  </si>
  <si>
    <t>Верх: 83% текстиль, 17% синтетический материал, Подошва: 50% резина, 50% этиленвинилацетат (ЭВА)</t>
  </si>
  <si>
    <t>3024131-105</t>
  </si>
  <si>
    <t>UA Charged Rogue 5</t>
  </si>
  <si>
    <t>3028256-101</t>
  </si>
  <si>
    <t>Представьте себе обувь, которая становится продолжением вашего тела — легкая, как дыхание, и прочная, как ваш дух. Under Armour Charged Rogue 5 — это не просто кроссовки, это инновационный шедевр, созданный для тех, кто ценит каждое движение на корте.
Верх кроссовок выполнен из цельной инженерной сетки, словно вторая кожа, которая обнимает вашу стопу. Она обеспечивает невероятную воздухопроницаемость, позволяя вашим ногам оставаться свежими даже в самые напряженные моменты матча. При этом минималистичный дизайн остается стильным и современным, а использование переработанных материалов (не менее 20%) подчеркивает заботу бренда об окружающей среде.
Каждый шаг становится удовольствием благодаря роскошной системе Deluxe Comfort System. Съемная стелька адаптируется к форме вашей стопы, создавая непревзойденный комфорт и поддержку. Вы почувствуете, как каждое прикосновение к земле становится мягким, но в то же время уверенным, словно вы парите над кортом.
Сердце этих кроссовок — технология Charged Cushioning®. Эта уникальная подошва сочетает в себе амортизацию, отзывчивость и долговечность. Она поглощает удары, превращая их в энергию для следующего рывка. Поддержка идеально сбалансирована: достаточно мягкая, чтобы чувствовать себя комфортно, и достаточно жесткая, чтобы оставаться уверенным в каждом движении.
Подошва из высококачественной резины гарантирует исключительное сцепление с любым покрытием. Она гибкая там, где это необходимо, позволяя вашей стопе естественно двигаться, и в то же время прочная, чтобы выдерживать интенсивные нагрузки. Каждый шаг, каждый рывок и каждое изменение направления становятся точными и уверенными, словно сам корт работает на вас.
Under Armour Charged Rogue 5 — это больше, чем просто спортивная обувь. Это партнер, который поддерживает вас в каждом матче, помогая раскрыть весь ваш потенциал. Наденьте их, и позвольте своей игре говорить за вас.</t>
  </si>
  <si>
    <t>UA W Charged Rogue 3</t>
  </si>
  <si>
    <t>3024888-001</t>
  </si>
  <si>
    <t>верх: 54% текстиль, 46% синтетический материал, подкладка: текстиль, подошва: 70% резина, 30% ЭВА</t>
  </si>
  <si>
    <t>3023559-604</t>
  </si>
  <si>
    <t>Верх: 92% текстиль,8% синтетический материал~Подошва: 100% резина</t>
  </si>
  <si>
    <t>UA W HOVR Phantom NC</t>
  </si>
  <si>
    <t>3020976-004</t>
  </si>
  <si>
    <t>Технология UA HOVR обеспечивает ощущение невесомости и энергетическую амортизацию. Компрессионная сетка Energy Web дополняет пену UA HOVR и обеспечивает возврат энергии. Для бегунов, которым нужен баланс гибкости и амортизации. Верх из мягкого трикотажа быстро высыхает и обеспечивает воздухопроницаемость. Вентилируемая панель посередине повышает воздухопроницаемость. Уникальная конструкция язычка прикреплена к стельке с помощью эластичных крыльев, чтобы обеспечивать плотную посадку по всей ноге. Съемные противомикробные стельки Sockliner Ortholite для непревзойденного комфорта. Резина под передней частью ноги легкая, но невероятно отзывчивая. Высокоабразивная резина, расположенная под пяткой, предотвращает скольжение на любой поверхности. Перепад: 8 мм.</t>
  </si>
  <si>
    <t>60% Текстиль;30% Полиуретан;10% Пеноматериал</t>
  </si>
  <si>
    <t>UA HOVR Apex 2-BLK</t>
  </si>
  <si>
    <t>3023007-003</t>
  </si>
  <si>
    <t>UA HOVR Apex 2 сочетает в себе возврат энергии нашей самой передовой амортизации с прочной многослойной системой, которая стабилизирует каждый удар вперед, назад и из стороны в сторону. Это незаменимая мужская спортивная обувь для тренажерного зала. Технология UA HOVR обеспечивает «ощущение невесомости» для поддержания возврата энергии, что помогает избежать ударов.
Пена UA HOVR содержится в более прочной межподошве EVA для идеального баланса комфорта и производительности. Легкий сетчатый верх с 3D-принтом для непревзойденной защиты и долговечности. Ремешок обеспечивает стабильность в пятке и разблокирует подвижность в передней части стопы. UA TriBase увеличивает контакт с землей, способствует естественному движению и обеспечивает гибкость захвата во время движения. Перепад высоты 8 мм.</t>
  </si>
  <si>
    <t>57% текстиль, 43% синтетический материал</t>
  </si>
  <si>
    <t>3023561-602</t>
  </si>
  <si>
    <t>UA W HOVR Phantom 2 INKNT</t>
  </si>
  <si>
    <t>3024155-002</t>
  </si>
  <si>
    <t>Технология UA HOVR обеспечивает "ощущение невесомости" для поддержания возврата энергии, что помогает избежать ударов. Компрессионная сетка Energy Web содержит пену UA HOVR, чтобы вернуть вложенную вами энергию. Плоский трикотажный верх для поддержки по зонам там, где это необходимо, с плотной посадкой и ощущением, как в носке. Формованная вставка в средней части стопы для дополнительной структуры и мягкой внутренней амортизации. Ультра-дышащая стелька SpeedForm 2.0 обеспечивает более мягкую поддержку под стопой. Полностью резиновая подошва с уникальной рельефной текстурой для повышенного сцепления и прочности. Внешний фиксатор пятки обеспечивает максимальную стабильную поддержку.</t>
  </si>
  <si>
    <t>89% текстиль, 11% синтетический материал, подошва: 100% резина</t>
  </si>
  <si>
    <t>3024155-006</t>
  </si>
  <si>
    <t>Верх: 89% текстиль, 11% синтетический материал~Подошва: 100% резина</t>
  </si>
  <si>
    <t>UA PROJECT ROCK 5</t>
  </si>
  <si>
    <t>3025435-104</t>
  </si>
  <si>
    <t>«Project Rock 5 — это самые инновационные кроссовки, которые мы когда-либо создавали. Они дают вам силу, энергию, поддержку и потрясающий уровень комфорта». - Дуэйн Джонсон. Прочный сетчатый верх, легкий и дышащий, тянется и структурирует там, где это необходимо.Мягкий вязаный воротник для максимального комфорта. Литой ремешок из ТПУ между пяткой и средней частью стопы стабилизирует и фиксирует пятку, обеспечивая подвижность передней части стопы. Отзывчивая амортизация UA HOVR снижает удары, возвращает энергию и помогает двигаться вперед. UA TriBase максимизирует контакт с землей, способствует естественному движению и обеспечивает гибкость захвата во время подъемов.</t>
  </si>
  <si>
    <t>3027189-106</t>
  </si>
  <si>
    <t>Under Armour UA Infinite Elite- мужские кроссовки для бега на выносливость с максимальной амортизацией.
Кроссовки Under Armour Infinite Elite созданы для бегунов, которым необходим идеальный баланс гибкости и амортизации на длинных дистанциях. В основе лежит новейшая и самая пружинистая амортизация UA HOVR+, которая позволяет отодвинуть наступление усталости ног и обеспечивает беспрецедентный возврат энергии.  Идеально подходят для тренировочного бега на средние и длинные дистанции по асфальту и твердым покрытиям. Разработаны для спортсменов с нейтральной пронацией стопы.Инновационная технология, которая снижает ударное воздействие, возвращает энергию и помогает двигаться вперед.Верх выполнен из мягкого и эластичного материала UA IntelliKnit, который обеспечивает плотную посадку, напоминающую носок, и отличную воздухопроницаемость.3D-формованная стелька облегает стопу, повышая комфорт при каждом шаге.
Легкая и тонкая резиновая подошва Thinweb обеспечивает прочное сцепление и долговечность.Задняя часть пятки из TPU-пластика обеспечивает дополнительную поддержку и стабильность.Перепад (Offset): 8 мм.Материал: Верх преимущественно текстиль (IntelliKnit). 
На кроссовках Under Armour UA Infinite Elite присутствует контрастный печатный логотип бренда</t>
  </si>
  <si>
    <t>верх: текстиль, иск.кожа; подкладка: текстиль; подошва: резина, пластик</t>
  </si>
  <si>
    <t>UA Infinite Pro Cool Down</t>
  </si>
  <si>
    <t>3027187-200</t>
  </si>
  <si>
    <t>Кроссовки UA Infinite Pro Cool Down – это высокотехнологичное решение для тех, кто стремится к максимальному комфорту и эффективному восстановлению после интенсивных тренировок. Эти кроссовки объединяют инновационные материалы и передовые технологии, чтобы обеспечить вам непревзойденное удобство и прохладу во время активного отдыха.
- Материал и вентиляция: Верх кроссовок выполнен из высококачественного и дышащего текстиля, обеспечивающего отличную вентиляцию и поддерживающего оптимальную температуру ног. Благодаря использованию сетчатых вставок, обувь обеспечивает усиленный приток воздуха и предотвращает перегрев даже при длительном ношении.
- Амортизация и комфорт: Подошва с амортизацией UA HOVR™ обеспечивает мягкость и поддержку при каждом шаге, эффективно снижая ударные нагрузки и создавая ощущение легкости. Специально разработанная промежуточная подошва помогает поддерживать естественные движения стопы, предлагая непревзойденный комфорт во время отдыха и восстановления.
- Подошва и сцепление: Резиновая подошва с уникальным рисунком протектора обеспечивает надежное сцепление с различными поверхностями, обеспечивая безопасность и уверенность в каждом шаге как на улице, так и внутри помещений. Гибкость и долговечность подошвы делают эти кроссовки идеальным выбором для восстановления после тренировок и повседневного использования.
- Комфортная посадка: Мягкий внутренний слой кроссовок обеспечивает комфортное прилегание к ноге, предотвращая натирание и дискомфорт. Система быстрого шнуровки позволяет легко и быстро подстраивать шнурки под индивидуальные потребности, обеспечивая плотную посадку без лишнего давления.
- Дизайн и стиль: Лаконичный и современный дизайн кроссовок UA Infinite Pro Cool Down подчеркивает ваш стиль и уверенность. Кроссовки легко сочетаются с различными элементами спортивной и повседневной одежды, добавляя нотку элегантности и функциональности.
- Функциональность: Эти кроссовки идеальны для активного восстановления после тренировок, прогулок, легких пробежек и повседневного использования. Они помогут вам оставаться в движении, обеспечивая комфорт и поддержку в каждом шаге.
Кроссовки UA Infinite Pro Cool Down – это ваш идеальный выбор для восстановления и повседневной активности. Наденьте их и наслаждайтесь максимальным комфортом и прохладой, заслуженным отдыхом ваших ног, и продолжайте двигаться к новым целям и достижениям!</t>
  </si>
  <si>
    <t>3023561-503</t>
  </si>
  <si>
    <t>3026736-001</t>
  </si>
  <si>
    <t>верх 63% текстиль, 37% синтетика, подкладка текстиль, подошва резина</t>
  </si>
  <si>
    <t>UA Micro G Valsetz Zip</t>
  </si>
  <si>
    <t>3023748-001</t>
  </si>
  <si>
    <t>Under Armor подняла одни из своих лучших, самых прочных и невероятно удобных тактических ботинок на ступеньку выше с амортизацией межподошвы Micro G, которую вы оцените тем больше, чем дольше вы находитесь на ногах. Легкий верх из синтетической кожи и текстиля, прочный и дышащий.
Сварная накладка в передней части стопы и формованный носок из ТПУ для дополнительной защиты.
Медиальная боковая молния и петли на пятке и язычке для легкого надевания и снятия.
Формованные стельки Insite® Contoura®, предотвращающие усталость, с амортизирующей пеной.
Межподошва из пеноматериала Micro G® во всю длину обеспечивает максимальную долговечную и отзывчивую амортизацию.
Противоскользящая резиновая подошва с выступами для улучшенного сцепления с различными поверхностями.</t>
  </si>
  <si>
    <t>синтетический материал, текстиль, резина</t>
  </si>
  <si>
    <t>UA BCL Pace</t>
  </si>
  <si>
    <t>6009107-102</t>
  </si>
  <si>
    <t>Обувь, созданная для ускорения ваших ежедневных пробежек: упругая пена HOVR™ обеспечивает возврат энергии, а лёгкая и стабильная посадка гарантирует постоянную скорость и комфорт.
Идеально подходит для: ежедневных дистанций с ощущением лёгкости и скорости
Погодные условия: любой климат, сухая погода
Верх из полупрозрачной моно-сетки: лёгкий и дышащий, с видимой внутренней каркасной конструкцией в средней части и носке
Классическая конструкция воротника и язычка для оптимальной посадки
Амортизация UA HOVR™: отзывчивая, снижает ударную нагрузку, возвращает энергию и помогает двигаться вперёд
Полноразмерная резиновая подошва для надёжного сцепления и долговечности</t>
  </si>
  <si>
    <t>12,5</t>
  </si>
  <si>
    <t>13</t>
  </si>
  <si>
    <t>UA W Slingflex</t>
  </si>
  <si>
    <t>1285490-410</t>
  </si>
  <si>
    <t>1285490-923</t>
  </si>
  <si>
    <t>UA W Speedform Slingshot 2</t>
  </si>
  <si>
    <t>3000097-602</t>
  </si>
  <si>
    <t>Беговые кроссовки Under Armour Speedform Slingshot 2 Running Shoes выполнены из сетчатого текстиля Threadborne. Благодаря инновационной структуре UA SpeedForm кроссовок принимает форму ступни для более точной посадки и снижает риск растяжения. Текстильный верх обеспечивает отличную воздухопроницаемость. Жесткий задник удерживает ногу на месте и предотвращает проскальзывание. Промежуточная подошва выполнена из сочетания Charged Cushioning и легкой пены EVA для быстрого и комфортного бега. Высокоабразивная резина на пятке для долговечного надежного сцепления на любой поверхности. Перепад 6 мм.</t>
  </si>
  <si>
    <t>70% текстиль, 30% полимер</t>
  </si>
  <si>
    <t>UA GGS Slingflex 2-SUS/CMP/CMP</t>
  </si>
  <si>
    <t>3000145-600</t>
  </si>
  <si>
    <t>Вязаный верх выполнен для улучшенной воздухопронцаемости. Формованная подкладка Micro G принимает форму ноги для наибольшей амортизации и комфорта. Двухслойная вставка Charged Cushioning прочнее у пятки и мягче в передней части стопы для сочетания поддержки и комфорта. Резиновая вафельная подметка для надежного сцепления с поверхностью. Глубокие канавки для дополнительной гибкости, обеспечивают надежное сцепление с поверхностью.</t>
  </si>
  <si>
    <t>UA Forge 96 CLRSHFT</t>
  </si>
  <si>
    <t>3022281-001</t>
  </si>
  <si>
    <t>UA Forge 96 CLRSHFT - это кроссовки, созданные для тех, кто стремится преодолеть границы и проявить свою индивидуальность. Эти кроссовки воплощают смелый и энергичный стиль, идеально подходящий для городской жизни и спортивных занятий. Изготовленные с использованием передовых технологий, кроссовки UA Forge 96 CLRSHFT обеспечивают максимальную амортизацию и поддержку, чтобы вы могли преодолевать любые поверхности и дистанции. Их удобная подошва обеспечивает отличное сцепление с поверхностью, что позволяет вам чувствовать себя уверенно и стабильно. UA Forge 96 CLRSHFT отличаются от остальных своим смелым и стильным дизайном. Яркие цветовые комбинации и нестандартная форма придают им неповторимый вид, который подчеркнет вашу индивидуальность и стиль. Они станут отличным дополнением к вашему городскому образу и будут привлекать восхищенные взгляды окружающих. Не ограничивайте себя обычными кроссовками, выберите кроссовки UA Forge 96 CLRSHFT и выделитесь среди остальных. Они объединяют в себе стиль, комфорт и производительность, чтобы помочь вам достичь новых высот и преодолеть любые преграды.</t>
  </si>
  <si>
    <t>верх: 87% синтетические материалы, 13% текстиль, подкладка: текстиль, подошва: 100% резина</t>
  </si>
  <si>
    <t>UA W Charged Pursuit 2</t>
  </si>
  <si>
    <t>3022604-601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</si>
  <si>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 Усиленная пятка для надёжной фиксации позволит избежать подворотов и различных травм. Светоотражающие элементы повысят вашу видимость в темноте, сделав вашу тренировку безопасней в ночное время суток. Средний вес женской версии: 211 гр.
Перепад (пятка-носок) составляет 8 мм.</t>
  </si>
  <si>
    <t>86% текстиль  14% синтетика, подкладка 100% текстиль, подошва 100% резина</t>
  </si>
  <si>
    <t>3023556-002</t>
  </si>
  <si>
    <t>Эта модель кроссовок подходит бегунам, которым важен оптимальный баланс гибкости и амортизации. UA HOVR Infinite 3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расположены глубокие канавки для максимальной гибкости в ключевых областях. Накладки из углеродистой резины под пяткой повышают сцепление с поверхностью и износостойкость. Сверхлегкий сетчатый верх улучшает воздухопроницаемость и обеспечивает надежную поддержку стопы, что особенно важно при беге на скорость. В районе пятки предусмотрен дополнительный внутренний фиксатор, а вырезанная по всей длине стелька из EVA предотвращает соскальзывание и гарантирует максимальный комфорт.</t>
  </si>
  <si>
    <t>71% текстиль, 29% синтетика, подкладка текстиль, подошва 64% резина, 36% ЭВА</t>
  </si>
  <si>
    <t>3023559-601</t>
  </si>
  <si>
    <t>UA Mojo 2</t>
  </si>
  <si>
    <t>3024134-001</t>
  </si>
  <si>
    <t>Кроссовки Under Armour Mojo 2 выполнены из дышащего текстиля и обеспечивают комфорт при каждом шаге. Стелька и промежуточная подошва выполнены из EVA, что позволяет добиться идеального комфорта и амортизации при минимальном весе кроссовок. Полноразмерная резиновая подошва обеспечивает надежное сцепление с поверхностью, а специальный рисунок протектора превосходную гибкость. Данная обувь отлично подойдет для ежедневной носки.</t>
  </si>
  <si>
    <t>Верх: 80% текстиль,20% синтетический материал, подошва этиленвинилацетат</t>
  </si>
  <si>
    <t>UA Charged Bandit TR 2-GRY</t>
  </si>
  <si>
    <t>3024186-102</t>
  </si>
  <si>
    <t>Специально разработан для трейлраннинга, с сумасшедшей амортизацией, сцеплением даже с грязной местностью и дополнительной защитой, необходимой бегунам для бега по пересеченной местности. Легкая конструкция верха из двухцветной сетки для улучшенной вентиляции. Стратегические накладки для дополнительной прочности и защиты в зонах с высоким уровнем абразивного износа. Формованная стелька плотно прилегает к стопе, предотвращая скольжение и обеспечивая идеальный комфорт под стопой. В межподошве Charged Cushioning используется формованная под давлением пена для максимальной долговечности. Прочная подошва с техническими выступами для максимального сцепления при подъеме и спуске.</t>
  </si>
  <si>
    <t>серый, черный</t>
  </si>
  <si>
    <t>верх: 58% синтетический материал, 42% текстиль, подкладка: 100% полиэстер, подошва: 100% резина</t>
  </si>
  <si>
    <t>UA W Charged Bandit TR 2-GRY</t>
  </si>
  <si>
    <t>3024191-106</t>
  </si>
  <si>
    <t>серый/коралловый/фиолетовый</t>
  </si>
  <si>
    <t>UA HOVR Machina 2 SE-BLK</t>
  </si>
  <si>
    <t>3024738-001</t>
  </si>
  <si>
    <t>Мы взяли нашу удивительную амортизирующую подушку UA HOVR, возвращающую энергию от бега и использовали ее в тренировочном снаряжении. Это означает, что каждая бёрпи, каждое упражнение по лестнице, каждый прыжок на ящик, каждое движение становится более взрывным. Технология UA HOVR обеспечивает "невесомость" для поддержания возврата энергии. Пена UA HOVR содержится в более прочной межподошве из этиленвинилацетата, обеспечивая идеальное сочетание комфорта. Легкий износостойкий сетчатый верх с 3D-принтом, прочный и дышащий для любых тренировок. Эластичная конструкция ботинка для легкого надевания и снятия. Внешний ремешок помогает зафиксировать ногу на месте. UA TriBase увеличивает контакт с землей, способствует естественному движению и обеспечивает гибкость во время подъема. Полностью резиновая подошва для улучшения сцепления во всех направлениях и долговечности.</t>
  </si>
  <si>
    <t>70% текстиль, 30% синтетический материал</t>
  </si>
  <si>
    <t>3024877-002</t>
  </si>
  <si>
    <t>3024877-003</t>
  </si>
  <si>
    <t>3024877-105</t>
  </si>
  <si>
    <t>3024878-002</t>
  </si>
  <si>
    <t>3024878-005</t>
  </si>
  <si>
    <t>черный/желтый</t>
  </si>
  <si>
    <t>верх: 54% текстиль, 46% синтетический материал, подкладка: текстиль, подошва: 80% резина, 20% ЭВА</t>
  </si>
  <si>
    <t>3024878-104</t>
  </si>
  <si>
    <t>UA W Charged Rogue 3-WHT</t>
  </si>
  <si>
    <t>3024888-102</t>
  </si>
  <si>
    <t>белый/зеленый</t>
  </si>
  <si>
    <t>верх 54% текстиль, 46% синт.материалы, подошва 80% резина, 20% эва</t>
  </si>
  <si>
    <t>3024889-101</t>
  </si>
  <si>
    <t>3024894-001</t>
  </si>
  <si>
    <t>3024894-002</t>
  </si>
  <si>
    <t>3024894-005</t>
  </si>
  <si>
    <t>Верх: 54% текстиль, 46% синтетический материал~Подошва: 58% резина, 42% этиленвинилацетат (ЭВА)</t>
  </si>
  <si>
    <t>UA HOVR Infinite 4</t>
  </si>
  <si>
    <t>3024897-601</t>
  </si>
  <si>
    <t>Увеличьте свой потенциал в беге с кроссовками Under Armour UA HOVR Infinite 4! Эти кроссовки предлагают бесконечные возможности для достижения новых результатов в беге. Современные технологии и материалы делают эти кроссовки идеальным выбором для серьезных бегунов. Технология HOVR в стельке обеспечивает превосходную амортизацию и возврат энергии во время каждого шага, что помогает уменьшить утомляемость ног и увеличить дальность бега. Верх изготовлен из дышащих материалов, которые обеспечивают комфорт и вентиляцию даже в самых жарких условиях. Анатомический дизайн кроссовок помогает поддерживать стопу в правильном положении и предотвращать травмы во время бега. Будьте на шаг впереди своих тренировок с кроссовками Under Armour UA HOVR Infinite 4.</t>
  </si>
  <si>
    <t>3024906-302</t>
  </si>
  <si>
    <t>UA W TriBase Reign 4</t>
  </si>
  <si>
    <t>3025053-001</t>
  </si>
  <si>
    <t>Верх: 84% текстиль, 16% синтетический материал~Подошва: 100% резина</t>
  </si>
  <si>
    <t>3025060-105</t>
  </si>
  <si>
    <t>Откройте для себя идеальное сочетание стиля и функциональности с кроссовками UA W Charged Aurora 2 от Under Armour! Эти легкие и стильные кроссовки — настоящий маст-хэв для активных женщин, которые не хотят выбирать между комфортом и модой. Чудеса начинаются с момента, как только вы шагаете в эти кроссовки благодаря встроенной технологии Charged Cushioning. Эта пена не только амортизирует каждый ваш шаг, но и возвращает энергию, обеспечивая невероятное ускорение и легкость движений. Сетчатый верх обеспечивает исключительную вентиляцию, поддерживая ваши ноги в прохладе и комфорте в течение всей тренировки. Структурированные кожаные накладки на области пятки и носка усиливают защиту и долговечность, а элегантный дизайн и спектр цветов подчеркивают вашу индивидуальность и добавляют акцент в спортивный образ. Идеальное сцепление с поверхностью гарантировано благодаря резиновой подошве с уникальным растровым рисунком. UA W Charged Aurora 2 подходят для любого типа тренировок, будь то бег, занятия в зале или активный отдых на свежем воздухе. С UA W Charged Aurora 2 вы буквально почувствуете ветер перемен — они созданы для того, чтобы вы двигались вперед быстро и уверенно, не теряя при этом ощущения легкости и комфорта. Выберите эти кроссовки и покорите новые высоты вместе с Under Armour!</t>
  </si>
  <si>
    <t>верх: 60% текстиль, 40% синт.материалы, подошва: 100% резина</t>
  </si>
  <si>
    <t>UA W HOVR Flux MVMNT</t>
  </si>
  <si>
    <t>3025355-001</t>
  </si>
  <si>
    <t>Отзывчивая амортизация UA HOVR снижает ударную нагрузку, возвращает энергию и помогает двигаться вперед.
Легкий и дышащий сетчатый верх с эластичной структурой там, где это необходимо.
Внешний задник для дополнительной поддержки.
Подошва из твердой резины покрывает зоны повышенного удара для большей прочности при меньшем весе.</t>
  </si>
  <si>
    <t>Верх: 54% синтетический материал,46% текстиль~Подошва: 80% резина,20% этиленвинилацетат</t>
  </si>
  <si>
    <t>UA Charged Impulse 3-BLK</t>
  </si>
  <si>
    <t>3025421-001</t>
  </si>
  <si>
    <t>UA Charged Impulse 3 - это воплощение скорости и энергии, созданных для вас, чтобы преодолевать любые границы. Эти кроссовки сочетают в себе легкий и воздушный внешний вид с непревзойденным комфортом и функциональностью. Система уникальной технологии Charged Cushioning обеспечивает мгновенную амортизацию и упругость, что позволяет вам чувствовать себя как на подушке во время каждого шага. Таким образом, вы можете достичь высоких результатов в тренировках или спортивных мероприятиях. UA Charged Impulse 3 обладают дышащим и хорошо вентилируемым верхом, которое обеспечивает сохранение прохладного и комфортного состояния ваших ног даже в условиях повышенной нагрузки. Это позволяет вам наслаждаться активным образом жизни и демонстрировать невероятные результаты. Прочная подошва из высококачественной резины обеспечивает превосходное сцепление с любой поверхностью. Будь то бег по асфальту или тренировка в тренажерном зале, эти кроссовки обеспечат вам стабильность и безопасность. UA Charged Impulse 3 - это не просто кроссовки. Это ваше оружие для преодоления самых высоких стандартов и достижения поставленных целей. Возьмите на себя роль лидера и покажите всему миру, что вы готовы к новым вызовам и победам.</t>
  </si>
  <si>
    <t>верх: 63% текстиль, 37% синтетический материал, подкладка: текстиль, подошва: резина</t>
  </si>
  <si>
    <t>UA Charged Impulse 3</t>
  </si>
  <si>
    <t>3025421-003</t>
  </si>
  <si>
    <t>3025424-002</t>
  </si>
  <si>
    <t>UA W Charged Impulse 3-BLK</t>
  </si>
  <si>
    <t>3025427-001</t>
  </si>
  <si>
    <t>Представляем вам кроссовки Under Armour UA W Charged Impulse 3, которые станут вашим надежным спутником на тренировках и в повседневной жизни! Эти кроссовки созданы для того, чтобы обеспечить вам максимальный комфорт и поддержку на протяжении всего дня. Модель Charged Impulse 3 оснащена технологией UA HOVR, которая обеспечивает амортизацию и возвращает энергию при каждом шаге, что позволяет вам чувствовать себя бодрее и готовым к новым достижениям. Кроссовки также имеют усиленную подошву, которая обеспечивает надежное сцепление с поверхностью и защищает вашу стопу от ударов и травм. Особенности включают в себя вентилируемый верх и внутреннюю подкладку, которые обеспечивают вентиляцию и комфорт. Легкий и прочный материал верха обеспечивает поддержку и гибкость в нужных местах, что позволяет вашей стопе двигаться естественным образом. Невероятно стильный дизайн с выразительными контрастными элементами подчеркнет вашу индивидуальность и добавит уверенности на тренировках и в повседневной жизни. Будьте на высоте с кроссовками Under Armour UA W Charged Impulse 3!</t>
  </si>
  <si>
    <t>UA Charged Cushioning. Технология амортизации кроссовок поглощает удар при каждом шаге и обеспечивает непревзойденный уровень комфорта при длительном беге.;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</si>
  <si>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UA W Charged Impulse 3-PNK</t>
  </si>
  <si>
    <t>3025427-600</t>
  </si>
  <si>
    <t>UA HOVR Phantom 3-BLK</t>
  </si>
  <si>
    <t>3025516-002</t>
  </si>
  <si>
    <t>Быстрые и эластичные кроссовки UA HOVR Phantom 3 помогут вам двигаться эффективнее благодаря еще большей амортизации UA HOVR, возвращающей энергию. 
Мягкий, эластичный верх из UA IntelliKnit для превосходной воздухопроницаемости и комфорта при носке.
Формованная вставка в средней части стопы для дополнительной структуры и мягкой внутренней амортизации.
Вязаный воротник для удобства надевания и ощущение мягкости, а также внешняя пятка для стабильной поддержки.
Ультра-дышащая стелька SpeedForm 2.0 обеспечивает мягкую поддержку стопы.
Отзывчивая амортизация UA HOVR снижает ударную нагрузку, возвращает энергию и помогает двигаться вперед.
Цельнорезиновая подошва со стратегическим рисунком для повышенного сцепления и долговечности.
Перепад высоты 9 мм.
Вес: 11,1 унций.</t>
  </si>
  <si>
    <t>91% тектстиль, 9% синтетическое волокно, подошва резина</t>
  </si>
  <si>
    <t>3025516-003</t>
  </si>
  <si>
    <t>Улучшьте свой бег с кроссовками Under Armour UA HOVR Phantom 3. Они оснащены инновационной технологией HOVR, которая обеспечивает поддержку и амортизацию на каждом шагу. Верх из легкого и прочного материала обеспечивает комфорт и поддержку, а резиновая подошва обеспечивает надежное сцепление с поверхностью и долговечность. Кроссовки также имеют дышащую подкладку и вентиляционные отверстия, чтобы ноги оставались прохладными и сухими во время тренировки. Стильный дизайн с логотипом Under Armour добавляет уникальности и стиля вашему гардеробу. Не сомневайтесь в своей способности с кроссовками Under Armour UA HOVR Phantom 3.</t>
  </si>
  <si>
    <t>91%тектстиль, 9% синтетическое волокно, 100% резина</t>
  </si>
  <si>
    <t>UA HOVR Phantom 3-WHT</t>
  </si>
  <si>
    <t>3025516-104</t>
  </si>
  <si>
    <t>UA HOVR Phantom 3-RED</t>
  </si>
  <si>
    <t>3025516-603</t>
  </si>
  <si>
    <t>красный/белый/черный</t>
  </si>
  <si>
    <t>UA HOVR Phantom 3 Storm-ORG</t>
  </si>
  <si>
    <t>3025522-800</t>
  </si>
  <si>
    <t>оранжевый</t>
  </si>
  <si>
    <t>UA Charged Engage 2</t>
  </si>
  <si>
    <t>3025527-001</t>
  </si>
  <si>
    <t>UA U HOVR DS Ridge TR</t>
  </si>
  <si>
    <t>3025852-501</t>
  </si>
  <si>
    <t>3026017-004</t>
  </si>
  <si>
    <t>верх: кожа, текстиль, иск.кожа; подкладка: текстиль; подошва: резина</t>
  </si>
  <si>
    <t>UA HOVR Sonic 6-BLK</t>
  </si>
  <si>
    <t>3026121-005</t>
  </si>
  <si>
    <t>UA HOVR Sonic 6 - это непревзойденная скорость и комфорт в каждом шаге. Эти кроссовки оснащены инновационной технологией HOVR, которая обеспечивает невероятное ощущение плавного погружения и упругой отдачи, чтобы вы могли выдавать свои лучшие результаты. С легким и дышащим верхом из сетчатого материала, эти кроссовки обеспечивают непревзойденную посадку и комфорт. За счет уникальной конструкции, они обеспечивают отличную вентиляцию и долговечность, гарантируя, что ваша нога останется прохладной и сухой даже в самые интенсивные моменты тренировки. Кроссовки UA HOVR Sonic 6 также оснащены системой перезарядки энергии, которая позволяет вам совершать более продолжительные и эффективные тренировки, не теряя энергию. Вы будете чувствовать себя легкими и быстрыми, несмотря на любую дистанцию или интенсивность тренировки. Прочная резиновая подошва с дополнительными сцепными элементами обеспечивает надежную и устойчивую посадку на любой поверхности. Это идеальные кроссовки для бега по асфальту, тренировок в тренажерном зале или прогулок на улице. UA HOVR Sonic 6 - это символ инновации и высокой производительности. Независимо от ваших спортивных целей, эти кроссовки помогут вам преодолеть любые преграды и достичь новых высот в своей тренировке. Ощутите мощь и скорость с UA HOVR Sonic 6!</t>
  </si>
  <si>
    <t>черный/зеленый/красный</t>
  </si>
  <si>
    <t>верх: 88% текстиль, 12% синтетика, подкладка: текстиль, подошва: резина</t>
  </si>
  <si>
    <t>UA HOVR Sonic 6-GRN</t>
  </si>
  <si>
    <t>3026121-300</t>
  </si>
  <si>
    <t>верх 88% текстиль, 12% синт.материалы, подошва резина</t>
  </si>
  <si>
    <t>UA HOVR Sonic 6-ORG</t>
  </si>
  <si>
    <t>3026121-800</t>
  </si>
  <si>
    <t>мультиколор</t>
  </si>
  <si>
    <t>UA HOVR Sonic 6</t>
  </si>
  <si>
    <t>3026121-802</t>
  </si>
  <si>
    <t>88% текстиль,12% синтетика подошва: 100% резина</t>
  </si>
  <si>
    <t>3026135-002</t>
  </si>
  <si>
    <t>Кроссовки UA Charged Breeze 2 от Under Armour — это идеальное сочетание стиля и практичности, созданное для бегунов, стремящихся достичь новых высот. Выполненные в элегантном черном цвете, они изготовлены из 85% текстиля и 15% полиэстера, что означает легкость и удобство в каждом шаге. Технология Charged Cushioning помогает обеспечить мягкую амортизацию и динамичный отклик, улучшая каждый шаг. Сетчатый верх обеспечивает превосходную вентиляцию, сохраняя ноги прохладными и свежими. Эти кроссовки гарантируют идеальное прилегание и надежную фиксацию благодаря интегрированной системе шнуровки, которая обволакивает стопу.
- Технология Charged Cushioning в UA Charged Breeze 2 обеспечивает непревзойденное сочетание амортизации и отклика, уменьшая усталость.
- Легкий сетчатый верх из текстиля максимизирует дышащие свойства, обеспечивая комфорт даже в жаркую погоду.
- Интегрированная система шнуровки гарантирует индивидуальное прилегание, создавая безопасность и уверенность при каждом шаге.
- Прочная наружная подошва обеспечивает надежное сцепление на различных поверхностях, улучшая стабильность и контроль в любых погодных условиях.
- Материалы премиум-класса гарантируют долговечность обуви, поддерживая внешний вид и эксплуатационные свойства.
- Поддержка и амортизация обуви делают их идеальным выбором для тех, кто стремится к высокоэффективным тренировкам.</t>
  </si>
  <si>
    <t>верх: 85% текстиль, 15% синт.материалы, подкладка: текстиль, подошва: 50% резина, 50% ЭВА</t>
  </si>
  <si>
    <t>UA Charged Maven Trail</t>
  </si>
  <si>
    <t>3026136-002</t>
  </si>
  <si>
    <t>верх: 53% синт.материалы, 47% текстиль, подкладка: текстиль, подошва: 100% резина</t>
  </si>
  <si>
    <t>3026136-003</t>
  </si>
  <si>
    <t>UA CHARGED MAVEN TRAIL</t>
  </si>
  <si>
    <t>3026136-602</t>
  </si>
  <si>
    <t>верх: 53% синт.материалы, 47% текстиль, подошва резина</t>
  </si>
  <si>
    <t>UA W Charged Breeze 2</t>
  </si>
  <si>
    <t>3026142-301</t>
  </si>
  <si>
    <t>Кроссовки UA W Charged Breeze 2 - воплощение легкости и комфорта, предназначены для тех, кто ищет плавность и уверенность в каждом шаге. Эти женские беговые кроссовки от Under Armour идеально подходят для длительных тренировок, конкурентных забегов или просто для повседневного комфорта. Применение инновационной Charged Cushioning® подошвы придает этим кроссовкам отличные смягчающие свойства, обеспечивая энергетический возврат при каждом приземлении. Это дает бегуну дополнительную энергию и содействует более эффективному и менее утомительному бегу. Специально разработанный для вентиляции верх выполнен из легкой и дышащей сетки, которая поддерживает оптимальный климат стопы, предохраняя ноги от перегрева и излишней влаги. Такой материал способствует длительному комфорту во время ношения и исключает ощущение тяжести, что крайне важно для бегунов всех уровней подготовки.</t>
  </si>
  <si>
    <t>бирюзовый</t>
  </si>
  <si>
    <t>верх: 85% текстиль; 15% синтетика   низ:  50% резина; 50% Этиленвинилацетат</t>
  </si>
  <si>
    <t>3026142-602</t>
  </si>
  <si>
    <t>3026175-001</t>
  </si>
  <si>
    <t>Кроссовки UA Charged Assert 10 от Under Armour — это превосходный выбор для спортсменов, ищущих идеальное сочетание поддержки, гибкости и стиля. Эти кроссовки выполнены в черном цвете и состоят из 51% кожи, 45% текстиля и 4% синтетики, что обеспечивает долговечность и комфорт. Дышащий верх и прочные кожаные вставки повышают износостойкость, а уникальная технология Charged Cushioning создает отзывчивую амортизацию для максимальной эффективности при каждом шаге. Внешняя подошва обеспечивает отличное сцепление с поверхностью, позволяя чувствовать уверенность на любых покрытиях.
- Уникальная средняя подошва Charged Cushioning в UA Charged Assert 10 предлагает превосходную амортизацию и энергоотдачу, улучшая результативность при активных нагрузках.
- Дышащий сетчатый верх обеспечивает отличную вентиляцию, предохраняя ноги от перегрева и повышая комфорт.
- Прочные кожаные вставки усиливают критические зоны износа, продлевая срок службы обуви и улучшая технические характеристики.
- Уникальная резиновая подошва с особой тракцией обеспечивает надежное сцепление и долговечность, увеличивая устойчивость на любых поверхностях.
- Мягкий воротник и язычок создают комфортную посадку, исключая давление и натирание при длительном ношении.
- Традиционная шнуровка позволяет легко адаптировать посадку, обеспечивая индивидуальную подгонку обуви.</t>
  </si>
  <si>
    <t>3026175-004</t>
  </si>
  <si>
    <t>3026175-009</t>
  </si>
  <si>
    <t>3026175-104</t>
  </si>
  <si>
    <t>3026518-001</t>
  </si>
  <si>
    <t>верх: текстиль, подкладка: текстиль, подошва: 70% резина, 30% этиленвинилацетат (ЭВА)</t>
  </si>
  <si>
    <t>3026518-002</t>
  </si>
  <si>
    <t>3026518-102</t>
  </si>
  <si>
    <t>Откройте для себя динамику и энергию с кроссовками UA Charged Pursuit 3 BL – идеальное решение для тех, кто ищет идеальное сочетание стиля, комфорта и производительности.
UA Charged Pursuit 3 BL – это больше, чем кроссовки. Они созданы, чтобы вдохновлять и мотивировать вас двигаться вперед с каждым шагом. С инновационной амортизирующей технологией Charged Cushioning, эти кроссовки адаптируются к вашему стилю бега и образу жизни, предоставляя идеальный баланс упругости и поддержки.
Стильный и минималистичный дизайн подчеркивает современный подход Under Armour к созданию обуви, в которой красота соединяется с функциональностью. Сетчатый верх обеспечивает исключительную дышащую способность, оставляя ваши ноги свежими и сухими даже в самые интенсивные дни.
Невесомый комфорт в сочетании с легкой но стабильной платформой делает эту модель оптимальной для занятий разнородными видами тренировок – от спортзала до улиц, от легкой пробежки до интенсивного кросс-тренинга.
Подошва с рельефным рисунком и высокопрочной резиновой вставкой гарантирует великолепное сцепление и износостойкость, позволяя вам смело шагать вперед без оглядки на износ или скользкие поверхности.
Кроссовки UA Charged Pursuit 3 BL – это символ того, что вы не останавливаетесь на достигнутом. Они разработаны для активных людей, которые стремятся к превосходству и нуждаются в обуви, способной идти в ногу со своими амбициями.
Выбирайте UA Charged Pursuit 3 BL – и станьте свидетелями того, как технологии Under Armour помогают вам преодолеть стереотипы и достичь новых вершин в вашем активном образе жизни.</t>
  </si>
  <si>
    <t>верх текстиль, подкладка текстиль, подошва 70% резина, 30% этиленвинилацетат (ЭВА)</t>
  </si>
  <si>
    <t>3026520-001</t>
  </si>
  <si>
    <t>3026520-600</t>
  </si>
  <si>
    <t>UA W Charged Pursuit 3 BL-WHT</t>
  </si>
  <si>
    <t>3026523-101</t>
  </si>
  <si>
    <t>Зажгите искру страсти к бегу с кроссовками Under Armour Charged Pursuit 3 – идеальная обувь для тех, кто устремлён к своим целям. Изысканные линии и продуманный дизайн гарантируют, что каждый ваш шаг будет насыщен энергией и уверенностью.
Верх Charged Pursuit 3 выполнен из легкой ткани, которая дополняется текстурированными панелями для дополнительной поддержки и долговечности. Это профессиональное сочетание отлично пропускает воздух, обеспечивая вам прохладу даже в условиях высокой активности.
Комфорт обеспечен благодаря мягкой, но устойчивой промежуточной подошве Charged Cushioning®. Эта вспененная технология идеально поглощает удары при каждом контакте с землей и выдает обратно энергию для дополнительного импульса вперёд, сокращая усталость и повышая эффективность вашего бега.
Подошва с резиновым покрытием на критических зонах обеспечивает исключительное сцепление и долговечность, помогая сохранить уверенное движение по любой поверхности. Их гибкий дизайн следует за каждым изгибом вашей стопы, создавая бесшовное ощущение движения и гарантируя полный контроль.
Каждая пара Under Armour Charged Pursuit 3 создана с учетом потребностей спортсменов, которые не терпят компромиссов в стремлении к своим спортивным амбициям. Обуйте их и позвольте себе ощутить силу и грацию, пока вы преследуете свои лучшие результаты с несгибаемой решимостью!</t>
  </si>
  <si>
    <t>белый/серый/розовый</t>
  </si>
  <si>
    <t>верх 100% текстиль, подошва 70% резина, 30% эва</t>
  </si>
  <si>
    <t>3026534-100</t>
  </si>
  <si>
    <t>UA HOVR Infinite 5</t>
  </si>
  <si>
    <t>3026545-002</t>
  </si>
  <si>
    <t>Поддержка, которую вам нужно оттачивать сильнее. Созданы с надежной посадкой и мягкой пружинистой амортизацией UA HOVR , чтобы ваши ноги дольше оставались свежими — поэтому, когда тренер говорит команде продолжать бежать, вы можете ускорить темп. Подходит для: длительных и повседневных пробежек с надежной посадкой. Легкий и дышащий верх из специальной сетки со стратегической поддержкой там, где это необходимо. Воротник на пятке обеспечивает дополнительный комфорт и фиксацию. Стелька, отлитая в 3D, удерживает стопу, обеспечивая повышенный комфорт при ходьбе. Отзывчивая амортизация UA HOVR снижает удары, возвращает энергию и помогает двигаться вперед. Комбинация углеродистой и выдувной резины в подошве для стратегической прочности и легкого отскока. Перепад (мм): 8, Вес (г): 284. Нейтральная пронация.</t>
  </si>
  <si>
    <t>верх: 98% текстиль, 2% синт.материалы, подошва резина</t>
  </si>
  <si>
    <t>UA HOVR Infinite 5-BLK</t>
  </si>
  <si>
    <t>3026545-005</t>
  </si>
  <si>
    <t>Одним из ключевых факторов, обеспечивающих комфорт и поддержку ноги, является сетчатый верх обуви. Специально разработанный и легкий материал обеспечивает не только воздухопроницаемость, но и стратегическую поддержку в необходимых точках стопы. Для дополнительного комфорта и стабилизации существует пяточный воротник. Он придает дополнительную поддержку пятке, что особенно важно при интенсивных тренировках или беге на неровных поверхностях. Неотъемлемой частью кроссовок является амортизирующая система. Она снижет удары, восстанавливает потерянную энергию и обеспечивает необходимую тягу при движении. Гибкость кроссовок также очень важна. Анатомически расположенные, глубокие и гибкие канавки способствуют необходимой гибкости в ключевых областях стопы. Они позволяют легко двигаться и придавать ноге естественное положение во время активных тренировок. Наконец, вставки из углеродистой резины под пяткой обеспечивают лучшее сцепление и амортизацию, увеличивая долговечность участков обуви, которые наиболее подвержены воздействию.</t>
  </si>
  <si>
    <t>черный/желтый/синий</t>
  </si>
  <si>
    <t>верх: 98% текстиль, 2% синтетика, подкладка: текстиль, подошва: резина</t>
  </si>
  <si>
    <t>UA HOVR Infinite 5-GRN</t>
  </si>
  <si>
    <t>3026545-300</t>
  </si>
  <si>
    <t>верх 98% текстиль, 2% синт.материалы, подошва резина</t>
  </si>
  <si>
    <t>UA Machina Storm-BLK</t>
  </si>
  <si>
    <t>3026546-001</t>
  </si>
  <si>
    <t>Испытайте новый уровень комфорта и защиты с этой обувью. Благодаря технологии UA Storm верхний материал водоотталкивающий, но при этом дышащий. Светоотражающий принт увеличивает вашу видимость при плохом освещении. Специально разработанная область пятки обеспечивает дополнительную поддержку и идеальную посадку благодаря внешнему покрытию из ТПУ. Ваша нога также поддерживается стелькой трехмерной формы, которая оптимально амортизирует каждый шаг. Особой изюминкой является реактивная амортизация Under Armour HOVR, которая снижает ударные нагрузки, возвращает энергию и придает дополнительный драйв. Новая резиновая подошва обеспечивает улучшенный контакт с дорогой во влажных условиях и обеспечивает лучшее сцепление. С этой обувью вы будете оптимально экипированы для любого пробега.</t>
  </si>
  <si>
    <t>93% текстиль 7% синтетика подошва: 100% резина</t>
  </si>
  <si>
    <t>UA Machina Storm-GRN</t>
  </si>
  <si>
    <t>3026546-300</t>
  </si>
  <si>
    <t>белый/оранжевый</t>
  </si>
  <si>
    <t>UA HOVR Sonic 6 Storm-BLK</t>
  </si>
  <si>
    <t>3026548-001</t>
  </si>
  <si>
    <t>Беговые кроссовки Under Armour Hovr Sonic 6 Storm - это легкие кроссовки с отличной амортизацией и плавным перекатом, отлично подойдут для ежедневных пробежек.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 Сетчатый верх с технологией Storm, для защиты от влаги без потери воздухопроницаемости
- Жесткий задник удерживает ногу на месте и предотвращает проскальзывание
- Стелька из EVA обеспечивает комфорт, упругость и амортизацию
-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 Высокоабразивная резина на пятке для долговечного надежного сцепления на любой поверхности</t>
  </si>
  <si>
    <t>черный/фиолетовый</t>
  </si>
  <si>
    <t>верх: текстиль, подкладка: текстиль, подошва: резина</t>
  </si>
  <si>
    <t>UA HOVR Sonic 6 Storm-GRN</t>
  </si>
  <si>
    <t>3026548-300</t>
  </si>
  <si>
    <t>белый/розовый/фиолетовый</t>
  </si>
  <si>
    <t>UA HOVR Phantom 3 SE-BLK</t>
  </si>
  <si>
    <t>3026582-001</t>
  </si>
  <si>
    <t>Беговые кроссовки Under Armour Hovr Phantom 3 Se обеспечивают стабильность и амортизацию.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комфорта.Верх выполнен из текстиля для дополнительной воздухопроницаемостиЖесткий задник удерживает ногу на месте и предотвращает проскальзываниеСистема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использованияПолноразмерная резиновая подошва с уникальным рисунком протектора для износостойкости и лучшего сцепления с поверхностью</t>
  </si>
  <si>
    <t>верх: 73% текстиль, 27% синт.материалы, подкладка: текстиль, подошва: 100% резина</t>
  </si>
  <si>
    <t>3026582-003</t>
  </si>
  <si>
    <t>черный, серый, белый</t>
  </si>
  <si>
    <t>UA HOVR Phantom 3 SE</t>
  </si>
  <si>
    <t>3026582-201</t>
  </si>
  <si>
    <t>UA HOVR Phantom 3 SE-BLU</t>
  </si>
  <si>
    <t>3026582-402</t>
  </si>
  <si>
    <t>UA HOVR Phantom 3 SE-RED</t>
  </si>
  <si>
    <t>3026582-601</t>
  </si>
  <si>
    <t>UA W Dynamic Select</t>
  </si>
  <si>
    <t>3026609-001</t>
  </si>
  <si>
    <t>Кроссовки женские Under Armour Dynamic Select Fitness - это модель с дышащим и легким верхом из сетки. Формованный задник из ТПУ обеспечивает большую боковую поддержку, предотвращая скольжение и обеспечивая стабильность во время тренировок. Межподошва Charged Cushioning обладает отличными амортизирующими свойствами, поглощает удары при каждом шаге и возвращает энергию для более эффективных тренировок. Кроссовки имеют прочную конструкцию благодаря стратегически расположенным гибким канавкам, которые обеспечивают гибкость и устойчивость. Они прочные, дышащие, амортизирующие и обеспечивают необходимую поддержку от тренировки к тренировке. Легкий дышащий сетчатый верх. Мягкая стелька принимает форму вашей стопы, исключая проскальзывание и обеспечивая идеальный комфорт под ногами. Прочная резиновая подошва со стратегически расположенными гибкими канавками для сцепления с разными поверхностями и гибкости.
Резиновая подошва обеспечивает сцепление на различных поверхностях, что делает эти кроссовки идеальными для тренировок в зале или на улице.</t>
  </si>
  <si>
    <t>верх: 51% текстиль, 49% синт.материалы, подкладка: текстиль, подошва: 100% резина</t>
  </si>
  <si>
    <t>3026609-103</t>
  </si>
  <si>
    <t>верх: 51% текстиль, 49% синт.материалы, подошва: 100% резина</t>
  </si>
  <si>
    <t>UA W Dynamic Select-GRN</t>
  </si>
  <si>
    <t>3026609-300</t>
  </si>
  <si>
    <t>Кроссовки женские Under Armour Dynamic Select Fitness - это модель с дышащим и легким верхом из сетки.
Формованный задник из ТПУ обеспечивает большую боковую поддержку, предотвращая скольжение и обеспечивая стабильность во время тренировок. Мягкая стелька адаптируется к форме вашей стопы, обеспечивая идеальный комфорт при движении.
Межподошва Charged Cushioning обладает отличными амортизирующими свойствами, поглощает удары при каждом шаге и возвращает энергию для более эффективных тренировок.
Кроссовки имеют прочную конструкцию благодаря стратегически расположенным гибким канавкам, которые обеспечивают гибкость и устойчивость.
Резиновая подошва обеспечивает сцепление на различных поверхностях, что делает эти кроссовки идеальными для тренировок в зале или на улице.</t>
  </si>
  <si>
    <t>белый/красный</t>
  </si>
  <si>
    <t>верх: 51% текстиль, 49% синт.материалы~подошва: 100% резина</t>
  </si>
  <si>
    <t>3026634-006</t>
  </si>
  <si>
    <t>Поднимите свою игру на новый уровень с Under Armour JET '23 – кроссовками, созданными для тех, кто готов доминировать на площадке. Эти кроссовки – воплощение скорости, стабильности и комфорта для баскетболистов, стремящихся контролировать игру в каждом своём движении.
Прочный сетчатый верх с синтетическими накладками JET '23 обеспечивает великолепную поддержку и дышащие свойства, дополненные удобной конструкцией, которая обволакивает вашу стопу, поддерживая её во всех направлениях. Плотно сидящий как вторая кожа, верх обеспечивает баланс между подвижностью и стабильностью, которая необходима при быстрых сменах направлений.
Полноценная вставка EVA в средней подошве гарантирует подавление ударных воздействий и предоставляет надежную амортизацию при каждом прыжке и посадке. Интегрированный TPU-шанк на подошве укрепляет конструкцию кроссовка, улучшая изгиб стопы и стабильность на площадке.
Внешняя подошва JET '23 с уникальным рисунком обеспечивает превосходное сцепление, позволяя вам маневрировать и делать резкие движения с полной уверенностью. Резина разработана для высокоизносостойких зон, обеспечивая долговечность кроссовок даже при интенсивной игровой нагрузке.
Under Armour JET '23 – это сочетание производительности и стиля, специально разработанное для игроков, которые изо всех сил стремятся к победе. Наденьте их и откройте для себя, как расширять свои спортивные горизонты с каждым движением на баскетбольной площадке.</t>
  </si>
  <si>
    <t>верх: 46% кожа, 39% текстиль, 15% синт.материалы, подкладка: текстиль, подошва: 100% резина</t>
  </si>
  <si>
    <t>3026634-011</t>
  </si>
  <si>
    <t>3026634-401</t>
  </si>
  <si>
    <t>верх: 46% кожа, 39% текстиль, 15% синт.материалы~подошва: 100% резина</t>
  </si>
  <si>
    <t>3026634-500</t>
  </si>
  <si>
    <t>3026679-002</t>
  </si>
  <si>
    <t>Мужские кроссовки UA Charged Revitalize. Технология Charged Cushioning была разработана для защиты от ударов, ощущения мягкости и при этом отзывчивости.
Легкий текстильный верх дышащий и прочный.
Стелька с системой комфорта Deluxe повторяет форму вашей стопы, обеспечивая максимальный комфорт под ногами.
Межподошва Charged Cushioning отзывчива и долговечна, обеспечивая оптимальную отдачу энергии и комфорт в течение всего дня.
Прочная резиновая подошва со стратегическим рисунком для сцепления и гибкости там, где это необходимо.</t>
  </si>
  <si>
    <t>3026681-001</t>
  </si>
  <si>
    <t>UA Charged Impulse 3 Knit</t>
  </si>
  <si>
    <t>3026682-001</t>
  </si>
  <si>
    <t>Беговые кроссовки Under Armour Charged Impulse 3 Knit - это легкие и гибкие кроссовки с отличной воздухопроницаемостью. Данная обувь создана для бегунов, которым нужен баланс гибкости и амортизации. Сверхлегкие и гибкие кроссовки, готовые ко всему. Charged Cushioning защищает ваши ноги во время длительных пробежек, а вязаный верх обеспечивает вентиляцию ног.
Полностью вязаный верх обеспечивает воздухопроницаемую компрессионную посадку и легкий вес, направленную силу. Ботильоны длиной ¾ охватывают среднюю и переднюю часть стопы, обеспечивая более надежную и мягкую посадку. Встроенная стелька для дополнительной амортизации и комфорта. Подошва Charged Cushioning более жесткая в пятке и более мягкая в передней части стопы для поддержки и комфорта. Твердая резиновая подошва закрывает зоны с высокой ударной нагрузкой, обеспечивая большую долговечность и меньший вес.
Текстильный верх для более лучшего прилегания и увеличения вентиляции. Стелька обеспечивает дополнительную амортизацию. Двухслойная промежуточная подошва Charged Cushioning жестче у пятки и мягче в передней части стопы для сочетания поддержки и комфорта. Высокоабразивная резина на пятке и носке для долговечности и надежного сцепления с любой поверхностью
Анатомически расположенные глубокие изогнутые канавки для большей гибкости в ключевых областях.</t>
  </si>
  <si>
    <t>верх: 63% текстиль, 37% синт.материалы, подкладка: текстиль, подошва: 100% резина</t>
  </si>
  <si>
    <t>3026682-102</t>
  </si>
  <si>
    <t>Беговые кроссовки Under Armour Charged Impulse 3 Knit - это легкие и гибкие кроссовки с отличной воздухопроницаемостью. Данная обувь создана для бегунов, которым нужен баланс гибкости и амортизации.
Текстильный верх для более лучшего прилегания и увеличения вентиляции
Стелька обеспечивает дополнительную амортизацию
Двухслойная промежуточная подошва Charged Cushioning жестче у пятки и мягче в передней части стопы для сочетания поддержки и комфорта
Высокоабразивная резина на пятке и носке для долговечности и надежного сцепления с любой поверхностью
Анатомически расположенные глубокие изогнутые канавки для большей гибкости в ключевых областях</t>
  </si>
  <si>
    <t>верх: 63% текстиль, 37% синтетика, подкладка: текстиль, подошва: резина</t>
  </si>
  <si>
    <t>3026683-101</t>
  </si>
  <si>
    <t>3026727-002</t>
  </si>
  <si>
    <t>3026727-003</t>
  </si>
  <si>
    <t>Взломайте правила игры с новейшими кроссовками Under Armour Charged Edge – созданы для атлетов, жаждущих четкости и гибкости в каждом шаге. Они укомплектованы передовой технологией и динамичным дизайном для того, чтобы вы оставались впереди конкуренции. Каждая деталь Charged Edge нацелена на повышение вашей эффективности. Современный верх сетчатого материала беспроблемно обеспечивает циркуляцию воздуха, сохраняя комфорт и прохладу ваших стоп в условиях высокой нагрузки. Встроенные усиления в критических зонах обуви гарантируют поддержку и долговечность, не добавляя лишнего веса. Сердце кроссовок – промежуточная подошва Charged Cushioning. Эта энергоотдающая система амортизации не только смягчает удары, но и преобразует их в отклик, что делает ваш следующий шаг еще более мощным. Подошва обещает комфорт даже при марафонских дистанциях, даря вам уверенность в каждой походке. Плотные текстуры внешней подошвы расширяют границы сцепления с поверхностью, обеспечивая вас феноменальным контролем и маневренностью. Отточенная конструкция кроссовка соответствует природному движению стопы, усиливая вашу естественную силу. Under Armour Charged Edge – больше чем просто спортивная обувь, это проявление вашего рвения к победе, сниженное к сущности силы и скорости. Откройте для себя синергию технологии и таланта, когда одеваете эти кроссовки, и пусть каждый ваш шаг отдает энергией заряда, который протянет вас мимо финишной линии.</t>
  </si>
  <si>
    <t>3026727-010</t>
  </si>
  <si>
    <t>3026727-025</t>
  </si>
  <si>
    <t>3026727-100</t>
  </si>
  <si>
    <t>3026727-300</t>
  </si>
  <si>
    <t>3026727-401</t>
  </si>
  <si>
    <t>3026727-403</t>
  </si>
  <si>
    <t>UA HOVR Machina 3 Clone-BLK</t>
  </si>
  <si>
    <t>3026729-001</t>
  </si>
  <si>
    <t>верх: 92% текстиль, 8% синтетика, подкладка: текстиль, подошва: 70% Резина, 30% этиленвинилацетат (ЭВА)</t>
  </si>
  <si>
    <t>3026729-003</t>
  </si>
  <si>
    <t>UA HOVR Machina 3 Clone-GRN</t>
  </si>
  <si>
    <t>3026729-300</t>
  </si>
  <si>
    <t>верх 92% текстиль, 8% синт.материалы, подошва 70% резина, 30% эва</t>
  </si>
  <si>
    <t>UA HOVR Machina 3 Clone-RED</t>
  </si>
  <si>
    <t>3026729-601</t>
  </si>
  <si>
    <t>92% текстиль, 8% синтетика, подошва 70% резина, 30% этиленвинилацетат (эва)</t>
  </si>
  <si>
    <t>UA Charged Rogue 4</t>
  </si>
  <si>
    <t>3026998-001</t>
  </si>
  <si>
    <t>Откройте для себя новую эру тренировок с кроссовками UA Charged Rogue 4 от Under Armour – где каждый шаг заряжен энергией, а каждый бег превращается в невероятное приключение. Каждый элемент этих кроссовок сконструирован с тщательной точностью, чтобы соответствовать высоким требованиям атлетов всех уровней. Инновационная подошва Charged Cushioning® обеспечивает идеальный баланс между поддержкой и гибкостью, поглощая ударные нагрузки и превращая их в отдачу энергии для вашего следующего шага. Сетчатый верх кроссовок дополнен надежными синтетическими накладками, которые добавляют долговечности и структуры, не жертвуя при этом воздухопроницаемостью. Ваша нога будет ощущать прохладу и комфорт, даже когда тренировка переходит в разряд высокоинтенсивных. Дизайн UA Charged Rogue 4 поражает своим обтекаемым силуэтом, подчеркнутым акцентами ярких цветов и узнаваемым логотипом Under Armour, делая вас стильным как на дорожке, так и за ее пределами. Поддерживающая пятка и язычок на липучке гарантируют, что ваша стопа будет ощущать надежную фиксацию при любой активности. UA Charged Rogue 4 оснащены мягкой вставкой на внутренней части кроссовка и удобной стелькой, которая адаптируется к форме вашей стопы, обеспечивая индивидуальное прилегание. Продуманная конструкция осевой зоны способствует более эффективным поворотам и переносам веса, делая каждое движение максимально точным. Независимо от того, отправляетесь ли вы на длительный бег, интенсивный кросс-тренинг или повседневную ходьбу, c UA Charged Rogue 4 вы всегда будете находиться на шаг впереди. Новейшие технологии Under Armour вступают в симбиоз с изысканным дизайном, чтобы дать вам ту преимущество, которая приведет к новым личным рекордам и достижениям.</t>
  </si>
  <si>
    <t>3026998-002</t>
  </si>
  <si>
    <t>Кроссовки UA Charged Rogue 4 от Under Armour — это инновационный выбор для тех, кто ценит комфорт и производительность. Благодаря применению передовых технологий и материалов, каждый элемент данных кроссовок рассчитан на многократное выполнение поставленных задач. Верх из комбинации кожи, текстиля и полиэстера обеспечивает как поддержку, так и воздухообмен внутри кроссовка во время интенсивных занятий. 
- Инновационная технология Charged Cushioning перераспределяет ударные нагрузки, превращая каждое движение в энергию, что особенно важно для долгих тренировок.
- Сетчатый верх с синтетическими накладками обеспечивает отличную вентиляцию и долговечность без ущерба для надежной фиксации стопы.
- Удобная внутренняя стелька принимает форму стопы, создавая идеальную подгонку и комфорт для продолжительного ношения.
- Обтекаемый силуэт и яркие акценты подчеркивают дизайн, добавляя эстетики спортивному образу и уверенности на тренировках.
- Усиленная пятка гарантирует надежную фиксацию и защиту, обеспечивая безопасность и уверенность даже при самых интенсивных нагрузках.
- Продуманная конструкция подметки способствует эффективным поворотам и переходу веса, минимизируя риск травм и повышая точность движений.</t>
  </si>
  <si>
    <t>3026998-100</t>
  </si>
  <si>
    <t>UA Charged Speed Swift</t>
  </si>
  <si>
    <t>3026999-001</t>
  </si>
  <si>
    <t>Откройте для себя динамику и комфорт с кроссовками Under Armour Charged Speed Swift. Эта модель создана для тех, кто ценит скорость и легкость в каждом шаге. Инновационная технология Charged Cushioning обеспечивает оптимальное смягчение ударов и выдающееся возвращение энергии, давая вам то преимущество, которое нужно для ускорения. Сетчатый верх обеспечивает вентиляцию и поддержку там, где это наиболее необходимо, а внешний каркас из синтетических материалов гарантирует дополнительную стабильность. Анатомическое размещение резиновых подушек на подошве улучшает ударопоглощение и обеспечивает превосходное сцепление на любой поверхности. Стильные и функциональные, созданные для повседневного использования и тренировок, кроссовки Charged Speed Swift обладают универсальностью и долговечностью. Легковесность конструкции гарантирует, что ваши ноги не будут чувствовать усталости, даже проводя в них весь день. Выбирайте Under Armour Charged Speed Swift для энергичного старта и преодоления любых дистанций с комфортом!</t>
  </si>
  <si>
    <t>3026999-011</t>
  </si>
  <si>
    <t>3026999-105</t>
  </si>
  <si>
    <t>UA Charged Surge 4</t>
  </si>
  <si>
    <t>3027000-100</t>
  </si>
  <si>
    <t>Обновите свой бег с Under Armour Charged Surge 4 – кроссовки, которые идеально сочетают в себе стиль и функциональность. Передовые технологии и современный дизайн вместе создают динамичную обувь для активных людей, направленную на достижение максимального комфорта и производительности. С сердцем, которое бьется в ритме высококачественной Charged Cushioning, эти кроссовки обеспечивают феноменальное смягчение приземления и беспараллельное возвращение энергии с каждым вашим шагом. Дышащий сетчатый верх не только поддерживает оптимальный климат для ваших стоп, но и придает обуви неповторимый вид, отличающийся сдержанной элегантностью. Рассчитанные на постоянные тренировки, Charged Surge 4 поддерживают ногу, где это нужно больше всего, благодаря легкому, но прочному каркасу. Эластичные ребра на подошве расширяют зону контакта с землей, улучшая тягу и стабильность. Мягкая вставка на пятке и манжет на лодыжке обеспечивают удобную фиксацию и снижают вероятность травм. Элегантный силуэт и отточенные линии подчеркивают динамичный образ и дарят уверенность в каждом движении. Выбор Under Armour Charged Surge 4 – это выбор в пользу непревзойденного удобства и мощного впечатления, заряжающего ваш бег новой энергией!</t>
  </si>
  <si>
    <t>белый/серый</t>
  </si>
  <si>
    <t>3027000-106</t>
  </si>
  <si>
    <t>темно-серый</t>
  </si>
  <si>
    <t>3027000-289</t>
  </si>
  <si>
    <t>3027000-301</t>
  </si>
  <si>
    <t>3027006-044</t>
  </si>
  <si>
    <t>3027006-673</t>
  </si>
  <si>
    <t>3027007-001</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</si>
  <si>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</si>
  <si>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3027007-100</t>
  </si>
  <si>
    <t>3027007-110</t>
  </si>
  <si>
    <t>3027007-520</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</si>
  <si>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</si>
  <si>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3027007-592</t>
  </si>
  <si>
    <t>зеленый/синий</t>
  </si>
  <si>
    <t>3027007-600</t>
  </si>
  <si>
    <t>3027103-002</t>
  </si>
  <si>
    <t>UA HOVR Phantom 3 SE RFLCT-BLK</t>
  </si>
  <si>
    <t>3027154-001</t>
  </si>
  <si>
    <t>Кроссовки Under Armour Hovr Phantom 3 Se Reflect - инновационная обувь, созданная для истинных спортивных энтузиастов. Бренд Under Armour известен своим качественным производством спортивной одежды и обуви, и эти кроссовки не стали исключением. Одной из наиболее важных особенностей этих кроссовок является их превосходная амортизация и поддержка стопы. Благодаря инновационной технологии Hovr, эти кроссовки обеспечивают мягкое и упругое ощущение при каждом шаге. Каждая ступень становится максимально комфортной, что позволяет спортсменам сосредоточиться на своей тренировке, а не на дискомфорте в ногах.</t>
  </si>
  <si>
    <t>73% текстиль, 27% синтетика, подошва резина</t>
  </si>
  <si>
    <t>UA HOVR Phantom 3 SE RFLCT-GRN</t>
  </si>
  <si>
    <t>3027154-300</t>
  </si>
  <si>
    <t>UA HOVR Phantom 3 SE RFLCT-RED</t>
  </si>
  <si>
    <t>3027154-601</t>
  </si>
  <si>
    <t>красный/серый</t>
  </si>
  <si>
    <t>3027189-003</t>
  </si>
  <si>
    <t>3027189-101</t>
  </si>
  <si>
    <t>3027189-300</t>
  </si>
  <si>
    <t>3027190-001</t>
  </si>
  <si>
    <t>верх: текстиль; подкладка: текстиль; подошва: резина</t>
  </si>
  <si>
    <t>3027190-002</t>
  </si>
  <si>
    <t>UA FLOW FUTR X Elite SOS</t>
  </si>
  <si>
    <t>3027264-001</t>
  </si>
  <si>
    <t>Кроссовки Under Armour UA FLOW FUTR X Elite SOS созданы для тех, кто стремится к максимальной производительности и стилю. Верх выполнен из сочетания текстиля и синтетических материалов, что обеспечивает легкость, прочность и отличную вентиляцию. Эти кроссовки идеально подходят для интенсивных тренировок и активного образа жизни. Подошва из ЭВА гарантирует превосходную амортизацию и поддержку стопы, помогая снизить нагрузку на суставы. Застежка на шнуровке обеспечивает надежную фиксацию и позволяет легко адаптировать посадку под индивидуальные предпочтения. Современный дизайн этих кроссовок выделит вас как на спортивной площадке, так и в повседневной жизни.</t>
  </si>
  <si>
    <t>разноцветный</t>
  </si>
  <si>
    <t>UA TriBase Reign 6</t>
  </si>
  <si>
    <t>3027341-477</t>
  </si>
  <si>
    <t>Under Armour UA TriBase Reign 6 — это специализированная обувь, разработанная для обеспечения максимальной устойчивости и сцепления во время самых интенсивных и разнообразных тренировок, включая кроссфит, тяжелую атлетику и функциональный тренинг. 
Идеально подходят для широкого спектра тренировок в тренажерном зале, где требуется прочное основание, устойчивость при подъеме весов, прыжках и боковых движениях. Уникальная конструкция подошвы TriBase обеспечивает три зоны гибкости, при этом сохраняя максимальный контакт с поверхностью и низкий, устойчивый к земле профиль для естественного движения стопы и надежной поддержки. Верх выполнен из дышащих и прочных материалов, которые обеспечивают поддержку без утяжеления.Материал верха: Текстиль и синтетические материалы.Подошва: Прочная резина для надежного сцепления и долговечности. 
Эти кроссовки обладают исключительной устойчивостью, долговечностью и функциональностью, что делает их отличным выбором для спортсменов, стремящихся к максимальной производительности на тренировках.</t>
  </si>
  <si>
    <t>UA W TriBase Reign 6</t>
  </si>
  <si>
    <t>3027342-009</t>
  </si>
  <si>
    <t>Эта модель тренировочной обуви разработана для поддержки вашей лучшей техники во время подъема, перемещения и самых интенсивных тренировок. Обувь имеет три точки соприкосновения с землей и надежную верхнюю часть, обеспечивающую устойчивость и контроль в движениях.
Верх UA WARP обеспечивает максимальную поддержку при динамических нагрузках, а сетка из термопластичного полиуретана (TPU) гарантирует прочность и отличную воздухопроницаемость.
Внешний задний фиксирующий элемент и внутренний задник добавляют стабильности и поддерживают пятку в правильном положении.
Подошва двойной плотности более мягкая в передней части стопы и жесткая в области пятки — обеспечивает комфорт и дополнительную поддержку.
Обновленная технология UA TriBase™ увеличивает площадь соприкосновения с полом, способствует естественному движению и гибкости при подъемах.
Подошва из цельной резины , которая заходит на боковые стороны, делает обувь более износостойкой и устойчивой к истиранию; также предусмотрена текстурированная поверхность для надежного хвата при работе с канатом.
Дополнительные вставки из резины под носком усиливают сцепление с полом для более мощных отталкиваний.
Низкий профиль обуви усиливает ощущение соприкосновения с землей и улучшает передачу энергии при движениях.</t>
  </si>
  <si>
    <t>3027342-104</t>
  </si>
  <si>
    <t>Женские тренировочные кроссовки, разработанные для максимальной стабильности и уверенности при работе с весами и функциональных тренировках. Модель TriBase™ Reign 6 сочетает прочную конструкцию и гибкость для естественного движения стопы.
• Верх: прочная и дышащая сетчатая конструкция с усилениями для фиксации
• Технология UA TriBase™: обеспечивает максимальный контакт с поверхностью и устойчивость при подъёмах веса
•  Подошва: низкопрофильная резиновая с высокой износостойкостью и отличным сцеплением
• Средняя подошва: амортизирующий слой для комфорта при движениях
•  Застежка: классическая шнуровка
• Логотип: фирменные элементы Under Armour
Идеальный выбор для кроссфита, функциональных тренировок и работы в тренажерном зале.</t>
  </si>
  <si>
    <t>UA Charged Valsetz</t>
  </si>
  <si>
    <t>3027381-001</t>
  </si>
  <si>
    <t>Ботинки UA Charged Valsetz – это идеальное сочетание прочности, комфорта и современного дизайна. Разработаны для тех, кто нуждается в надежной обуви для активных приключений и работы в сложных условиях. Верх выполнен из прочного синтетического материала, обеспечивающего отличную защиту и долговечность. Технология Charged Cushioning® в подошве обеспечивает превосходную амортизацию и отзывчивость, снижая нагрузку на ноги при длительном ношении. Подошва из резины гарантирует надежное сцепление с различными поверхностями, обеспечивая безопасность на каждом шагу. Легкие и удобные, эти ботинки станут вашим надежным спутником в любых условиях.</t>
  </si>
  <si>
    <t>3027381-200</t>
  </si>
  <si>
    <t>3027382-001</t>
  </si>
  <si>
    <t>3027382-200</t>
  </si>
  <si>
    <t>UA Charged Valsetz Zip</t>
  </si>
  <si>
    <t>3027383-001</t>
  </si>
  <si>
    <t>3027523-001</t>
  </si>
  <si>
    <t>3027523-002</t>
  </si>
  <si>
    <t>3027523-011</t>
  </si>
  <si>
    <t>3027523-103</t>
  </si>
  <si>
    <t>Мужские кроссовки Under Armour для активного образа жизни. Стильные и функциональные , сочетают современный дизайн с технологиями комфорта и поддержки. Верх из дышащего сетчатого материала обеспечивает отличную вентиляцию, промежуточная подошва с амортизацией EVA смягчает нагрузку на стопу, а резиновая подметка — надежное сцепление на различных поверхностях. Модель 3027523-323 подойдет как для повседневной носки, так и для легких тренировок.Прочная резиновая подметка с узором для улучшенного сцепления.Удобная посадка и поддержка стопы.
Идеальный выбор для тех, кто ценит комфорт, надежность и спортивный стиль.</t>
  </si>
  <si>
    <t>3027523-323</t>
  </si>
  <si>
    <t>3027524-104</t>
  </si>
  <si>
    <t>Кроссовки Under Armour UA W Infinite  - это женская модель, разработанная для бегунов, которым необходим баланс между амортизацией и гибкостью. Эти кроссовки обеспечивают комфорт и поддержку на протяжении всей тренировки. 
Основные характеристики:
Верхняя часть: вязаный материал обеспечивает воздухопроницаемость, прочность и лёгкую фиксацию стопы.
Стелька: система Deluxe Comfort System обеспечивает максимальный комфорт при каждом шаге.
Промежуточная подошва: технология UA HOVR™ снижает ударные нагрузки, возвращает энергию и способствует эффективному движению вперёд.
Подошва: прочная резиновая подошва обеспечивает отличное сцепление, долговечность и гибкость для правильного отталкивания носком.
Перепад подошвы (offset): 8 мм.
Пронация: нейтральная - для бегунов, которым необходим баланс между гибкостью и амортизацией. 
Идеальны для ежедневных пробежек и тренировок благодаря сочетанию комфорта и поддержки.</t>
  </si>
  <si>
    <t>3027524-600</t>
  </si>
  <si>
    <t>3027588-001</t>
  </si>
  <si>
    <t>3027588-100</t>
  </si>
  <si>
    <t>3027600-003</t>
  </si>
  <si>
    <t>3027600-101</t>
  </si>
  <si>
    <t>UA W Project Rock 7</t>
  </si>
  <si>
    <t>3027601-104</t>
  </si>
  <si>
    <t>Протестировано лично Дуэйном "Камнем" Джонсоном. Благодаря сверхточной посадке верха UA Clone, реактивной амортизации UA HOVR™ и технологии UA TriBase™, обеспечивающей максимальный контакт с поверхностью, модель PR7 создана для того, чтобы помогать вам преодолевать свои пределы.
UA Clone — верх обеспечивает идеальную посадку, расширяясь и сужаясь для безупречного комфорта и поддержки.
Единая конструкция языка и верха позволяет добиться уникальной, индивидуальной посадки без лишних швов.
Мягкая пена внутри манжеты обеспечивает максимальный комфорт, а перфорация на языке и верхе способствует воздухопроницаемости.
Внешний вставной TPU-контур пятки обеспечивает стабильность и фиксацию стопы, позволяя свободно двигаться в передней части стопы.
Амортизационная технология UA HOVR™ снижает ударные нагрузки, возвращает энергию и помогает продвигаться вперёд.
Перфорация в пене UA HOVR™ делает подошву более лёгкой.
UA TriBase™ увеличивает контакт с землёй, способствует естественному движению и обеспечивает гибкость при работе с весом.
Износостойкая резиновая подошва с защитным носком обеспечивает поддержку и защиту во время планок и других тренировок в формате HIIT.</t>
  </si>
  <si>
    <t>3027601-299</t>
  </si>
  <si>
    <t>UA Lockdown 7 Low</t>
  </si>
  <si>
    <t>3027646-001</t>
  </si>
  <si>
    <t>Under Armour Lockdown 7 Low — это идеальные кроссовки для баскетболистов, которые ищут контроль и комфорт на корте. Совмещая 42% кожи, 36% текстиль и 22% синтетических материалов, они обеспечивают поддержку и длительное использование. Дышащий верх из сетки с наложениями из кожи и пленки обеспечивает надежность и долговечность, позволяя коже дышать и оставаться свежей.
- Низкая посадка воротника предлагает легкость и отзывчивость, способствуя быстроте и маневренности на корте.
- ЭВА промежуточная подошва обеспечивает мягкую амортизацию, уменьшая ударную нагрузку и повышая комфорт во время игры.
- Прочная резиновая подошва с елочным рисунком обеспечивает максимальное сцепление и контроль на любой баскетбольной поверхности.
- Оптимизированный рисунок подошвы гарантирует стабильность и уверенность в движениях на высоких скоростях.
- Универсальная конструкция подходит для всех игроков, предлагая сбалансированный комфорт и поддержку независимо от позиции на поле.</t>
  </si>
  <si>
    <t>3027646-003</t>
  </si>
  <si>
    <t>3027646-453</t>
  </si>
  <si>
    <t>3027646-600</t>
  </si>
  <si>
    <t>UA HOVR Machina 3 Clone RLA-BLK</t>
  </si>
  <si>
    <t>3027729-001</t>
  </si>
  <si>
    <t>Мужские кроссовки с верхом UA Clone, который адаптируется к форме стопы и шагу, обеспечивая плотную посадку и плавность движений. Технология UA HOVR смягчает ваши шаги, возвращает энергию и помогает двигаться вперед.
Верх кроссовок растягивается и адаптируется к форме вашей стопы и шагу, поэтому он сидит как перчатка и обеспечивает более плавное движение.
Аэродинамическая форма пятки и внешняя пластина из ТПУ для дополнительной поддержки и плотной посадки.
Формованная стелька из ЭВА адаптируется к форме стопы, предотвращает скольжение и обеспечивает идеальный комфорт в обуви.
Чувствительная амортизация HOVR UA уменьшает удары, возвращает энергию и помогает двигаться вперед.
Комбинация углеродистой и выдувной резины на подошве обеспечивает стратегическую долговечность и легкий отскок.</t>
  </si>
  <si>
    <t>UA U Infinite Mega</t>
  </si>
  <si>
    <t>3027767-002</t>
  </si>
  <si>
    <t>Мужские беговые кроссовки с максимальной амортизацией и поддержкой для длинных дистанций. Модель UA Infinite Mega сочетает лёгкий дышащий верх и фирменную технологию UA HOVR™ для мягкого и упругого шага.
Верх:
• Лёгкий и дышащий сетчатый текстиль обеспечивает циркуляцию воздуха.
• Усиленные накладки в ключевых зонах для поддержки стопы.
• Внутренний мягкий язычок и воротник для комфортной посадки.
Амортизация:
• Полноразмерная стелька для плотного и удобного прилегания.
• Технология UA HOVR™ в подошве — обеспечивает возврат энергии при каждом шаге, снижает ударную нагрузку на суставы.
• Мягкий, «мега»-объёмный слой амортизации для особо плавного и комфортного шага.
 Подошва:
• Лёгкая и устойчивая промежуточная подошва.
• Резиновая наружная подошва с высокой износостойкостью.
• Гибкие канавки для естественного переката стопы при беге.
 Фит и застёжка:
• Классическая шнуровка для надёжной посадки.
• Эргономичный крой с плотной, но комфортной фиксацией стопы.
 Назначение:
• Длинные и средние пробежки.
• Тренировки в зале или на улице.
• Универсальные для активного повседневного использования.</t>
  </si>
  <si>
    <t>верх: 52% синт.материалы, 48% текстиль, подкладка: текстиль, подошва: 100% резина</t>
  </si>
  <si>
    <t>3027776-003</t>
  </si>
  <si>
    <t>3027776-103</t>
  </si>
  <si>
    <t>Кроссовки Under Armour Shift для мужчин сочетают инновации и стиль для тех, кто всегда в движении. Легкий и дышащий верх обеспечивает отличную вентиляцию и поддержку, делая каждое движение естественным и комфортным. Они идеальны для активного образа жизни, обеспечивая баланс между производительностью и современным стилем. Эластичный верх из текстиля и полиэстера гарантирует долговечность и свободу движений, улучшая вентиляцию и комфорт.
- Средняя подошва с технологией UA Charged Cushioning обеспечивает амортизацию, возвращая энергию и снижая нагрузку на стопу.
- Инженерная конструкция способствует легкости движений и поддержке, сохраняя естественную гибкость во время пробежек.
- Подошва с рельефным рисунком обеспечивает надежное сцепление, позволяя уверенно двигаться по разным поверхностям.
- Стильный дизайн и логотип UA на боковой стороне добавляют выразительности и стильности, идеально подходя для повседневного ношения.
- Эти кроссовки – незаменимый элемент для любых тренировок, дарящий уверенность и комфорт при каждом шаге.</t>
  </si>
  <si>
    <t>3027776-401</t>
  </si>
  <si>
    <t>UA Infinite Elite We Run</t>
  </si>
  <si>
    <t>3027971-100</t>
  </si>
  <si>
    <t>Беговые кроссовки Under Armour Infinite Elite будут идеальным вариантом для бегунов, которым нужна максимальная универсальность как для быстрых, так и для медленных длительных тренировок
Верх из сетки UA Intelliknit, прочной и дышащей, с текстурой, которая адаптируется к форме стопы во время бега, обеспечит точную и комфортную посадку.
Подошва из смеси HOVR+, на 20% легче, мягче и реактивнее традиционной смеси HOVR, которая смягчает каждый удар, экономя вашу драгоценную энергию, гарантирует прекрасную амортизацию.
Прочная резиновая подошва обеспечивает максимальное сцепление и захват, а скошенная геометрия подошвы под пяткой - мягкое приземление и более плавный переход с пятки на носок.
Верхняя трикотажная часть UA IntelliKnit с микродеталями и текстурами создает анатомически точную посадку для максимального комфорта
Упругая амортизация UA HOVR™+ снижает ударную нагрузку, возвращает энергию и способствует движению вперед
Плоские шнурки с люверсами, интегрированные непосредственно в верхнюю часть, позволяют конструкции обхватывать стопу, не создавая давления на верхнюю часть свода стопы
Язычок с легкой подкладкой частично интегрирован в конструкцию
Воротник с мягкой подкладкой и расширенной задней частью, что обеспечивает больший комфорт для ахиллова сухожилия
Пяточная стойка из TPU для дополнительной поддержки и фиксации с асимметричной петелькой для облегчения надевания/снимания
скошенная геометрия подошвы под пяткой помогает плавно приземляться, уменьшает удар и повышает общую устойчивость
3D-формованная стелька облегает стопу, обеспечивая дополнительный комфорт
Легкая подметка из тонкой резины обеспечивает долговечность и сцепление в нужных местах
Вес - 319 г (Размер 9,0 US)
Перепад пятка/носок - 8 мм</t>
  </si>
  <si>
    <t>UA Intelliknit. Технологичный трикотаж согреет, когда еще холодно для футболки, но уже жарко для лонгслива. Мягкая, эластичная, дышащая ткань, теплая и при этом легкая, не сковывающая движений.  Во время пробежки поддерживает ощущение сухости и комфорта.;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</si>
  <si>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3028002-001</t>
  </si>
  <si>
    <t>Созданы невероятно легкими и поддерживающими, чтобы ничто не сковывало ваши движения, как только тренер даст сигнал. В паре с мягкой и упругой амортизацией UA HOVR™, которая помогает вам двигаться вперед — вы легко справитесь с беговыми упражнениями. Верх из тройного жаккардового материала легкий и дышащий. 3D-формованная стелька обнимает стопу для дополнительного комфорта при первом шаге. Мягкая и легкая амортизация UA HOVR™ отзывчива, снижает ударные нагрузки, возвращает энергию и помогает вам двигаться вперед. Однослойная резиновая подошва обеспечивает долговечность и упругость.</t>
  </si>
  <si>
    <t>3028002-100</t>
  </si>
  <si>
    <t>Легкие и отзывчивые кроссовки для бега Under Armour Sonic 7 разработаны для бегунов, ищущих идеальный баланс гибкости и амортизации во время тренировок на асфальте и твердых покрытиях. Эта модель обеспечивает исключительный комфорт и поддержку, помогая снизить ударную нагрузку при каждом шаге.  Идеально подходят для тренировочного бега на средние дистанции, качественных тренировок и повседневного использования для людей с нейтральной пронацией стопы.Мягкая и легкая амортизация UA HOVR™ отзывчива, снижает ударное воздействие, возвращает энергию и помогает двигаться вперед. Верх из тройного жаккардового материала легкий и дышащий. Формованная стелька 3D обеспечивает повышенный комфорт при надевании и поддержку стопы.Перепад (Offset): 8 мм.Цельная резиновая подошва обеспечивает долговечность и отскок. 
Эта модель получила высокие оценки покупателей за легкость, комфорт и эффективную амортизацию, что делает ее надежным выбором для регулярных пробежек.</t>
  </si>
  <si>
    <t>3028002-103</t>
  </si>
  <si>
    <t>3028076-002</t>
  </si>
  <si>
    <t>Кроссовки Under Armour Dynamic 2 — идеальный выбор для мужчин, предпочитающих активный образ жизни и занятия фитнесом. Верхняя часть выполнена из комбинации 70% текстиля и 30% синтетических материалов, что обеспечивает отличную вентиляцию и износостойкость. Подкладка из текстиля гарантирует комфорт и предотвращает натирание во время длительных тренировок. Подошва из 100% этилвинилацетата (ЭВА) обеспечивает амортизацию и легкость, снижая нагрузку на суставы. Кроссовки оснащены классической шнуровкой, позволяющей легко регулировать посадку для идеального прилегания. Эти кроссовки — сочетание стиля, функциональности и инновационных технологий.</t>
  </si>
  <si>
    <t>3028076-025</t>
  </si>
  <si>
    <t>3028077-003</t>
  </si>
  <si>
    <t>Кроссовки Under Armour W Dynamic 2 созданы для женщин, стремящихся к комфорту и поддержке во время фитнес-тренировок. Верхняя часть выполнена из 79% текстиля и 21% синтетических материалов, что обеспечивает отличную воздухопроницаемость и устойчивость к износу. Текстильная подкладка обеспечивает мягкость и комфорт, предотвращая натирание даже при интенсивных занятиях. Подошва из 100% резины гарантирует отличное сцепление с поверхностью, повышая устойчивость и безопасность. Классическая шнуровка позволяет легко отрегулировать посадку кроссовок, обеспечивая надежную фиксацию. Эти кроссовки сочетают стильный дизайн и инновационные технологии, делая каждую тренировку более эффективной.</t>
  </si>
  <si>
    <t>3028168-001</t>
  </si>
  <si>
    <t>3028169-004</t>
  </si>
  <si>
    <t>UA Phade RN 3</t>
  </si>
  <si>
    <t>3028252-001</t>
  </si>
  <si>
    <t>Мы создали их легкими, быстрыми и очень удобными. Дышащий сетчатый верх со стратегической поддержкой. Съемный комфортный носок для удобства в ногах. Подошва с амортизацией EVA для комфорта при ходьбе и легкого, отзывчивого хода. Прочная резиновая подошва с гибкими канавками для дополнительной гибкости там, где она вам больше всего нужна.</t>
  </si>
  <si>
    <t>верх: текстиль, иск.кожа; подкладка: текстиль; подошва: пластик</t>
  </si>
  <si>
    <t>3028252-002</t>
  </si>
  <si>
    <t>3028252-410</t>
  </si>
  <si>
    <t>3028254-001</t>
  </si>
  <si>
    <t>3028254-391</t>
  </si>
  <si>
    <t>3028256-001</t>
  </si>
  <si>
    <t>3028256-428</t>
  </si>
  <si>
    <t>UA W Phade RN 3</t>
  </si>
  <si>
    <t>3028259-001</t>
  </si>
  <si>
    <t>Мы создали эти кроссовки лёгкими, быстрыми и невероятно удобными.
- Лёгкий и дышащий верх из сетки с зонами усиленной поддержки  
- Съёмная мягкая стелька для комфортной посадки  
- Промежуточная подошва с использованием EVA-амортизации обеспечивает комфорт при первом шаге и лёгкий, упругий ход  
- Износостойкая резиновая подошва с гибкими канавками для дополнительной подвижности в ключевых зонах</t>
  </si>
  <si>
    <t>3028259-002</t>
  </si>
  <si>
    <t>3028259-647</t>
  </si>
  <si>
    <t>верх: 93% текстиль, 7% синт.материалы, подкладка: текстиль, подошва: 100% этилвинилацетат (ЭВА)</t>
  </si>
  <si>
    <t>3028261-001</t>
  </si>
  <si>
    <t>3028261-101</t>
  </si>
  <si>
    <t>3028262-001</t>
  </si>
  <si>
    <t>Мы совместили легкую, дышащую сетку с нашим фирменным промежуточным слоем Charged Cushioning® для невероятной отзывчивости, максимального поглощения ударов и энергичного ощущения, которое заставляет вас бежать снова и снова.
Полноценный верх из технологичной сетки обеспечивает легкость, воздухопроницаемость и плотную посадку, как вторая кожа.
Стелька Deluxe Comfort System принимает форму вашей стопы, обеспечивая исключительный комфорт при каждом шаге.
Промежуточная подошва Charged Cushioning® гарантирует комфорт в течение всего дня, сочетая отзывчивость и долговечность.
Прочный резиновый протектор обеспечивает сцепление и износостойкость, а также гибкость в нужных местах для правильного отталкивания пальцев.</t>
  </si>
  <si>
    <t>3028262-002</t>
  </si>
  <si>
    <t>3028262-100</t>
  </si>
  <si>
    <t>3028371-001</t>
  </si>
  <si>
    <t>Under Armour UA Charged Bandit TR 3 — это кроссовки, созданные для любителей бега и активного отдыха на природе. Верх выполнен из прочных синтетических материалов и текстиля, что обеспечивает устойчивость к износу и отличную воздухопроницаемость. Текстильная подкладка добавляет комфорт, предотвращая натирание и обеспечивая приятное прилегание к стопе. Резиновая подошва с агрессивным протектором гарантирует надежное сцепление на любых поверхностях, будь то тропинки в лесу или городские улицы. Застежка на шнуровке позволяет адаптировать посадку под индивидуальные предпочтения, обеспечивая максимальную фиксацию. Эти кроссовки — отличный выбор для тех, кто ценит сочетание надежности и комфорта в каждый момент.</t>
  </si>
  <si>
    <t>3028371-016</t>
  </si>
  <si>
    <t>верх: иск.кожа,текстиль ; подкладка: текстиль; подошва: резина</t>
  </si>
  <si>
    <t>3028371-390</t>
  </si>
  <si>
    <t>верх: 68% синт.материалы, 32% текстиль, подкладка: текстиль, подошва: 100% резина</t>
  </si>
  <si>
    <t>UA Edge LTHR</t>
  </si>
  <si>
    <t>3028375-001</t>
  </si>
  <si>
    <t>Under Armour UA Edge LTHR — это кроссовки, сочетающие стильный дизайн с высокими технологическими характеристиками. Верх из натуральной кожи и синтетических материалов обеспечивает прочность и долговечность, а также придаёт модели элегантный внешний вид. Текстильная подкладка гарантирует комфорт и мягкость, предотвращая натирание при длительной носке. Резиновая подошва обеспечивает превосходное сцепление и устойчивость на различных поверхностях, что делает эти кроссовки идеальными для городских условий. Застежка на шнуровке позволяет индивидуально регулировать посадку, обеспечивая надежную фиксацию стопы. Under Armour UA Edge LTHR — это выбор для тех, кто ценит качество и стиль в каждой детали.</t>
  </si>
  <si>
    <t>верх: нат.кожа, иск.кожа; подкладка: текстиль; подошва: резина</t>
  </si>
  <si>
    <t>3028375-100</t>
  </si>
  <si>
    <t>3028375-378</t>
  </si>
  <si>
    <t>Under Armour UA Edge LTHR объединяет стиль и технологии в одном. Кроссовки с верхом из натуральной кожи и синтетических материалов не только долговечны, но и элегантны. Они предоставляют комфорт и уверенность при движении, делая их отличным выбором для городской среды и повседневной активности. Верх из натуральной кожи и синтетических материалов обеспечивает прочность и элегантный вид, идеально подходящий для городских условий.
- Текстильная подкладка сохраняет комфорт при длительной носке, предотвращая натирания и гарантируя мягкость.
- Сцепление резиновой подошвы превосходно справляется с разнообразными поверхностями, повышая устойчивость и стабильность.
- Регулируемая шнуровка позволяет персонализировать посадку для надежной фиксации стопы, повышая уверенность при ходьбе или беге.
- Легкий вес и прочная конструкция делают их удобными для повседневного использования и интенсивных прогулок.
- Эти кроссовки — отличное сочетание качества и стиля, созданы для тех, кто ценит внимание к деталям.</t>
  </si>
  <si>
    <t>UA W Charged Bandit TR 3</t>
  </si>
  <si>
    <t>3028405-014</t>
  </si>
  <si>
    <t>Under Armour UA W Charged Bandit TR 3 — идеальный выбор для бегунов, предпочитающих активный отдых на природе. Износостойкий верх из синтетических материалов и текстиля предлагает превосходную воздухопроницаемость и долговечность. Эти кроссовки гарантируют комфорт и надежность на любых типах поверхностей благодаря агрессивной резиновой подошве. Прочный верх из синтетических материалов и текстиля обеспечивает долговечность и отличную вентиляцию, поддерживая комфорт в течение длительных пробежек.
- Текстильная подкладка мягко поддерживает стопу, предотвращая натирание и обеспечивая комфортное прилегание.
- Агрессивный протектор резиновой подошвы гарантирует надежное сцепление на сложных поверхностях, будь то город или природа.
- Шнуровка позволяет легко адаптировать посадку к индивидуальным предпочтениям, предоставляя надежную фиксацию.
- Легкая конструкция кроссовок способствует естественным движениям, обеспечивая устойчивость и защиту в любых условиях.
- Эти кроссовки идеально подходят для тех, кто ценит сочетание надежности и комфорта в активном образе жизни.</t>
  </si>
  <si>
    <t>3028405-102</t>
  </si>
  <si>
    <t>Кроссовки Under Armour UA W Charged Bandit TR 3 созданы для активных женщин, которые ценят комфорт и надежность в любой обстановке. Верх выполнен из прочных синтетических материалов и текстиля, что обеспечивает отличную воздухопроницаемость, помогая сохранить комфорт даже при длительных нагрузках. Резиновая подошва снабжена агрессивным протектором, который гарантирует надежное сцепление и устойчивость на пересеченной местности и городских улицах. Застежка на шнуровке позволяет легко регулировать посадку, обеспечивая индивидуальную фиксацию для максимального удобства и поддержки. Эти кроссовки идеально подходят для тренировок на открытом воздухе и повседневного использования, сочетая в себе стиль и функциональность.</t>
  </si>
  <si>
    <t>верх: 60% синт.материалы, 40% текстиль, подошва: 100% резина</t>
  </si>
  <si>
    <t>3028405-104</t>
  </si>
  <si>
    <t>CURRY Splash 25</t>
  </si>
  <si>
    <t>3028459-419</t>
  </si>
  <si>
    <t>Созданные с учетом потребностей игроков в уличный баскетбол, Curry Splash 25 достаточно прочные, чтобы доминировать на любой площадке. Прочный резиновый протектор, открытая дышащая сетка и устойчивые к истиранию накладки позволяют играть как на паркете, так и на асфальте.
Легкий верх из дышащей сетки с усилениями для повышения долговечности.
Полуботиночная конструкция с классической фиксацией для удобства надевания и полного комфорта.
Вырубленная стелька из пеноматериала с открытыми ячейками для превосходного комфорта при каждом шаге.
Полнодлинновая промежуточная подошва Micro G® обеспечивает исключительную отзывчивость и ощущение площадки.
Прочная резиновая подошва с круговым рисунком протектора для отличного сцепления на площадке.
Curry Splash 25 — это идеальное сочетание прочности, комфорта и производительности для игры в любом месте.</t>
  </si>
  <si>
    <t>UA Spawn 7</t>
  </si>
  <si>
    <t>3028461-002</t>
  </si>
  <si>
    <t>Баскетбольные кроссовки Under Armour Spawn 7 предлагают исключительную поддержку и комфорт как на асфальте, так и на паркете. Легкий и дышащий сетчатый верх с прочными накладками из ТПУ обеспечивает долговечность и эффективное рассеивание тепла. Амортизация UA HOVR+ в сочетании с технологией Micro G® отлично поглощает удары, снижая их воздействие и обеспечивая комфорт и отзывчивость. Формованный воротник и переработанная пяточная чашка гарантируют надежную поддержку. Сетчатый язычок и шнуровка улучшают вентиляцию и посадку, а резиновая подошва с протектором Wave Bone обеспечивает отличное сцепление. Верх из переработанных материалов делает кроссовки экологически ответственным выбором.</t>
  </si>
  <si>
    <t>верх: 63% текстиль, 37% синт.материалы, подкладка: текстиль, подошва: 100% этилвинилацетат (ЭВА)</t>
  </si>
  <si>
    <t>3028512-001</t>
  </si>
  <si>
    <t>3028512-300</t>
  </si>
  <si>
    <t>верх: 41% кожа, 33% синт.материалы, 26% текстиль, подошва: 100% резина</t>
  </si>
  <si>
    <t>3028512-426</t>
  </si>
  <si>
    <t>верх: нат. кожа, иск.кожа, текстиль; подкладка: текстиль; подошва: резина</t>
  </si>
  <si>
    <t>3028512-600</t>
  </si>
  <si>
    <t>UA W Edge LTHR</t>
  </si>
  <si>
    <t>3028569-100</t>
  </si>
  <si>
    <t>Кроссовки Under Armour UA W Edge LTHR — это сочетание стильного дизайна и передовых технологий. Верх выполнен из кожи и синтетических материалов, что обеспечивает долговечность и элегантный внешний вид. Подкладка из текстиля способствует отличной вентиляции, создавая комфортные условия для ваших ног даже в течение длительного времени. Резиновая подошва обеспечивает надежное сцепление с различными поверхностями, что делает эти кроссовки отличным выбором для активной жизни в городе. Классическая шнуровка позволяет точно подогнать обувь под вашу стопу, гарантируя удобство и поддержку. Эти кроссовки идеально подходят для повседневной носки и разнообразных активностей.</t>
  </si>
  <si>
    <t>UA Charged Bandit TR 3 SP</t>
  </si>
  <si>
    <t>3028657-001</t>
  </si>
  <si>
    <t>Кроссовки Under Armour UA Charged Bandit TR 3 SP созданы для тех, кто стремится покорять новые вершины. Верх из синтетических материалов и текстиля обеспечивает отличную вентиляцию и легкость, позволяя чувствовать комфорт даже при интенсивных нагрузках. Текстильная подкладка мягко обхватывает стопу, уменьшая риск натирания и обеспечивая дополнительный комфорт. Надежная резиновая подошва гарантирует превосходное сцепление с различными поверхностями, что делает эти кроссовки идеальными для активного отдыха и спорта на открытом воздухе. Классическая шнуровка обеспечивает надежную фиксацию, позволяя вам уверенно двигаться вперед. Эти кроссовки станут незаменимым спутником на любых тропах и тренировках.</t>
  </si>
  <si>
    <t>3028657-002</t>
  </si>
  <si>
    <t>Under Armour UA Charged Bandit TR 3 SP предназначены для тех, кто не боится исследовать новые горизонты. Легкость и вентиляция верхних материалов делают их идеальными для интенсивных нагрузок. Они обеспечивают уверенность и комфорт на любых поверхностях благодаря надежной подошве и вниманию к деталям. Верх из синтетических материалов и текстиля позволяет ноге дышать, сохраняя легкость и комфорт даже в интенсивных условиях.
- Подкладка из текстиля мягко поддерживает стопу, снижая трение и обеспечивая дополнительный уют.
- Резиновая подошва с отличным сцеплением подходит для различных поверхностей, улучшая вашу устойчивость и безопасность.
- Классическая шнуровка позволяет точно регулировать посадку, обеспечивая надежную фиксацию на протяжении всего дня.
- Эти кроссовки идеально адаптируются к любым тропам и тренировкам, предлагая баланс между легкостью и надежностью.
- Незаменимы для любителей активного отдыха, они превратят ваши тренировки на открытом воздухе в комфортное приключение.</t>
  </si>
  <si>
    <t>3028657-003</t>
  </si>
  <si>
    <t>Under Armour UA Charged Bandit TR 3 SP прочные мужские кроссовки для бега по пересеченной местности.
Кроссовки Under Armour Charged Bandit TR 3 SP разработаны для тех, кто не боится исследовать новые горизонты и бегать по бездорожью. Эта модель сочетает в себе легкость, амортизацию и надежное сцепление на различных поверхностях, включая грязную и рыхлую местность.
 Идеально подходят для бега по пересеченной местности (трейлраннинг), хайкинга, а также для тренировок и активного отдыха на открытом воздухе.
Технология Charged Cushioning®: Промежуточная подошва из компрессионной формованной пены обеспечивает отзывчивую амортизацию, снижает ударное воздействие и гарантирует долговечность.
Водоотталкивающая мембрана UA Storm1 защищает от легкого дождя, сохраняя при этом воздухопроницаемость.
Легкий двухцветный сетчатый верх обеспечивает вентиляцию, а стратегические накладки добавляют прочности и защиты в зонах повышенного износа.
Формованная стелька предотвращает скольжение и обеспечивает комфорт.
 Прочная резиновая подошва с техническими грунтозацепами обеспечивает отличное сцепление при движении вверх и вниз по тропам.
Перепад (Offset): 8 мм.           Материал: Верх — синтетические материалы и текстиль; подошва — резина.
На кроссовках присутствует печатный логотип Under Armour.</t>
  </si>
  <si>
    <t>3028657-011</t>
  </si>
  <si>
    <t>3028657-100</t>
  </si>
  <si>
    <t>UA HOVR TURBULENCE 2 RS</t>
  </si>
  <si>
    <t>3028751-001</t>
  </si>
  <si>
    <t>Бегунам на длинные дистанции нужно идеальное сочетание амортизации, упругости, долговечности и эффективности. И это именно то, что вы получаете с UA Turbulence — отзывчивая амортизация, плавный ход и мили комфорта.
Это универсальные мужские кроссовки для бега и тренировок, сочетающие амортизацию и комфорт на любой дистанции. Оснащены фирменной технологией UA HOVR™, обеспечивающей мягкий возврат энергии и снижение ударной нагрузки.
 Верх: легкая и дышащая сетка для отличной вентиляции
 Амортизация: технология UA HOVR™ для плавного и упругого шага смягчает удары, возвращает энергию, помогая вам двигаться вперед.
 Подошва: прочная резиновая с гибкими зонами для естественного движения стопы
 Внутренняя стелька: Стелька Deluxe Comfort System обеспечивает максимальный  комфорт при надевании
 Застежка: классическая шнуровка для надежной фиксации
 Логотипы: фирменные элементы Under Armour
Отличный выбор для тренировок, пробежек и активного повседневного использования.</t>
  </si>
  <si>
    <t>верх: 67% текстиль, 33% синт.материалы, подкладка: текстиль, подошва: 100% резина</t>
  </si>
  <si>
    <t>UA HOVR Turbulence 2 RS</t>
  </si>
  <si>
    <t>3028751-026</t>
  </si>
  <si>
    <t>Бегунам на длинные дистанции нужно идеальное сочетание амортизации, упругости, долговечности и эффективности. И это именно то, что вы получаете с UA Turbulence — отзывчивая амортизация, плавный ход и мили комфорта.
Дышащий трикотажный верх обеспечивает прочность и легкость фиксации.
Стелька Deluxe Comfort System обеспечивает максимальный комфорт при
надевании. Отзывчивая амортизация UA HOVR™ смягчает удары, возвращает энергию, помогая вам двигаться вперед.
Прочная резиновая подошва обеспечивает прочность сцепления и гибкость при отталкивании.</t>
  </si>
  <si>
    <t>3028751-100</t>
  </si>
  <si>
    <t>3028751-452</t>
  </si>
  <si>
    <t>UA BCL SPD</t>
  </si>
  <si>
    <t>6000007-003</t>
  </si>
  <si>
    <t>Эти беговые кроссовки — лёгкие повседневные тренировочные модели, способные поддержать ускорение при необходимости во время темповых отрезков.
• Идеальны для: ежедневных пробежек, темповых тренировок и занятий на треке — обеспечивают лёгкость и скорость
• Погодные условия: любой климат, сухая погода
• Минималистичная конструкция верха с эластичной тканью динамического плетения Leno обеспечивает идеальную посадку и комфорт даже на длинных дистанциях
• Лёгкая и отзывчивая пена средней подошвы с высоким энерговозвратом именно тогда, когда это наиболее важно
• Лёгкая и износостойкая резиновая подошва</t>
  </si>
  <si>
    <t>6000018-001</t>
  </si>
  <si>
    <t>UA Charged Pursuit 4 BL</t>
  </si>
  <si>
    <t>6000597-103</t>
  </si>
  <si>
    <t>Здесь главное — лёгкость и гибкость. Много сетчатых вставок для отличной воздухопроницаемости и амортизирующая технология Charged Cushioning®, защищающая от ударных нагрузок. Просто наденьте их — и бегите на многие километры.
Двухцветный верх из дышащей сетки обеспечивает лёгкую фиксацию и комфорт при каждом шаге.
Мягкая стелька из вспененного материала идеально принимает форму стопы, обеспечивая мгновенный комфорт при первом же шаге.
Промежуточная подошва с амортизацией Charged+ дарит непревзойдённую мягкость и комфорт, возвращая энергию и поддерживая вас на протяжении многих километров.
Резиновая подошва гарантирует надёжное сцепление и износостойкость, а strategically placed flex grooves (специально расположенные гибкие канавки) обеспечивают естественный отталкивание носком при беге.</t>
  </si>
  <si>
    <t>верх: 99% текстиль, 1% синт.материалы, подкладка: текстиль, подошва: 100% резина</t>
  </si>
  <si>
    <t>6000597-410</t>
  </si>
  <si>
    <t>UA W Charged Pursuit 4 BL</t>
  </si>
  <si>
    <t>6000598-102</t>
  </si>
  <si>
    <t>Главное здесь — лёгкость и гибкость. Много сетчатого материала для воздухопроницаемости и технология Charged Cushioning® для защиты от ударов. Просто наденьте их и бегайте километры.
Двухцветный дышащий сетчатый верх обеспечивает легкость, фиксацию и комфорт при каждом шаге.
Роскошная стелька из пеноматериала принимает форму вашей стопы, обеспечивая комфорт при каждом шаге.
Амортизирующая промежуточная подошва Charged+ обеспечивает непревзойденную мягкость и комфорт, а также возврат энергии для поддержки на протяжении многих километров.
Резиновая подошва обеспечивает сцепление и долговечность, а стратегически расположенные гибкие канавки обеспечивают правильное отталкивание от земли.</t>
  </si>
  <si>
    <t>6000760-001</t>
  </si>
  <si>
    <t>Созданы для того, чтобы выдерживать максимальное количество повторений: с конструкцией, специально разработанной для женской стопы, обеспечивающей лучшую поддержку во всех направлениях, дышащими материалами и амортизацией для эффективного поглощения ударных нагрузок.
Специальная, утончённая колодка, идеально адаптированная под анатомические особенности женской стопы.
Мягкий дышащий сетчатый верх с элементами из замши.
Обновлённая амортизирующая промежуточная подошва Charged+ обеспечивает повышенный комфорт и улучшенные спортивные характеристики.
Цельная резиновая подошва гарантирует максимальную износостойкость, а многонаправленный рисунок протектора — надёжное сцепление в любых движениях.</t>
  </si>
  <si>
    <t>6000760-002</t>
  </si>
  <si>
    <t>6000760-100</t>
  </si>
  <si>
    <t>6000760-110</t>
  </si>
  <si>
    <t>6001585-016</t>
  </si>
  <si>
    <t>6001585-100</t>
  </si>
  <si>
    <t>12/13,5</t>
  </si>
  <si>
    <t>6003014-014</t>
  </si>
  <si>
    <t>UA BCL Distance</t>
  </si>
  <si>
    <t>6006030-001</t>
  </si>
  <si>
    <t>Under Armour VLCT Distance — ваша новая универсальная пара для динамичных пробежек и стильного повседневного образа. Благодаря элегантному дизайну и фирменной спортивной ДНК Under Armour вы готовы покорять городские улицы, оставаясь при этом в тренде.
Лёгкая конструкция и отзывчивая амортизация создают ощущение невесомости при каждом шаге. Дышащий сетчатый верх обеспечивает оптимальную вентиляцию, чтобы ноги оставались прохладными даже во время интенсивных тренировок. А прочная внешняя подошва гарантирует надёжное сцепление, необходимое для уверенных шагов в течение всего дня. Неудивительно, что бегуны по всему миру доверяют Under Armour.
Поэтому выбирайте VLCT Distance и выведите свой беговой стиль на новый уровень. В KICKZ вы найдёте именно то, что нужно для улучшения ваших результатов и безупречного образа.</t>
  </si>
  <si>
    <t>6006030-002</t>
  </si>
  <si>
    <t>6006030-102</t>
  </si>
  <si>
    <t>UA Turbulence 3</t>
  </si>
  <si>
    <t>6006717-001</t>
  </si>
  <si>
    <t>Бегунам на длинные дистанции нужна идеальная комбинация амортизации, упругости, износостойкости и эффективности. Именно это вы получаете в модели UA Turbulence: отзывчивая амортизация, плавный ход и комфорт на протяжении многих миль.
• Двухслойный верх из специально разработанной инженерной сетки обеспечивает объёмную структуру и воздухопроницаемость
• Мягкий стелёчный слой с антимикробной обработкой обеспечивает мгновенный комфорт при надевании
• Амортизация средней подошвы Charged+ обеспечивает непревзойдённую мягкость и комфорт в течение всего дня
• Резиновая подошва обеспечивает сцепление по всей стопе и повышенную износостойкость</t>
  </si>
  <si>
    <t>6006717-003</t>
  </si>
  <si>
    <t>верх: текстиль, иск. кожа; подкладка: текстиль; подошва: резина</t>
  </si>
  <si>
    <t>15</t>
  </si>
  <si>
    <t>6006717-011</t>
  </si>
  <si>
    <t>14</t>
  </si>
  <si>
    <t>6006717-100</t>
  </si>
  <si>
    <t>UA W Turbulence 3</t>
  </si>
  <si>
    <t>6006718-002</t>
  </si>
  <si>
    <t>6006718-101</t>
  </si>
  <si>
    <t>Бегунам на длинные дистанции необходима обувь с идеальным сочетанием амортизации, упругости, износостойкости и эффективности. Именно это и предлагает UA Turbulence: отзывчивая амортизация, мягкое приземление и стабильный комфорт — километр за километром.
Двухслойный инновационный сетчатый верх обеспечивает прочность конструкции и отличную воздухопроницаемость.
Мягкая антимикробная стелька создаёт особенно приятные ощущения при носке.
Технология Charged Cushioning и амортизирующая промежуточная подошва обеспечивают уникальную мягкость и комфорт.
Резиновая внешняя подошва гарантирует надёжное сцепление с поверхностью и долговечность.</t>
  </si>
  <si>
    <t>UA Rogue 6</t>
  </si>
  <si>
    <t>6006719-001</t>
  </si>
  <si>
    <t>Мы объединили легкую, дышащую сетку с нашей промежуточной подошвой Charged+ для невероятной отзывчивости, максимального поглощения ударов и ощущения упругости, которое позволяет вам бегать и бегать.
Детали:
Верх из специально разработанной сетчатой ткани для превосходного внешнего вида и комфорта, с накладками из ТПУ для поддержки средней части стопы.
Мягкая антимикробная стелька обеспечивает максимальный комфорт при надевании.
Амортизирующая промежуточная подошва Charged+ обеспечивает непревзойденную мягкость и комфорт в течение всего дня.
Резиновая подошва обеспечивает сцепление со всей стопой и долговечность.
Ненавязчивый логотип бренда для более универсального стиля.
Верх содержит не менее 25% переработанных материалов.</t>
  </si>
  <si>
    <t>6006719-002</t>
  </si>
  <si>
    <t>Мы объединили лёгкую дышащую сетку с нашей амортизирующей подошвой Charged+, чтобы добиться потрясающей отзывчивости, максимальной амортизации ударов и энергичного ощущения, которое помогает бежать снова и снова.
• Верх из специально разработанной инженерной сетки премиального вида и тактильных ощущений с накладками из ТПУ для поддержки средней части стопы
• Мягкий стелёчный слой с антимикробной обработкой обеспечивает мгновенный комфорт при надевании
• Амортизация средней подошвы Charged+ обеспечивает непревзойдённую мягкость и комфорт в течение всего дня
• Резиновая подошва обеспечивает сцепление по всей стопе и повышенную износостойкость
• Сдержанный текстовый логотип для более универсального стиля</t>
  </si>
  <si>
    <t>6006719-100</t>
  </si>
  <si>
    <t>6006719-299</t>
  </si>
  <si>
    <t>UA W Rogue 6</t>
  </si>
  <si>
    <t>6006720-289</t>
  </si>
  <si>
    <t>6006720-477</t>
  </si>
  <si>
    <t>UA Assert 11</t>
  </si>
  <si>
    <t>6006723-100</t>
  </si>
  <si>
    <t>Созданы, чтобы помочь тебе бегать быстрее, но эти кроссовки подходят для всего. Благодаря системе Charged+ Cushioning® они толкают тебя вперёд во время бега и обеспечивают невероятный комфорт для всего остального. А дышащий верх, новые кожаные накладки и прочность — всё рассчитано на долгие километры. Это 11-я версия популярной серии Assert, так что можно не сомневаться — внимание к деталям на высшем уровне.
Верх из спортивной сетки с прочными кожаными накладками для дополнительной плотности и поддержки средней части стопы.
Мягкая антимикробная стелька обеспечивает максимальный комфорт при надевании.
Амортизирующая промежуточная подошва Charged+ обеспечивает непревзойденную мягкость и комфорт в течение всего дня.
Прочная резиновая подошва обеспечивает отличное сцепление и долговечность.</t>
  </si>
  <si>
    <t>6006723-299</t>
  </si>
  <si>
    <t>Созданы, чтобы помочь вам бегать быстрее, но эти кроссовки отлично справляются со всем. Наша технология амортизации Charged+ Cushioning® обеспечивает мощный толчок вперёд во время бега и невероятный комфорт при любых других занятиях. Кроме того, они оснащены дышащим верхом, новыми кожаными накладками и рассчитаны на долгие километры пробега. Это уже одиннадцатая модель в нашей бестселлерной линейке Assert — а значит, каждая деталь доведена до совершенства.
ТЕХНОЛОГИИ
• Верх из спортивной сетки с прочными кожаными накладками для дополнительного объёма и поддержки средней части стопы
• Мягкая стелька с антибактериальной пропиткой для максимального комфорта с первого шага
• Промежуточная подошва с технологией Charged+ обеспечивает исключительную мягкость и комфорт на протяжении всего дня
• Износостойкая резиновая подметка гарантирует надёжное сцепление и долговечность, а стратегически расположенные гибкие канавки способствуют правильному отталкиванию пальцами ног</t>
  </si>
  <si>
    <t>6006723-410</t>
  </si>
  <si>
    <t>UA Charged Commit TR 5</t>
  </si>
  <si>
    <t>6007140-103</t>
  </si>
  <si>
    <t>Это серьезные тренировочные кроссовки, созданные для стабильности, свободы движений и максимальной защиты от нагрузок. Верх из дышащей сетки дополнен кожаными вставками, которые обеспечивают прочность и надежную фиксацию стопы, а продуманные гибкие зоны на подошве позволяют двигаться естественно и уверенно. Амортизация Charged Cushioning® эффективно поглощает ударную нагрузку, сохраняя баланс между комфортом и чувствительностью на протяжении всей тренировки. Полноразмерная резиновая подошва с заходом на боковые части повышает износостойкость и обеспечивает дополнительную поддержку там, где это действительно необходимо. Всё остальное — уже зависит от тебя.</t>
  </si>
  <si>
    <t>6009107-002</t>
  </si>
  <si>
    <t>6009107-100</t>
  </si>
  <si>
    <t>UA W BCL Pace</t>
  </si>
  <si>
    <t>6009108-100</t>
  </si>
  <si>
    <t>UA Ascend</t>
  </si>
  <si>
    <t>6009827-001</t>
  </si>
  <si>
    <t>Кроссовки мужские Under Armour UA Ascend 6009827-001 . Стелька с антибактериальным покрытием обеспечивает исключительный комфорт и свежесть на каждом шаге
Легкий, дышащий сетчатый верх с поддерживающими элементами в области средней части стопы, идеально подходящий для повседневной носки
Амортизирующая подошва Charged+ обеспечивает превосходную мягкость и возврат энергии в течение всего дня
Износостойкая резиновая подметка гарантирует надежное сцепление по всей площади стопы и долговечность
Лаконичный логотип на пятке добавляет стильный акцент для универсального повседневного образа.</t>
  </si>
  <si>
    <t>6009827-002</t>
  </si>
  <si>
    <t>Стелька с антибактериальным покрытием обеспечивает исключительный комфорт и свежесть на каждом шаге
Легкий, дышащий сетчатый верх с поддерживающими элементами в области средней части стопы, идеально подходящий для повседневной носки
Амортизирующая подошва Charged+ обеспечивает превосходную мягкость и возврат энергии в течение всего дня
Износостойкая резиновая подметка гарантирует надежное сцепление по всей площади стопы и долговечность
Лаконичный логотип на пятке добавляет стильный акцент для универсального повседневного образа
Стандартный крой (Regular fit)</t>
  </si>
  <si>
    <t>UA W Ascend</t>
  </si>
  <si>
    <t>6009828-001</t>
  </si>
  <si>
    <t>Беговые кроссовки Under Armour Ascend
Верх из сетчатого материала с усилением в области средней части стопы обеспечивает стабильность, поддержку и вентиляцию, а антибактериальная стелька сохраняет ощущение свежести и комфорта в течение всего дня. Лёгкая промежуточная подошва Charged+ амортизирует ударные нагрузки и дарит мягкое ощущение при каждом шаге, делая пробежки более приятными.
Прочная резиновая внешняя подошва гарантирует надёжное сцепление с любой поверхностью и долгий срок службы, а сдержанный логотип на пятке добавляет обуви элегантности. Шнуровка обеспечивает надёжную фиксацию и поддержку для уверенности во время каждой тренировки или пробежки.
• Верх: сетчатый материал с усилением в средней части стопы для стабильности
• Стелька: антибактериальная для максимального комфорта
• Промежуточная подошва: лёгкая технология Charged+ для амортизации ударов
• Внешняя подошва: резиновая для надёжного сцепления
• Фиксация: шнуровка для безопасной посадки</t>
  </si>
  <si>
    <t>6009828-110</t>
  </si>
  <si>
    <t>M's Weightlifting Glove</t>
  </si>
  <si>
    <t>1369830-001</t>
  </si>
  <si>
    <t>Перчатки</t>
  </si>
  <si>
    <t>UA M's Weightlifting Glove - это перчатки, созданные для серьезных атлетов, которые стремятся достичь новых высот в тренировках с отягощениями. Эти перчатки обеспечивают надежный захват и защиту кистей и ладоней во время тренировок с гирями и тяжелой атлетической экипировкой. Их усиленная резиновая подошва обеспечивает дополнительную защиту и сцепление с противоскользящими поверхностями. UA M's Weightlifting Glove выполнены из высококачественных материалов, что обеспечивает комфорт и долговечность. Они прекрасно подходят для любых условий тренировок, включая классические упражнения, кроссфит и многие другие виды физической активности. Не откладывайте свои цели на потом! Наслаждайтесь комфортом и уверенностью во время тренировок с UA M's Weightlifting Glove!</t>
  </si>
  <si>
    <t>55% кожа, 25% полиэстер, 10% акрил, 10% эластан</t>
  </si>
  <si>
    <t>19,4-20,6</t>
  </si>
  <si>
    <t>21-22,2</t>
  </si>
  <si>
    <t>22,5-23,8</t>
  </si>
  <si>
    <t>UA Storm Insulated Gloves</t>
  </si>
  <si>
    <t>1373096-002</t>
  </si>
  <si>
    <t>Перчатки Under Armour  — тепло, комфорт и надёжная защита в холодное время год,созданы для тех, кто не готов жертвовать комфортом и производительностью даже в самые холодные дни. Благодаря инновационным технологиям и продуманному дизайну они обеспечивают отличную теплоизоляцию, превосходную воздухопроницаемость и надёжное сцепление — идеальный выбор для активного образа жизни в осенне-зимний сезон.
Материалы нового поколения: внешний слой из прочного полиэстера с водоотталкивающей пропиткой защищает от ветра и легкой влаги; внутренний слой — мягкий, дышащий флис для сохранения тепла.
Технология HeatGear®/ColdGear® (в зависимости от модели): регулирует микроклимат внутри перчаток — не перегревает и не даёт замёрзнуть.
Анатомический крой — повторяет естественную форму руки для максимальной свободы движений.
Усиленные ладони и пальцы — износостойкие вставки повышают долговечность и улучшают хват при работе со снаряжением, рулем велосипеда, треккинговыми палками и т.д.
Сенсорный наконечник на большом и указательном пальцах — позволяет использовать сенсорные экраны без снятия перчаток.
Эластичный манжет — плотно облегает запястье, предотвращая попадание холода и снега.
Подходят для :Зимние пробежки и тренировки на улице,Горные лыжи, сноуборд, ски-тур,Повседневная носка в городе,Походы и активный отдых на природе.</t>
  </si>
  <si>
    <t>50% иск.кожа, 45% полиэстер, 5% эластан</t>
  </si>
  <si>
    <t>17,8-19,1</t>
  </si>
  <si>
    <t>UA Halftime Gloves</t>
  </si>
  <si>
    <t>1373157-003</t>
  </si>
  <si>
    <t>Перчатки Under Armour современного кроя.</t>
  </si>
  <si>
    <t>100% акрил</t>
  </si>
  <si>
    <t>18,3-20</t>
  </si>
  <si>
    <t>21,8-23</t>
  </si>
  <si>
    <t>1373157-013</t>
  </si>
  <si>
    <t>1373158-002</t>
  </si>
  <si>
    <t>Перчатки Under Armour Halftime Gloves идеально подходят для холодных дней, предлагая консервативный дизайн и защиту от холода. Изготовленные из мягкого 100% акрила, эти перчатки обеспечивают комфорт и теплоту в любой ситуации. Они сочетают в себе аккуратный дизайн и функциональность, позволяя оставаться на связи благодаря сенсорной совместимости. Идеальны для активного образа жизни благодаря простоте ухода и долговечности.
- Изготовлены из 100% акрила, что делает их мягкими и тёплыми, идеальными для повседневного использования в холодные дни.
- Акриловый материал устойчив к скатыванию и обеспечивает длительное сохранение первоначальной формы и цвета.
- Отличная посадка благодаря эластичности материала, что позволяет перчаткам удобно облегать руку.
- Совместимость с сенсорными экранами позволяет использовать смартфон или планшет, не снимая перчаток.
- Лаконичный и современный дизайн соответствует последним модным тенденциям, позволяя гармонировать с любым гардеробом.</t>
  </si>
  <si>
    <t>UA Halftime Wool Glove</t>
  </si>
  <si>
    <t>1378755-001</t>
  </si>
  <si>
    <t>Перчатки UA Halftime Wool Glove предлагают отличный баланс между комфортом и функциональностью в прохладное время года. Состав из 72% полиэстера и 28% шерсти обеспечивает комфорт и тепло. Эти перчатки прекрасно сохраняют форму и защитные свойства, даже при интенсивном использовании.
- Смесь полиэстера и шерсти гарантирует утепление и мягкость, сохраняя руки в тепле без перегревания.
- Вставки из нейлона и эластана в манжете добавляют эластичность и обеспечивают плотную посадку без соскальзывания.
- Подкладка, обогащенная шерстью, улучшает термоизоляцию, не добавляя лишнего объема.
- Прочный материал защищает от ветра и холодного воздуха, оставаясь мягким и комфортным.
- Идеальные для повседневного использования, они предоставляют стиль и функциональность в холодную пору.</t>
  </si>
  <si>
    <t>основной состав: 72% полиэстер, 28% шерсть, манжеты: 64% полиэстер, 25% шерсть, 10% нейлон, 1% эластан, подкладка: 73% полиэстер, 26% шерсть, 1% эластан</t>
  </si>
  <si>
    <t>UA Summit Trek Suede</t>
  </si>
  <si>
    <t>3028424-102</t>
  </si>
  <si>
    <t>Повседневная обувь</t>
  </si>
  <si>
    <t>Under Armour UA Summit Trek Suede предлагает сочетание стиля и функциональности для любителей прогулок по городским улицам и лесным тропинкам. Эти кроссовки с замшевой отделкой и уникальным дизайном вдохновлены эстетикой 90-х, обеспечивая как прочность, так и визуальную привлекательность. Легкий сетчатый верх с замшевой отделкой гарантирует долговечность и превосходную поддержку, сохраняя стильный вид.
- Дизайн в стиле 90-х с оригинальной системой шнуровки привлекает внимание и выделяет вас среди других.
- Двухслойная амортизация межподошвы обеспечивает превосходный комфорт и поддержку на протяжении всего дня.
- Протекторная резиновая подошва улучшает сцепление, позволяя уверенно чувствовать себя на различных покрытиях.
- Эти кроссовки предлагают регулярную посадку, обеспечивая естественное прилегание к стопе и комфорт.
- Идеальные для городских прогулок и активного отдыха, кроссовки UA Summit Trek Suede обеспечивают баланс производительности и ретро-стиля.</t>
  </si>
  <si>
    <t>верх: 63% кожа, 26% текстиль, 11% синт.материалы, ~подошва: 100% резина</t>
  </si>
  <si>
    <t>UA W Charged Bandit 7</t>
  </si>
  <si>
    <t>3024189-003</t>
  </si>
  <si>
    <t>Сверхлегкие и мягкие, чтобы вы могли пробежать мили. Легкая конструкция верхней части из искусственной сетки для улучшенной вентиляции. Мягкий воротник и язычок для дополнительного комфорта. Формованная стелька по всей длине плотно прилегает к стопе, предотвращая скольжение и обеспечивая идеальный комфорт под стопой. Межподошва Charged Cushioning более жесткая в пятке и более мягкая в передней части стопы для поддержки и комфорта. Стойка межподошвы из ТПУ для дополнительной стабильности и поддержки. Подошва из твердой резины покрывает зоны с высокой ударной нагрузкой, обеспечивая большую прочность и меньший вес. Анатомически расположенные гибкие канавки обеспечивают необходимую гибкость в ключевых областях.</t>
  </si>
  <si>
    <t>Верх: 85% текстиль,15% синтетический материал~Подошва: 100% резина</t>
  </si>
  <si>
    <t>UA W FLOW BCL Wind 2-PNK</t>
  </si>
  <si>
    <t>3024911-601</t>
  </si>
  <si>
    <t>Under Armour FLOW BCL Wind 2 — нейтральные универсальные кроссовки для бегунов, которым нравится задавать темп. Новая верхняя часть Warp дает вам оптимальное ощущение фиксации, не защемляя ноги. Он также обеспечивает максимальную воздухопроницаемость, чтобы ваши ноги оставались прохладными во время бега в быстром темпе. Промежуточная подошва FLOW представляет собой цельный элемент для мгновенной амортизации. Поскольку межподошва состоит из одной части, материал служит дольше. Он распределяет давление на ноги, так что вы также можете дольше ходить на BCL Wind. Поскольку технология FLOW в промежуточной подошве делает пену такой прочной, было решено не добавлять дополнительную резину в качестве подошвы. Грубый профиль промежуточной подошвы, которая также служит изнашиваемой подошвой, обеспечивает хорошее сцепление и сцепление. Кроссовки можно подключить к вашему смартфону и приложению Under Armour MAPMYRUN через датчик Bluetooth. Датчик подключается к GPS-соединению вашего телефона. Это позволяет вам измерять данные о беге, такие как количество пройденных шагов, пройденное расстояние, темп и т. д. Это позволяет вам отслеживать пробежку и получать советы и информацию во время пробежки.</t>
  </si>
  <si>
    <t>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</si>
  <si>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94% текстиль, 6% синтетическое волокно, подошва: 100% этиленвинилацетат (эва)</t>
  </si>
  <si>
    <t>UA W HOVR Rise 3 Novelty</t>
  </si>
  <si>
    <t>3024698-001</t>
  </si>
  <si>
    <t>Мы взяли нашу удивительную амортизирующую подушку UA HOVR, возвращающую энергию от бега и использовали ее в тренировочном снаряжении. Это означает, что каждая бёрпи, каждое упражнение по лестнице, каждый прыжок на ящик, каждое движение становится более взрывным. Технология UA HOVR обеспечивает« невесомость » для поддержания возврата энергии. Пена UA HOVR  содержится в более прочной межподошве из этиленвинилацетата, обеспечивая идеальное сочетание комфорта. Легкий износостойкий сетчатый верх с 3D-принтом, прочный и дышащий для любых тренировок. Эластичная конструкция ботинка для легкого надевания и снятия. Внешний ремешок помогает зафиксировать ногу на месте. UA TriBase  увеличивает контакт с землей, способствует естественному движению и обеспечивает гибкость во время подъема. Полностью резиновая подошва для улучшения сцепления во всех направлениях и долговечности.</t>
  </si>
  <si>
    <t>верх: 99% текстиль, 1% синтетический материал, подошва: 100% резина</t>
  </si>
  <si>
    <t>UA Phantom 4</t>
  </si>
  <si>
    <t>3027593-390</t>
  </si>
  <si>
    <t>Формованный, мягкий и структурированный материал для комфорта внутри и снаружи Трикотажный воротник обеспечивает посадку, напоминающую носок, и исключительный комфорт при ходьбе Гладкая накладка на пятку из ТПУ и подтяжка пятки для легкого надевания / снимания Плюшевая формованная стелька для повышенного комфорта Сверхпружинистая амортизация UA HOVR™+ уменьшает ударные нагрузки, возвращает энергию и помогает двигаться вперед Резиновая подошва обеспечивает дополнительное сцепление и долговечность</t>
  </si>
  <si>
    <t>верх: 78% текстиль, 22% синт.материалы, подкладка: текстиль, подошва: 100% резина</t>
  </si>
  <si>
    <t>UA U PHANTOM 4 STORM</t>
  </si>
  <si>
    <t>3027625-102</t>
  </si>
  <si>
    <t>Under Armour UA U PHANTOM 4 STORM — это кроссовки, которые идеально сочетают стиль и функциональность. Верхняя часть выполнена из высококачественного текстиля и синтетических материалов, что обеспечивает легкость и великолепную воздухопроницаемость. Это позволяет ногам оставаться сухими и комфортными в любых условиях. Подошва из материала ЭВА гарантирует амортизацию и превосходное сцепление с поверхностью, снижая нагрузку на суставы. Застежка на шнуровке обеспечивает надежную фиксацию и удобную посадку на ноге. Эти кроссовки — отличный выбор для активного образа жизни, будь то тренировки в зале или повседневные прогулки.</t>
  </si>
  <si>
    <t>UA W Street Encounter</t>
  </si>
  <si>
    <t>1287196-002</t>
  </si>
  <si>
    <t>Кеды</t>
  </si>
  <si>
    <t>Верх из эластичного холста обеспечивает идеальную индивидуальную посадку.
Эластичная система шнуровки позволяет легко надевать и снимать обувь.
Полноразмерная стелька из ЭВА повторяет форму стопы.
Подошва из ЭВА для легкой поддержки и надежного сцепления</t>
  </si>
  <si>
    <t>UA Official</t>
  </si>
  <si>
    <t>3028486-001</t>
  </si>
  <si>
    <t>Мужские кроссовки UA Official.
Детали:
Верх из гладкой кожи для комфорта и прочности
Внутренний слой из поролона обеспечивает мягкую и приятную посадку
Стелька с системой Deluxe Comfort точно повторяет форму стопы для максимального удобства при ходьбе
Надёжная и устойчивая подошва с улучшенным протектором для отличного сцепления с поверхностью.</t>
  </si>
  <si>
    <t>UA W Charged Vantage</t>
  </si>
  <si>
    <t>3023565-601</t>
  </si>
  <si>
    <t>Изящный дизайн, амортизация Charged Cushioning, глубокие канавки для гибкости и мягкая эластичная посадка дают вам все преимущества, необходимые для достижения цели. Легкий, дышащий верх из эластичной сетки с формованной синтетической вставкой в ​​средней части стопы для дополнительной прочности и поддержки. Мягкая стелька для максимального комфорта и амортизации. В промежуточной подошве Charged Cushioning используется формованный пено материал для максимальной отзывчивости и долговечности с меньшим весом. Анатомически расположенные глубокие канавки обеспечивают дополнительную гибкость в ключевых областях. Перепад: 8 мм. Средний вес кроссовка 235 грамм. Для бегунов, которым нужен баланс гибкости и амортизации.</t>
  </si>
  <si>
    <t>UA HOVR Apparition RTRFTR SD</t>
  </si>
  <si>
    <t>3027596-104</t>
  </si>
  <si>
    <t>Дышащий верх с накладками из синтетической кожи обеспечивает надежную поддержку и долговечность
Обновленная стелька обеспечивает комфорт в течение всего дня
Амортизационная система UA HOVR™ с высокой отдачей энергии уменьшает ударные нагрузки, обеспечивая мягкий ход и дополнительный импульс при движении вперед
Подошва из прочной резины по всей ступне обеспечивает отличное сцепление и длительный срок службы</t>
  </si>
  <si>
    <t>верх: 57% кожа, 38% текстиль, 5% синт.материалы, подкладка: текстиль, подошва: 100% резина</t>
  </si>
  <si>
    <t>UA GS Nova</t>
  </si>
  <si>
    <t>6008993-001</t>
  </si>
  <si>
    <t>Шнуровка Bungee, амортизация UA HOVR™ и универсальный задник, создают обувь, которая одновременно смелая и удобная. Легкий верх из сетчатого материала. Прорезиненный носок для дополнительной прочности. Технология UA HOVR™ снижает ударную нагрузку, возвращает энергию и помогает двигаться вперед. Конвертируемый задник UA SlipSpeed™ позволяет переходить из режима тренировки в режим восстановления.</t>
  </si>
  <si>
    <t>6008993-002</t>
  </si>
  <si>
    <t>UA W Charged Breathe SL</t>
  </si>
  <si>
    <t>3023733-103</t>
  </si>
  <si>
    <t>Дышащий и прочный верх из микрофибры с обработкой Never-Wet для сохранения прохлады и сухости.
Формованная стелька из EVA для комфорта при ходьбе.
В промежуточной подошве Charged Cushioning используется прессованная пена для максимальной отзывчивости и долговечности.
Подошва UA Rotational Resistance для легкого сцепления с фиксацией.
Подошва без шипов для более легкого и гибкого ощущения без ущерба для сцепления.</t>
  </si>
  <si>
    <t>верх: 83% синтетическиий материал, 17% тектсиль подкладка: 100% полиэстер подошва: 100% термопластик</t>
  </si>
  <si>
    <t>UA U HOVR PHANTOM BOOT</t>
  </si>
  <si>
    <t>3022474-103</t>
  </si>
  <si>
    <t>Ваш поиск идеальных ботинок для тренировок и бега заканчивается здесь! Мы представляем вам Ua U Hovr Phantom Boot - ботинки, которые будут вашим надежным партнером и помощником на протяжении всех ваших физических занятий. Эти ботинки созданы, чтобы дать вам максимальную свободу движения и комфорт во время тренировок. Они обладают революционной технологией HOVR, которая не только снижает ударную нагрузку на стопу, но и гарантирует идеальную амортизацию во время бега. К тому же, верх ботинок выполнен из современных материалов, обеспечивающих дополнительную поддержку и защиту стопы. Благодаря своей эргономичной конструкции и современному дизайну, Ua U Hovr Phantom Boot подчеркнут ваш стиль и помогут вам достичь лучших результатов в занятиях спортом. Уникальный дизайн, новейшие технологии и абсолютное качество - все это есть в ботинках Ua U Hovr Phantom Boot. Попробуйте их сегодня и оцените действительную разницу в комфорте и продуктивности во время тренировок!</t>
  </si>
  <si>
    <t>верх: 91% текстиль, 9% синтетические материалы~подошва: 100% резина</t>
  </si>
  <si>
    <t>3023705-301</t>
  </si>
  <si>
    <t>Верх: 65% текстиль,35% синтетический материал~Подошва: 100% резина</t>
  </si>
  <si>
    <t>3027593-234</t>
  </si>
  <si>
    <t>Under Armour UA Phantom 4- универсальные мужские кроссовки для комфорта и стиля.
Кроссовки Under Armour Phantom 4 сочетают в себе комфорт и долговечность высокотехнологичной спортивной обуви с чистым и стильным дизайном повседневных сникерсов. Это идеальный выбор для тех, кто ищет одну пару обуви как для тренировок, так и для завершения стильного городского образа. 
Предназначение: Идеально подходят для широкого спектра спортивных активностей, включая бег, а также для повседневного использования и длительных прогулок.
Сверхпружинящая амортизация UA HOVR+ снижает ударное воздействие, возвращает энергию и помогает двигаться вперед, отодвигая наступление усталости.Формованный, мягкий и структурированный материал верха обеспечивает комфорт внутри и снаружи.
Вязаный воротник обеспечивает плотное прилегание, напоминающее носок (sock-like fit), и исключительный комфорт при надевании.
Мягкая формованная стелька обеспечивает повышенный комфорт.Элегантный задник из TPU-пластика обеспечивает дополнительную поддержку.
Прочная резиновая подошва гарантирует надежное сцепление и долговечность.
Перепад (Drop): 9 мм.
 Верх преимущественно текстиль (78%) и синтетические материалы (22%).
На кроссовках Under Armour UA Phantom 4 присутствует печатный логотип бренда.</t>
  </si>
  <si>
    <t>CURRY 8 SNK</t>
  </si>
  <si>
    <t>3024429-005</t>
  </si>
  <si>
    <t>Вы никогда раньше не ощущали ничего подобного. Технология UA Flow полностью исключила резину, что сделало Curry 8 легче и невероятно цепкими. Это дает вам лучшее ощущение корта, позволяет вам начинать и останавливаться за долю секунды и быстрее отрываться от земли. Дышащий, легкий верх UA IntelliKnit с синтетическими накладками для стратегической поддержки. Конструкция кроссовок обеспечивает удобную посадку и ощущение носка. Новая технология амортизации UA Flow - сверхлегкая, упругая и обеспечивает безумное сцепление. Гибкая пластина Pebax добавляет поддержку и стабильность каждому движению. Подошва обеспечивает лучшее ощущение корта, так что вы можете делать рывок и останавливаться быстрее, чем когда-либо прежде. Средний Вес кроссовка : 326 грамм.</t>
  </si>
  <si>
    <t>65% текстиль, 22% искусственная кожа, 13% синтетический материал</t>
  </si>
  <si>
    <t>UA W TriBase Reign 3 WIT</t>
  </si>
  <si>
    <t>3024915-101</t>
  </si>
  <si>
    <t>Верх из специальной сетки с вязаными вставками и накладками для дополнительной прочности и устойчивости к истиранию.
Внешний задник для дополнительной устойчивости с ребристой конструкцией для сцепления во время ходьбы.
отжимания в стойке на голове.
Специальная зональная гибкость и сцепление в передней части стопы обеспечивают большую подвижность и дополнительное сцепление.
Подошва из пеноматериала Micro G во всю длину для максимальной гибкости и амортизации.
UA TriBase максимизирует контакт с землей, способствует естественному движению и обеспечивает гибкость при подъеме.
Полностью резиновая подошва по бокам обеспечивает долговечность и дополнительную стойкость к истиранию благодаря среднему захвату веревки.
Стратегическая резиновая конструкция под носком для более надежного сцепления с полом
Низкая конструкция позволяет лучше чувствовать и передавать мощность.</t>
  </si>
  <si>
    <t>Верх: 79% текстиль,21% синтетический материал~Подошва: 100% резина</t>
  </si>
  <si>
    <t>3027593-105</t>
  </si>
  <si>
    <t>3027593-498</t>
  </si>
  <si>
    <t>UA Infinite MVMNT SE</t>
  </si>
  <si>
    <t>6000902-001</t>
  </si>
  <si>
    <t>Откройте для себя идеальное сочетание стиля, комфорта и функциональности в спортивной обуви Under Armour Infinite Mvmnt Special Edition.
Идеально подходящие как для тренировок, так и для повседневной носки, эти кроссовки обеспечивают легкость, высокую воздухопроницаемость и динамическую защиту от вибраций.
Верх из прочного и дышащего материала естественным образом адаптируется к форме вашей стопы, обеспечивая комфортную посадку.
Язычок из материала Ariaprene добавляет еще больше гибкости и поддержки, позволяя двигаться свободно и с комфортом.
Благодаря инновационной технологии HOVR вы получаете эффективное поглощение ударов и возврат энергии, уменьшая нагрузку на ноги даже во время самых интенсивных занятий.
Подошва ThinWeb из резины обеспечивает превосходную износостойкость и отличное сцепление с поверхностью, даря вам уверенность при беге и движениях.
Независимо от того, занимаетесь ли вы спортом или просто ищете удобные кроссовки на каждый день, Under Armour Infinite Mvmnt Special Edition — это идеальный выбор для вас!
Характеристики:
Пол: Мужские
Цвет: Черный, Белый
Легкий и дышащий верх для прохладного ощущения в течение всего дня
Язычок из материала Ariaprene обеспечивает комфортную посадку и повышенную гибкость
Технология амортизации HOVR™ , которая поглощает удары и усиливает возврат энергии
Резиновая подошва ThinWeb для долговечности и надежного сцепления
Современный спортивный дизайн , подходящий под любой повседневный или спортивный образ
Комфорт. Стиль. Производительность. Все в одной паре кроссовок.</t>
  </si>
  <si>
    <t>6000902-100</t>
  </si>
  <si>
    <t>UA W Essential NM</t>
  </si>
  <si>
    <t>3024130-601</t>
  </si>
  <si>
    <t>UA известен тем, что производит сверхлегкую, дышащую и удобную обувь - и это не исключение. Вы хотите пару, которую можно носить где угодно? Вы их нашли. Дышащий легкий сетчатый верх для комфорта в течение всего дня
Комфортная стелька принимает форму вашей стопы с добавленной набивкой в области пятки для амортизации удара пятки
Мягкая межподошва из EVA обеспечивает легкую ходьбу.
Твердая резиновая подошва для универсального сцепления и повышенной прочности</t>
  </si>
  <si>
    <t>Верх: 65% текстиль,35% синтетический материал~Подошва: 100% этиленвинилацетат</t>
  </si>
  <si>
    <t>3024130-001</t>
  </si>
  <si>
    <t>65% текстиль  35% синтетика ~, подкладка 100% текстиль, подошва 100% ЭВА</t>
  </si>
  <si>
    <t>HOVR ™ SLK EVO</t>
  </si>
  <si>
    <t>3021461-603</t>
  </si>
  <si>
    <t>UA W Micro G Pursuit BP</t>
  </si>
  <si>
    <t>3021969-004</t>
  </si>
  <si>
    <t>Беговые кроссовки Under Armour Micro G Pursuit Bp для бегунов с нейтральной пронацией, которым нужен баланс гибкости и амортизации. Данная обувь выполнена из текстиля, что обеспечивает легкую поддержку и улучшенную воздухопроницаемость.  Промежуточная подошва с технологией Micro G качественно гасит нагрузки в течении длительного времени.</t>
  </si>
  <si>
    <t>60% текстиль, 40% искусственный материал</t>
  </si>
  <si>
    <t>UA HOVR SUMMIT FT</t>
  </si>
  <si>
    <t>3022946-100</t>
  </si>
  <si>
    <t>Кроссовки Ua U Hovr Summit Ft - это элитная обувь для любителей активного образа жизни. Созданные с использованием самых последних технологий, они обеспечивают гибкость, комфорт и поддержку в самых экстремальных условиях. Невесомый верх из дышащего материала и эргономичная подошва из прочного каучука обеспечат непревзойденную амортизацию при любых видах нагрузок. Будьте уверены, что с кроссовками Ua U Hovr Summit Ft вы будете готовы к любым испытаниям и достигнете новых высот в своих спортивных целях.</t>
  </si>
  <si>
    <t>верх: 68% текстиль, 32% синтетические материалы, подошва: 100% резина</t>
  </si>
  <si>
    <t>3027593-001</t>
  </si>
  <si>
    <t>3027593-002</t>
  </si>
  <si>
    <t>3027593-925</t>
  </si>
  <si>
    <t>UA W Phantom 4</t>
  </si>
  <si>
    <t>3027594-011</t>
  </si>
  <si>
    <t>Объединяя комфорт и долговечность технического performance-кроссовка с элегантным внешним видом и ощущениями городского кеда, UA Phantom 4 становится идеальным завершением любого образа.
Формованная мягкая и структурированная ткань обеспечивает комфорт как внутри, так и снаружи.
Вязаный воротник для посадки и ощущений как у носка, а также исключительного комфорта при надевании.
Стильный TPU задник и петля на пятке для удобного надевания и снятия.
Мягкая формованная стелька для дополнительного комфорта.
Особо упругая амортизация UA HOVR™+ снижает ударные нагрузки, возвращает энергию и помогает двигаться вперед.
Резиновая подошва для улучшенного сцепления и долговечности.
UA Phantom 4 — это сочетание технологичности и стильного дизайна для повседневной жизни и активного отдыха.</t>
  </si>
  <si>
    <t>3027594-873</t>
  </si>
  <si>
    <t>UA HOVR Apparition RTRFTR TC</t>
  </si>
  <si>
    <t>3027595-100</t>
  </si>
  <si>
    <t>Дышащий верх со стратегической синтетической накладкой обеспечивает дополнительную поддержку и долговечность там, где это необходимо. Улучшенная стелька обеспечивает комфорт в течение всего дня.Отзывчивая амортизация UA HOVR™ снижает удары, восстанавливает потерянную энергию и обеспечивает необходимое движение. Цельнорезиновая подошва обеспечивает превосходное сцепление и долговечность.</t>
  </si>
  <si>
    <t>UA HOVR APPARITION RTRFTR TC</t>
  </si>
  <si>
    <t>3027595-102</t>
  </si>
  <si>
    <t>верх: 58% кожа, 38% текстиль, 4% синт.материалы, подкладка: текстиль, подошва: 100% резина</t>
  </si>
  <si>
    <t>3027595-111</t>
  </si>
  <si>
    <t>3027595-123</t>
  </si>
  <si>
    <t>бежевый/зеленый</t>
  </si>
  <si>
    <t>верх: нат.кожа, текстиль, иск. кожа; подкладка: текстиль; подошва: резина</t>
  </si>
  <si>
    <t>6/7,5</t>
  </si>
  <si>
    <t>7/8,5</t>
  </si>
  <si>
    <t>UA U Phantom 4 Storm</t>
  </si>
  <si>
    <t>3027625-308</t>
  </si>
  <si>
    <t>UA U Phantom 4 RFLCT</t>
  </si>
  <si>
    <t>3027672-001</t>
  </si>
  <si>
    <t>Кроссовки Under Armour U Phantom 4 RFLCT — это универсальный выбор для повседневного использования. Выполненные из 78% текстиля и 22% синтетических материалов, они обеспечивают оптимальную циркуляцию воздуха и комфорт. Внутренняя текстильная подкладка добавляет мягкости и удобства. Прочная резиновая подошва гарантирует отличное сцепление и амортизацию на различных поверхностях. Застежка на шнуровке обеспечивает надежную фиксацию и индивидуальную посадку. Эти стильные кроссовки идеально подходят как для активного дня в городе, так и для легких тренировок, сочетая в себе комфорт и функциональность.</t>
  </si>
  <si>
    <t>3027672-014</t>
  </si>
  <si>
    <t>UA Fat Tire Venture Pro HSFT</t>
  </si>
  <si>
    <t>3028160-001</t>
  </si>
  <si>
    <t>Легкий и прочный верх из рипстопа с замшевыми вставками и усиленными шнурками.
Петли для удобного надевания на язычке и пятке.
Реактивная амортизационная технология UA HOVR™ уменьшает ударную нагрузку, возвращает энергию и помогает продвигаться дальше.
Подошва из прочной резины с уникальным протектором обеспечивает исключительное сцепление и надежную тягу.</t>
  </si>
  <si>
    <t>UA Summit Trek</t>
  </si>
  <si>
    <t>3028345-004</t>
  </si>
  <si>
    <t>Кроссовки Under Armour UA Summit Trek созданы для тех, кто стремится к новым вершинам, будь то в городе или на природе. Эти кроссовки сочетают в себе современный дизайн и передовые технологии, обеспечивая комфорт и поддержку в любой ситуации. Верхняя часть выполнена из легкого и дышащего материала, что позволяет ногам оставаться сухими даже при активных нагрузках. Технология амортизации обеспечивает мягкость и комфорт при каждом шаге, снижая ударные нагрузки на суставы. Прочная резиновая подошва с агрессивным протектором гарантирует надежное сцепление с разными типами поверхности, будь то асфальт или непростая тропа. С Under Armour UA Summit Trek вы всегда будете готовы к новым приключениям — с максимальным комфортом и уверенностью в каждом шаге.</t>
  </si>
  <si>
    <t>верх: 62% кожа, 20% синт.материалы, 18% текстиль, подошва: 100% резина</t>
  </si>
  <si>
    <t>3028345-103</t>
  </si>
  <si>
    <t>верх: 61% кожа, 21% синт.материалы, 18% текстиль, подкладка: текстиль, подошва: 100% резина</t>
  </si>
  <si>
    <t>UA W Court 96</t>
  </si>
  <si>
    <t>3028637-001</t>
  </si>
  <si>
    <t>Кеды Under Armour W Court 96 – это идеальный выбор для тех, кто ценит универсальность, комфорт и безупречный внешний вид. Эти кроссовки гармонично сочетаются с любым стилем одежды, будь то повседневный casual или более строгий образ, что делает их незаменимыми спутниками в любой ситуации.
Особенности модели:
Премиальная кожа : Верх выполнен из высококачественной полной зернистой кожи, которая обеспечивает исключительный комфорт и долговечность. Материал не только приятен на ощупь, но и сохраняет презентабельный внешний вид даже после длительного использования.
Легкая амортизация : Средняя подошва из пеноматериала гарантирует оптимальную амортизацию, делая каждое движение легким и комфортным. Благодаря этому вы можете носить эти кеды весь день, не испытывая усталости.
Прочная подошва : Прозрачная резиновая подошва отличается повышенной износостойкостью и обеспечивает превосходное сцепление с поверхностью. Это позволяет чувствовать себя уверенно как на городских улицах, так и на спортивных площадках.</t>
  </si>
  <si>
    <t>верх: 98% кожа, 2% синт.материалы, подкладка: текстиль, подошва: 100% резина</t>
  </si>
  <si>
    <t>UA Apparition Tech</t>
  </si>
  <si>
    <t>6005280-001</t>
  </si>
  <si>
    <t>Верх из дышащей двухцветной сетки с многослойными вставками из смешанных материалов для лучшей поддержки и долговечности.
Улучшенная стелька для комфорта на протяжении всего дня.
Чувствительная амортизация UA HOVR снижает ударную нагрузку, возвращает энергию и помогает двигаться вперёд.
Полноразмерная резиновая подошва для улучшенного сцепления и долговечности.
Светоотражающие детали.</t>
  </si>
  <si>
    <t>6,5/8</t>
  </si>
  <si>
    <t>6005280-014</t>
  </si>
  <si>
    <t>UA Sola</t>
  </si>
  <si>
    <t>6005284-104</t>
  </si>
  <si>
    <t>Созданы, чтобы носить повсюду. Благодаря четким линиям, выразительным деталям и ретро-мотивам, отсылающим к спортивной ДНК бренда, кроссовки UA Sola — идеальная обувь на каждый день. Они оснащены всеми технологиями, которые вы ожидаете от нас: легкий верх, ТПУ-поддержка свода стопы и амортизирующая промежуточная подошва из ЭВА для легкости и комфорта.
• Легкий верх с 3D-напечатанными накладками, светоотражающими вставками и яркими фирменными элементами
• Ретро-беговая ТПУ-рама на пятке и усилители для дополнительной поддержки
• Амортизирующая промежуточная подошва из ЭВА обеспечивает легкость, комфорт и футуристичный дизайн
• Прочная резиновая подметка для повседневной носки</t>
  </si>
  <si>
    <t>верх: нат.кожа, текстиль; подкладка: текстиль; подошва: резина</t>
  </si>
  <si>
    <t>UA Motion</t>
  </si>
  <si>
    <t>6005795-001</t>
  </si>
  <si>
    <t>Мужские кроссовки Under Armour Tempo сочетают смелый спортивный стиль и комфорт на весь день. Мягкий кожаный верх с прочными накладками, легкая амортизация и дизайн, вдохновленный баскетбольной обувью, обеспечивают устойчивость, сцепление и современный спортивный вид.
ХАРАКТЕРИСТИКИ
• Мягкий кожаный верх с прочными накладками для классического, аккуратного баскетбольного стиля и комфорта на протяжении всего дня
• Промежуточная подошва с комфортной пеной обеспечивает легкую амортизацию
• Дизайн, вдохновленный баскетбольными кроссовками, с традиционной чашеобразной промежуточной подошвой и подметкой
• Тканый логотип на язычке, тисненый логотип на пятке и рельефные логотипы по бокам для выразительного образа</t>
  </si>
  <si>
    <t>6005795-100</t>
  </si>
  <si>
    <t>UA Mirage Sport</t>
  </si>
  <si>
    <t>6005797-003</t>
  </si>
  <si>
    <t>Красивые, простые и лаконичные кроссовки, универсальные и удобные в носке. Они имеют верх из дышащей сетки и замши, амортизирующую промежуточную подошву из ЭВА для легкой и комфортной ходьбы, а также прочную резиновую подошву для универсального сцепления.
Детали:
Верх из дышащей сетки дополнен прочными кожаными и замшевыми накладками с плавным рисунком в стиле ретро, вдохновленным беговыми кроссовками.
Мягкая промежуточная подошва из ЭВА обеспечивает легкость и комфорт.
Резиновая подошва по всей длине для универсального сцепления и дополнительной износостойкости.
Украшенный логотип для стильного вида.</t>
  </si>
  <si>
    <t>верх: кожа, текстиль, иск. кожа; подкладка: текстиль; подошва: резина</t>
  </si>
  <si>
    <t>6005797-498</t>
  </si>
  <si>
    <t>UA HB-LO</t>
  </si>
  <si>
    <t>6005922-108</t>
  </si>
  <si>
    <t>Модель HB-LO представляет динамичный дизайн в баскетбольном стиле, сочетающий эстетику спортивной одежды UA с уникальной ДНК нашего бренда. Эти кроссовки созданы для комфорта в течение всего дня: премиальная амортизация и мягкий стелёчный слой обеспечивают плавный, амортизированный ход — от площадки до улицы.
• Верх из премиальной кожи: прочный и комфортный, с выразительным рельефным логотипом из ТПУ
• Текстильная задняя часть с дополнительным слоем поролона для комфорта в течение всего дня
• Мягкий стелёчный слой для мгновенного комфорта при надевании
• Прогрессивная конструкция средней подошвы со вставкой из ЭВА обеспечивает плавный, амортизированный ход — от площадки до улицы
• Массивная резиновая подошва для универсального сцепления и повышенной износостойкости</t>
  </si>
  <si>
    <t>UA Echo</t>
  </si>
  <si>
    <t>6006061-001</t>
  </si>
  <si>
    <t>Мы взяли лучшее из нашей линейки функциональных технологий и адаптировали их для повседневного использования. Подошва UA HOVR™ обеспечивает плавный ход. Асимметричные шнуровки, вдохновлённые нашими футбольными бутсами, снижают давление в верхней части стопы. Верх обуви, стилизованный под спортивный тейп, повторяет движения вашей стопы.
Многослойный полупрозрачный верх из дышащей моноволоконной сетки
Асимметричный язычок и система быстрой шнуровки Speed Lace для идеальной индивидуальной посадки
Резиновый носок для повышенной износостойкости
Реактивная амортизация UA HOVR™ уменьшает нагрузку, возвращает энергию и помогает двигаться вперёд
UA SlipSpeed™ — подошва с регулируемым задником, позволяющая быстро переключаться с режима тренировки на режим восстановления
Резиновая подошва обеспечивает надёжное сцепление на любой поверхности</t>
  </si>
  <si>
    <t>6006061-348</t>
  </si>
  <si>
    <t>UA Flex</t>
  </si>
  <si>
    <t>6007037-001</t>
  </si>
  <si>
    <t>Эти кроссовки выглядят стильно и сочетаются с любым образом, поэтому их можно носить где угодно. Верх из премиальной кожи обеспечивает комфорт в течение всего дня, а износостойкая подошва — надёжное сцепление.
• Верх из полнозернистой кожи с кожаными накладками: прочный и комфортный
• Текстильная ребристая задняя часть с тиснёным логотипом
• Съёмная подошва из ЭВА обеспечивает плавный, амортизированный ход
• Полноразмерная резиновая подошва для универсального сцепления и повышенной износостойкости</t>
  </si>
  <si>
    <t>верх: нат.кожа, иск. кожа, текстиль ; подкладка: текстиль; подошва: резина, пластик</t>
  </si>
  <si>
    <t>UA Phantom X</t>
  </si>
  <si>
    <t>6007183-001</t>
  </si>
  <si>
    <t>Модель Phantom X — это эволюция нашей культовой серии Phantom. Эти кроссовки обеспечивают универсальность и функциональность, необходимые спортсменам, поэтому их можно носить где угодно, а футуристичный дизайн придаёт им свежий и выразительный вид.
• Инженерный дышащий трикотажный верх обеспечивает бесшовную посадку и комфортные тактильные ощущения
• Формованные детали и каркас из ТПУ в средней части стопы для дополнительной поддержки и износостойкости
• Футуристичная подошва с эффектом «призрачности» и амортизацией из суперкритической пены: мягкая, лёгкая и отзывчивая для комфорта в течение всего дня
• Полностью резиновая подошва с уникальной узловой текстурой для повышенного сцепления и износостойкости</t>
  </si>
  <si>
    <t>6007183-008</t>
  </si>
  <si>
    <t>6007183-069</t>
  </si>
  <si>
    <t>6007183-600</t>
  </si>
  <si>
    <t>UA W Phantom X</t>
  </si>
  <si>
    <t>6007184-001</t>
  </si>
  <si>
    <t>6007184-101</t>
  </si>
  <si>
    <t>UA W Tech Runner</t>
  </si>
  <si>
    <t>6007575-001</t>
  </si>
  <si>
    <t>Стильный дизайн верха, выполненный из комбинации прочных слоёв кожи и замши с дышащей сетчатой текстурой.
• Промежуточная подошва из EVA благодаря лёгкой конструкции обеспечивает комфорт и плавность движений.
• Полноразмерная резиновая внешняя подошва обеспечивает универсальное сцепление на различных поверхностях и повышенную износостойкость.
• Металлизированные вставки и логотип с эффектом ювелирного декора выводят стиль изделия на новый уровень.</t>
  </si>
  <si>
    <t>6007575-110</t>
  </si>
  <si>
    <t>UA Aura RPSTP</t>
  </si>
  <si>
    <t>6008992-002</t>
  </si>
  <si>
    <t>Объёмный верх из сверхпрочного рипстоп-материала — лёгкий и комфортный.
Амортизирующая технология UA HOVR™ эффективно гасит ударную нагрузку, возвращает энергию и помогает вам уверенно двигаться вперёд.
Резиновая подошва обеспечивает надёжное сцепление и долговечность, а специальные гибкие канавки — там, где это нужно — улучшают естественную подвижность стопы.</t>
  </si>
  <si>
    <t>6008992-338</t>
  </si>
  <si>
    <t>UA Tech Runner</t>
  </si>
  <si>
    <t>6011293-001</t>
  </si>
  <si>
    <t>Элегантная верхняя часть изготовлена из дышащей сетки с прочной кожей и замшевыми накладками. Амортизированная подошва из ЭВА обеспечивает легкость и комфорт при ходьбе. Резиновая подошва по всей длине для универсального сцепления и дополнительной прочности. Металлизированные пленки и логотип с драгоценными камнями для изысканного стиля.</t>
  </si>
  <si>
    <t>6011293-002</t>
  </si>
  <si>
    <t>6011293-101</t>
  </si>
  <si>
    <t>UA SportsMask-RED</t>
  </si>
  <si>
    <t>1368010-600</t>
  </si>
  <si>
    <t>Маска для лица</t>
  </si>
  <si>
    <t>Прочие аксессуары</t>
  </si>
  <si>
    <t>Когда представители здравоохранения сказали, что здоровые люди должны носить маски для лица, мы начали создавать прототипы, пока не сделали идеальную маску для спортсменов. В нем есть необходимый вам воздушный поток, ощущение прохлады и он лучше всего подходит для бега или тренировок.
Изготовлен из высококачественных материалов UA, предназначен для ношения весь день и во время занятий спортом.
Водонепроницаемая внешняя оболочка из гладкой дышащей ткани-распорки.
Антимикробная обработка внутреннего слоя для сохранения свежести маски.
Полиуретановая пена с открытыми порами пропускает воздух, но затрудняет прохождение влаги и пота.
Ткань UA Iso-Chill на внутренней подкладке и ушных петлях остается прохладной на ощупь, пока вы ее носите.
Структурированный дизайн подчеркивает лицо и губы, обеспечивая дополнительный комфорт и воздухопроницаемость.
Мягкая и гладкая ткань обеспечивает комфорт при прикосновении к лицу и отводит влагу ото рта к слою вставки.
Ткань подкладки расширяется вверх и имеет стратегическую форму, чтобы плотно прилегать к переносице.
Мягкая регулируемая переносица для фиксации на лице
Эластичные амбушюры и боковые панели для более удобной посадки
В комплект входит моющийся противомикробный чехол для переноски с биркой для хранения вашего имени или номера.
Предназначен для повседневного ношения и использования в спорте здоровыми людьми
Немедицинская и нехирургическая маска, не защищает от вирусов
Если вы чувствуете дискомфорт во время ношения: прекратите тренировку, снимите маску и, если необходимо, обратитесь к врачу.
Амбушюры из прочной, не изнашивающейся ткани, предназначенной для уменьшения нагрузки на ухо и предотвращения натирания
НАЙДИТЕ СВОЙ РАЗМЕР: используйте гибкую измерительную ленту, чтобы пройти от переносицы до ушного прохода.</t>
  </si>
  <si>
    <t>100% полиэстер, подклад: 77% нейлон, 23% эластан, вставки: 100% полиуретан</t>
  </si>
  <si>
    <t>XS/S</t>
  </si>
  <si>
    <t>UA SportsMask</t>
  </si>
  <si>
    <t>1368010-002</t>
  </si>
  <si>
    <t>UA Project Rock SportsMask</t>
  </si>
  <si>
    <t>1368451-410</t>
  </si>
  <si>
    <t>Маска лицевая</t>
  </si>
  <si>
    <t>Внешний слой: 100% полиэстер; Внутренняя часть, лямки: 77% нейлон 23% эластан; Вставки: 100% полиуретан</t>
  </si>
  <si>
    <t>UA Performance Headband</t>
  </si>
  <si>
    <t>1276990-100</t>
  </si>
  <si>
    <t>Повязка на голову</t>
  </si>
  <si>
    <t>Повязка на голову, изготовленна из многоканальных рабочих волокон. Материал отводит пот и очень быстро сохнет. Вышит логотип UA.</t>
  </si>
  <si>
    <t>96% полиэстер, 4% эластодиен</t>
  </si>
  <si>
    <t>OSFA</t>
  </si>
  <si>
    <t>_</t>
  </si>
  <si>
    <t>Performance 7.5cm 2Pk</t>
  </si>
  <si>
    <t>1276991-001</t>
  </si>
  <si>
    <t>Напульсник (2 шт)</t>
  </si>
  <si>
    <t>Напульсник изготовленн из многоканальных рабочих волокон. Материал отводит пот и очень быстро сохнет. Вышит логотип UA.</t>
  </si>
  <si>
    <t>UA Performance Wristbands-WHT</t>
  </si>
  <si>
    <t>1276991-100</t>
  </si>
  <si>
    <t>UA Braided Golf Belt</t>
  </si>
  <si>
    <t>1361569-035</t>
  </si>
  <si>
    <t>Ремень</t>
  </si>
  <si>
    <t>UA Braided Golf Belt - это роскошный и стильный аксессуар, который станет незаменимым помощником на поле для всех любителей гольфа. Изготовленный из качественных материалов, этот ремень отвечает самым высоким стандартам качества и прекрасно подходит для повседневного использования. Узорчатая оплетка добавляет оригинальности и элегантности, в то время как удобная пряжка обеспечивает идеальную посадку и комфорт при движении. Будьте уверены, что с UA Braided Golf Belt вы выглядите стильно и одновременно с этим ощущаете себя комфортно!</t>
  </si>
  <si>
    <t>основной материал: 59% полиэстер,41% эластан~материал 2: 100% полиуретан</t>
  </si>
  <si>
    <t>30</t>
  </si>
  <si>
    <t>32</t>
  </si>
  <si>
    <t>34</t>
  </si>
  <si>
    <t>1361569-410</t>
  </si>
  <si>
    <t>59% полиэстер, 41% эластан, наконечники 100% полиуретан</t>
  </si>
  <si>
    <t>1368010-003</t>
  </si>
  <si>
    <t>Изготовлен из высококачественных материалов UA, предназначен для ношения весь день и во время занятий спортом.
Водонепроницаемая внешняя оболочка из гладкой дышащей ткани-распорки.
Антимикробная обработка внутреннего слоя для сохранения свежести маски.
Полиуретановая пена с открытыми порами пропускает воздух, но затрудняет прохождение влаги и пота.
Ткань UA Iso-Chill на внутренней подкладке и ушных петлях остается прохладной на ощупь, пока вы ее носите.
Структурированный дизайн подчеркивает лицо и губы, обеспечивая дополнительный комфорт и воздухопроницаемость.
Мягкая и гладкая ткань обеспечивает комфорт при прикосновении к лицу и отводит влагу ото рта к слою вставки.
Ткань подкладки расширяется вверх и имеет стратегическую форму, чтобы плотно прилегать к переносице.
Эластичные амбушюры и боковые панели для более удобной посадки.
В комплект входит моющийся противомикробный чехол для переноски с биркой для хранения вашего имени или номера.
Предназначен для повседневного ношения и использования в спорте здоровыми людьми.
Немедицинская и нехирургическая маска, не защищает от вирусов.
Если вы чувствуете дискомфорт во время ношения: прекратите упражнения, снимите маску и, если необходимо, обратитесь за медицинской помощью.
Амбушюры из прочной, не изнашивающейся ткани, предназначенной для уменьшения нагрузки на ухо и предотвращения натирания.</t>
  </si>
  <si>
    <t>UA SportsMask-PPL</t>
  </si>
  <si>
    <t>1368010-585</t>
  </si>
  <si>
    <t>W MINI ELASTIC 6PK</t>
  </si>
  <si>
    <t>1389932-001</t>
  </si>
  <si>
    <t>Повязки на голову (6 шт)</t>
  </si>
  <si>
    <t>Они уберут волосы с лица и останутся на месте. Возьмите набор (или два).
Мягкие эластичные мини-ободки с логотипами UA
Материал с бархатистой текстурой для лучшего сцепления и надёжной фиксации</t>
  </si>
  <si>
    <t>87% нейлон, 13% эластан</t>
  </si>
  <si>
    <t>UA Flex Trail Backpack</t>
  </si>
  <si>
    <t>1378411-001</t>
  </si>
  <si>
    <t>Рюкзак</t>
  </si>
  <si>
    <t>Сумки и рюкзаки</t>
  </si>
  <si>
    <t>Рюкзаки</t>
  </si>
  <si>
    <t>Этот рюкзак готов к путешествиям. Он сверхпрочный, водонепроницаемый, и в него очень легко укладывать и доставать вещи. Мягкая дышащая задняя панель и регулируемые лямки делают его очень удобным для переноски. Технология UA Storm сохранит ваши вещи сухими. Большое основное отделение на молнии и мягкий карман. Размер: 11х44,5х25,5 см.
Две несъемные регулируемые ручки высотой 30 см, дополнительная застежка на груди для лучшей фиксации.</t>
  </si>
  <si>
    <t>94% полиэстер, 6% эластан</t>
  </si>
  <si>
    <t>UA Loudon Backpack SM</t>
  </si>
  <si>
    <t>1376456-001</t>
  </si>
  <si>
    <t>Рюкзак городской Under Armor Hustle Lite - идеальное решение для людей, ведущих активный образ жизни. Рюкзак имеет несколько отделений:  большое центральное отделение с дополнительным карманом для 12" планшета,  плоский карман и 2 отделения для ручки или карандаша, карман для бутылки, отделение на молнии на передней планке.
Уплотненные вставки на задней панели рюкзака обеспечивают максимальный комфорт и удобство. 
Плечевые ремни удобно регулируются по длине. 100% полиэстер. Размеры 33*26*8,5 см. Объем 10 литров.</t>
  </si>
  <si>
    <t>UA Triumph Campus BP</t>
  </si>
  <si>
    <t>1384462-390</t>
  </si>
  <si>
    <t>Женский рюкзак UA Studio Campus BP 
Водостойкая технология UA Storm сохранит ваши вещи сухими. Регулируемые плечевые ремни эргономичной формы для комфорта.
 Отделение для ноутбука с мягкой подкладкой - вмещает MacBook Pro® 15" или ноутбук аналогичного размера. 
Один передний карман для ценных вещей на молнии увеличенного размера и один большой передний накладной карман.
 D-кольцо для крепления, чтобы вы могли пристегнуть что-нибудь с карабином для удобства транспортировки. 
Два боковых кармана для бутылок с водой. 
Размер: 28х40,5х15 см</t>
  </si>
  <si>
    <t>UA Hustle 5.0 Backpack</t>
  </si>
  <si>
    <t>1361176-002</t>
  </si>
  <si>
    <t>Технология UA Storm обладает воздухопроницаемостью и влагоотталкивающими свойствами.
Регулируемые лямки с технологией HeatGear комфортны в носке, т.к. обладают повышенными воздухообменными свойствами.
Два вместительных центральных отделения.
Отделение с подкладкой для ноутбука диагональю до 15 дюймов.
Карман спереди на молнии.
Нижнее отделение на молнии для обуви.
Боковые карманы из сетки. объем 29л. Габаритные размеры 51x32x16 см.</t>
  </si>
  <si>
    <t>UA Hustle Sport Backpack</t>
  </si>
  <si>
    <t>1364181-012</t>
  </si>
  <si>
    <t>Рюкзак UA Hustle Sport от Under Armour — это идеальное решение для активных женщин, объединяющее стиль и функциональность. Изготовленный из 100% полиэстера, он предлагает вместительность и комфорт на высшем уровне, обеспечивая организацию всех необходимых вещей. Прочная нижняя панель с полиуретановым покрытием увеличивает износостойкость, защищая рюкзак от повреждений и обеспечивая его долговечность.
- Водоотталкивающая технология UA Storm защищает содержимое от влаги и пятен, делая рюкзак надежным компаньоном в любых погодных условиях.
- Мягкая задняя панель и эргономичные лямки помогают равномерно распределить нагрузку, обеспечивая комфорт даже при длительном ношении.
- Продуманный внутренний дизайн с отдельным карманом для сухой одежды или обуви и мягким отделением для ноутбука увеличивает функциональность рюкзака.
- Передний карман на молнии предоставляет удобное пространство для хранения ценных вещей и обеспечивает легкий доступ к ним.
- Боковой карман для бутылки с водой позволяет быстро утолить жажду, не отвлекаясь от планов и активности.</t>
  </si>
  <si>
    <t>UA Triumph Sport Backpack</t>
  </si>
  <si>
    <t>1372290-003</t>
  </si>
  <si>
    <t>Водонепроницаемая технология UA Storm сохраняет ваши вещи сухими. Система LEVELED™ поможет вам обеспечить равномерную регулировку ремней для сбалансированного распределения веса. Ткань CORDURA® чрезвычайно прочная, но легкая с полиуретановым покрытием спереди для дополнительной защиты. Регулируемый съемный зажим UA Strap Clip™ на плече для предотвращения падения спортивной сумки при переноске обоих предметов.</t>
  </si>
  <si>
    <t>80% полиэстер, 20% полиуретан</t>
  </si>
  <si>
    <t>UA Loudon Backpack</t>
  </si>
  <si>
    <t>1378415-001</t>
  </si>
  <si>
    <t>Рюкзак Under Armour UA Loudon Backpack - стильный и функциональный аксессуар, который отлично подойдет как для использования в повседневной жизни, так и для кратких путешествий или спортивных мероприятий.
Этот рюкзак изготовлен из прочного и износостойкого материала, что обеспечивает его долгий срок службы. Водостойкая технология UA Storm сохранит ваши вещи сухими.
Рюкзак  имеет удобные и регулируемые лямки, что позволяет комфортно носить рюкзак на спине даже при длительном ношении. Жаккардовая тесьма с надписью Under Armour сверху составляет ручку для ношения рюкзака в руке.
Рюкзак оснащен одним основным отделением на молнии и  карманом для ценных вещей на молнии спереди. 
Также в рюкзаке предусмотрено специальное отделение с мягкой подкладкой для ноутбука с диагональю до 15 дюймов, которое защитит вашу технику от повреждений и царапин. 
Этот рюкзак отлично подойдет как для использования в повседневной жизни, так и для кратких путешествий или спортивных мероприятий.
Объем : 25 л.
Размеры: 30 x 45 x 13 cm</t>
  </si>
  <si>
    <t>UA Sportstyle Backpack</t>
  </si>
  <si>
    <t>1378415-045</t>
  </si>
  <si>
    <t>Прочный, износостойкий материал
Технология UA Storm обладает воздухопроницаемостью и влагоотталкивающими свойствами
Регулируемые лямки
Вместительное центральное отделение на молнии
Отделение для ноутбука диагональю до 15 дюймов
Карман спереди на молнии
Ширина(W) 30см х Высота(H) 45см"</t>
  </si>
  <si>
    <t>1378415-377</t>
  </si>
  <si>
    <t>UA Loudon Lite Backpack</t>
  </si>
  <si>
    <t>1380476-001</t>
  </si>
  <si>
    <t>Мужской рюкзак UA Loudon Lite Backpack — это легкий и прочный рюкзак для активных мужчин. Изготовленный из 100% полиэстера, он оснащен водостойкой технологией UA Storm, которая защищает вещи от влаги. Практичный дизайн с основным отделением и дополнительными карманами делает его удобным в использовании. Рюкзак устойчив к износу и использованиям благодаря водоотталкивающим средствам без содержания фтора.
- Водостойкая технология UA Storm надежно защищает экипировку от дождя и снега, сохраняя ваши вещи сухими.
- Легкий и прочный материал обеспечивает долговечность рюкзака и минимально добавляет к вашему весу на каждый день.
- Просторное основное отделение с молнией позволяет удобно организовать пространство под все необходимые вещи.
- Передний карман на молнии предоставляет дополнительное место для хранения ценных предметов.
- Боковой карман специально предназначен для бутылки с водой, что делает его идеальным для спортивных мероприятий.</t>
  </si>
  <si>
    <t>UA Sportstyle Lite Backpack</t>
  </si>
  <si>
    <t>1380476-114</t>
  </si>
  <si>
    <t>UA Summit SM BP</t>
  </si>
  <si>
    <t>1382311-001</t>
  </si>
  <si>
    <t>Универсальный компактный рюкзак для города, спорта, путешествий и повседневных задач.
Особенности:
• Технология UA Storm — водоотталкивающее покрытие
• Эргономичная спинка с дышащими вставками
• Регулируемые лямки с системой LEVELED™ — равномерное распределение веса
• Roll-top дизайн с эластичным шнуром и крючком
• Встроенное отделение для ноутбука до 13″
• Передний карман на молнии, два боковых — для бутылок
• Регулируемый шнур спереди — удобно для куртки или обуви
• Изготовлен из переработанного полиэстера (не менее 90%)
Размеры:  12 × 43 × 27 см
Объём: около 18 литров</t>
  </si>
  <si>
    <t>95% полиэстер, 4% нейлон, 1% эластан</t>
  </si>
  <si>
    <t>1384462-015</t>
  </si>
  <si>
    <t>Водонепроницаемая технология UA Storm® сохранит ваши вещи сухими. Мягкий карман для ноутбука – вмещает MacBook Pro® с диагональю до 15 дюймов или ноутбук аналогичного размера. 
Регулируемые ремни эргономичной формы для более удобной переноски.
Передний карман с пряжкой для дополнительного хранения и карман на молнии для ценных вещей. 
Боковой карман для бутылки с водой.
Состав: 100% полиэстер
Размер: 28х46х15 см</t>
  </si>
  <si>
    <t>1384462-069</t>
  </si>
  <si>
    <t>Рюкзак UA Triumph Campus BP от Under Armour — это надежный спутник для любого активного мужчины. Он сочетает в себе прочный материал и функциональный дизайн, что делает его идеальным выбором для тренировок, учебы или повседневного использования. Водостойкая отделка помогает защитить ваши вещи от случайных брызг и дождя, что особенно важно во время тренировок на открытом воздухе.
- Прочный полиэстеровый материал обеспечивает долговечность, выдерживая интенсивное использование и защищая содержимое от неблагоприятных погодных условий.
- Эргономичный дизайн и регулируемые ремни обеспечивают комфортную посадку, снижая нагрузку на спину и плечи даже при полном рюкзаке.
- Множество отделений и карманов позволяют удобно организовать вещи, обеспечивая легкий доступ к необходимым предметам.
- Отделение для ноутбука с мягкой подкладкой обеспечивает дополнительную защиту для ваших электронных устройств.
- Стильный и современный дизайн позволяет использовать рюкзак в любых условиях, от спортивных мероприятий до повседневной жизни.</t>
  </si>
  <si>
    <t>UA Hustle 6.0 Pro BP</t>
  </si>
  <si>
    <t>1384671-390</t>
  </si>
  <si>
    <t>Рюкзак Under Armour UA Hustle 6.0 Pro BP — это прочная и функциональная модель, предназначенная для активного образа жизни, учёбы, спорта и путешествий. Он сочетает в себе вместительность, эргономичный дизайн и современные технологии, обеспечивая комфорт и надёжность в любых условиях. 
Технологии и дизайн:
UA Storm: водоотталкивающее покрытие, защищающее содержимое от влаги.
LEVELED™ Strap System: система равномерной регулировки плечевых лямок для сбалансированного распределения веса.
Мягкое верхнее покрытие: обеспечивает дополнительную прочность и приятные тактильные ощущения.
MOLLE-система: возможность крепления дополнительных аксессуаров.
 Организация пространства:
Основное отделение: вместительное, с мягким отделением для ноутбука до 16 дюймов.
Вторичное отделение: может использоваться для обуви или грязной одежды, обеспечивая разделение содержимого.
Передние карманы на молнии: для хранения мелких предметов и аксессуаров.
Боковые карманы подходят для бутылок объёмом до 32 унций (примерно 950 мл).
Съёмный UA Strap Clip™: предотвращает соскальзывание сумки с плеча при одновременном ношении нескольких предметов.
Объём: 31 литр
Размеры (в наполненном состоянии): 32 см (Ш) x 51 см (В) x 16 см (Г)</t>
  </si>
  <si>
    <t>88% полиэстер, 12% полиуретан</t>
  </si>
  <si>
    <t>UA Hustle 6.0 Backpack</t>
  </si>
  <si>
    <t>1384672-002</t>
  </si>
  <si>
    <t>Водонепроницаемая технология UA Storm обеспечивает надежную защиту ваших вещей от влаги в самых экстремальных условиях. Рюкзак выполнен из прочного материала с мягким на ощупь верхним покрытием, которое не только приятно на ощупь, но и добавляет дополнительную устойчивость к износу. Внутри вы найдете мягкий карман, идеально подходящий для хранения ноутбука размером до 16 дюймов, например, MacBook Pro® или другого устройства аналогичного размера. Кроме того, предусмотрено дополнительное отделение, которое может использоваться как карман для обуви или белья. Для удобства хранения мелких необходимых вещей предусмотрен надежный передний карман на молнии, а боковой карман подходит для бутылки с водой объемом до 32 унций. Стропа Molle добавляет возможность крепления дополнительных аксессуаров. Верхняя ручка обеспечивает удобство при переноске, а универсальный размер подходит для большинства пользователей.</t>
  </si>
  <si>
    <t>1384672-003</t>
  </si>
  <si>
    <t>1384672-007</t>
  </si>
  <si>
    <t>1384672-069</t>
  </si>
  <si>
    <t>1384672-289</t>
  </si>
  <si>
    <t>1384672-477</t>
  </si>
  <si>
    <t>UA Studio Campus BP</t>
  </si>
  <si>
    <t>1384675-001</t>
  </si>
  <si>
    <t>Водостойкая технология UA Storm сохранит ваши вещи сухими. 
Регулируемые плечевые ремни эргономичной формы для комфорта.
Отделение для ноутбука с мягкой подкладкой - вмещает MacBook Pro® 15" или ноутбук аналогичного размера. 
Один передний карман для ценных вещей на молнии увеличенного размера и один большой передний накладной карман.
 D-кольцо для крепления, чтобы вы могли пристегнуть что-нибудь с карабином для удобства транспортировки. Два боковых кармана для бутылок с водой.
Технологии: ua storm®
Размер: 28х40,5х15 см</t>
  </si>
  <si>
    <t>UA Studio Spirit Backpack</t>
  </si>
  <si>
    <t>1388928-299</t>
  </si>
  <si>
    <t>Рюкзак Under Armour UA Studio Spirit Backpack идеально подходит для занятий спортом, учёбы, путешествий и повседневного использования. Его стильный дизайн и функциональность делают его отличным выбором для современной женщины, ценящей комфорт и практичность. 
Основные характеристики:
Водоотталкивающая технология UA Storm: защищает содержимое от влаги, обеспечивая сухость ваших вещей даже в непогоду 
Эргономичная форма: разработана с учётом анатомических особенностей женского тела для максимального комфорта при носке 
Мягкие регулируемые лямки: обеспечивают удобную посадку и равномерное распределение веса
Ручка для переноски: позволяет легко брать рюкзак в руку при необходимости
Организация пространства:
Основное отделение на молнии: вместительное, с внутренним отделением для планшета и большой сетчатой карман на молнии
Передний карман на молнии: с внутренним карабином для ключей, обеспечивая быстрый доступ к необходимым мелочам 
Скрытый задний карман на молнии: для безопасного хранения ценных предметов, таких как кошелёк или документы 
Объём: 21 литр
Размеры (в наполненном состоянии): 27,9 см (Ш) x 42,9 см (В) x 14,4 см (Г)</t>
  </si>
  <si>
    <t>58% нейлон, 27% полиэстер, 15% полиуретан</t>
  </si>
  <si>
    <t>Hustle Sport 6.0 Backpack</t>
  </si>
  <si>
    <t>6000397-001</t>
  </si>
  <si>
    <t>Эти сумки прочные, лёгкие, и вода с них просто стекает — эластичные петли позволяют быстро убрать вещи, например, тренировочную куртку.
Водоотталкивающая технология UA Storm сохраняет ваши вещи сухими.
Мягкая подкладка на спинке и анатомически изогнутые лямки обеспечивают удобство ношения.
Мягкий внутренний карман для ноутбука с органайзером — подходит для MacBook Pro® 16 дюймов или ноутбуков аналогичного размера.
Передний карман с эластичной стяжкой для удобного хранения куртки, пары обуви или мяча.
Большой застёгивающийся на молнию передний карман для ценных мелочей.
Прочный, износостойкий покрытый материал на дне сумки.
Два боковых кармана для бутылок с водой — подходят бутылки объёмом до 950 мл.
Обработано водоотталкивающим составом без использования фторсодержащих веществ.</t>
  </si>
  <si>
    <t>6000397-025</t>
  </si>
  <si>
    <t>UA Hustle Lite Backpack</t>
  </si>
  <si>
    <t>6000399-402</t>
  </si>
  <si>
    <t>Under Armour UA Hustle Lite Backpack: Легкий и прочный унисекс-рюкзак для повседневного использования
Рюкзак Under Armour Hustle Lite — это универсальное решение для тех, кто ищет легкий, но функциональный рюкзак на каждый день. Он сочетает в себе водостойкую технологию с продуманной организацией хранения, что делает его идеальным спутником в любых условиях. 
 Идеально подходит для ежедневного использования, включая ношение в школу, университет, в тренажерный зал, а также для недолгих поездок и активного отдыха. Специальное водоотталкивающее покрытие UA Storm сохраняет ваши вещи сухими, не жертвуя воздухопроницаемостью, что делает его надежным в любую погоду.Дышащая, мягкая задняя панель и эргономичные регулируемые лямки обеспечивают комфортную переноску.
Нижняя панель с прочным полиуретановым (PU) покрытием для дополнительной долговечности.
Отделение с мягкой подкладкой для ноутбука .2 боковых кармана для бутылок с водой.Объем: 26.5 литра.Материал: 100% полиэстер. 
На рюкзаке присутствует логотип Under Armour.</t>
  </si>
  <si>
    <t>6000399-410</t>
  </si>
  <si>
    <t>Прочный, лёгкий и вода просто скатывается с него. Что ещё нужно?
Водоотталкивающая технология UA Storm надёжно защищает ваши вещи от влаги.
Мягкая подкладка в отделении для ноутбука — вмещает MacBook Pro® до 15 дюймов или ноутбук аналогичного размера.
Два боковых кармана для бутылок с водой.
Прочный низ с полиуретановым покрытием.
Обработан водоотталкивающим составом без фтора.</t>
  </si>
  <si>
    <t>6000399-690</t>
  </si>
  <si>
    <t>6000399-713</t>
  </si>
  <si>
    <t>UA U Ansa Elevate SL</t>
  </si>
  <si>
    <t>3025044-001</t>
  </si>
  <si>
    <t>Шлепанцы</t>
  </si>
  <si>
    <t>Сандалии и шлепанцы</t>
  </si>
  <si>
    <t>Плавание</t>
  </si>
  <si>
    <t>Получите в свои руки шлепанцы унисекс UA Ansa Elevate от лучших производителей кроссовок по всему миру.</t>
  </si>
  <si>
    <t>верх 89% синтетический материал, 11% текстиль, подошва 100% этиленвинилацетат (эва)</t>
  </si>
  <si>
    <t>UA W Locker V SL</t>
  </si>
  <si>
    <t>3028095-025</t>
  </si>
  <si>
    <t>Тренировка, поход в сауну или отдых на пляже — куда бы вы ни собрались, не забудьте с собой шлепанцы от Under Armour.
ОТВЕДЕНИЕ ВЛАГИ
Модель выполнена из одного куска литого ЭВА, быстро сохнет и отлично подходит для использования у бассейна.
КОМФОРТ
Эргономичная конструкция — гарантия вашего максимального комфорта во время ношения.</t>
  </si>
  <si>
    <t>верх: 100% синт.материалы, подошва: 100% этилвинилацетат (ЭВА)</t>
  </si>
  <si>
    <t>UA M Ansa Fix SL</t>
  </si>
  <si>
    <t>3023761-105</t>
  </si>
  <si>
    <t>Фиксированный ремешок с добавлением поролона снизу для очень удобной посадки и дополнительной мягкости. Стелька из ЭВА обеспечивает приятную амортизацию под ногами. Подошва обеспечивает отличную прочность и сцепление.</t>
  </si>
  <si>
    <t>верх: 100% синтетический материал, подошва: 100% этиленвинилацетат (эва)</t>
  </si>
  <si>
    <t>3028095-348</t>
  </si>
  <si>
    <t>UA CORE PTH SL</t>
  </si>
  <si>
    <t>3021286-400</t>
  </si>
  <si>
    <t>Быстросохнущий материал  EVA, идеально подходящий для использования в раздевалке или у бассейна.
Эргономичная конструкция для максимального комфорта и посадки.</t>
  </si>
  <si>
    <t>верх: пластик; подошва: пластик</t>
  </si>
  <si>
    <t>4</t>
  </si>
  <si>
    <t>Core PTH</t>
  </si>
  <si>
    <t>3021286-100</t>
  </si>
  <si>
    <t>Быстросохнущая, цельная конструкция из формованного материала EVA, идеально подходящая для использования в раздевалке или у бассейна.
Эргономичная конструкция для максимального комфорта и посадки.</t>
  </si>
  <si>
    <t>100% этилвинилацетат (ЭВА)</t>
  </si>
  <si>
    <t>UA W Ignite Select Graphic</t>
  </si>
  <si>
    <t>3027223-100</t>
  </si>
  <si>
    <t>UA M Ignite Select — это шлепанцы, созданные для активных любителей комфорта, которым важны стиль и функциональность даже в моменты отдыха и релаксации. Сочетая в себе утонченный дизайн и инновационные технологии Under Armour, эти сланцы идеально подходят для того, чтобы обеспечить ногам максимальную поддержку и комфорт после тренировок или во время прогулок в жаркую погоду. Верх шлепанцев UA M Ignite Select изготовлен из высококачественных материалов с регулируемым ремнем, который обеспечивает идеальную посадку и позволяет адаптировать обувь к индивидуальной форме стопы. Мягкая подкладка ремня предотвращает натирание и повышает уровень комфорта при носке. Анатомически формованная стелька с двухслойной Performance 4D Foam® обеспечивает невероятную амортизацию и снижает усталость ног, позволяя чувствовать себя бодрым и отдохнувшим. Подошва с уникальной технологией тракции обладает устойчивыми к скольжению свойствами и дает надежное сцепление с любыми поверхностями, гарантируя безопасность во время ходьбы.</t>
  </si>
  <si>
    <t>белый/голубой</t>
  </si>
  <si>
    <t>верх: 91% синт.материалы, 9% текстиль, подкладка: текстиль, подошва: 100% ЭВА</t>
  </si>
  <si>
    <t>UA Ignite Pro 8 SL</t>
  </si>
  <si>
    <t>6000337-025</t>
  </si>
  <si>
    <t>Удобные шлепанцы от Under Armour подойдут как для расслабленного отдыха на пляжа, так и для тренировок в бассейне.
НАДЕЖНАЯ ФИКСАЦИЯ
Регулируемый ремешок с застежкой-липучкой позволяет надежно зафиксировать обувь.
КОМФОРТ
Текстурированная стелька из пеноматериала с эффектом памяти не только приятна на ощупь, но и подстраивается под форму стопы.
АМОРТИЗАЦИЯ
Подошва из ЭВА отвечает за улучшенную амортизацию, чтобы ноги меньше уставали.</t>
  </si>
  <si>
    <t>UA B Locker V SL</t>
  </si>
  <si>
    <t>3028732-001</t>
  </si>
  <si>
    <t>Детские шлёпанцы Locker V Slides от бренда Under Armour — отличный выбор для расслабленных дней и стильного проведения досуга. Созданные для комфорта и лёгкости в носке, эти шлёпанцы предлагают быстрое и практичное решение после интенсивной тренировки, на пляже или у бассейна. Их лёгкая и дышащая конструкция позволяет ногам оставаться свежими, а простой и современный дизайн легко сочетается с различной спортивной одеждой или повседневными образами.
Несмотря на простоту, шлёпанцы обеспечивают премиальный комфорт благодаря поддержке, которую гарантирует анатомически формованная внутренняя часть.
Особенности:
• Подошва обеспечивает надёжное сцепление на мокрых поверхностях, что делает их идеальными для использования у воды или после спорта.
• Благодаря регулируемой ширине, Locker V Slides идеально подходят тем, кто ищет комфорт, свободу движений и лёгкость в надевании во время отдыха.
• Шлёпанцы изготовлены из цельного материала EVA, который чрезвычайно лёгкий и быстро сохнет. Это позволяет им быстро высыхать после использования в воде или после тренировки.
• Конструкция предусматривает дополнительные дренажные отверстия, которые обеспечивают быстрый отток воды, уменьшая удержание влаги и предотвращая дискомфорт при ношении в течение всего дня.
• Обновленная амортизация и слегка приподнятая высота подошвы обеспечивают исключительный комфорт, что означает большую поддержку и мягкие ощущения при каждом шаге — как на суше, так и на мокрой поверхности.
• Текстурированная стелька и подошва обеспечивают лучшее сцепление и повышенную устойчивость на мокрых поверхностях, таких как бассейны или душевые, гарантируя безопасную ходьбу без скольжения.</t>
  </si>
  <si>
    <t>верх: пластик; подкладка: отсутствует; подошва: пластик</t>
  </si>
  <si>
    <t>UA M Ignite Pro SL-BLK</t>
  </si>
  <si>
    <t>3026023-003</t>
  </si>
  <si>
    <t>Пена с эффектом памяти не только приятна на ощупь, но и помогает устранить давление на ноги после тренировки.
Регулируемый синтетический ремешок с подкладкой из мягкого пеноматериала для дополнительного комфорта и перфорацией для воздухопроницаемости.
Текстурированная стелька из пеноматериала для беспрецедентного комфорта
Подошва из ЭВА с прочными тяговыми вставками в области пятки для легкости, амортизации и комфорта.</t>
  </si>
  <si>
    <t>100% синтетика, подошва 100% этиленвинилацетат (эва)</t>
  </si>
  <si>
    <t>UA M Locker V SL</t>
  </si>
  <si>
    <t>3028094-408</t>
  </si>
  <si>
    <t>Шлепанцы Under Armour Locker V — это уникальная летняя обувь, созданная с акцентом на максимальный комфорт и функциональность. Их цельная конструкция из формованного материала EVA обеспечивает исключительную прочность и устойчивость к повреждениям. Шлепанцы отлично впитывают влагу с поверхности стопы, что делает их идеальным выбором для тех, кто ценит гигиену и комфорт в условиях повышенной влажности.
Благодаря быстросохнущим свойствам шлепанцы Under Armour Locker V станут отличным спутником во время посещения бассейна, спа-салона или спортзала. Улучшенная амортизация и увеличенная толщина подошвы обеспечивают непревзойденный комфорт при носке. Даже длительное использование не вызывает усталости ног — это оценят особенно активные люди.
Текстурированная стелька и специально разработанная подошва гарантируют отличное сцепление даже на мокрых и скользких поверхностях, минимизируя риск поскользнуться. Эта особенность крайне важна при использовании шлепанцев возле бассейнов или в душевых.</t>
  </si>
  <si>
    <t>3021286-001</t>
  </si>
  <si>
    <t>UA M Ignite Select</t>
  </si>
  <si>
    <t>3027219-100</t>
  </si>
  <si>
    <t>UA M Ignite Select — это шлепанцы, созданные для активных любителей комфорта, которым важны стиль и функциональность даже в моменты отдыха и релаксации. Эти шлепанцы идеально подходят для того, чтобы обеспечить ногам максимальную поддержку и комфорт после тренировок или во время прогулок в жаркую погоду. Верх шлепанцев UA Ignite Select изготовлен из высококачественных материалов. Мягкая подкладка ремня предотвращает натирание и повышает уровень комфорта при носке. Подошва из ЭВА обладает устойчивыми к скольжению свойствами и дает надежное сцепление с любыми поверхностями, гарантируя безопасность во время ходьбы.</t>
  </si>
  <si>
    <t>верх: иск.кожа, текстиль ; подкладка: текстиль; подошва: резина</t>
  </si>
  <si>
    <t>3027219-428</t>
  </si>
  <si>
    <t>верх: 91% синт.материалы, 9% текстиль, подошва: 100% этилвинилацетат (ЭВА)</t>
  </si>
  <si>
    <t>UA W Ignite Select</t>
  </si>
  <si>
    <t>3027222-016</t>
  </si>
  <si>
    <t>UA Ignite Select — это шлепанцы, созданные для активных любителей комфорта, которым важны стиль и функциональность даже в моменты отдыха и релаксации. Эти шлепанцы идеально подходят для того, чтобы обеспечить ногам максимальную поддержку и комфорт после тренировок или во время прогулок в жаркую погоду. Верх шлепанцев UA Ignite Select изготовлен из высококачественных материалов. Мягкая подкладка ремня предотвращает натирание и повышает уровень комфорта при носке. Подошва из ЭВА обладает устойчивыми к скольжению свойствами и дает надежное сцепление с любыми поверхностями, гарантируя безопасность во время ходьбы.</t>
  </si>
  <si>
    <t>3027222-494</t>
  </si>
  <si>
    <t>3028094-001</t>
  </si>
  <si>
    <t>3028094-009</t>
  </si>
  <si>
    <t>3028094-025</t>
  </si>
  <si>
    <t>3028095-001</t>
  </si>
  <si>
    <t>3028095-100</t>
  </si>
  <si>
    <t>UA W Ignite Pro 8 SL</t>
  </si>
  <si>
    <t>6000033-001</t>
  </si>
  <si>
    <t>Шлепанцы Under Armour Ignite Pro 8 созданы для тех, кто ценит комфорт и поддержку после тренировок или в течение дня. Эта модель сочетает в себе современные технологии и стильный дизайн, делая их идеальным выбором как для активного отдыха, так и для повседневной носки.
Мягкая пена с эффектом памяти: Подошва из обновленной, более мягкой пены с эффектом памяти обеспечивает исключительный комфорт и помогает снять напряжение с ног после интенсивных физических нагрузок. Ваши ноги будут чувствовать себя расслабленными и комфортными даже после долгого дня.
Регулируемый ремешок: Матовый ремешок с закругленными краями и мягкой пеноподкладкой гарантирует надежную посадку и дополнительное удобство. Благодаря возможности регулировки, вы можете настроить шлепанцы точно по размеру вашей стопы.
Повышенная устойчивость: Увеличенные боковые стенки и высота модели обеспечивают дополнительную стабильность и комфорт, снижая риск травм и обеспечивая уверенную походку.
Прочная подошва: Подошва из легкого и прочного EVA-материала с рельефным рисунком гарантирует отличное сцепление с поверхностью, что особенно важно при ходьбе на различных типах покрытий.
Under Armour Ignite Pro 8 — это не просто шлепанцы, а ваш надежный спутник для восстановления и отдыха, который заботится о ваших ногах на каждом шагу.
Ключевые особенности:
Пена с эффектом памяти для максимального комфорта
Регулируемый ремешок с мягкой подкладкой
Улучшенная амортизация и стабильность
Прочная подошва с противоскользящим рисунком</t>
  </si>
  <si>
    <t>6000033-100</t>
  </si>
  <si>
    <t>6000337-001</t>
  </si>
  <si>
    <t>UA ARMR Slide</t>
  </si>
  <si>
    <t>6007527-001</t>
  </si>
  <si>
    <t>Каждому спортсмену нужны шлёпанцы для раздевалки — поэтому мы сделали лучшие. Удобные и долговечные.
• Формованный синтетический ремешок с мягкой поролоновой подкладкой для дополнительного комфорта
• Контурная стелька из ПУ обеспечивает комфорт и износостойкость</t>
  </si>
  <si>
    <t>UA ARMR Shower Slide</t>
  </si>
  <si>
    <t>6007528-024</t>
  </si>
  <si>
    <t>Эти шлёпанцы созданы специально для раздевалки: подошва разработана для надёжного сцепления даже на влажной поверхности.
• Цельнолитая конструкция из ЭВА: лёгкая и чрезвычайно комфортная
• Текстурированная подошва обеспечивает повышенное сцепление на мокрых поверхностях</t>
  </si>
  <si>
    <t>6007528-100</t>
  </si>
  <si>
    <t>Эти шлепанцы были созданы специально для раздевалки, с подошвой, разработанной для обеспечения сцепления даже при влажных условиях.
Детали:
Цельнолитая подошва из ЭВА легкая и чрезвычайно удобная.
Текстурированная подошва обеспечивает улучшенное сцепление на мокрой поверхности.</t>
  </si>
  <si>
    <t>6007528-709</t>
  </si>
  <si>
    <t>UA W ARMR Slide</t>
  </si>
  <si>
    <t>6007532-003</t>
  </si>
  <si>
    <t>Каждому спортсмену нужны шлёпанцы для раздевалки — поэтому мы создали лучшие. Удобные и долговечные.
Формованный синтетический ремешок с мягкой поролоновой подкладкой для дополнительного комфорта
Анатомическая стелька из полиуретана обеспечивает удобство и износостойкость</t>
  </si>
  <si>
    <t>6007532-603</t>
  </si>
  <si>
    <t>UA W ARMR Shower Slide</t>
  </si>
  <si>
    <t>6007533-001</t>
  </si>
  <si>
    <t>6007533-100</t>
  </si>
  <si>
    <t>6007533-647</t>
  </si>
  <si>
    <t>UA Ignite Pro 8 Fix</t>
  </si>
  <si>
    <t>6010383-003</t>
  </si>
  <si>
    <t>Пена с эффектом памяти не только приятна на ощупь, но и помогает снять нагрузку со стоп после тренировки.
Особенности:
Фиксированный ремешок с закругленными краями и мягкой поролоновой подкладкой для дополнительного комфорта
Обновленная, более мягкая стелька из пены с эффектом памяти обеспечивает беспрецедентный комфорт
Приподнятые боковые стенки и увеличенная высота для дополнительной устойчивости и комфорта
Износостойкая подошва из EVA с рифленым рисунком для улучшенного сцепления</t>
  </si>
  <si>
    <t>верх: 100% синт.материалы, подошва: 100% полимер</t>
  </si>
  <si>
    <t>6010383-100</t>
  </si>
  <si>
    <t>верх: иск.кожа; подкладка: текстиль; подошва: пластик</t>
  </si>
  <si>
    <t>UA Knit Track Suit</t>
  </si>
  <si>
    <t>1357139-408</t>
  </si>
  <si>
    <t>Спортивный костюм</t>
  </si>
  <si>
    <t>Спортивные костюмы</t>
  </si>
  <si>
    <t>Гладкий трикотажный материал с мягким внутренним слоем для комфорта и тепла. Материал отводит излишнюю влагу и очень быстро сохнет. Верх: Открытые боковые карманы. Длинная молния. Низ:
Эластичный пояс с регулируемым внешним шнурком. Открытые боковые карманы.</t>
  </si>
  <si>
    <t>UA B Challenger Tracksuit</t>
  </si>
  <si>
    <t>6004082-410</t>
  </si>
  <si>
    <t>Коллекция UA Challenger включает в себя все необходимое для футбола. Этот спортивный костюм создан, чтобы согреть вас и подготовить к любым испытаниям на поле. Текстурированный трикотаж легкий, прочный и дышащий. Материал отводит пот и очень быстро сохнет. Эластичный пояс с внутренним шнурком. Открытые карманы. Застежки-молнии на щиколотках.</t>
  </si>
  <si>
    <t>UA EMEA TRACKSUIT NOVELTY</t>
  </si>
  <si>
    <t>1366212-299</t>
  </si>
  <si>
    <t>Это спортивный костюм, в котором вы действительно можете тренироваться. Он легкий, но теплый, растягивается, чтобы вы могли двигаться и дышит, когда вы согреваетесь. Гладкая трикотажная ткань снаружи и мягкая внутренняя часть для комфорта и тепла. Материал отводит пот и очень быстро сохнет. Открытые карманы для рук. Обтянутый эластичный пояс с внешним шнурком.</t>
  </si>
  <si>
    <t>UA EMEA Track Suit</t>
  </si>
  <si>
    <t>1357139-001</t>
  </si>
  <si>
    <t>Спортивный костюм Knit Track Suit от Under Armour предназначен для тех, кто ценит комфорт и высокие технологии. Выполненный из 100% полиэстера, данный комплект обеспечивает отличное влагоотведение и быстро сохнет, оставаясь легким и комфортным в любой ситуации. Гладкий трикотажный материал и мягкая подкладка создают приятные ощущения комфорта и тепла, удерживая оптимальную температуру вашего тела.
- Материал эффективно отводит пот, позволяя вашей коже оставаться сухой во время интенсивных тренировок и физических нагрузок.
- Прилегающий крой обеспечивает удобную посадку без сдавливания, поддерживая свободу движений и комфорт.
- Эластичный пояс с внешним шнурком на брюках обеспечивает надежную фиксацию, позволяя свободно двигаться.
- Открытые карманы у брюк и олимпийки делают костюм функциональным, предоставляя удобные возможности для хранения необходимых мелочей.
- Универсальность костюма позволяет использовать его как для тренировок, так и для повседневного ношения, объединяя стиль и функциональность.</t>
  </si>
  <si>
    <t>1357139-012</t>
  </si>
  <si>
    <t>1357139-025</t>
  </si>
  <si>
    <t>1357139-390</t>
  </si>
  <si>
    <t>1357139-410</t>
  </si>
  <si>
    <t>Классический спортивный костюм из сверхмягкого материала, который отводит пот, обеспечивая комфорт и сухость. Прилегающий крой без сдавливания. Гладкая трикотажная ткань снаружи и мягкая внутренняя часть для комфорта и тепла. Материал отводит пот и очень быстро сохнет. Эластичный пояс с внешним шнурком у брюк. Открытые карманы для рук у куртки и у брюк.</t>
  </si>
  <si>
    <t>EM Knit Track Suit</t>
  </si>
  <si>
    <t>1363380-011</t>
  </si>
  <si>
    <t>Мы взяли классический спортивный костюм и сделали его лучше, используя сверхмягкие материалы, которые также отводят пот, чтобы вы оставались сухими и легкими. Гладкая трикотажная ткань снаружи с матовой внутренней частью для мягкости и тепла. Материал отводит пот и очень быстро сохнет. КУРТКА: свободный крой, Открытые карманы для рук. БРЮКИ: Ребристый пояс с внешним шнурком. Открытые карманы для рук.  Приталенные с  эластичными манжетами.</t>
  </si>
  <si>
    <t>Tricot Tracksuit</t>
  </si>
  <si>
    <t>1365147-001</t>
  </si>
  <si>
    <t>Это спортивный костюм, в котором вы действительно можете тренироваться. Он легкий, но теплый,тянется, чтобы вы могли двигаться. Гладкая трикотажная ткань снаружи и матовая внутренняя часть для мягкого комфорта и тепла. Материал отводит пот и очень быстро сохнет.</t>
  </si>
  <si>
    <t>1366212-006</t>
  </si>
  <si>
    <t>черный/красный/белый</t>
  </si>
  <si>
    <t>UA Rival Fleece Suit</t>
  </si>
  <si>
    <t>1379768-025</t>
  </si>
  <si>
    <t>Костюм UA Rival Fleece Suit от Under Armour — это идеальное сочетание стиля и функциональности для тех, кто ценит комфорт и качество. Этот костюм выполнен из 80% хлопка и 20% полиэстера, что обеспечивает мягкость и долговечность материалов. Костюм идеально подходит для активного отдыха или ежедневной носки в прохладное время года. Уход за костюмом упрощается с помощью деликатной машинной стирки при 30 градусах.
- Высококачественная смесь хлопка и полиэстера обеспечивает мягкость и износостойкость, создавая оптимальное сочетание для комфорта в повседневной носке.
- Легкость костюма Rival Fleece Suit делает его подходящим для активного отдыха, обеспечивая свободу движений.
- Удобная посадка и мягкий внутренний флис поддерживают комфорт и тепло, создавая защиту в прохладную погоду.
- Эластичные манжеты и пояс гарантируют надежную посадку, сохраняя тепло внутри и защищая от ветра.
- Застежка-молния и карманы обеспечивают функциональность, позволяя легко адаптироваться к различным условиям.</t>
  </si>
  <si>
    <t>UA Rival Tricot Tracksuit HD</t>
  </si>
  <si>
    <t>6001966-498</t>
  </si>
  <si>
    <t>Мы взяли классический спортивный костюм и улучшили его, используя сверхмягкие материалы, которые также отводят влагу, чтобы вы оставались сухими и комфортными.
Верх (куртка):
Гладкая трикотажная внешняя сторона с начесом внутри для мягкости и тепла.
Материал отводит пот и быстро сохнет.
Открытые карманы для рук.
Ребристые манжеты и нижняя кромка для плотной посадки.
Реглановые рукава для свободы движений.
Низ (штаны):
Ребристый пояс с внешним шнурком для регулировки.
Открытые карманы для рук.
Зауженный крой брючин с эластичными манжетами для фиксации.</t>
  </si>
  <si>
    <t>UA M Challenger Tracksuit</t>
  </si>
  <si>
    <t>6004052-587</t>
  </si>
  <si>
    <t>Коллекция UA Challenger включает всю вашу базовую экипировку для футбола. Этот спортивный костюм создан, чтобы вы чувствовали себя в тепле и были готовы к любым испытаниям на поле.
• Текстурированная трикотажная ткань — лёгкая, прочная и дышащая.
• Материал эффективно отводит влагу и очень быстро сохнет.
Куртка:
— Открытые карманы для рук.
Штаны:
— Эластичный пояс со вшитой резинкой и внутренним шнурком для регулировки по объёму.
— Молнии на лодыжках для удобного надевания и снимания даже поверх бутс.</t>
  </si>
  <si>
    <t>UA M Challenger Pro Trcksuit</t>
  </si>
  <si>
    <t>6004054-002</t>
  </si>
  <si>
    <t>Технология UA Storm отталкивает воду, не ухудшая воздухопроницаемость. Легкая эластичная ткань обеспечивает необычайный комфорт и долговечность. Материал отводит пот и очень быстро высыхает. 4-сторонний эластичный материал обеспечивает лучшую подвижность во всех направлениях. Куртка: капюшон с воротником-стойкой для дополнительной защиты с регулируемым шнурком. Брюки: эластичный пояс с внутренним шнурком. Открытые карманы для рук.</t>
  </si>
  <si>
    <t>6004054-919</t>
  </si>
  <si>
    <t>6004082-001</t>
  </si>
  <si>
    <t>UA Undeniable 5.0 Duffle XS</t>
  </si>
  <si>
    <t>1369221-001</t>
  </si>
  <si>
    <t>Сумка</t>
  </si>
  <si>
    <t>Сумки</t>
  </si>
  <si>
    <t>Верхняя ткань сумки выполнена из ткани с применением технологии UA Storm, что гарантирует непревзойденную защиту от промокания. Снаружи сумки расположен большой вентилируемый карман для белья или обуви, и боковой карман из сетки. Объем 23 л.</t>
  </si>
  <si>
    <t>1369221-012</t>
  </si>
  <si>
    <t>UA Undeniable 5.0 Duffle SM</t>
  </si>
  <si>
    <t>1369222-007</t>
  </si>
  <si>
    <t>Отправляйтесь к новым вершинам с Under Armour Undeniable 5.0 Small Duffel Bag, спортивной сумкой, которая объединяет в себе непоколебимую прочность и мастерский дизайн, гарантируя, что вы всегда находитесь в полной боевой готовности. Сделанная из высокопрочных материалов и оснащенная технологией UA Storm, эта сумка обеспечивает водонепроницаемую защиту и износоустойчивость, что делает её идеальным выбором для любых условий — от пышущих спортзалов до суровых элементов природы. Главное отделение с множеством карманов, а также специализированный отсек для обуви и влажных вещей, гарантирует, что ваши тренировочные аксессуары и личные предметы будут аккуратно упорядочены и легко доступны. С регулируемым, плетеным плечевым ремнем и удобными ручками, сочетающими комфорт и прочность, эта сумка облегчит переноску ваших тренировочных снарядов, делая ваш путь к фитнес-целям еще более приятным. Классический дизайн в сочетании с современной цветовой палитрой и знаковым логотипом Under Armour позволяет сумке Undeniable 5.0 Sm Duffel выглядеть одинаково элегантно как в спортзале, так и во время поездки на выходные. Маленькая по размеру, но огромная по возможностям, эта сумка станет вашим надежным спутником в каждой миссии, куда бы вы ни направились и что бы ни преследовали. Under Armour Undeniable 5.0 Small Duffel Bag – это больше, чем просто спортивная сумка: это символ вашего стремления к совершенству и неотъемлемый атрибут победителя. С ней каждый ваш шаг к успеху будет подкреплен надежностью и стилем.</t>
  </si>
  <si>
    <t>1369222-100</t>
  </si>
  <si>
    <t>1369222-290</t>
  </si>
  <si>
    <t>1369222-410</t>
  </si>
  <si>
    <t>Верхняя ткань сумки выполнена из ткани с применением технологии UA Storm, что гарантирует непревзойденную защиту от промокания. Снаружи сумки расположен большой вентилируемый карман для белья или обуви, и боковой карман из сетки. Регулируемый плечевой ремень и удобные ручки с мягкой манжетой для переноски. Карман спереди на молнии. Два боковых кармана на молнии. Боковой карман. Объем 40 л. Размеры: 55 х 27 х 26 см</t>
  </si>
  <si>
    <t>UA Undeniable 5.0 Duffle MD</t>
  </si>
  <si>
    <t>1369223-010</t>
  </si>
  <si>
    <t>Поднимите свою игру на новый уровень с Under Armour Undeniable 5.0 MD Duffel Bag — универсальным решением для хранения, созданным держать шаг с вашим динамичным образом жизни. Средний размер этой сумки идеально подходит для всех ваших тренировочных принадлежностей, без ущерба для мобильности. Основное отделение вмещает все необходимое, в то время как множество дополнительных карманов поддерживают изысканный порядок ваших личных вещей. Изготовленная с использованием технологии UA Storm, сумка Undeniable 5.0 MD защитит ваше снаряжение от стихий, в то время как усиленное дно добавляет силы и долголетия, поддерживая ваш активный образ жизни. Перенастраиваемый плечевой ремень с HeatGear для дополнительного комфорта и подпружиненные ручки сделают переноску сумки приятной частью вашей спортивной рутины. С ее современной эстетикой и разнообразием стильных оттенков, эта спортивная сумка не только функциональна, но и ярко выражает вашу индивидуальность на каждом шаге. Отсеки для мокрых/сухих вещей и ценных предметов позволяют легко отделять одно от другого, держа все под контролем, в то время как удобный боковой доступ к отсеку для обуви означает, что вы всегда готовы к действию.
Under Armour Undeniable 5.0 MD Duffel Bag - это больше, чем спортивная сумка: это максимальная поддержка для тех, кто стремится к превосходству в спорте и жизни. Эта сумка неизменно будет готова к любым испытаниям, вместе с вами перешагивая через все препоны на пути к успеху.</t>
  </si>
  <si>
    <t>1369223-011</t>
  </si>
  <si>
    <t>1369223-290</t>
  </si>
  <si>
    <t>1369223-410</t>
  </si>
  <si>
    <t>Технология UA Storm обеспечивает защиту от непогоды и высокую водоотталкивающую способность.
Прочные нижние и боковые панели с покрытием из ТПУ и пены для дополнительной прочности.
Двойной накладной карман для бутылки с водой.
Большой вентилируемый карман для белья или обуви и внутренние накладные карманы для организации.
Большой передний карман-органайзер на молнии.
Съемный мягкий плечевой ремень HeatGear легко убирается в боковой карман.
Мягкая верхняя ручка.
Размеры: 62.5 x 31 x 29 см</t>
  </si>
  <si>
    <t>1369223-477</t>
  </si>
  <si>
    <t>UA Undeniable 5.0 Duffle LG</t>
  </si>
  <si>
    <t>1369224-012</t>
  </si>
  <si>
    <t>Независимо от того, куда вы направляетесь, сумка Under Armour UA Undeniable 5.0 Duffle LG - это идеальный спутник для любого путешествия. Ее вместительный основной отсек с легкостью вмещает все, что нужно для длительной поездки или занятий спортом. Кроме того, множество внешних карманов позволяют легко организовать и хранить все необходимые вещи, а ремни на плече и ручки обеспечивают удобную транспортировку. Выполненная из прочных и износостойких материалов, сумка Under Armour UA Undeniable 5.0 Duffle LG готова к любым приключениям и гарантирует безопасную и надежную перевозку всех ваших вещей. Размеры: 75 х 37 х 36 см</t>
  </si>
  <si>
    <t>UA Studio Tote</t>
  </si>
  <si>
    <t>1381907-002</t>
  </si>
  <si>
    <t>Большое основное отделение на молнии с внутренним карманом для бутылки с водой и сетчатым карманом для белья на молнии. Отделение для ноутбука или планшета с мягкой подкладкой - вмещает MacBook Pro® до 16" или ноутбук аналогичного размера. Передний сетчатый карман, карман для бутылки с водой и карман для ценных вещей на молнии. Точки крепления D-кольца позволяют закрепить любую сумку с карабином для удобства транспортировки. Нижняя панель из прочного износостойкого материала.</t>
  </si>
  <si>
    <t>98% нейлон, 2% полиэстер</t>
  </si>
  <si>
    <t>1381907-703</t>
  </si>
  <si>
    <t>UA Contain Duo SM BP Duffle</t>
  </si>
  <si>
    <t>1381920-001</t>
  </si>
  <si>
    <t>Это именно та сумка, которая вам нужна. Носите её как рюкзак или как дорожную сумку — в зависимости от ситуации. А поскольку это одна из наших сумок, вы можете быть уверены, что она также прочная и водоотталкивающая, поэтому её можно брать куда угодно.
Детали:
Подходит как для ношения в качестве рюкзака, так и в качестве дорожной сумки, благодаря съемному ремню для переноски.
Водоотталкивающая технология UA Storm сохранит ваши вещи сухими.
Система ремней LEVELED™ помогает обеспечить равномерную регулировку ремней для сбалансированного распределения веса.
Большое основное отделение с внутренней организацией для переноски ноутбука, ценных вещей и многого другого.
Мягкий чехол для ноутбука — подходит для MacBook Pro® с диагональю экрана до 15 дюймов или ноутбуков аналогичного размера.
Внутренний карман для белья/обуви расположен внизу.
Вставной карман для бутылки с водой и 2 внешних кармана для ценных вещей.
Крепление в виде D-образного кольца позволяет прикрепить любую сумку карабином для удобной транспортировки.</t>
  </si>
  <si>
    <t>UA Studio Lite Tote</t>
  </si>
  <si>
    <t>1388920-600</t>
  </si>
  <si>
    <t>Сумка-тоут Under Armour Studio Lite Tote — это идеальное сочетание стиля, функциональности и надежности. Она не только прочная и вместительная, но и продумана до мелочей, чтобы сделать вашу повседневную жизнь удобнее. Будь то тренировка, поход в офис или прогулка по городу, эта сумка станет вашим незаменимым аксессуаром.
Основные особенности:
Водоотталкивающая технология UA Storm:
Благодаря технологии UA Storm , сумка оснащена водоотталкивающим покрытием без фтора, которое защищает ваши вещи от дождя и влаги, сохраняя их сухими в любых условиях.
Просторное основное отделение:
Большая застегивающаяся на молнию главная компартментация вмещает все необходимое. Внутри есть дополнительный карман, специально разработанный для безопасного хранения iPhone 15 Pro Max или других гаджетов.
Удобные ручки:
Сумка комфортно лежит на плече благодаря широким и мягким ручкам, которые обеспечивают легкость переноски даже при полной загрузке.
Молнии с уникальным дизайном:
Застежки-молнии имеют оригинальные брелоки, которые также выполняют функцию резинок для волос. Это практичное решение для тех, кто ценит удобство и стиль в мелочах.
Экологичность:
Для создания водоотталкивающего покрытия используется безфторовая обработка , что делает эту модель более экологичной и безопасной для окружающей среды.
Для кого эта сумка?
Сумка Studio Lite Tote подойдет активным женщинам, которые ценят практичность, стиль и универсальность. Она станет идеальным выбором для занятий спортом, работы, путешествий или повседневных дел.</t>
  </si>
  <si>
    <t>1366060-390</t>
  </si>
  <si>
    <t>Термобелье</t>
  </si>
  <si>
    <t>UA RUSH  - это то снаряжение, которое вы носите, когда это наиболее важно - ваши самые сложные тренировки, ваши самые важные игры, ваши самые интенсивные тренировки. Оно отлично подходит, держит вас в сухости. UA RUSH  - это инфракрасная технология, которая отражает энергию вашего тела, чтобы помочь вам усерднее работать и быстрее восстанавливаться.</t>
  </si>
  <si>
    <t>UA CG Armour Twist Lgs</t>
  </si>
  <si>
    <t>1379821-011</t>
  </si>
  <si>
    <t>Термобелье (кальсоны) Under Armour ColdGear Twist Leggings - базовый слой, который сохраняет тепло и сухость, не громоздкий и не сильно обтягивающий, чтобы Вы могли сосредоточиться на тренировочном процессе.
Состав: 88% полиэстер / 12% эластан; Вставки - 92% полиэстер/8% эластан
Двухслойная ткань с ультратеплой, матовой внутренней стороной и гладкой, быстросохнущей внешней стороной
Материал отводит влагу и быстро сохнет
Ластовица и панели из эластичной сетки обеспечивают стратегическую вентиляцию
4-Way Stretch Материал с 4-сторонней растяжкой лучше двигается в любом направлении, обеспечивая свободу движений
Эргономичный дизайн не позволяет швам натирать кожу
Открытый эластичный пояс с надписью
Вшитый карман Strength Pocket™ на правой стороне для удобного хранения</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</si>
  <si>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t>
  </si>
  <si>
    <t>UA CG Armour Fitted Crew</t>
  </si>
  <si>
    <t>1366068-020</t>
  </si>
  <si>
    <t>Термобелье (верх)</t>
  </si>
  <si>
    <t>UA CG Armour Fitted Crew - это идеальный выбор для тех, кто ищет максимальную защиту и комфорт во время тренировок или любых других активностей. 
Эта футболка изготовлена из инновационного материала с технологией HeatGear, что обеспечивает оптимальную температуру тела во время физических нагрузок и  позволяет сохранять максимальный комфорт и производительность:
• Двухслойная ткань с очень теплой матовой гладкой внутренней частью и быстросохнущей внешней стороной.
• Вставки из эластичной сетки на спине и подмышках обеспечивают стратегическую вентиляцию без ущерба для тепла. 
•  Материал футболки оснащен технологией Moisture Transport System, которая эффективно удаляет пот и обеспечивает быстрое высыхание, что позволяет сохранять свежесть и сухость в любых условиях. 
•  Технология защиты от запаха предотвращает рост вызывающих запах микробов. 
• Эргономичный дизайн защищает от швов на участках с высокой степенью истирания.
 Футболка UA CG Armour Fitted Crew имеет идеальную посадку, которая обеспечивает максимальную свободу движения и комфорт во время тренировок. Ее стильный и современный дизайн позволяет использовать ее не только как спортивную одежду, но и как элемент вашего повседневного гардероба. 
Будьте готовы к любым вызовам с UA CG Armour Fitted Crew. Она обеспечит вам максимальную защиту и комфорт в любых условиях, что позволит вам сосредоточиться на своих тренировках и достижении новых результатов. Наденьте ее и почувствуйте уверенность и комфорт в любой ситуации.</t>
  </si>
  <si>
    <t>UA Authentics Legging</t>
  </si>
  <si>
    <t>1368700-001</t>
  </si>
  <si>
    <t>Двухслойная ткань с очень теплой матовой внутренней частью и гладкой, быстро сохнущей внешней стороной. Материал отводит пот и очень быстро сохнет.
Технология защиты от запаха предотвращает рост вызывающих запах микробов. Облегающий эластичный пояс сидит прямо на бедрах.</t>
  </si>
  <si>
    <t>UA CG Armour Comp Mock</t>
  </si>
  <si>
    <t>1366072-001</t>
  </si>
  <si>
    <t>Двухслойная ткань с очень теплой матовой внутренней частью и гладкой, быстро сохнущей внешней стороной. Вставки из эластичной сетки на спине и подмышках обеспечивают стратегическую вентиляцию без ущерба для тепла.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t>
  </si>
  <si>
    <t>UA CG Armour Leggings</t>
  </si>
  <si>
    <t>1366075-001</t>
  </si>
  <si>
    <t>Двухслойная ткань с очень теплой матовой внутренней частью и гладкой, быстро сохнущей внешней стороной. Вставки и вставки по внутреннему шву из эластичной сетки для оптимальной вентиляции.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 Карман Strength Pocket с правой стороны для удобного хранения.</t>
  </si>
  <si>
    <t>UA CG Armour Twist Mock</t>
  </si>
  <si>
    <t>1379820-011</t>
  </si>
  <si>
    <t>Мягкий, теплый материал с влаговыводящими свойствами.
Материал ColdGear сохраняет тепло и регулирует температуру тела, одновременно отводя влагу с поверхности кожи. 
Технология 4-Way Srtetch анатомически повторяет форму тела и обеспечивает максимальный комфорт движения.
Вставки из сетки для дополнительной вентиляции.</t>
  </si>
  <si>
    <t>ColdGear ® Armour Compression Mock LS</t>
  </si>
  <si>
    <t>1265648-100</t>
  </si>
  <si>
    <t>Технология UA Compression увеличивает эффект контакта и поддержки придавая ощущения второй кожи. Материал ColdGear сохраняет тепло и регулирует температуру тела, одновременно отводя влагу с поверхности кожи, тем самым обеспечивая сухость и комфорт. Технология 4-Way Stretch анатомически повторяет форму тела и обеспечивает максимальный комфорт движения защищая мышцы от травм.Технология Anti-Odor препятствует росту бактерий, которые вызывают неприятный запах.</t>
  </si>
  <si>
    <t>Compression. Компрессия.; 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4-Way Srtetch. Легкий материал повышенной потности и эластичности.</t>
  </si>
  <si>
    <t>87% Полиэстер;13% Эластан</t>
  </si>
  <si>
    <t>1366068-410</t>
  </si>
  <si>
    <t>Packaged Base 4.0 Legging</t>
  </si>
  <si>
    <t>1343245-001</t>
  </si>
  <si>
    <t>UA Base  создает вокруг тела определенный микроклимат в зависимости от различных уровней активности и метеорологических параметров внешней среды. UA Base ™ 4.0 создан для очень холодной погоды и низкого уровня активности, обеспечивает тепло в условиях экстремального холода. Технология UA Scent Control улавливает и подавляет запахи. Изделие с применением технологии ColdGear® лучше удерживает тепло, регулирует температуру тела при холодной погоде, при этом отводит пот от кожи и ускоряет высыхание. Технология 4-Way Stretch позволяет ткани растягиваться во всех направлениях, анатомически повторяя форму тела и обеспечивая максимальный комфорт движения.</t>
  </si>
  <si>
    <t>1379821-001</t>
  </si>
  <si>
    <t>1366075-600</t>
  </si>
  <si>
    <t>Двухслойная ткань с очень теплой матовой внутренней частью и гладкой, быстро сохнущей внешней стороной. Вставки и вставки по внутреннему шву из эластичной сетки для оптимальной вентиляции.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 Карман Strength Pocket  с правой стороны для удобного хранения.</t>
  </si>
  <si>
    <t>красный/белый</t>
  </si>
  <si>
    <t>1366075-410</t>
  </si>
  <si>
    <t>UA CGI UTILITY CREW</t>
  </si>
  <si>
    <t>1366200-390</t>
  </si>
  <si>
    <t>Начесанная микрофлисовая ткань мягкая с обеих сторон и обеспечивает превосходное тепло. В инфракрасной технологии ColdGear используется мягкое теплопроводящее покрытие, которое поглощает и сохраняет тепло вашего тела. Водонепроницаемые тканые накладки для дополнительной прочности и защиты. Регулируемый эластичный пояс по нижнему краю для надежной посадки.</t>
  </si>
  <si>
    <t>UA ColdGear Infrared. Теплопроводящий внутренний слой для поглощения и сохранения тепла тела.; 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t>
  </si>
  <si>
    <t>1366200-413</t>
  </si>
  <si>
    <t>UA ColdGear Infrared. Теплопроводящий внутренний слой для поглощения и сохранения тепла тела.</t>
  </si>
  <si>
    <t>1379821-400</t>
  </si>
  <si>
    <t>UA Armour Fleece FZ</t>
  </si>
  <si>
    <t>1373541-001</t>
  </si>
  <si>
    <t>Толстовка</t>
  </si>
  <si>
    <t>Толстовки и ветровки</t>
  </si>
  <si>
    <t>Мягкий, теплый материал с влаговыводящими свойствамиБоковые карманы</t>
  </si>
  <si>
    <t>Полиэстер 100%</t>
  </si>
  <si>
    <t>UA Armour Fleece Twist QZ</t>
  </si>
  <si>
    <t>1373359-391</t>
  </si>
  <si>
    <t>Джемпер</t>
  </si>
  <si>
    <t>Толстовка Under Armour Fleece Twist QZ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t>
  </si>
  <si>
    <t>UA PJT RCK SL HD PAYOFF</t>
  </si>
  <si>
    <t>1387796-800</t>
  </si>
  <si>
    <t>Толстовка без рукавов</t>
  </si>
  <si>
    <t>Худи без рукавов от Under Armour.
Это стильное и функциональное худи без рукавов изготовлено из супермягкой ткани на основе хлопка, обеспечивающей комфорт на протяжении всего дня. Встроенный передний карман-кенгуру добавляет практичности и удобства, а заниженный фасонный подол придаёт изысканный вид. Капюшон обеспечивает дополнительную защиту и уют. 
Худи включает в себя основную ткань, которая содержит переработанный полиэстер, что делает её экологичным выбором без ущерба для качества. Идеально подходит для повседневной носки и активного отдыха.</t>
  </si>
  <si>
    <t>60% хлопок, 40% полиэстер</t>
  </si>
  <si>
    <t>M UA Run Anywhere Vest</t>
  </si>
  <si>
    <t>1356168-001</t>
  </si>
  <si>
    <t>Ветронепроницаемая тканая ткань рипстоп для максимальной прочности.
Эластичные боковые панели для дополнительной мобильности и комфорта.
Передние грузовые карманы, сетчатый нагрудный карман и надежный задний карман на молнии, чтобы вы могли спрятать все свои вещи.
Мягкая трикотажная нижняя полоса для повышенного комфорта.</t>
  </si>
  <si>
    <t>Основная часть: 100% полиэстер Боковые детали: 84 % полиэстер/16 % эластан</t>
  </si>
  <si>
    <t>PJT ROCK ICON FLEECE FZ</t>
  </si>
  <si>
    <t>1389914-989</t>
  </si>
  <si>
    <t>Комплект Project Rock разработан таким образом, чтобы помочь тебе находить свои пределы и преодолевать их. Все изделия этой коллекции лично одобрены Дуэйном Джонсоном — самым усердным спортсменом в зале. В ЛЮБОМ месте.
Ультрамягкий флисовый свитшот среднего веса из хлопковой смеси с начёсом внутри для дополнительного тепла.
Открытые карманы для рук.
Резинки на манжетах и по низу изделия.</t>
  </si>
  <si>
    <t>UA SPORTSTYLE GRAPHIC TK JT</t>
  </si>
  <si>
    <t>1361619-001</t>
  </si>
  <si>
    <t>Олимпийка</t>
  </si>
  <si>
    <t>Спортивная куртка, созданная для тренировок. Она легкая, но теплая, тянется, обеспечивая комфорт движения, и дышит при повышении температуры тела во время физических нагрузок. Гладкая трикотажная ткань снаружи и матовая внутренняя часть для большего комфорта и тепла. Материал отводит пот и очень быстро сохнет. Открытые карманы для рук.</t>
  </si>
  <si>
    <t>N/A. ; N/A.</t>
  </si>
  <si>
    <t>UA STRM CGI SHLD HD 2.0 JKT</t>
  </si>
  <si>
    <t>1371587-390</t>
  </si>
  <si>
    <t>Ветровка</t>
  </si>
  <si>
    <t>Инфракрасная технология ColdGear® удерживает тепло тела, не увеличивая при этом вес и объем, - это специальный мягкий принт на внутренней стороне, который дольше сохраняет тепло, поэтому вы можете тренироваться в сильный мороз.
Технология UA Storm отталкивает воду, не жертвуя воздухопроницаемостью.
Прочный, склеенный трехслойный материал Softshell имеет бесшумный внешний слой и превосходную эластичность.
Ветрозащитные материалы защитят вас от непогоды.
Подкладка ColdGear® Infrared использует мягкое термопроводящее покрытие, которое поглощает и сохраняет тепло вашего тела.
Растягивающийся в четырех направлениях материал лучше движется во всех направлениях.</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</si>
  <si>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 Softshell. Защищает от непогоды.</t>
  </si>
  <si>
    <t>UA AF Storm FZ Hoodie</t>
  </si>
  <si>
    <t>1379285-001</t>
  </si>
  <si>
    <t>Невероятно теплый легкий Armor Fleece® обеспечивает необходимую эластичность. Имея почти нулевой вес, технология UA Storm не пропускает воду. Благодаря этим двум технологиям вам больше никогда не придется тренироваться в помещении.
Технология Under Armour Storm.
Легкий, дышащий и эластичный Armor Fleece®.
Мягкая внутренняя сторона.
Боковые карманы.</t>
  </si>
  <si>
    <t>CLOUDSTRIKE JACKET</t>
  </si>
  <si>
    <t>1374644-452</t>
  </si>
  <si>
    <t>Cloudstrike 2.0 – инновационная ветровка, созданная для настоящих спортивных энтузиастов. Эта ультралегкая и дышащая ветровка идеально подходит для активных тренировок на открытом воздухе. Она обеспечивает превосходную защиту от ветра и внезапных осадков благодаря своей водоотталкивающей поверхности. Современный и стильный дизайн делает Cloudstrike 2.0 не только функциональной, но и модной деталью вашего спортивного гардероба. Благодаря своей легкости и компактности, вы можете легко сложить ее в сумку и всегда иметь под рукой, чтобы быть готовым к переменчивым погодным условиям. Не позволяйте погоде остановить вас – Cloudstrike 2.0 поможет вам выйти на треки и достичь новых высот в спорте.</t>
  </si>
  <si>
    <t>UA Armour Fleece Twist HD</t>
  </si>
  <si>
    <t>1373354-400</t>
  </si>
  <si>
    <t>Толстовка-худи Under Armour Fleece Twist Hd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Капюшон с регулировочным шнурком
Передний карман-кенгуру</t>
  </si>
  <si>
    <t>1374645-002</t>
  </si>
  <si>
    <t>Лёгкая и технологичная женская ветровка, созданная для активного движения в любых погодных условиях. Модель отлично подойдёт для тренировок, походов и повседневной носки в межсезонье.
Ветровка выполнена из 100% переработанного нейлона и отличается прочностью, полной водонепроницаемостью и высокой воздухопроницаемостью. Материал дополнен безвредным для окружающей среды водоотталкивающим покрытием DWR без содержания фтора.
Технологии и функциональность:
• Технология UA Storm надёжно защищает от влаги, не блокируя циркуляцию воздуха
• Лёгкая 2,5-слойная ткань с проклеенными швами обеспечивает защиту от дождя и ветра
• Регулируемый капюшон и нижний край позволяют подогнать посадку под себя
• Эластичные манжеты надёжно фиксируют рукава и предотвращают попадание влаги
• Застёжка-молния с внешней ветрозащитной планкой
• Два боковых кармана на молнии для безопасного хранения вещей
• Свободный крой (Fuller cut) — обеспечивает свободу движений и комфорт при многослойной одежде</t>
  </si>
  <si>
    <t>UA Rival Fleece Big Logo HD</t>
  </si>
  <si>
    <t>1357093-722</t>
  </si>
  <si>
    <t>Ультрамягкий флис из хлопка средней плотности с начесом внутри для дополнительного тепла. Регулируемый капюшон. Передний карман-кенгуру. Эластичные манжеты и нижний край. Рукава реглан.</t>
  </si>
  <si>
    <t>UA Unstoppable Airvent Jkt</t>
  </si>
  <si>
    <t>1383029-025</t>
  </si>
  <si>
    <t>Мужская ветровка Under Armour Unstoppable Airvent Jkt – это воплощение стиля и технологий, предназначенное для активных мужчин, стремящихся к максимальному комфорту и производительности в своих спортивных достижениях. Благодаря передовым материалам и инновационным решениям, эта ветровка обеспечивает исключительную защиту от ветра и отличную вентиляцию, делая её идеальным выбором для тренировок и повседневного использования.
Ветровка выполнена из легкого, дышащего материала, который эффективно отводит влагу и поддерживает оптимальный температурный баланс даже при интенсивной активности. Встроенные вентиляционные панели и сетчатые вставки улучшают циркуляцию воздуха, предотвращая перегрев и поддерживая свежесть в течение всего дня.
Эргономичный крой и эластичные вставки обеспечивают полную свободу движений, а регулируемые элементы, такие как капюшон и манжеты, позволяют адаптировать посадку для максимального комфорта и защиты в различных погодных условиях. Карманы на молнии обеспечивают надежное хранение ваших ценных мелочей, таких как телефон, ключи или кошелек, обеспечивая удобство и практичность.
Стильный дизайн ветровки с лаконичными линиями и выразительным логотипом Under Armour добавляет современности и уверенности вашему образу. Мужская ветровка Under Armour Unstoppable Airvent Jkt – это ваш надежный спутник в любых приключениях, предлагающий оптимальное сочетание функциональности, комфорта и стиля.</t>
  </si>
  <si>
    <t>96% полиэстер; 4% эластан</t>
  </si>
  <si>
    <t>UA Armour Fleece FZ Hoodie</t>
  </si>
  <si>
    <t>1373357-400</t>
  </si>
  <si>
    <t>UA Fleece FZ Hoodie - это незаменимый элемент гардероба для тех, кто ценит комфорт и универсальность. Изготовленная из мягкого и теплого флиса, эта толстовка обеспечивает комфортную температуру в любых условиях. Благодаря своему прекрасному качеству и простому дизайну она станет любимым элементом вашей повседневной одежды. Толстовка оснащена полным молнией, что делает ее удобной при надевании и снятии. Качество изготовления также гарантирует долгий срок службы и долговечность продукта. Универсальная цветовая гамма позволяет легко сочетать эту толстовку с любой другой одеждой. Она выполнена с применением технологии UA Storm, которая защищает от дождя и снега, делая эту толстовку идеальным выбором для любого сезона. Имеет регулируемый капюшон и два кармана на молнии, что делает ее удобной для повседневного использования или занятий спортом. Вы будете чувствовать себя комфортно и уверенно в этой толстовке!</t>
  </si>
  <si>
    <t>UA Icon Fleece FZ Hood</t>
  </si>
  <si>
    <t>1373881-452</t>
  </si>
  <si>
    <t>Мужская толстовка из очень мягкого хлопкового флиса обеспечивает комфорт во время носки.Чрезвычайно мягкий хлопковый флис средней плотности с начесом внутри для большего тепла.Открытые карманы для рук.Ребристые манжеты и нижний край.Вышитый логотип.</t>
  </si>
  <si>
    <t>UA STRM SESSION RUN HZ JKT</t>
  </si>
  <si>
    <t>1378495-400</t>
  </si>
  <si>
    <t>Встречайте UA STRM Session Run HZ Jacket – вашего нового неотъемлемого партнера для бега, который не знает преград и сделан для движения. Этот феноменальный элемент гардероба от Under Armour – вершина мастерства и инноваций, предназначен для амбициозных спортсменов, которые стремятся к бескомпромиссной функциональности и выразительному стилю.
Водонепроницаемость и дышащие качества: При разработке данной ветровки компания Under Armour использовала запатентованную технологию UA Storm, предоставив вам одежду, которая не пропускает дождь и сохраняет сухость, одновременно отводя излишки тепла и влаги от тела во время интенсивных тренировок.
Легкость и износостойкость: Сделана из особо легких, но прочных материалов, UA STRM Session Run HZ Jacket не утяжеляет вас, позволяя двигаться быстро и свободно.
Адаптивные возможности: Благодаря половинчатому замку 'half-zip', ветровка предлагает регулируемую вентиляцию и облегчает её надевание и снятие. Это идеально подходит для переменчивой погоды, когда вам может потребоваться быстро адаптироваться к изменениям температуры.
Современный дизайн: Динамичный и современный вид UA STRM Session Run HZ Jacket сочетает в себе эргономику и модные тенденции, делая вас заметным и стильным на беговой дорожке или улице.
Безопасность и видимость: Продуманные отражательные элементы обеспечивают видимость в слабоосвещенных условиях, позволяя вам безопасно тренироваться утром рано или вечером поздно.
Функциональные особенности: Карманы на молнии для безопасного хранения ваших вещей и мягкий высокий воротник для дополнительной защиты и комфорта.
UA STRM Session Run HZ Jacket – это сочетание непревзойденной защиты и стиля для серьезных бегунов, которым необходимо профессиональное снаряжение для достижения высот спортивного мастерства. С этой ветровкой вы обретете надежного союзника в вашем стремлении к совершенству, ведь она превосходно справляется с любыми погодными условиями, позволяя вам сосредоточиться только на беге. Где бы вы ни были – ваш выбор это непревзойденное сочетание комфорта и защиты. С UA STRM Session Run HZ Jacket ваш бег будет легким и приятным, независимо от погоды!</t>
  </si>
  <si>
    <t>UA ESSENTIAL SWACKET</t>
  </si>
  <si>
    <t>1378824-390</t>
  </si>
  <si>
    <t>Ветровка Under Armour Essential Swacket  похожа на толстовку, но, благодаря ветрозащитной ткани и накладкам для дополнительной защиты, работает как куртка, помогая Вам оставаться в тепле, сухости и комфорте, куда бы вы ни отправились.
Состав: 100% полиэстер
Технология UA Storm отталкивает воду без ущерба для воздухопроницаемости
Ветронепроницаемая конструкция для легкой защиты
Благодаря ультрамягкой ткани Swacket ветровка похожа на толстовку, но работает, как куртка, защищая от холода, ветра и влаги
Тканые накладки обеспечивают защиту и удерживают тепло
Большой трехпанельный капюшон регулируется шнуром
Боковые карманы на молнии
Эластичная окантовка на манжетах и задней нижней части подола
Водоотталкивающая обработка без фтора</t>
  </si>
  <si>
    <t>1373354-410</t>
  </si>
  <si>
    <t>Cozy Armour Novelty LS Crew</t>
  </si>
  <si>
    <t>1366067-001</t>
  </si>
  <si>
    <t>Уютный - это не просто название - это то, что вы чувствуете каждый раз, когда надеваете его. Но это не значит, что этот джемпер предназначено только для отдыха: он также отводит пот, быстро сохнет. Двухслойный ColdGear ткань с теплой матовой внутренней частью и гладкой быстросохнущей внешней стороной. Материал отводит пот и очень быстро сохнет. Технология защиты от запаха предотвращает рост вызывающих запах микробов.</t>
  </si>
  <si>
    <t>1373881-402</t>
  </si>
  <si>
    <t>Толстовка Under Armour UA Icon Fleece Full-Zip Hoodie — это мужская толстовка с капюшоном на полной молнии под названием . Она предназначена для комфортного повседневного использования, а также для разогрева перед тренировками или отдыха после них.  Идеально подходит для создания комфортного образа в прохладную погоду, для разминки или просто для отдыха дома. Это универсальный предмет гардероба, который обеспечивает тепло и свободу движений. Изготовлена из ультрамягкого флиса средней плотности из смесового хлопка. Состав: 80% хлопок, 20% полиэстер.
 Внутренняя сторона с начесом обеспечивает дополнительное тепло и мягкость. Застежка-молния по всей длине для легкого надевания и снятия, а также для многослойности. Открытые карманы для рук. Трикотажные манжеты и нижний край в рубчик. Уютный капюшон для защиты от ветра и холода.
 Свободный крой (Loose), для полного комфорта и свободы движений.
Эта толстовка сочетает в себе высокую износостойкость материалов и отличные теплоизоляционные свойства, что делает ее долговечным и функциональным выбором. Фирменный стиль Under Armour и яркий цвет добавят индивидуальности в любой спортивный или повседневный гардероб.</t>
  </si>
  <si>
    <t>PJT RCK HWT CREW TOOLS</t>
  </si>
  <si>
    <t>1386444-707</t>
  </si>
  <si>
    <t>Женское худи из ограниченной коллекции Project Rock, выполненное из мягкого футера с добавлением хлопка — для невероятного комфорта в течение всего дня.
Футер с хлопковой примесью — исключительно мягкий и приятный к телу, при этом сохраняет классический спортивный стиль.
Ребристый воротник, манжеты и нижний край обеспечивают удобную посадку и сохраняют форму изделия даже при активном использовании.
Сила. Уверенность. Комфорт.
Project Rock. В любой комнате. В любой день.</t>
  </si>
  <si>
    <t>1387796-709</t>
  </si>
  <si>
    <t>UA Icon Fleece HD Taping</t>
  </si>
  <si>
    <t>1389356-390</t>
  </si>
  <si>
    <t>Under Armour Men's UA Icon Fleece HD Taping предлагает комфорт и стиль для повседневной носки, обеспечивая тепло и мягкость. Изготовленное из 80% хлопка и 20% полиэстера, это худи обладает уникальными характеристиками, делающими его незаменимым элементом гардероба.Ультрамягкий флис средней плотности обеспечивает исключительный комфорт и тепло, идеально подходящее для холодной погоды.
- Матовая внутренняя поверхность добавляет дополнительный слой тепла, сохраняя уют через весь день.
- Передний карман-кенгуру практичен и удобен для хранения мелочей или согревания рук.
- Ребристые манжеты и нижний край обеспечивают плотную посадку и защищают от проникновения ветра.
- Фирменные детали из тесьмы придают уникальный стиль и подчеркивают премиальное качество изделия.
- Многофункциональность делает это худи отличным выбором для повседневной носки, будь то на прогулке или в городской среде.</t>
  </si>
  <si>
    <t>UA Icon Fleece Hoodie</t>
  </si>
  <si>
    <t>1373880-402</t>
  </si>
  <si>
    <t>Худи Under Armour  современного кроя. Разминка заключается не только в том, чтобы чувствовать себя комфортно перед большой игрой (хотя этот флис, несомненно, один из самых удобных, которые вы когда-либо чувствовали), это значит, что вы находитесь в правильном свободном пространстве, сосредоточены и держите свое тело готовым.
Ультрамягкий флис средней плотности из смесового хлопка с начесом внутри для дополнительного тепла. Передний карман-кенгуру. Ребристые манжеты и нижний край</t>
  </si>
  <si>
    <t>UA Armour Fleece Hoodie</t>
  </si>
  <si>
    <t>1373353-025</t>
  </si>
  <si>
    <t>Худи Under Armour Men Fleece Hoodie — это идеальное сочетание легкости, тепла и комфорта в одном изделии. Это худи выполнено из инновационного материала Armour Fleece, который обеспечивает отличную воздухопроницаемость и эластичность. Базовый классический цвет придаёт свежий и современный вид этому элементу гардероба, делает его универсальным выбором для повседневного использования. Мягкий внутренний слой надежно сохраняет тепло, а капюшон с регулировкой обеспечивает дополнительную защиту от холода. 
- Усовершенствованный Armour Fleece гарантирует легкость, отличную воздухопроницаемость и эластичность, делая худи Under Armour Men Fleece Hoodie идеальным выбором для активных людей.
- Мягкий внутренний слой надежно сохраняет комфортное тепло, обеспечивая защиту в холодные дни.
- Капюшон с регулируемым шнурком добавляет дополнительный уровень защиты, поддерживая тепло и комфорт при любой погоде.
- Функциональный карман-кенгуру пригоден для хранения мелочей и согрева рук, поддерживая удобство использования в любых условиях.
- Деликатная машинная стирка при 30 градусах поддерживает долговечность и сохраняет цвет, обеспечивая легкость ухода за изделием.</t>
  </si>
  <si>
    <t>1357093-176</t>
  </si>
  <si>
    <t>Ультрамягкий флис средней плотности из смеси хлопка с шероховатой внутренней частью для дополнительного тепла и комфорта.
Регулируемый кроссовер-капюшон.
Передний карман-кенгуру.
Ребристые манжеты и нижний край.
Рукава реглан.</t>
  </si>
  <si>
    <t>UA Icon Heavy Rib Crew</t>
  </si>
  <si>
    <t>6003939-390</t>
  </si>
  <si>
    <t>UA Icon Fleece — чистый, объёмный крой, который одинаково уместен как в спортзале, так и в повседневной жизни. Эта утеплённая модель с ребристыми вставками — идеальный выбор для самых холодных дней: невероятно тёплая, уютная и при этом стильная.
🔹 Исключительно мягкий плотный футер из хлопкового смесового полотна с начёсом изнутри — для максимального удержания тепла и ощущения мягкости
🔹 Ребристые вставки по бокам, а также ребристый воротник, манжеты и нижний край — обеспечивают плотную посадку, улучшают терморегуляцию и добавляют структурированности силуэту
🔹 Заниженная линия плеча — создаёт свободный, расслабленный oversized-крой, не стесняющий движений
Тепло. Защита. Уверенность.
Когда на улице холод — вы остаётесь в своей зоне комфорта.</t>
  </si>
  <si>
    <t>Rival Fleece Logo Hoodie</t>
  </si>
  <si>
    <t>1356318-626</t>
  </si>
  <si>
    <t>Толстовка женская UA. Чрезвычайно мягкая флисовая ткань средней плотности с высоким содержанием хлопка и начесанная внутренняя часть для большего тепла. Материал быстро сохнет, отводит пот, а благодаря своей гибкости вы всегда будете чувствовать себя хорошо.Капюшон со скрещенным воротником и кулиской. Передний карман "кенгуру". Ребристые манжеты и нижний край.</t>
  </si>
  <si>
    <t>PJT RCK ICON FLC HDY</t>
  </si>
  <si>
    <t>1386902-707</t>
  </si>
  <si>
    <t>Худи Under Armour PJT RCK ICON FLC HDY обеспечивает максимальный комфорт и стиль, являясь отличным дополнением к любому гардеробу. Изготовленное из мягкой и прочной смеси хлопка и полиэстера, оно гарантирует ощущение уюта и тепла в прохладную погоду. Свободный крой позволяет легко двигаться, а длинные рукава обеспечивают дополнительное покрытие и защиту от ветра. Это худи идеально подходит как для тренировок, так и для повседневного отдыха. Универсальный дизайн с капюшоном позволяет легко сочетать его с различными стилями одежды, от спортивной до casual. Наслаждайтесь комфортом и свободой в каждый момент, будь то на прогулке или в тренажерном зале.</t>
  </si>
  <si>
    <t>1361619-415</t>
  </si>
  <si>
    <t>PJT RCK BRHMA BULL FLEECE HD</t>
  </si>
  <si>
    <t>1379027-722</t>
  </si>
  <si>
    <t>Футер с добавлением хлопка — очень мягкий и комфортный, при этом обладает классическим спортивным внешним видом. Открытые карманы для рук. Ребристые манжеты и нижний край. Заниженная линия плеча.</t>
  </si>
  <si>
    <t>UA Icon Fleece FZ Taping</t>
  </si>
  <si>
    <t>1390298-390</t>
  </si>
  <si>
    <t>Чрезвычайно мягкий, средней тяжести флис из смеси хлопка с начёсанной внутренней частью для дополнительного тепла
• Открытые карманы для рук
• Ребристые манжеты и низ
• Детали с фирменными лентами</t>
  </si>
  <si>
    <t>UA Rush Fleece FZ Hoodie</t>
  </si>
  <si>
    <t>1366178-410</t>
  </si>
  <si>
    <t>Ткань с минеральными добавками забирает энергию, которую вы уже выделяете, и отражает ее обратно в ваши мышцы, поэтому они меньше устают и быстрее восстанавливаются. UA RUSH - это инфракрасная технология, которая отражает энергию вашего тела, чтобы помочь ты работаешь усерднее и быстрее восстанавливаешься. Надежные карманы на молнии для рук.</t>
  </si>
  <si>
    <t>UA Armour Fleece 1/4 Zip</t>
  </si>
  <si>
    <t>1373358-299</t>
  </si>
  <si>
    <t>Under Armour UA Armour Fleece 1/4 Zip: Легкий и теплый мужской джемпер для активности.
Under Armour Armour Fleece — это оригинальная высокотехнологичная замена флису старой школы. Он невероятно легкий, дышащий и эластичный, обеспечивая тепло без лишнего объема, что позволяет вам свободно двигаться во время тренировок или активного отдыха.
Идеально подходит для ношения в прохладную погоду, как самостоятельный предмет одежды, так и в качестве среднего слоя. Отлично подходит для занятий спортом на открытом воздухе, гольфа, активного отдыха и повседневной носки. Легкий, дышащий и эластичный материал для тепла, не сковывающего движений.Мягкий внутренний слой задерживает тепло, обеспечивая комфорт.Материал 4-Way Stretch обеспечивает максимальную мобильность. Свободный крой . Молния на четверть для легкого надевания и снятия, а также для регулировки вентиляции.
 Открытые карманы для рук.Материал: 100% полиэстер. Основная ткань содержит не менее 90% переработанного полиэстера, за исключением отделки. 
На этом джемпере присутствует печатный логотип Under Armour.</t>
  </si>
  <si>
    <t>хаки, черный</t>
  </si>
  <si>
    <t>UA Armour Fleece FZ Hoodie-NVY</t>
  </si>
  <si>
    <t>1373357-410</t>
  </si>
  <si>
    <t>Толстовка Under Armour Men Armour Fleece Fz Hoodie — это идеальный выбор для тех, кто ценит универсальность и комфорт в повседневной жизни. Изготовленная из 100% полиэстера, она предлагает тепло и защиту благодаря технологии UA Storm, которая предотвращает попадание влаги. Лаконичный дизайн делает ее превосходным дополнением к любому гардеробу. Молния по всей длине обеспечивает удобство надевания, а регулируемый капюшон защищает от непогоды. Встроенные карманы на молнии добавляют практичности, гарантируя комфорт в любой ситуации.
- Armour Fleece отличатся мягкостью и легкостью, обеспечивая комфорт и тепло в любой среде, делая толстовку Under Armour Men Armour Fleece Fz Hoodie надежным спутником в прохладные дни.
- Технология UA Storm обеспечивает отличную защиту от дождя и снега, поддерживая комфорт даже в неблагоприятных погодных условиях.
- Полная длина молнии позволяет легко регулировать тепловой комфорт и упрощает процесс надевания, делая изделие функциональным выбором на каждый день.
- Регулируемый капюшон и два кармана на молнии обеспечивают дополнительные возможности для защиты и хранения необходимых мелочей, повышая практичность изделия.
- Деликатный уход и машинная стирка при 30 градусах сохранят первоначальный вид и качество, обеспечивая долговечность и износостойкость толстовки.</t>
  </si>
  <si>
    <t>UA Rival Terry LC FZ</t>
  </si>
  <si>
    <t>1370409-025</t>
  </si>
  <si>
    <t>Мужская толстовка с капюшоном Under Armour Rival Terry Full Zip — это идеальный выбор для тех, кто ценит комфорт и стиль в повседневной жизни и на тренировках. Изготовленная из легкой и мягкой махровой ткани, эта толстовка обеспечивает отличный уровень тепла без лишнего веса. Специальный внутренний начес добавляет дополнительный комфорт и уют в прохладную погоду. Материал эффективно отводит влагу и быстро сохнет, что делает её подходящей для активного образа жизни. Четырехсторонняя растяжимость ткани позволяет двигаться свободно и не ограничивать себя в движении. Толстовка оснащена полной застежкой-молнией, что делает её удобной для быстрого надевания и снятия. Регулируемый капюшон защитит вас от ветра, а карманы обеспечат удобство хранения небольших вещей. Фирменный логотип Under Armour завершает стильный и современный образ, подчеркивая качество и надежность бренда.</t>
  </si>
  <si>
    <t>PJT RCK WARMUP JKT</t>
  </si>
  <si>
    <t>1389931-001</t>
  </si>
  <si>
    <t>Спортивная одежда Project Rock создана, чтобы помочь тебе находить свои пределы и преодолевать их. Этот жакет для разминки изготовлен из прочного материала, который выдержит даже самых усердных спортсменов в зале.
- Технология UA Storm отталкивает воду, не снижая воздухопроницаемости  
- Легкий тканый материал — сверхпрочный и комфортный  
- Ветрозащитные материалы и конструкция защищают от непогоды  
- Воротник в стиле автогонок с застёжками на кнопках и внутренней трикотажной вставкой для комфорта  
- Открытые карманы для рук  
- Манжеты и нижний край с резинкой</t>
  </si>
  <si>
    <t>UA Best Track Jacket</t>
  </si>
  <si>
    <t>1390287-001</t>
  </si>
  <si>
    <t>Текстурированная тканая ткань легкая и прочная. Технология UA Storm® отталкивает воду без ущерба для воздухопроницаемости. Тканый материал с фактурой "кринкл" легкий и прочный. Надежные карманы для рук с застежками. Эластичные манжеты и нижняя часть подола.</t>
  </si>
  <si>
    <t>UA Rival Fleece Logo HD</t>
  </si>
  <si>
    <t>1379758-025</t>
  </si>
  <si>
    <t>Мужская худи Under Armour Rival Fleece Logo HD сочетает в себе стиль и функциональность, прекрасно подходя для тренировок и активного отдыха. Легкая и удобная модель согреет вас и обеспечит максимальный комфорт в любых условиях. Контрастный логотип добавляет стильный акцент вашему образу. Изготовлена из 80% хлопка и 20% полиэстера, модель сочетает в себе долговечность и мягкость, сохраняя свой внешний вид даже после частых стирок.
- Ультрамягкий флис из хлопковой смеси с внутренней наческой обеспечивает дополнительное тепло и комфорт, делая её идеальной для прохладной погоды.
- Передний карман-кенгуру предлагает удобное место для хранения мелочей и согрева ваших рук.
- Ребристые манжеты и нижний край гарантируют плотную посадку, защищая от ветра и создавая аккуратный силуэт.
- Свободная посадка предоставляет комфорт для свободы движений, что особенно актуально для активного образа жизни.
- Стильный контрастный логотип привлекает внимание, подчёркивая ваш спортивный стиль и приверженность бренду.</t>
  </si>
  <si>
    <t>PJT RCK WARM UP JKT HOODED</t>
  </si>
  <si>
    <t>1383291-044</t>
  </si>
  <si>
    <t>Толстовка с коротким рукавом</t>
  </si>
  <si>
    <t>Технология UA Storm, водоотталкивающая способность и не ухудшает воздухопроницаемость. Легкий и гибкий тканый материал обеспечивает превосходный комфорт и долговечность. Его эластичная структура в четырех направлениях обеспечивает отличную мобильность под любым углом. Открытые карманы для рук и большой дополнительный карман с клапаном спереди. можно носить с другой одеждой благодаря широкой передней части на молнии. Потайной эластичный пояс. Идеально прилегает к телу благодаря водоотталкивающей пропитке. Стирать в стиральной машине в холодной воде с аналогичными цветами. Не использовать смягчитель ткани. Использовать только. при необходимости отбеливатель без хлора. Сушить в сушильной машине при низкой температуре. Не гладить. Не подвергать химической чистке.</t>
  </si>
  <si>
    <t>UA Rush All Purpose FZ HD</t>
  </si>
  <si>
    <t>1367770-626</t>
  </si>
  <si>
    <t>Ткань с минеральными добавками забирает энергию, которую вы уже выделяете, и отражает ее обратно в ваши мышцы, поэтому они меньше устают и быстрее восстанавливаются. UA RUSH - это инфракрасная технология, которая отражает энергию вашего тела, чтобы помочь ты работаешь усерднее и быстрее восстанавливаешься. Ткань с ромбовидной текстурой и мягкая матовая внутренняя часть для непревзойденного тепла и комфорта. Сетчатые боковые панели ColdGear и вставки на рукавах обеспечивают воздухопроницаемость там, где это необходимо, без ущерба для тепла. Внешняя эластичная регулировка на капюшоне. Боковые молнии для регулируемой индивидуальной посадки. Надежные карманы на молнии для рук.</t>
  </si>
  <si>
    <t>Основной материал: 78% полиэстер,22% эластрел</t>
  </si>
  <si>
    <t>UA Icon Fleece Crew Taping</t>
  </si>
  <si>
    <t>1389357-390</t>
  </si>
  <si>
    <t>Джемпер UA Icon Fleece Taping Crew  от  Under Armour  — идеальный выбор для занятий спортом и повседневной носки.
Изготовлен из чрезвычайно мягкой смеси  хлопка и полиэстера.
Флисовый начес изнутри.
Ребристые воротник, манжеты и нижний кра. 
Логотип бренда Under Armour спереди.
Рукава отделаны лентой с повторяющимся брендингом.</t>
  </si>
  <si>
    <t>1373358-600</t>
  </si>
  <si>
    <t>бордовый, черный</t>
  </si>
  <si>
    <t>UA Rival Terry Logo Crew</t>
  </si>
  <si>
    <t>1373384-112</t>
  </si>
  <si>
    <t>Свитшот Under Armour Ua Rival Terry Logo Crew. Очень мягкий флис из хлопка средней плотности с бархатным внутренним слоем для дополнительного тепла.Регулируемый капюшон.Карман-кенгуру. Дизайн рукавов с оборками. Нашивка с тканым логотипом.</t>
  </si>
  <si>
    <t>UA M's Ch. Midlayer</t>
  </si>
  <si>
    <t>1379588-390</t>
  </si>
  <si>
    <t>Мужской джемпер UA M's Ch. Midlayer.
Характеристики:
Гладкий трикотаж снаружи и начес внутри для мягкого комфорта и тепла.
Материал впитывает пот и очень быстро сохнет.
Молния на ¼ спереди позволяет легко накладывать несколько слоев
Встроенные отверстия для большого пальца помогают удерживать рукава на месте.</t>
  </si>
  <si>
    <t>UA Moisture Wicking. Впитывание влаги.; UA Fast-Drying. Быстросохнущий.</t>
  </si>
  <si>
    <t>1373358-001</t>
  </si>
  <si>
    <t>Джемпер Under Armour Men Armour Fleece 1/4 Zip — это стильное и функциональное решение для активных мужчин, ценящих комфорт и качество. Выполненный из 100% полиэстера, он обеспечивает отличную вентиляцию и контроль влажности, поддерживая комфорт даже в самых интенсивных условиях. Черный цвет и спортивный дизайн делают этот джемпер универсальным и пригодным для любого случая, будь то тренировки или повседневная носка. Молния на четверть длины добавляет удобства при надевании и регулировке теплового комфорта, а деликатный уход позволяет сохранить изделие в отличном состоянии.
- Легкий и прочный материал обеспечивает постоянную циркуляцию воздуха, сохраняя ощущение свежести в течение всего дня.
- Спортивный стиль и универсальный черный цвет дают возможность сочетать джемпер Under Armour Men Armour Fleece 1/4 Zip с любым гардеробом.
- Молния на 1/4 длины позволяет легко регулировать теплоизоляцию, делая джемпер идеальным для разных погодных условий.
- Материал эффективно отводит лишнюю влагу, способствуя поддержанию сухости и комфорта при активных занятиях.
- Простота ухода благодаря машинной стирке при 30 градусах гарантирует долговечность и сохранение качества изделия.
- Джемпер отлично подходит как для тренировок, так и для повседневного использования, предлагая баланс стиля и функциональности.</t>
  </si>
  <si>
    <t>UA SUMMIT KNIT FZ HOODIE</t>
  </si>
  <si>
    <t>1366232-066</t>
  </si>
  <si>
    <t>Изготовлена из мягкой, эластичной, дышащей ткани двойной вязки с ткаными накладками для дополнительной прочности там, где она вам больше всего нужна.
Мягкая, эластичная и дышащая ткань двойной вязки обеспечивает непревзойденный комфорт и мобильность.
Материал впитывает пот и очень быстро сохнет.
Растягивающийся в четырех направлениях материал для свободы движения.
Тканые накладки для дополнительной прочности.
Надежные карманы для рук на молнии.
65 % полиэстер/29 % хлопок/6 % эластан.</t>
  </si>
  <si>
    <t>69% полиэстер, 25% хлопок, 6% эластан</t>
  </si>
  <si>
    <t>UA Unstoppable Flc FZ HD EU</t>
  </si>
  <si>
    <t>1389352-709</t>
  </si>
  <si>
    <t>Under Armour Men's UA Unstoppable Fleece Full Zip Hoodie EU — базовый элемент вашего гардероба, сочетающий стиль и функциональность для активной жизни. Изготовленная из 65% полиэстера, 29% хлопка и 6% эластана, эта толстовка обеспечивает комфорт и защиту в любых условиях. Эффективное отведение влаги позволяет ткани легко впитывать пот и быстро его испарять, обеспечивая вам сухость и свежесть во время бега.
- Мягкая и дышащая ткань сочетает в себе полиэстер, хлопок и эластан, создавая удобную и уютную одежду, которая сохраняет тепло и комфорт.
- Эластичность изделия дает вам полный диапазон движений, делая эту толстовку идеальной для любых активностей на открытом воздухе.
- Логотип на груди придает современный спортивный вид и подчеркивает ваш выбор в пользу качественного бренда.
- Лаконичный дизайн с передней молнией предлагает классический стиль, который легко сочетается с другими элементами вашего гардероба.
- Защитная вставка на груди добавляет элемент стиля и функциональности, обеспечивая дополнительную защиту от ветра.</t>
  </si>
  <si>
    <t>1389352-919</t>
  </si>
  <si>
    <t>UA B Rival Wvn Jacket</t>
  </si>
  <si>
    <t>1390154-390</t>
  </si>
  <si>
    <t>Технология UA Storm отталкивает воду, не снижая воздухопроницаемости.
Гладкая ткань лёгкая и очень прочная.
Подкладка из сетки для лучшей вентиляции.
Карманы на молнии.
Эластичные манжеты.
Водоотталкивающая пропитка без фтора.
• Технология UA Storm отталкивает воду, не снижая воздухопроницаемости
• Гладкая ткань лёгкая и очень прочная
• Подкладка из сетки для лучшей вентиляции
• Карманы на молнии
• Эластичные манжеты
• Водоотталкивающая пропитка без фтора</t>
  </si>
  <si>
    <t>B Icon Flc HD Taping</t>
  </si>
  <si>
    <t>1390293-001</t>
  </si>
  <si>
    <t>Худи UA Icon Fleece напоминает вашу любимую флисовую одежду старой школы, а ее чистый, безразмерный крой смотрится так же хорошо с экипировкой для спортзала, как и с уличной одеждой. Ультрамягкий хлопковый флис средней плотности с начесом внутри для дополнительного тепла. Передний карман-кенгуру. Ребристые манжеты и нижний подол.</t>
  </si>
  <si>
    <t>UA Icon Rev Terry Crew</t>
  </si>
  <si>
    <t>6003942-390</t>
  </si>
  <si>
    <t>Under Armour UA Icon Rev Terry Crew: Ультрамягкий и универсальный мужской джемпер (свитшоту без капюшона).
Этот джемпер из коллекции Icon Rev Terry обладает мягкостью флиса, но при этом не такой плотный и жаркий, как обычный флис с начесом. Это делает его идеальным вариантом для прохладных летних вечеров или утренних тренировок. 
Идеально подходит для повседневного ношения в прохладную погоду, отдыха дома, легких тренировок, разминки или заминки.
Махровая ткань Cotton Terry (100% хлопок) очень мягкая и комфортная, с приятной внешней отделкой и гладкой внутренней поверхностью.
Материал обеспечивает высокий уровень комфорта и быстро сохнет. Модель имеет свободный крой (Loose fit), который гарантирует полную свободу движений. Ребристые воротник, манжеты и нижний край для надежной фиксации. Дизайн с заниженной линией плеча (drop hem shoulder).
Материал: 100% хлопок. На  джемпере присутствует вышитый логотип Under Armour.</t>
  </si>
  <si>
    <t>UA Icon Wvn Track Jkt</t>
  </si>
  <si>
    <t>6003978-001</t>
  </si>
  <si>
    <t>Under Armour UA Icon Woven Track Jacket- легкая и прочная мужская ветровка.
Ветровка Under Armour Icon Woven Track Jacket — это универсальная модель, разработанная, чтобы ваши мышцы оставались готовыми к тренировке в любую погоду. Она сочетает в себе легкость, воздухопроницаемость и водоотталкивающие свойства, что делает ее идеальной для разминки, заминки или активного отдыха. 
Идеально подходит для занятий спортом на открытом воздухе, бега, тренировок, а также для повседневного использования в прохладную и ветреную погоду. Специальная обработка UA Storm отталкивает воду без ущерба для воздухопроницаемости, сохраняя вас сухим.
Материал: Ткань с текстурой по всей поверхности легкая и прочная. Обеспечивает тепло без лишнего объема.
 Модель имеет свободный крой (Loose fit), не стесняющий движений.Надежные карманы для рук на молнии, эластичные манжеты и нижний край, а также двухсторонняя передняя молния.Материал: 100% нейлон. 
На ветровке присутствует печатный логотип Under Armour.</t>
  </si>
  <si>
    <t>UA Tech Wordmark HZ</t>
  </si>
  <si>
    <t>6004979-001</t>
  </si>
  <si>
    <t>UA Tech™ — наша оригинальная универсальная экипировка для тренировок. Эта модель с половинной молнией имеет свободный крой, лёгкая, обеспечивает ощущение прохлады и дополнена удлинённой фигурной нижней кромкой для лучшей посадки и покрытия.
• Ткань UA Tech™ быстро сохнет, необычайно мягкая и обладает более естественной текстурой
• Материал эффективно отводит влагу и очень быстро сохнет
• Удлинённая половинная молния спереди обеспечивает удобство многослойности</t>
  </si>
  <si>
    <t>UA RIVAL LW 1/4 ZIP HOODIE</t>
  </si>
  <si>
    <t>6009316-001</t>
  </si>
  <si>
    <t>Этот легкий French terry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Передний карман-кенгуру
Застежка-молния на ¼ длины обеспечивает удобство при многослойной носке; капюшон и воротник-стойка обеспечивают дополнительную защиту
Манжеты и нижний край с резинкой</t>
  </si>
  <si>
    <t>6009316-011</t>
  </si>
  <si>
    <t>Rival Terry CB FZ Hoodie</t>
  </si>
  <si>
    <t>1370941-001</t>
  </si>
  <si>
    <t>Гладкий внешний слой и теплый мягкий внутренний слой. Материал отводит пот и очень быстро сохнет. Открытые карманы для рук.</t>
  </si>
  <si>
    <t>Основной материал: 70% полиэстер,25% тенсел,5% эластан</t>
  </si>
  <si>
    <t>UA Storm SweaterFleece QZ</t>
  </si>
  <si>
    <t>1373674-410</t>
  </si>
  <si>
    <t>Джемпер UA Storm SweaterFleece – это универсальный элемент одежды от известного бренда Under Armour, который сочетает в себе стиль и функциональность для обеспечения комфорта и тепла в прохладную погоду. Эта верхняя одежда идеально подходит для активных людей, которые не хотят отказываться от активного образа жизни даже при ненастной погоде.</t>
  </si>
  <si>
    <t>UA Essential Flc Track Jkt</t>
  </si>
  <si>
    <t>1381035-012</t>
  </si>
  <si>
    <t>Эта практичная и удобная толстовка Under Armour Essential Flc Track Jkt отлично подойдет для разогрева перед тренировкой или для заслуженного отдыха после напряженной игры. В общем, куда бы вы ни пошли, эта толстовка подарит вам настоящее чувство комфорта.</t>
  </si>
  <si>
    <t>UA BCL Pro Storm Jkt</t>
  </si>
  <si>
    <t>6009542-001</t>
  </si>
  <si>
    <t>Если погода не позволяет вам бегать, наденьте водонепроницаемую куртку, которая при этом невероятно легкая и дышащая. Это значит, что вы можете бегать, не беспокоясь о прогнозе погоды.
Детали:
Технология UA Storm отталкивает воду, не жертвуя при этом воздухопроницаемостью.
Легкая эластичная ткань прочная, удобная и не сковывает движений.
Эластичный материал, растягивающийся в четырех направлениях, обеспечивает лучшую подвижность.
Надежные боковые карманы на молнии, а также внутренний карман для телефона.
Отделка по краям манжет, нижнего края и капюшона.
Используется водоотталкивающая обработка без фтора.</t>
  </si>
  <si>
    <t>UA Essential Heritge Flc Crw-WHT</t>
  </si>
  <si>
    <t>1373814-112</t>
  </si>
  <si>
    <t>Джемпер Under Armour серого цвета современного кроя.</t>
  </si>
  <si>
    <t>UA Armour Fleece Graphic HD</t>
  </si>
  <si>
    <t>1379744-400</t>
  </si>
  <si>
    <t>Это мужское худи идеально подходит для холодного времени года. Оно изготовлено из легкого, дышащего и гибкого материала, который сохраняет тепло и обеспечивает свободу движений. Внутренняя мягкая поверхность худи удерживает тепло, обеспечивая комфорт и уют даже в самые холодные дни. На передней части худи имеется вместительный карман-кенгуру для хранения различных мелочей.</t>
  </si>
  <si>
    <t>UA AF STORM BOMBER</t>
  </si>
  <si>
    <t>1361601-002</t>
  </si>
  <si>
    <t>Бомбер</t>
  </si>
  <si>
    <t>Armor Fleece - легкий, дышащий и эластичный материал для превосходной мобильности. Мягкий внутренний слой удерживает тепло, чтобы вам было комфортно. Водонепроницаемые накладки для дополнительной прочности и защиты. Надежные карманы для рук на кнопках.</t>
  </si>
  <si>
    <t>UA SUMMIT KNIT FZ HD</t>
  </si>
  <si>
    <t>1370422-279</t>
  </si>
  <si>
    <t>Двухслойная ткань мягкая, эластичная и дышащая для превосходного комфорта и мобильности. Материал отводит пот и очень быстро сохнет. Конструкция 4-way stretch лучше растягивается во всех направлениях. Накладки для дополнительной прочности. Надежные карманы на молнии для рук.</t>
  </si>
  <si>
    <t>Perpetual Vest-BLK</t>
  </si>
  <si>
    <t>1320977-001</t>
  </si>
  <si>
    <t>Сверхлегкая тканая ткань обеспечивает непревзойденный комфорт и долговечность
Сочетание металлических и матовых поверхностей делает внешний вид еще лучше.
Конструкция 4-way stretch лучше тянется во всех направлениях.
Материал впитывает пот и очень быстро сохнет.
Встроенная задняя вентиляция.
Регулируемый капюшон.
Надежные карманы на молнии.
Закрытые эластичные боковые кромки для надежной посадки.</t>
  </si>
  <si>
    <t>Нейлон 100%</t>
  </si>
  <si>
    <t>1379745-014</t>
  </si>
  <si>
    <t>Толстовка-худи Under Armour Fleece Hoodie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Капюшон с регулировочным шнурком
Передний карман-кенгуру
Состав: 100% полиэстер</t>
  </si>
  <si>
    <t>1357110-408</t>
  </si>
  <si>
    <t>Armor Fleece - это наш оригинальный заменитель флиса. Эта супер-удобная мужская толстовка с капюшоном для спортзала легкая, невероятно теплая и идеально растягивается. Armor Fleece - легкий, дышащий и эластичный материал для превосходной подвижности. Мягкий внутренний слой удерживает тепло. Открытые карманы для рук. Эластичные манжеты.</t>
  </si>
  <si>
    <t>100% полиэстер, подкладка 100% полиэстер</t>
  </si>
  <si>
    <t>Rival Terry FZ Hoodie</t>
  </si>
  <si>
    <t>1369853-872</t>
  </si>
  <si>
    <t>Особенности модели:
Сверхмягкая, легкая махровая ткань с начесом внутри для дополнительного тепла.
Материал устойчив к поту и очень быстро сохнет
Растягивающаяся в 4 направлениях ткань
Застежка: молния.
Капюшон с регулировкой на шнурке.
Фирменный логотип бренда на груди.
Карман-кенгуру с открытыми боковыми прорезями</t>
  </si>
  <si>
    <t>70% полиэстер 25% тенсел 5% эластан</t>
  </si>
  <si>
    <t>PJT RCK PAYOFF SS TERRY HDY</t>
  </si>
  <si>
    <t>1383227-001</t>
  </si>
  <si>
    <t>Худи без рукавов Under Armour PJT RCK PAYOFF SS TERRY HDY, созданное в сотрудничестве с Двейном "Скалой" Джонсоном, сочетает в себе стиль, функциональность и непреклонную мотивацию. Это идеальный выбор для тех, кто стремится к максимальным результатам, независимо от обстоятельств.
- Высококачественные материалы: Мягкий и уютный френч-терри материал обеспечивает комфорт и тепло, при этом оставляя тело сухим благодаря своим влагоотводящим свойствам. Этот материал идеально подходит для тренировок в любом сезоне.
- Эргономичный дизайн: Безрукавной крой обеспечивает полную свободу движений, делая это худи идеальным для занятий спортом, активного отдыха или повседневного ношения.
- Практичность и комфорт: Регулируемый капюшон добавляет дополнительную защиту и стиль, а передний карман-кенгуру помогает удобно хранить необходимые мелочи или согреть руки в прохладную погоду.
- Мотивационные элементы: Фирменный логотип Project Rock и графический принт символизируют силу, упорство и решимость, подчеркивая ваш стремление к успеху.
- Универсальность использования: Это худи без рукавов легко комбинируется с любыми элементами спортивного гардероба, создавая стильный и функциональный образ. Оно идеально подходит для тренировок, прогулок и повседневного использования.</t>
  </si>
  <si>
    <t>UA Rival Fleece Hoodie</t>
  </si>
  <si>
    <t>1357092-001</t>
  </si>
  <si>
    <t>Очень мягкий флис из хлопка средней плотности с бархатным внутренним слоем для дополнительного тепла.Регулируемый капюшон.Карман-кенгуру. Дизайн рукавов с оборками. Нашивка с тканым логотипом.</t>
  </si>
  <si>
    <t>1379588-025</t>
  </si>
  <si>
    <t>UA Rival Try Athlc Dep FZ HD</t>
  </si>
  <si>
    <t>1370355-279</t>
  </si>
  <si>
    <t>Материал French Terry имеет гладкий внешний слой и теплый, мягкий внутренний слой, а также обладает быстросохнущими свойствами. Under Armour — это удобная, практичная и технологичная одежда для тренировок. Бренд проектирует качественную экипировку для различных тренировок: интенсивные тренировки в зале, интервальный тренинг, бег, велопробег, даже танцы. Все технологии Under Armour инновационные и направлены на максимальный комфорт во время любых активностей.</t>
  </si>
  <si>
    <t>UA TRAIL RUN QUARTER ZIP</t>
  </si>
  <si>
    <t>1383244-002</t>
  </si>
  <si>
    <t>Джемпер Under Armour UA Trail Run Quarter Zip - это мужская модель, разработанная специально для трейлраннинга и активных тренировок на свежем воздухе. Он сочетает в себе лёгкость, прочность и функциональность, обеспечивая комфорт в различных погодных условиях. 
Основные характеристики:
Крой: приталенный (Fitted) — облегающий силуэт без излишней компрессии, позволяющий свободно двигаться. 
Нагрудный карман на молнии с тканевой накладкой для дополнительной структуры и долговечности.
Боковые разрезы внизу изделия для улучшенной подвижности.
Технология контроля запаха предотвращает рост микробов, вызывающих неприятный запах. 
Отражающие элементы повышают видимость в условиях низкой освещённости, обеспечивая дополнительную безопасность.
Материал: 88% полиэстер / 12% эластан — прочная, дышащая и лёгкая ткань, обеспечивающая комфорт и универсальность.</t>
  </si>
  <si>
    <t>UA Unstoppable Jacket</t>
  </si>
  <si>
    <t>1370494-390</t>
  </si>
  <si>
    <t>Технология UA Storm обладает воздухопроницаемостью и влагоотталкивающими свойствами, а технология 4-Way Srtetch анатомически повторяет форму тела и обеспечивает максимальный комфорт движения, Anti-Odor препятствует росту бактерий, которые вызывают неприятный запах. Боковые карманы на молнии, а так же внутренние эластичные манжеты с прорезями для больших пальцев.</t>
  </si>
  <si>
    <t>6003978-100</t>
  </si>
  <si>
    <t>Это идеальная тренировочная куртка, которая поможет держать мышцы в тонусе — для любого вида спорта или тренировки. Она лёгкая, водоотталкивающая и легко носится как дополнительный слой или компактно складывается, когда вы в самом разгаре активности.
Технология UA Storm отталкивает воду, не снижая воздухопроницаемости
Тканое полотно с равномерной морщинистой текстурой — лёгкое и прочное
Надёжные карманы на молнии для рук
Эластичные манжеты и низ куртки с внутренней резинкой для плотной посадки
Двусторонняя молния спереди</t>
  </si>
  <si>
    <t>1357093-782</t>
  </si>
  <si>
    <t>UA Tech Vent 1/2 Zip</t>
  </si>
  <si>
    <t>1382184-001</t>
  </si>
  <si>
    <t>Мужской спортивный джемпер UA Tech Vent 1/2 Zip создан для бегунов, стремящихся к комфорту и свободе движений. Изготовленный из 96% полиэстера и 4% эластана, он обеспечивает отличный воздухообмен и поддержку, благодаря инновационным технологиям ткани. Легкий и дышащий материал улучшает вентиляцию, помогая сохранять оптимальную температуру тела во время интенсивных пробежек.
- Технология быстрого отвода влаги предотвращает прилипание ткани к коже, поддерживая комфорт во время активности.
- Полузастёжка позволяет регулировать вентиляцию, обеспечивая дополнительный комфорт и удобство.
- Эластичность ткани способствует свободе движений, идеально подходя для интенсивных тренировок.
- Прочный синтетический материал обеспечивает долгий срок службы джемпера, сохраняя его вид после многократных стирок.
- Минималистичный и функциональный дизайн делает его подходящим для различных спортивных видов и повседневного ношения.</t>
  </si>
  <si>
    <t>UA Rival Fleece HBR Logo HD</t>
  </si>
  <si>
    <t>1386593-301</t>
  </si>
  <si>
    <t>Худи UA Rival Fleece HBR Logo HD от Under Armour сочетает стиль и функциональность для активных мужчин. Выполненное из смеси 80% хлопка и 20% полиэстера, это худи обеспечивает комфорт и теплоту для повседневного ношения и спортивных занятий. 
- Комфортная ткань с высоким содержанием хлопка позволяет коже дышать, обеспечивая уют даже при длительном ношении.
- Логотипы на рукаве и контрастное лого на груди придают динамичный и современный вид, выделяя вас среди других.
- Универсальный дизайн делает его пригодным как для спортивных мероприятий, так и для повседневных прогулок.
- Высококачественное исполнение гарантирует долговечность и устойчивость к износу, оставаясь в отличном состоянии после многочисленных стирок.
- Капюшон предлагает дополнительную защиту от ветра и холода, идеально подходя для переменчивых погодных условий.
- Свободный крой обеспечивает оптимальную свободу движений, не стесняя вас в любых приключениях.</t>
  </si>
  <si>
    <t>UA Icon Flc Ultra OS Hdy</t>
  </si>
  <si>
    <t>1386501-464</t>
  </si>
  <si>
    <t>Under Armour UA Icon Flc Ultra OS Hdy — это стильное повседневное худи для женщин, идеально подходящее для расслабленного образа жизни. Сочетание хлопка и полиэстера создает уютную и теплую вещь, необходимую в каждом гардеробе. Oversized крой дает свободу движений и стильный современный вид, подходящий для любого случая.
- Высокое содержание хлопка (80%) обеспечивает мягкость и комфорт, что делает худи отличным выбором для повседневной носки.
- 20% полиэстера в составе повышают изделия устойчивость к износу и обеспечивают долговечность.
- Технология флиса ULTRA обеспечивает дополнительное тепло, делая худи идеальным для прохладной погоды.
- Регулируемый капюшон предлагает защиту от ветра и дополнительный комфорт в прохладные дни.
- Лаконичный дизайн UA Icon позволяет легко интегрировать худи в любой гардероб, предлагая универсальный стиль.</t>
  </si>
  <si>
    <t>1378824-001</t>
  </si>
  <si>
    <t>1373359-001</t>
  </si>
  <si>
    <t>Толстовка Under Armour Fleece Twist QZ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t>
  </si>
  <si>
    <t>1373674-426</t>
  </si>
  <si>
    <t>UA Rival LW Graphic Hoodie</t>
  </si>
  <si>
    <t>6014686-001</t>
  </si>
  <si>
    <t>Этот лёгкий трикотаж с изнанкой «фрэнч терри» мягкий, как флис, но не создает ощущения излишнего тепла, характерного для ворсистого флиса. Поэтому он идеально подходит для прохладных летних ночей или утренних тренировок.</t>
  </si>
  <si>
    <t>Tech 1/2 Zip- Twist</t>
  </si>
  <si>
    <t>1384225-452</t>
  </si>
  <si>
    <t>UA Tech™ – это наша оригинальная повседневная спортивная одежда: свободная, легкая и вентилируемая. Это все, что вам нужно.  
Ткань UA Tech™ быстро высыхает, невероятно мягкая и обладает более естественной текстурой.  
Материал отводит пот и очень быстро сохнет.  
Полноценная застежка-молния на передней части до половины длины обеспечивает удобство слоевого одевания.  
Технология контроля запахов минимизирует появление неприятных ароматов.  
Основная ткань содержит как минимум 30% переработанного полиэстера, кроме отделки и декоративных элементов.</t>
  </si>
  <si>
    <t>UA RIVAL TERRY FZ HD</t>
  </si>
  <si>
    <t>1361606-690</t>
  </si>
  <si>
    <t>Если вы хотите чувствовать себя комфортно, согретым и готовым до игры или после нее, это то, что Вам нужно. Гладкий внешний слой и теплый мягкий внутренний слой. Материал отводит пот и очень быстро сохнет. Открытые карманы для рук.</t>
  </si>
  <si>
    <t>UA Essential Fleece Hoodie</t>
  </si>
  <si>
    <t>1373880-592</t>
  </si>
  <si>
    <t>UA Essential Fleece Hoodie - это толстовка, которая сочетает в себе комфорт, стиль и функциональность. Изготовленная из мягкой и уютной флисовой ткани, она обеспечивает максимальный комфорт и тепло в холодные дни. Толстовка имеет удобный капюшон с регулируемыми завязками для дополнительного комфорта и защиты от ветра и дождя. Карман на молнии на передней панели дает возможность хранить ваши вещи в безопасности и удобно, а манжеты и подол с ребристой вставкой обеспечивают оптимальную посадку. UA Essential Fleece Hoodie доступна в различных цветах и имеет стильный дизайн, который подходит для любого повседневного образа. Это идеальная толстовка для прогулок, тренировок в зале, путешествий или просто для отдыха дома. Не только толстовка UA Essential Fleece Hoodie выглядит хорошо, но и выполняет свои функции на 100%. Она обеспечивает максимальный комфорт и тепло, не ограничивая ваши движения. UA Essential Fleece Hoodie - это необходимый элемент гардероба для всех, кто ценит комфорт и стиль.</t>
  </si>
  <si>
    <t>UA Rival WM Colorblock HD</t>
  </si>
  <si>
    <t>1373363-408</t>
  </si>
  <si>
    <t>Худи Under Armour Ua Rival Wm Colorblock Hd. Ультрамягкий флис из смесового хлопка средней плотности с начесом внутри для дополнительного тепла.</t>
  </si>
  <si>
    <t>основной материал: 80% хлопок,20% полиэстер</t>
  </si>
  <si>
    <t>SHIELD JACKET</t>
  </si>
  <si>
    <t>1371586-025</t>
  </si>
  <si>
    <t>Мужская куртка UA Storm ColdGear Infrared Shield 2.0.Технология UA Storm отталкивает воду, не жертвуя воздухопроницаемостью. Прочный 3-слойный материал softshell имеет бесшумный внешний слой и превосходную эластичность. Ветрозащитные материалы защищают вас от непогоды. В подкладке ColdGear Infrared используется мягкое теплопроводящее покрытие, которое поглощает и сохраняет тепло вашего тела. Материал, растягивающийся в 4 направлениях, лучше движется во всех направлениях. Надежные карманы на молнии для рук и нагрудный карман. Регулировка шнурка по нижней кромке для надежной индивидуальной подгонки</t>
  </si>
  <si>
    <t>Unstoppable Flc FZ</t>
  </si>
  <si>
    <t>1379842-840</t>
  </si>
  <si>
    <t>Повседневная толстовка Under Armour Unstoppable Flc FZ для женщин сочетает в себе модный дизайн и высокую функциональность. Используя сочетание полиэстера, хлопка и эластана, она обеспечивает комфорт и эластичность, оставаясь стильной и практичной для любого случая. Мягкая ткань из 65% полиэстера, 29% хлопка и 6% эластана гарантирует комфорт и приятное ощущение на коже.
- Эластичность материала позволяет не сковывать движения, что отлично подходит для активного повседневного использования.
- Полная молния спереди облегчает регулировку температуры и позволяет удобно снимать и надевать толстовку.
- Современный и стильный дизайн легко комбинируется с различной одеждой, создавая как спортивные, так и повседневные образы.
- Удобные карманы добавляют практичности, предоставляя место для хранения мелочей и согрева рук.
- Легкость и функциональность делают её идеальным выбором для тех, кто ценит моду и комфорт в повседневной жизни.</t>
  </si>
  <si>
    <t>UA PIQUE TRACK JACKET</t>
  </si>
  <si>
    <t>1366202-012</t>
  </si>
  <si>
    <t>Ветровка Under Armour Pique Track Jacket держит ваши мышцы в разогретом состоянии. Текстурированная ткань обеспечивает дополнительную воздухопроницаемость даже при повышении температуры. Фактурный трикотаж - легкий, прочный и дышащий материал, отводит пот и очень быстро сохнет. Надежные карманы на молнии для рук.</t>
  </si>
  <si>
    <t>UA Launch Hooded Jacket</t>
  </si>
  <si>
    <t>1376795-348</t>
  </si>
  <si>
    <t>Under Armour UA Storm Run Hooded Jacket — это технологически продвинутая куртка, идеально подходящая для занятий бегом в разных погодных условиях. Изделие из 100% полиэстера, оно сочетает стиль и функциональность для максимального комфорта и защиты. Технология UA Storm ветровки обеспечивает отличные водоотталкивающие свойства, позволяя оставаться сухим даже во время дождя, не блокируя при этом воздухопроницаемость.
- Легкая и прочная ткань в сочетании с эргономичным кроем предоставляет полную свободу движений для активных занятий спортом.
- Регулируемый капюшон и застежка на молнию защищают от непогоды, сохраняя удобный микроклимат во время бега.
- Светоотражающие элементы увеличивают видимость в условиях плохой освещенности, обеспечивая безопасность на дороге.
- Удобные карманы на молнии предоставляют безопасное хранение для ключей, карточек и телефона, не мешая движению.
- Выдвижные манжеты с петлями для больших пальцев увеличивают комфорт и защиту от холода, делая пробежки приятнее.</t>
  </si>
  <si>
    <t>UA Tech 2.0 1/2 Zip</t>
  </si>
  <si>
    <t>1328495-014</t>
  </si>
  <si>
    <t>Очень лёгкий и дышащий материал ощущается на теле очень естественно и отличается прекрасными тактильными ощущениями. Материал, на 100% состоящий из высококачественного полиэстера, мгновенно выводит влагу, обеспечивая сухость и комфорт во время тренировки.  Антибактериальная обработка препятствует росту числа бактерий, нивелируя тем самым риск возникновения нежелательных запахов. Ворот и молния 1/4 очень удобны в использовании и отлично вписываются в дизайн изделия.</t>
  </si>
  <si>
    <t>UA Tech. Оригинальная экипировка для регулярных тренировок: свободная, легкая и поддерживающая ощущение прохлады. Ткань UA Tech™ быстросохнущая, ультрамягкая и более естественная на ощупь. Материал отводит пот и очень быстро сохнет.</t>
  </si>
  <si>
    <t>Rival Fleece HB Hoodie</t>
  </si>
  <si>
    <t>1356317-035</t>
  </si>
  <si>
    <t>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</si>
  <si>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UA Run 96 Jacket</t>
  </si>
  <si>
    <t>1389825-114</t>
  </si>
  <si>
    <t>Легкая ветровка от бренда Under Armour серии UA Run предназначена специально для активных тренировок и пробежек. Изготовлена из высокотехнологичных материалов, обеспечивающих отличную вентиляцию и отвод влаги от тела. Специальная конструкция рукавов и капюшона обеспечивает комфорт даже при интенсивных нагрузках. Отличается компактностью и легкостью упаковки, удобна для переноски в рюкзаке или спортивной сумке.
Особенности модели:
- Ткань WindFleece™: защищает от ветра и сохраняет тепло.
- Дизайн Reflective Tech: специальные светоотражающие элементы повышают видимость в условиях недостаточной освещенности.
- Эргономичные швы и минималистичный дизайн делают изделие практически незаметным во время движения.
- Удобные карманы для хранения мелочей.
- Легкий вес и высокая степень комфорта обеспечивают удобство при длительных тренировках.
Подходит для бега, велоспорта, туризма и активного отдыха. Идеальна для прохладной погоды и межсезонь</t>
  </si>
  <si>
    <t>1370941-852</t>
  </si>
  <si>
    <t>UA Icon Heavy Rib Hdy</t>
  </si>
  <si>
    <t>6008900-001</t>
  </si>
  <si>
    <t>Худи Under Armour UA Icon Heavy Rib Hdy — это часть линейки Icon Fleece, которая отличается чистым, объемным кроем, одинаково органично смотрящимся как со спортивной экипировкой, так и с повседневной одеждой. Это плотное худи с ребристыми вставками создано для обеспечения тепла и комфорта в самые холодные дни.  Идеально подходит для повседневного ношения в прохладную и холодную погоду, сочетается со спортивным и кэжуал стилем. Подходит для разминки или заминки после тренировок на открытом воздухе.Модель выполнена из плотного материала с внутренней отделкой, обеспечивающей высокий уровень тепла и мягкости. Худи имеет классический крой, длинные рукава и один карман кенгуру.Материал верха: Текстиль. 
Это худи ценят за его тепло, комфорт и универсальность, что делает его практичным выбором для осенне-зимнего сезона.</t>
  </si>
  <si>
    <t>UA Holiday Vibe Windbreaker</t>
  </si>
  <si>
    <t>1390483-410</t>
  </si>
  <si>
    <t>У ветровок есть веская причина оставаться обязательным элементом гардероба каждого спортсмена. Они легкие, защищают от ветра, не перегревая, и созданы для активного движения.
Технология UA Storm отталкивает воду, не жертвуя воздухопроницаемостью.
Легкая эластичная ткань обеспечивает превосходный комфорт и долговечность.
Ветрозащитная конструкция защищает вас от непогоды.
Четырехсторонняя растяжка позволяет двигаться свободно во всех направлениях.
Надежные карманы на молнии для безопасного хранения мелочей.
Эластичные манжеты и регулируемый шнурок в нижней части изделия обеспечивают плотную посадку.
Используется водоотталкивающая обработка без фтора.
Основная ткань содержит не менее 80% переработанного полиэстера (за исключением отделки и декоративных элементов).
Стильная и функциональная ветровка для любого уровня активности.</t>
  </si>
  <si>
    <t>синий/фиолетовый</t>
  </si>
  <si>
    <t>1373353-014</t>
  </si>
  <si>
    <t>Мужская толстовка с капюшоном Armor Fleece.
Armor Fleece легкий, дышащий и эластичный, сохраняет тепло и позволяет двигаться.
Мягкий внутренний слой удерживает тепло, чтобы вам было тепло и комфортно
Капюшон для дополнительной защиты с регулировкой на шнурке
Передний карман-кенгуру.</t>
  </si>
  <si>
    <t>1379758-400</t>
  </si>
  <si>
    <t>Это снаряжение согреет вас и позволит быть готовым практически ко всему, что вы делаете: оно легкое, удобное и очень мягкое внутри.Функции: Ультрамягкий флис из хлопковой смеси с начесом внутри для дополнительного тепла. Передний карман-кенгуру. Ребристые манжеты и нижний край. Свободная посадка</t>
  </si>
  <si>
    <t>синий/белый</t>
  </si>
  <si>
    <t>UA Baseline Woven Jacket</t>
  </si>
  <si>
    <t>1383400-001</t>
  </si>
  <si>
    <t>Эта коллекция создана для тех, кто живет и дышит баскетболом. Здесь вы найдете ультракомфортную одежду для разминки, а также футболки, майки и шорты, которые демонстрируют на площадке лучшие характеристики, чем что-либо другое. Технология UA Storm отталкивает воду без ущерба для воздухопроницаемости. Легкий эластичный тканый материал обеспечивает превосходный комфорт и долговечность. Материал с четырехсторонней растяжкой позволяет лучше двигаться в любом направлении. Карманы для рук на молнии. Эластичные манжеты и нижний подол для надежной посадки</t>
  </si>
  <si>
    <t>Woven FZ Jacket</t>
  </si>
  <si>
    <t>1371095-003</t>
  </si>
  <si>
    <t>Woven FZ Jacket - это надежная и стильная ветровка, которая станет вашим надежным спутником во время любой активности на открытом воздухе. Она изготовлена из высококачественного материала, который обеспечивает максимальную защиту от ветра и дождя, при этом сохраняя комфортную температуру внутри. Удобный спортивный крой обеспечит максимальную свободу движений, а модный дизайн дополнит ваш образ и сделает его более стильным. Незаменимая вещь в гардеробе для тех, кто любит активный отдых и не желает зависеть от погодных условий. Не отказывайте себе в удобстве и стиле с Woven FZ Jacket!</t>
  </si>
  <si>
    <t>PJT Q2 PAYOFF SL FLCE HD</t>
  </si>
  <si>
    <t>1383302-686</t>
  </si>
  <si>
    <t>Тренировочное снаряжение Project Rock создано, чтобы помочь вам найти границы, а затем преодолеть их. Все в этой коллекции было лично одобрено Дуэйном Джонсоном</t>
  </si>
  <si>
    <t>UA DNA HOODIE</t>
  </si>
  <si>
    <t>1366438-100</t>
  </si>
  <si>
    <t>Двухслойный флис с сетчатой ​​текстурой и начесом на внутренней стороне очень теплый и удобный. Ребристые манжеты, боковые стороны, вставки на рукавах и капюшоне обеспечивают дополнительную эластичность и подвижность. Вентиляционные отверстия подмышками для дополнительной воздухопроницаемости. Капюшон с эластичной резинкой для индивидуальной подгонки. Передний карман-кенгуру с надежным невидимым карманом на молнии.</t>
  </si>
  <si>
    <t>Hybrid Wind Full Zip Hooded</t>
  </si>
  <si>
    <t>1306456-001</t>
  </si>
  <si>
    <t>Прилегающий крой, не стесняющий движения.
Технология UA Storm отталкивает воду, не жертвуя воздухопроницаемостью.
Ветрозащитное покрытие обеспечивает комфорт в ненастную погоду.
В верхней части ветровки присутствует сетчатая мембрана, обеспечивающая эластичность, воздухопроницаемость и водостойкость.
Нижняя часть, выполненная из хлопка, невероятно мягкая и дышащая.
Нагрудные карманы на молнии.
Задняя сторона ветровки хорошо вентилируется.</t>
  </si>
  <si>
    <t>57% Хлопок;38% Полиэстер;5% Эластан</t>
  </si>
  <si>
    <t>UA VIBE WOVEN WINDBREAKER</t>
  </si>
  <si>
    <t>6009836-001</t>
  </si>
  <si>
    <t>Неслучайно ветровки остаются обязательным элементом гардероба каждого спортсмена. Они легкие, защищают от ветра, не создавая ощущения жары, и созданы для активного движения.
Детали:
Технология UA Storm отталкивает воду, не жертвуя воздухопроницаемостью.
Эластичная ткань легкая, прочная и движется вместе с вами.
Материал, растягивающийся в 4 направлениях, обеспечивает свободу движений.
Надежные карманы на молнии.
Эластичные манжеты.
Используется водоотталкивающая обработка без фтора.</t>
  </si>
  <si>
    <t>6009836-025</t>
  </si>
  <si>
    <t>6009836-498</t>
  </si>
  <si>
    <t>Perpetl Vest-RED</t>
  </si>
  <si>
    <t>1320977-890</t>
  </si>
  <si>
    <t>1328495-602</t>
  </si>
  <si>
    <t>Джемпер Men Tech 2.0 1/2 Zip от Under Armour — это сочетание технологичности и комфорта в спортивной одежде. Современный крой добавляет стильности, а 100% полиэстер обеспечивает легкость и удобство. Этот джемпер предназначен для тренировок и активного отдыха, сохраняя сухость и свежесть на протяжении всего занятия.
- Лёгкий и дышащий материал из высококачественного полиэстера мгновенно выводит влагу, поддерживая комфорт и сухость.
- Антибактериальная обработка снижает риск развития неприятных запахов, что делает джемпер идеальным для интенсивных тренировок.
- Удобный воротник с молнией 1/2 обеспечивает дополнительную вентиляцию и добавляет функциональности изделию.
- Деликатная стирка при 30 градусах помогает сохранить форму и цвет, продлевая срок службы одежды.
- Современный крой подчеркивают стиль и универсальность, подходят для разных видов активности.
- Джемпер идеально сочетается с другими элементами спортивной экипировки от Under Armour для создания целостного образа.</t>
  </si>
  <si>
    <t>SPORTSTYLE TRICOT JACKET</t>
  </si>
  <si>
    <t>1329293-002</t>
  </si>
  <si>
    <t>Олимпийка Sportstyle Tricot Jacket от Under Armour — это стильное решение для любого мужчины, стремящегося поддерживать активный образ жизни. Изготовленная из 100% полиэстера, она предлагает оптимальное сочетание комфорта и функциональности, что делает её идеальной для повседневного использования в различных условиях. Свободный крой гарантирует полную свободу движений, не стесняя активности независимо от интенсивности тренировок.
- Гладкий трикотаж внешнего слоя и начес внутри обеспечивают мягкость и комфорт, создавая приятное ощущение тепла и уюта.
- Текстурированная ткань повышает воздухопроницаемость, так что мышцам не грозит перегрев, даже при высоком уровне физической активности.
- Материал, из которого сделана олимпийка, эффективно впитывает пот и быстро сохнет, поддерживая свежесть и комфорт на протяжении всего дня.
- Ребристые манжеты и низ обеспечивают надежную фиксацию одежды на теле, предотвращая нежелательное смещение во время движения.
- Открытые карманы для рук добавляют удобство и функциональность, предоставляя пространство для хранения небольших предметов.</t>
  </si>
  <si>
    <t>1329293-011</t>
  </si>
  <si>
    <t>1329293-390</t>
  </si>
  <si>
    <t>1356317-001</t>
  </si>
  <si>
    <t>1356317-558</t>
  </si>
  <si>
    <t>Худи Under Armour Rival Fleece Hb Hoodie. 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</si>
  <si>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серо-фиолетовый</t>
  </si>
  <si>
    <t>1356317-690</t>
  </si>
  <si>
    <t>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</si>
  <si>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1356318-468</t>
  </si>
  <si>
    <t>1356318-558</t>
  </si>
  <si>
    <t>Худи Under Armour Rival Fleece Logo Hoodie. Толстовка женская UA. Чрезвычайно мягкая флисовая ткань средней плотности с высоким содержанием хлопка и начесанная внутренняя часть для большего тепла. Материал быстро сохнет, отводит пот, а благодаря своей гибкости вы всегда будете чувствовать себя хорошо.Капюшон со скрещенным воротником и кулиской. Передний карман кенгуру. Ребристые манжеты и нижний край.</t>
  </si>
  <si>
    <t>1356318-690</t>
  </si>
  <si>
    <t>Rival Fleece FZ Hoodie</t>
  </si>
  <si>
    <t>1356400-001</t>
  </si>
  <si>
    <t>Ультрамягкий флис из смесового хлопка средней плотности с начесом на внутренней стороне для дополнительного тепла. Трехпанельный капюшон с регулируемым шнурком для акваланга. Открытые карманы для рук. Ребристые манжеты и нижний край.</t>
  </si>
  <si>
    <t>1357092-600</t>
  </si>
  <si>
    <t>Сверхмягкий флис из смесового хлопка средней плотности с начесом внутри для дополнительного тепла. Регулируемый перекрестный капюшон. Передний карман-кенгуру. Ребристые манжеты и нижний край.</t>
  </si>
  <si>
    <t>1357093-012</t>
  </si>
  <si>
    <t>UA Rival Fleece Big Logo HD-GRY</t>
  </si>
  <si>
    <t>1357093-781</t>
  </si>
  <si>
    <t>UA Rival Fleece FZ Hoodie</t>
  </si>
  <si>
    <t>1357111-408</t>
  </si>
  <si>
    <t>Ультрамягкий флис из смесового хлопка средней плотности с начесом на внутренней стороне для дополнительного тепла. Открытые карманы для рук. Ребристые манжеты и нижний край.</t>
  </si>
  <si>
    <t>UA RIVAL TERRY CREW</t>
  </si>
  <si>
    <t>1361561-012</t>
  </si>
  <si>
    <t>Свитшот</t>
  </si>
  <si>
    <t>CW Novelty LS Crew</t>
  </si>
  <si>
    <t>1366067-002</t>
  </si>
  <si>
    <t>UA RIVAL FLC COLORBLOCK HD</t>
  </si>
  <si>
    <t>1366357-001</t>
  </si>
  <si>
    <t>Толстовка легкая, удобная и сверхмягкая внутри. Ультрамягкий флис из смесового хлопка средней плотности с начесом внутри для дополнительного тепла. Передний карман-кенгуру. Ребристые манжеты и нижний край.</t>
  </si>
  <si>
    <t>1366357-409</t>
  </si>
  <si>
    <t>Худи UA Rival Flc Colorblock HD выполнено из ультрамягкого хлопка с добавлением флиса для дополнительного тепла. Есть удобный карман-кенгуру и вшитый капюшон. Идеально подходит и для тренировок, и для прогулок.</t>
  </si>
  <si>
    <t>1367770-413</t>
  </si>
  <si>
    <t>Ткань с минеральными добавками забирает энергию, которую вы уже выделяете, и отражает ее обратно в ваши мышцы, поэтому они меньше устают и быстрее восстанавливаются. UA RUSH  - это инфракрасная технология, которая отражает энергию вашего тела, чтобы помочь ты работаешь усерднее и быстрее восстанавливаешься. Ткань с ромбовидной текстурой и мягкая матовая внутренняя часть для непревзойденного тепла и комфорта. Сетчатые боковые панели ColdGear и вставки на рукавах обеспечивают воздухопроницаемость там, где это необходимо, без ущерба для тепла. Внешняя эластичная регулировка на капюшоне. Боковые молнии для регулируемой индивидуальной посадки. Надежные карманы на молнии для рук.</t>
  </si>
  <si>
    <t>UA Rival Flc Graphic Hoodie</t>
  </si>
  <si>
    <t>1370349-011</t>
  </si>
  <si>
    <t>Это ваша новая любимая одежда для разминки — она легкая, удобная и супермягкая внутри.
Легкий и очень удобный флис из смесового хлопка с начесом внутри обеспечивает тепло и комфорт.
Передний карман-кенгуру.
Ребристые манжеты и нижний край.</t>
  </si>
  <si>
    <t>UA RIVAL TERRY LC FZ</t>
  </si>
  <si>
    <t>1370409-001</t>
  </si>
  <si>
    <t>1370409-390</t>
  </si>
  <si>
    <t>Откройте для себя новый уровень комфорта с толстовкой Under Armour Rival Terry FullZip. Изготовленная из премиального французского терри, она обеспечивает несравненное тепло и мягкость, оставаясь при этом легкой и дышащей. Стильная и универсальная, эта толстовка оснащена полной молнией для удобства, регулируемым капюшоном для дополнительной защиты и карманами на молнии для безопасности ваших вещей. Манжеты и подол на резинке обеспечивают идеальную посадку. Тепло, стиль и функциональность в одном — Rival Terry FullZip станет вашим незаменимым спутником в прохладные дни.</t>
  </si>
  <si>
    <t>UA PJT RCK HVYWGHT TERRY FZ</t>
  </si>
  <si>
    <t>1370456-011</t>
  </si>
  <si>
    <t>Толстовка Under Armour Project Rock Heavyweight Terry Full-Zip Hoodie - это настоящий символ силы и уверенности. Созданный из качественных и дышащих материалов, он обеспечивает максимальный комфорт во время тренировок и повседневной жизни. Эта толстовка имеет удобный фронтальный молнию и капюшон с регулируемыми шнурками, что обеспечивает идеальную посадку и защиту от ветра и дождя. Она также оснащена карманами на молнии, позволяющими носить ваши вещи безопасно и удобно. Логотип Project Rock на груди дает ощущение непобедимой силы и стойкости, а индивидуальный дизайн дополняет уникальный стиль этой толстовки. Этот толстовка Project Rock Heavyweight Terry Full-Zip Hoodie - идеальный спутник для тех, кто готов покорять новые вершины и выделяться в толпе. Если вы хотите выразить свою силу и личность, то толстовка Under Armour Project Rock Heavyweight Terry Full-Zip Hoodie - это ваш выбор.</t>
  </si>
  <si>
    <t>1373353-001</t>
  </si>
  <si>
    <t>1373354-012</t>
  </si>
  <si>
    <t>1373354-310</t>
  </si>
  <si>
    <t>UA Armour Fleece FZ Hoodie-BLK</t>
  </si>
  <si>
    <t>1373357-001</t>
  </si>
  <si>
    <t>1373357-025</t>
  </si>
  <si>
    <t>UA Armour Fleece 1/4 Zip-NVY</t>
  </si>
  <si>
    <t>1373358-410</t>
  </si>
  <si>
    <t>Джемпер Under Armour синего цвета современного кроя.</t>
  </si>
  <si>
    <t>UA Rival WM Colorblock HD-BLK</t>
  </si>
  <si>
    <t>1373363-001</t>
  </si>
  <si>
    <t>UA Essential Heritage Flc HD</t>
  </si>
  <si>
    <t>1373813-410</t>
  </si>
  <si>
    <t>UA Essential Heritage Flc HD - это худи, которая отражает дух спортсменов и любителей активного образа жизни. Уникальный дизайн сочетает в себе ностальгические акценты и современные технологии, отражающие многолетний опыт и качество бренда Under Armour. Худи выполнена из высококачественного флиса, который обеспечивает комфорт и теплоту в любой обстановке. Эта модель обладает великолепной защитой от ветра и холода благодаря технологии UA Storm, которая позволяет сохранять тепло и комфорт даже при сильных холодах. Эта технология также обеспечивает надежную защиту от дождя и снега. Комфорт и удобство усилены с помощью регулируемого капюшона и двух боковых карманов на молнии, которые обеспечивают максимальную функциональность и пространство для хранения предметов личной гигиены. Внутренне облегченная структура в сочетании с легким дизайном делают худи UA Essential Heritage Flc HD отличным выбором для любого стиля жизни. Если вы ищете тепло, комфорт и защиту от элементов природы, то этот продукт бренда Under Armour - для вас.</t>
  </si>
  <si>
    <t>UA Essential Fleece Hoodie-BLK</t>
  </si>
  <si>
    <t>1373880-001</t>
  </si>
  <si>
    <t>Under Armour UA Essential Fleece Hoodie - это идеальное решение для тех, кто ищет удобство, тепло и стиль в одном изделии. Изготовленный из мягкого флиса, он обеспечивает комфортное ощущение на коже в любых условиях. Худи имеет удобную посадку, а также приталенный крой, который делает его стильным и современным. Большой карман на передней части худи с молнией позволяет хранить вещи на месте во время движения. Under Armour UA Essential Fleece Hoodie также имеет эластичные манжеты и нижний край, которые обеспечивают тепло и комфорт в прохладную погоду. Капюшон с регулируемыми шнурами позволяет создать индивидуальную посадку, защищая вас от непогоды. Этот худи является идеальным выбором для повседневной жизни, занятий спортом и отдыха. Обладая стильным дизайном и удобством, он станет незаменимой частью вашего гардероба. Не упустите возможность добавить Under Armour UA Essential Fleece Hoodie в свой гардероб и наслаждайтесь комфортом и стилем каждый день.</t>
  </si>
  <si>
    <t>1373880-012</t>
  </si>
  <si>
    <t>1373880-110</t>
  </si>
  <si>
    <t>1373880-338</t>
  </si>
  <si>
    <t>1373880-391</t>
  </si>
  <si>
    <t>1373880-410</t>
  </si>
  <si>
    <t>1373880-477</t>
  </si>
  <si>
    <t>1373880-651</t>
  </si>
  <si>
    <t>1373880-842</t>
  </si>
  <si>
    <t>UA Essential Fleece FZ Hood-BLK</t>
  </si>
  <si>
    <t>1373881-001</t>
  </si>
  <si>
    <t>Мужская толстовка из очень мягкого хлопкового флиса обеспечивает комфорт во время носки.
Чрезвычайно мягкий хлопковый флис средней плотности с начесом внутри для большего тепла.
Открытые карманы для рук.
Ребристые манжеты и нижний край.
Вышитый логотип.</t>
  </si>
  <si>
    <t>UA Essential Fleece FZ Hood</t>
  </si>
  <si>
    <t>1373881-012</t>
  </si>
  <si>
    <t>1373881-410</t>
  </si>
  <si>
    <t>UA Essential Fleece Crew-BLK</t>
  </si>
  <si>
    <t>1374250-001</t>
  </si>
  <si>
    <t>Разминка заключается не только в том, чтобы чувствовать себя комфортно перед большой игрой — хотя эта флисовая одежда, безусловно, является одной из самых удобных, которые вы когда-либо чувствовали, — речь идет о том, чтобы быть в правильном пространстве, сосредоточиться и держать свое тело наготове.</t>
  </si>
  <si>
    <t>UA Essential Fleece Crew</t>
  </si>
  <si>
    <t>1374250-012</t>
  </si>
  <si>
    <t>UA Icon Fleece Crew</t>
  </si>
  <si>
    <t>1374250-452</t>
  </si>
  <si>
    <t>Свитшот Under Armour UA Icon Fleece Crew  ультрамягкий и универсальный мужской свитшот.Это часть фирменной коллекции флисовой одежды, которая обеспечивает исключительный комфорт и тепло. Он разработан для создания повседневного образа, который одинаково хорошо сочетается как со спортивной одеждой, так и с джинсами.
 Идеально подходит для повседневного ношения в прохладную погоду, отдыха дома, легких физических упражнений, разминки или заминки.
 Изготовлен из ультрамягкого флиса средней плотности (смесь хлопка и полиэстера) с начесом на внутренней стороне для дополнительного тепла и комфорта. На изделии присутствует вышитый логотип Under Armour.Модель имеет свободный, объемный крой (Loose fit), который гарантирует полную свободу движений.Круглый вырез горловины и ребристые манжеты и нижний край.Материал: 80% хлопок, 20% полиэстер. 
Этот свитшот обладает отличным комфортом, гибкостью и воздухопроницаемостью, что делает его надежным выбором для любого случая.</t>
  </si>
  <si>
    <t>1374644-003</t>
  </si>
  <si>
    <t>1374644-026</t>
  </si>
  <si>
    <t>Unstoppable Jacket-BLK</t>
  </si>
  <si>
    <t>1374889-001</t>
  </si>
  <si>
    <t>Under Armour Unstoppable Jacket — это не просто куртка, это щит от непогоды, созданный для активных женщин, которые не боятся ни холода, ни ветра. Она сочетает в себе лёгкость, функциональность и стильный дизайн. 
Ключевые особенности:
 UA Storm технология: обеспечивает водо-и ветронепроницаемость, сохраняя тело в сухости и комфорте.
 Легкий и теплый материал: теплоизоляция обеспечивает комфорт даже в самые холодные дни, а легкая конструкция позволяет свободно двигаться. 
 Вентиляционные отверстия: для оптимальной терморегуляции и свежести.
 Регулируемый капюшон: защищает от непогоды. 
 Карманы на молнии: для удобного хранения необходимых мелочей.
 Стильный дизайн: куртку легко сочетать с разными образами, как спортивными, так и повседневными.</t>
  </si>
  <si>
    <t>UA OutRun the STORM Jacket</t>
  </si>
  <si>
    <t>1376794-015</t>
  </si>
  <si>
    <t>Ветровка UA Outrun The Storm Jacket – это жемчужина инновационных технологий Under Armour, созданная для тех, кто не признает преград и стремится к победе в любых условиях! Это не просто куртка, это ваш незаменимый союзник в борьбе с непогодой и ваш секретный элемент успеха на пути к личным рекордам.Ключевые особенности:Защита от элементов: UA Outrun The Storm Jacket предназначена для полной защиты от ветра и дождя. Инновационная технология UA Storm обеспечивает водоотталкивающий эффект, сохраняя при этом дышащие свойства материала.Легкость и комфорт: Суперлегкий материал обеспечивает исключительный комфорт и свободу движений, чтобы вы могли сосредоточиться на своих тренировках, а не на ношении тяжелой одежды.Эргономичный дизайн: Продуманная конструкция для активного движения гарантирует, что куртка не будет сковывать ваши движения, даже когда вы бежите, прыгаете или поднимаетесь в гору.Вентиляционные панели: Вентиляционные панели улучшают циркуляцию воздуха, обеспечивая комфорт и охлаждение даже в самых интенсивных режимах тренировок.Отражающие детали: Улучшенная видимость в условиях плохой освещенности благодаря стильным отражающим элементам, которые сделают ваши тренировки более безопасными в темное время суток.Функциональность: Практичные карманы на молнии, защитный капюшон и регуляторы для индивидуальной посадки – каждая деталь ветровки продумана до мелочей для максимального удобства.Обладая гладкой и стильной текстурой, подчеркнутой профессиональным кроем, ветровка UA Outrun The Storm Jacket идеально подходит для активных людей, которые ценят качество, стиль и функциональность в одном флаконе. Неважно, выгуливаете ли вы собаку в прохладный вечер или преодолеваете кросс-кантри трассу – эта ветровка будет вашим надежным защитником, позволяющим оставаться сосредоточенным на достижении цели. Ощутите уверенность в любую погоду с UA Outrun The Storm Jacket!</t>
  </si>
  <si>
    <t>OUTRUN THE STORM JACKET</t>
  </si>
  <si>
    <t>1376794-025</t>
  </si>
  <si>
    <t>Ветровка Outrun The Storm Jacket – это жемчужина инновационных технологий Under Armour, созданная для тех, кто не признает преград и стремится к победе в любых условиях! 
Это не просто куртка, это ваш незаменимый союзник в борьбе с непогодой и ваш секретный элемент успеха на пути к личным рекордам. 
Ключевые особенности: 
-  Outrun The Storm Jacket предназначена для полной защиты от ветра и дождя. Инновационная технология UA Storm обеспечивает водоотталкивающий эффект, сохраняя при этом дышащие свойства материала.
 - Суперлегкий материал обеспечивает исключительный комфорт и свободу движений, чтобы вы могли сосредоточиться на своих тренировках, а не на ношении тяжелой одежды. 
 - Эргономичный дизайн: Продуманная конструкция для активного движения гарантирует, что куртка не будет сковывать ваши движения, даже когда вы бежите, прыгаете или поднимаетесь в гору. 
 - Вентиляционные панели улучшают циркуляцию воздуха, обеспечивая комфорт и охлаждение даже в самых интенсивных режимах тренировок. 
- Светоотражающие детали: улучшенная видимость в условиях плохой освещенности благодаря стильным отражающим элементам, которые сделают ваши тренировки более безопасными в темное время суток.  
 - Функциональность: практичные карманы на молнии, защитный капюшон и регуляторы для индивидуальной посадки – каждая деталь ветровки продумана до мелочей для максимального удобства. 
Обладая гладкой и стильной текстурой, подчеркнутой профессиональным кроем, ветровка Outrun The Storm Jacket идеально подходит для активных людей, которые ценят качество, стиль и функциональность в одном флаконе. Неважно, выгуливаете ли вы собаку в прохладный вечер или преодолеваете кросс-кантри трассу – эта ветровка будет вашим надежным защитником, позволяющим оставаться сосредоточенным на достижении цели.</t>
  </si>
  <si>
    <t>1376794-348</t>
  </si>
  <si>
    <t>1376794-743</t>
  </si>
  <si>
    <t>UA STORM RUN HOODED JACKET</t>
  </si>
  <si>
    <t>1376795-025</t>
  </si>
  <si>
    <t>UA Storm Midlayer HZ</t>
  </si>
  <si>
    <t>1377398-504</t>
  </si>
  <si>
    <t>UA Storm Midlayer Hz – это мужской гольф от бренда Under Armour, который предназначен для обеспечения комфорта и защиты от непогоды во время спортивных занятий или активного отдыха на открытом воздухе. Используя технологию UA Storm, этот гольф отталкивает воду, сохраняя при этом хорошую воздухопроницаемость, что делает его подходящим для различных условий погоды.</t>
  </si>
  <si>
    <t>зеленый/синий/красный</t>
  </si>
  <si>
    <t>1378495-001</t>
  </si>
  <si>
    <t>Meridian Jacket</t>
  </si>
  <si>
    <t>1379157-001</t>
  </si>
  <si>
    <t>Тренироваться будет гораздо удобнее, если вы наденете лонгслив от Under Armour.
ОТВЕДЕНИЕ ВЛАГИ
Благодаря технологии UA Tech ткань отводит пот от кожи, быстро сохнет и обладает невероятной мягкостью.
КОМФОРТНАЯ ПОСАДКА
Приталенный крой подчеркивает линии тела. Эластичная ткань 4-Way Stretch тянется в 4 направлениях — никаких стеснений на тренировке.
КОМФОРТ
Манжеты с отверстием для большого пальца фиксируют рукава, не позволяя им задираться.
ПРАКТИЧНОСТЬ
Мелочи, которые важно взять с собой на тренировку, можно убрать в 2 кармана и не занимать руки.
ЗАЩИТА ОТ НЕПОГОДЫ
Высокий воротник-стойка защитит шею от продувания. То что нужно для занятий на улице!</t>
  </si>
  <si>
    <t>QUALIFIER RUN 1/4 ZIP</t>
  </si>
  <si>
    <t>1379288-001</t>
  </si>
  <si>
    <t>Спортивный джемпер Under Armour QUALIFIER RUN 1/4 ZIP — это идеальный выбор для тех, кто ценит комфорт и функциональность. Изготовленный из мягкой трикотажной ткани, он не допускает скатываний и катышков, что сохраняет его чистую и аккуратную поверхность. Материал джемпера эффективно впитывает пот и очень быстро сохнет, обеспечивая ощущение свежести во время тренировок. Растягивающийся в четырех направлениях материал обеспечивает свободу движений. Ребристый воротник и манжеты добавляют эластичности и комфорта. Встроенные отверстия для большого пальца помогают удерживать рукава на месте, а отверстие для часов на левом запястье обеспечивает удобный доступ. Практичный правый карман для мелочей завершает функциональность джемпера.</t>
  </si>
  <si>
    <t>QUALIFIER COLD HOODY</t>
  </si>
  <si>
    <t>1379306-400</t>
  </si>
  <si>
    <t>Встречайте худи UA Qualifier Cold Hoody – вашего верного спутника в мире бескомпромиссного комфорта и тепла от Under Armour, идеально подходящего для тех, кто не дает погоде стоять на пути к своим целям.
Интенсивное тепло без ограничений: Встроенная технология ColdGear поддерживает оптимальный баланс тепла и легкости, позволяя вам сосредоточиться на тренировках, а не на холоде.
Современный спортивный стиль: UA Qualifier Cold Hoody комбинирует классический образ худи с инновационными спортивными деталями, обеспечивая вам стильный вид как во время упражнений, так и вне спортзала.
Максимальная свобода движения: Гибкость и невероятная мягкость материала обеспечивают полную свободу движений, делая худи прекрасным выбором для разнообразных видов активности.
Влагоотводящие свойства: Используемые ткани с технологией влагоотвода от Under Armour гарантируют, что влага быстро отводится от тела, оставляя вас сухим и уверенным даже во время самых тяжелых сетов.
Капюшон для дополнительной защиты: Капюшон худи UA Qualifier Cold Hoody призван оберегать вас от ветра и непогоды, оставляя уши и голову в тепле и комфорте.
Практичность и функциональность: Фронтальный карман 'кенгуру' не только дополняет дизайн и дарит уют для рук, но и служит удобным местом для хранения ваших мелких предметов и гаджетов.
Прочность во времени: Высококачественные материалы и внимание к деталям в производстве дают вам уверенность, что худи UA Qualifier Cold Hoody станет вашим надежным товарищем на долгие годы.
Универсальность: Это худи идеально подходит для различных сценариев – от утренних пробежек до воскресных прогулок, от интенсивных тренировок до расслабляющего отдыха дома.
Примерьте UA Qualifier Cold Hoody и почувствуйте, как превосходный комфорт и стиль сливаются в одном изделии. Этот худи не просто дарит тепло – он вдохновляет вас преодолевать холод, сохраняя амбиции и настойчивость независимо от погодных условий. Покоряйте новые вершины в тренировках и повседневной жизни с худи UA Qualifier Cold Hoody – теплый и надежный выбор для атлета, ценящего удобство и функциональность.</t>
  </si>
  <si>
    <t>UA Qualifier Run 1/2 Zip</t>
  </si>
  <si>
    <t>1379349-001</t>
  </si>
  <si>
    <t>Комфортнее, чем это, бывает редко. Благодаря сверхэластичной ткани одежда движется вместе с вами, а не против вас, поэтому вы никогда не чувствуете стеснения.
Мягкая трикотажная ткань устойчива к затяжкам и образованию катышков, обеспечивая гладкую и аккуратную поверхность без зацепок.
Материал эффективно отводит влагу и очень быстро сохнет.
Четырехсторонняя эластичность позволяет ткани свободно тянуться во всех направлениях.
Встроенные отверстия для больших пальцев фиксируют рукава на месте, а на левом запястье предусмотрено специальное отверстие для циферблата часов, чтобы вы могли легко и быстро ими воспользоваться.
Карман-конверт с правой стороны.
Удлиненная передняя молния до половины длины изделия обеспечивает удобное многослойное ношение.
Формованная нижняя кромка.</t>
  </si>
  <si>
    <t>UA Launch Pro Half Zip</t>
  </si>
  <si>
    <t>1379349-703</t>
  </si>
  <si>
    <t>Essential Flc OS Crew</t>
  </si>
  <si>
    <t>1379475-001</t>
  </si>
  <si>
    <t>Under Armour UA Icon Fleece OS Crew-  ультрамягкий и свободный женский свитшот (толстовке без молнии и капюшона).
Under Armour Icon Fleece OS Crew — это сочетание классического стиля и современного комфорта. Этот свитшот из мягкого флиса средней плотности обеспечивает тепло и уют, идеально подходя как для занятий спортом, так и для повседневной носки. 
 Отлично подходит для повседневного использования, отдыха дома, разминки или заминки после тренировок, а также в качестве стильного элемента гардероба в прохладную погоду. Изготовлен из ультрамягкого флиса средней плотности (смесь 80% хлопка и 20% полиэстера) с начесом на внутренней стороне для дополнительного тепла и комфорта.На изделии присутствует вышитый логотип Under Armour. Свободный, объемный крой  обеспечивает полную свободу движений. Воротник, манжеты и нижний край выполнены из эластичного материала в рубчик. Удлиненная задняя часть и заниженная линия плеча для создания модного образа.Этот свитшот ценится за его исключительный комфорт, мягкость и универсальность, что делает его практичным и надежным выбором для любого случая.</t>
  </si>
  <si>
    <t>Essential Fleece OS Crew</t>
  </si>
  <si>
    <t>1379475-012</t>
  </si>
  <si>
    <t>Свитшот от Under Armour – это отличный выбор для тех, кто ценит комфорт и стиль. Изготовленный из высококачественного материала, он обеспечивает мягкость и износостойкость. Свободный крой гарантирует удобство и полную свободу движений, делая его идеальным для активного дня. Длинные рукава добавляют тепла и уюта, что делает свитшот подходящим для прохладной погоды. Его универсальный дизайн позволяет легко сочетать свитшот с разными элементами гардероба, создавая расслабленный и модный образ. Идеально подходит как для спортивных занятий, так и для повседневной носки, оставаясь практичным и стильным решением.</t>
  </si>
  <si>
    <t>Essential Flc OS Hoodie</t>
  </si>
  <si>
    <t>1379495-001</t>
  </si>
  <si>
    <t>Разминка — это не просто обеспечение комфорта перед важной игрой (хотя эта флисовая кофта, несомненно, одна из самых удобных, которые вы когда-либо чувствовали), это умение настроиться на нужный лад, сосредоточиться и поддерживать тело в готовности.
Ультрамягкий флис средней плотности из смеси хлопка с начесом внутри для дополнительного тепла
Ребристые манжеты и нижний край
Удлиненная длина корпуса и спущенный подол для создания эффекта свободного покроя
Более свободный покрой для полного комфорта.</t>
  </si>
  <si>
    <t>1379500-001</t>
  </si>
  <si>
    <t>Худи Under Armour UA Rival Fleece Hoodie для женщин сочетает в себе уютный комфорт и элегантный стиль, идеально подходящий для повседневной носки. Изготовленное из мягкой флисовой ткани, оно предлагает тепло и уют в прохладную погоду. Элегантный дизайн идеально сочетает в себе простоту и функциональность. Ткань из 80% хлопка и 20% полиэстера обеспечивает мягкость и комфорт, даря приятное ощущение на коже.
- Плотный флис внутри создает дополнительное тепло, идеально подходя для прохладных дней и вечеров.
- Эластичные манжеты и подол гарантируют точную посадку, защищая от холода и ветра.
- Классический капюшон с регулируемым шнурком обеспечивает дополнительную защиту от непогоды и стильный акцент.
- Современный дизайн с вместительным карманом "кенгуру" делает изделие практичным и стильным.
- Универсальность модели позволяет легко комбинировать её с другими предметами гардероба, создавая непринужденный и модный образ.</t>
  </si>
  <si>
    <t>1379500-013</t>
  </si>
  <si>
    <t>1379500-477</t>
  </si>
  <si>
    <t>1379500-648</t>
  </si>
  <si>
    <t>1379744-014</t>
  </si>
  <si>
    <t>UA ARMOUR FLEECE GRAPHIC HD</t>
  </si>
  <si>
    <t>1379744-743</t>
  </si>
  <si>
    <t>1379745-390</t>
  </si>
  <si>
    <t>UA Rival Fleece Crew</t>
  </si>
  <si>
    <t>1379755-001</t>
  </si>
  <si>
    <t>Свитшот UA Rival Fleece - это надежный выбор для активного образа жизни и стильного внешнего вида. Он обеспечивает оптимальное сочетание комфорта и функциональности благодаря передовым технологиям и высококачественным материалам.
- Мягкий флисовый материал. Обеспечивает тепло и уют даже в холодную погоду.
- Долговечность. Высококачественные материалы гарантируют сохранение формы и цвета после многочисленных стирок.
- Универсальный стиль. Классический круглый вырез и удобная посадка подходят для любого случая.
- Комфорт. Идеальный выбор для повседневного использования благодаря его эргономичному дизайну.
- Легкость ухода. Материал способствует лёгкому уходу и быстрой сушке.</t>
  </si>
  <si>
    <t>1379755-025</t>
  </si>
  <si>
    <t>1379755-390</t>
  </si>
  <si>
    <t>Свитшот UA Rival Fleece - это надежный выбор для активного образа жизни и стильного внешнего вида. Он изготовлен из мягкого флисового материала, который обеспечивает тепло и комфорт даже в холодную погоду. Высококачественные материалы, использованные при его изготовлении, гарантируют, что он будет служить вам долгое время, сохраняя свою форму и цвет даже после многочисленных стирок. Классический круглый вырез и посадка делают его универсальным и идеальным для повседневного использования.</t>
  </si>
  <si>
    <t>80% Хлопок, 20% Полиэстер</t>
  </si>
  <si>
    <t>1379755-410</t>
  </si>
  <si>
    <t>1379757-001</t>
  </si>
  <si>
    <t>Худи UA Rival Fleece Hoodie от Under Armour — это сочетание стиля и функциональности для активных людей. Выполненное в черном цвете, оно состоит из 100% полиэстера, что делает его идеальным для прохладных дней. Его ультрамягкий флис с начесом внутри подарит тепло и максимальный комфорт в любую погоду. Современный дизайн и практичность делают эту модель незаменимой в вашем гардеробе. Уход за изделием упрощается деликатной машинной стиркой при 30 градусах.
- Ультрамягкий флис с начесом внутри сохраняет тепло и комфорт даже в холодную погоду, делая худи Under Armour идеальным выбором для осени и зимы.
- Передний карман-кенгуру обеспечивает удобство и идеально подходит для хранения мелочей.
- Капюшон со шнурком позволяет регулировать посадку в зависимости от погодных условий, защищая от ветра и дождя.
- Ребристые манжеты и нижний край обеспечивают надежную посадку, предотвращая проникновение холодного воздуха внутрь.
- Легкий и дышащий материал свободно пропускает воздух, предотвращая перегрев во время активных движений.
- Простой уход за худи возможен благодаря деликатной машинной стирке при 30 градусах, что сохраняет его первозданный вид.</t>
  </si>
  <si>
    <t>1379757-025</t>
  </si>
  <si>
    <t>В этом худи Under Armour Rival Fleece Hoodie вы согреетесь и будете готовы практически ко всему. Худи легкое, удобное и очень мягкое внутри. 
Детали:
 - Ультрамягкий флис из смесового хлопка с начесом внутри для дополнительного тепла
- Передний карман-кенгуру
- Ребристые манжеты и нижний край
- Капюшон со шнурком
Рекомендации по уходу: Машинная стирка при температуре 30 градусов. Не сушить в сушильной машине. Не отбеливать. Не подвергать химической чистке.
е</t>
  </si>
  <si>
    <t>1379757-390</t>
  </si>
  <si>
    <t>Худи UA Rival Fleece Hoodie от Under Armour — это сочетание стиля и функциональности для активных людей. Оно состоит из 100% полиэстера, что делает его идеальным для прохладных дней. Его ультрамягкий флис с начесом внутри подарит тепло и максимальный комфорт в любую погоду. Современный дизайн и практичность делают эту модель незаменимой в вашем гардеробе. Уход за изделием упрощается деликатной машинной стиркой при 30 градусах.
- Ультрамягкий флис с начесом внутри сохраняет тепло и комфорт даже в холодную погоду, делая худи Under Armour идеальным выбором для осени и зимы.
- Передний карман-кенгуру обеспечивает удобство и идеально подходит для хранения мелочей.
- Капюшон со шнурком позволяет регулировать посадку в зависимости от погодных условий, защищая от ветра и дождя.
- Ребристые манжеты и нижний край обеспечивают надежную посадку, предотвращая проникновение холодного воздуха внутрь.
- Легкий и дышащий материал свободно пропускает воздух, предотвращая перегрев во время активных движений.
- Простой уход за худи возможен благодаря деликатной машинной стирке при 30 градусах, что сохраняет его первозданный вид.</t>
  </si>
  <si>
    <t>1379757-426</t>
  </si>
  <si>
    <t>В этом худи Under Armour Rival Fleece Hoodie вы согреетесь и будете готовы практически ко всему. Худи легкое, удобное и очень мягкое внутри. 
Детали:
 - Ультрамягкий флис из смесового хлопка с начесом внутри для дополнительного тепла
- Передний карман-кенгуру
- Ребристые манжеты и нижний край
- Капюшон со шнурком
Рекомендации по уходу: Машинная стирка при температуре 30 градусов. Не сушить в сушильной машине. Не отбеливать. Не подвергать химической чистке.</t>
  </si>
  <si>
    <t>1379757-743</t>
  </si>
  <si>
    <t>желтый/белый</t>
  </si>
  <si>
    <t>1379758-001</t>
  </si>
  <si>
    <t>Это снаряжение согреет вас и позволит быть готовым практически ко всему, что вы делаете: оно легкое, удобное и очень мягкое внутри.Функции:Ультрамягкий флис из хлопковой смеси с начесом внутри для дополнительного тепла.Передний карман-кенгуру. Ребристые манжеты и нижний край. Свободная посадка</t>
  </si>
  <si>
    <t>1379758-100</t>
  </si>
  <si>
    <t>1379758-390</t>
  </si>
  <si>
    <t>1379758-410</t>
  </si>
  <si>
    <t>1379758-426</t>
  </si>
  <si>
    <t>1379758-477</t>
  </si>
  <si>
    <t>1379758-600</t>
  </si>
  <si>
    <t>бордовый/белый</t>
  </si>
  <si>
    <t>1379767-001</t>
  </si>
  <si>
    <t>Мужская флисовая толстовка UA Rival - это отличный выбор для тех, кто ценит комфорт и стиль. Она выполнена из высококачественного флиса, который обеспечивает тепло и защиту от холода. Капюшон обеспечивает дополнительную защиту от ветра и дождя. Толстовка имеет удобный крой и эластичные манжеты, которые не сковывают движения.</t>
  </si>
  <si>
    <t>1379767-025</t>
  </si>
  <si>
    <t>1379767-390</t>
  </si>
  <si>
    <t>Мужская флисовая толстовка Under Armour Rival Fleece FZ Hoodie — это идеальное сочетание комфорта и стиля для активных мужчин. Изготовленная из мягкого и теплого флисового материала, она обеспечивает надежную защиту от холода. Универсальный дизайн идеально вписывается как в повседневную, так и в спортивную гардеробную, подчеркивая ваш стиль и активный образ жизни.
- Высококачественный флис из 80% хлопка и 20% полиэстера сохраняет тепло, обеспечивая защиту в прохладную погоду.
- Капюшон с регулируемым шнурком добавляет защиту от ветра и легкого дождя, повышая функциональность модели.
- Удобный крой и эластичные манжеты позволяют свободно двигаться, не ограничивая активность.
- Полная молния спереди облегчает одевание и снимает толстовку, добавляя практичность в использование.
- Карманы для рук обеспечивают дополнительное комфортное хранение мелочей или могут использоваться для согрева рук в холодную погоду.</t>
  </si>
  <si>
    <t>1379767-410</t>
  </si>
  <si>
    <t>78% хлопок, 22% полиэстер</t>
  </si>
  <si>
    <t>1379842-001</t>
  </si>
  <si>
    <t>UA Unstoppable Flc Crew</t>
  </si>
  <si>
    <t>1381688-001</t>
  </si>
  <si>
    <t>Этот мужской свитшот изготовлен из мягкой, эластичной и дышащей ткани с двойной сеткой, что обеспечивает превосходный комфорт и мобильность. Материал не впитывает пот, и благодаря этому одежда очень быстро сохнет. Конструкция эластичная и гарантирует отличную мобильность при движении под любым углом.</t>
  </si>
  <si>
    <t>CLOUDSTRIKE COLORBLOCK JKT</t>
  </si>
  <si>
    <t>1381880-003</t>
  </si>
  <si>
    <t>Лёгкая и технологичная ветровка Under Armour Cloudstrike Colorblock Jacket — отличный выбор для активного города и непредсказуемого климата.
Особенности:
• Технология UA Storm — полностью водоотталкивающая, но при этом дышащая
• Двухслойная ткань с проклеенными швами — защита от дождя и ветра
• Регулируемый капюшон, эластичные манжеты и подол для плотной посадки
• Задний вентиляционный клапан — улучшает циркуляцию воздуха
• Карманы на молнии по бокам и нагрудный карман
• Вставляется и складывается в правый карман — удобно брать с собой
• Экологичный материал — основной состав содержит не менее 90% переработанного нейлона
• Крой: свободный (Fuller cut) — для свободы движений
Уход: стирать и сушить на застёгнутой молнии, холодная стирка, низкая температура сушки, не гладить, без кондиционеров и химчистки</t>
  </si>
  <si>
    <t>UA Tech Textured 1/2 Zip</t>
  </si>
  <si>
    <t>1382797-024</t>
  </si>
  <si>
    <t>UA Tech™ — это наша оригинальная, проверенная экипировка для тренировок: свободная, лёгкая и обеспечивающая охлаждение. Всё, что вам нужно.
Ткань UA Tech™ быстро сохнет, невероятно мягкая и обладает более естественной текстурой.
Материал отводит влагу и очень быстро высыхает.
Удобная застёвка-молния спереди на половину длины изделия облегчает многослойное ношение.</t>
  </si>
  <si>
    <t>1382797-690</t>
  </si>
  <si>
    <t>1383244-279</t>
  </si>
  <si>
    <t>UA Trail Run Jacket</t>
  </si>
  <si>
    <t>1383358-246</t>
  </si>
  <si>
    <t>Under Armour UA Trail Run Jacket 1 — лёгкая и прочная ветровка для трейл-раннинга и активных прогулок. Ткань с технологией UA Storm отталкивает воду и защищает от ветра, при этом хорошо «дышит». Прочный нейлоновый ripstop выдерживает интенсивное использование. Куртка оснащена регулируемым капюшоном, удобными карманами и легко складывается в компактный пакет. Отличный выбор для бега и любой активности на свежем воздухе.</t>
  </si>
  <si>
    <t>PJT ROCK 6M HWT TERRY FZ</t>
  </si>
  <si>
    <t>1383598-273</t>
  </si>
  <si>
    <t>Худи PJT ROCK 6M HWT TERRY FZ – это сочетание несравненного комфорта, высокого качества и уникального стиля, которое вдохновит вас на новые свершения. Разработанное в рамках коллаборации с Двейном "Скалой" Джонсоном, это худи отражает его философию упорства и целеустремленности.
- Материал: Изготовленное из премиального французского терри, худи обеспечивает максимальный комфорт. Мягкая и приятная к телу ткань сохраняет тепло, не перегревая, и идеально подходит для любого времени года. Специальная обработка материала обеспечивает долговечность и износостойкость.
- Функциональный дизайн: Худи оснащено полной молнией (full zip), что позволяет легко надевать и снимать его. Это особенно удобно для многослойного образа, когда можно регулировать температуру тела в зависимости от интенсивности тренировки или изменения погодных условий.
- Детали с мыслью о комфорте: Карманы на молнии предлагают удобные места для хранения мелочей и защиты личных вещей во время движения. Регулируемый капюшон обеспечивает дополнительную защиту от ветра и холода, а рифленые манжеты и подол помогают поддерживать форму и защищают от проникновения холодного воздуха.
- Дизайн и символика: Худи украшено культовым логотипом Project Rock, который символизирует силу воли и непреклонность. Легкий и современный дизайн позволяет носить изделие как на тренировках, так и в повседневной жизни.
- Универсальность: Это худи станет отличным дополнением к вашему спортивному и повседневному гардеробу. Идеально подходит для тренировок в зале, пробежек на улице или просто для отдыха и восстановления после интенсивных занятий.
Худи PJT ROCK 6M HWT TERRY FZ – это не просто одежда, это символ вашего стремления быть лучшей версией себя каждый день. Наденьте его и почувствуйте поддержку и вдохновение от самого "Скалы", достигая новых высот в своих тренировках и повседневной жизни!</t>
  </si>
  <si>
    <t>1384225-601</t>
  </si>
  <si>
    <t>Rival Fleece OS Crew</t>
  </si>
  <si>
    <t>1386463-011</t>
  </si>
  <si>
    <t>Эта экипировка согреет вас и подготовит практически ко всему, что вы делаете — она легкая, удобная и очень мягкая внутри..
Ультрамягкий флис из хлопковой смеси с начесом внутри.
Удлиненный крой и заниженный подол.
Ребристый воротник, манжеты и нижний край.</t>
  </si>
  <si>
    <t>PJT RCK HWT SS HDY TOOLS</t>
  </si>
  <si>
    <t>1386900-709</t>
  </si>
  <si>
    <t>Худи с коротким рукавом от Under Armour идеально сочетает в себе современный стиль и высокий уровень комфорта. 
Изготовлено из ультрамягкого флиса средней плотности с добавлением хлопка. Внутренний начес обеспечивает дополнительное тепло.
Дизайн: 
- Ребристый нижний край придаёт изделию структурированный вид;
- Необработанный край рукава добавляет модный и расслабленный акцент;
- Свободный покрой обеспечивает полный комфорт и свободу движений;
- С капюшоном для дополнительной защиты. 
Практичность: 
Подходит для повседневной носки и занятий спортом, оставаясь как практичной, так и удобной.</t>
  </si>
  <si>
    <t>UA W Expanse Fleece Vest</t>
  </si>
  <si>
    <t>1387025-015</t>
  </si>
  <si>
    <t>Жилет Повседневный UA W Expanse Fleece Vest от Under Armour — это идеальный выбор для женщин, ценящих комфорт и стиль в холодное время года. Выполненный из 100% полиэстера, этот флисовый жилет обеспечивает тепло и легкость, идеально подходя для спортивных занятий и повседневного ношения. Облегающий дизайн сохраняет элегантный внешний вид, не ограничивая свободу движений.
- Мягкая и легкая флисовая ткань обеспечивает комфорт и уют на протяжении всего дня, защищая от холода.
- Универсальность позволяет использовать жилет как для спортивных мероприятий, так и для повседневных выходов.
- Элегантный стиль легко сочетается с вашим существующим гардеробом, придавая образу современность.
- Широкий выбор цветов и размеров позволяет подобрать модель, сочетающуюся с личным стилем.
- Практичный и стильный элемент гардероба, который станет незаменимым в переменчивую погоду.</t>
  </si>
  <si>
    <t>UA Drive Pro Strm LT Ins JKT</t>
  </si>
  <si>
    <t>1387119-015</t>
  </si>
  <si>
    <t>Ветровка UA Drive Pro Strm LT Ins JKT — это покупка, которая обеспечивает тепло и свободу движений. Премиальный материал с технологией UA Storm отталкивает воду, сохраняя воздухопроницаемость, что делает его идеальным выбором для любого сезона. Эмблема UA на рукаве подчеркивает фирменный стиль.
- Легкий и теплый материал softshell со стеганой подкладкой повышает комфорт, обеспечивая свободу движений и сохраняя тепло на долго.
- Технология UA Storm защищает от воды без ущерба для тканей, что делает её идеальной для использования в непредсказуемых погодных условиях.
- Четырехполосный эластичный материал улучшает гибкость и свободу движений, включая интенсивные тренировки и прогулки.
- Надежные карманы на молнии обеспечивают безопасное хранение мелочей, что важно для активного образа жизни.
- Свободный крой дает максимум удобства и свободы, подходя для любого типа тела и занятий спортом.</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</si>
  <si>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Softshell. Защищает от непогоды.</t>
  </si>
  <si>
    <t>UA Drive Midlayer Pullover</t>
  </si>
  <si>
    <t>1387124-001</t>
  </si>
  <si>
    <t>Это джемпер для гольфа обеспечивает дополнительное тепло, не увеличивая вес и объем.
Детали:
Сверхмягкая и эластичная трикотажная ткань двойного плетения обеспечивает тепло и комфорт в течение всего дня.
Материал отводит пот и очень быстро сохнет.
Эластичная ткань, растягивающаяся в 4 направлениях, обеспечивает лучшую свободу движений.</t>
  </si>
  <si>
    <t>67% полиэстер, 24% нейлон, 9% эластан</t>
  </si>
  <si>
    <t>UA W Expanse Fleece FZ</t>
  </si>
  <si>
    <t>1387694-002</t>
  </si>
  <si>
    <t>Создать легкий свитшот, который удерживает тепло тела, не создавая при этом ощущения объемности, — задача непростая. Он обеспечивает исключительный комфорт в любых ситуациях — от ранних утренних прогулок до тренировок поздним вечером.
Характеристики
Легкий материал микрофлиса теплый и невероятно мягкий.
Карманы на молнии для удобства и защиты.
Разработан в соответствии с принципами циклического дизайна Under Armour.
При создании этого изделия особое внимание уделялось использованию переработанных материалов в основном полотне, применению одного типа материала и отказу от эластана.</t>
  </si>
  <si>
    <t>1389352-011</t>
  </si>
  <si>
    <t>1389352-110</t>
  </si>
  <si>
    <t>UA Unstoppable Jacket LC</t>
  </si>
  <si>
    <t>1389354-390</t>
  </si>
  <si>
    <t>Under Armour Men's UA Unstoppable Jacket LC сочетает превосходный дизайн и передовые технологии для идеальной защиты на бегу. Состав из 90% полиэстера и 10% эластана обеспечивает свободу движений и эффективное отведение влаги, что делает эту ветровку незаменимой в вашем гардеробе. Эластичность изделия гарантирует максимальную подвижность, не сковывая движения при беге и других активностях.
- Быстросохнущий материал эффективно впитывает пот и обеспечивает комфорт в любых условиях, поддерживая вас в сухости и свежести.
- Логотип на груди добавляет утонченности и подчеркивает брэнд, делая ветровку стильной как на пробежке, так и в городской жизни.
- Лаконичный дизайн предлагает универсальный стиль, который легко сочетается с другими элементами гардероба.
- Легкость и прочность конструкции обеспечивают износостойкость и долговечность, что идеально подходит для регулярного использования.
- Отличная вентиляция способствует поддержанию оптимального микроклимата, предотвращая перегрев во время интенсивных тренировок.</t>
  </si>
  <si>
    <t>1389356-001</t>
  </si>
  <si>
    <t>1389356-391</t>
  </si>
  <si>
    <t>1389357-001</t>
  </si>
  <si>
    <t>UA Rival Woven Jacket</t>
  </si>
  <si>
    <t>1389631-520</t>
  </si>
  <si>
    <t>Эта ветровка — ваш надежный союзник в любую погоду. Она словно создана для тех моментов, когда небо неожиданно хмурится, а городские улицы окутывает легкая дымка дождя. Технология UA Storm — это ваш невидимый щит. Она отталкивает воду, будто капли скользят по лепесткам цветка, но при этом сохраняет воздухопроницаемость, позволяя коже дышать. Это не просто защита — это комфорт, который вы даже не замечаете.
Легкий эластичный тканый материал делает эту ветровку невесомой, как дуновение ветра. Она облегает ваше тело так мягко, что вы забываете о ее присутствии. Но не обманывайтесь этой легкостью — она создана для долговечности. Каждый стежок выдерживает испытания временем и активным образом жизни. Материал, растягивающийся в четырех направлениях , становится вашей второй кожей. Он следует за каждым движением: будь то резкий поворот, бег или просто прогулка под дождем. Свобода движений здесь абсолютна.
Открытые карманы для рук — это практичность, которая согревает. Они достаточно глубокие, чтобы спрятать ваши руки от прохладного ветра, и достаточно удобные, чтобы хранить мелочи. Эти карманы — маленький бонус, который делает жизнь чуть проще.
Эластичные манжеты и нижний край в обтяжку обеспечивают идеальную посадку. Они мягко обнимают запястья и талию, не давая холодному воздуху пробраться внутрь. Никакого дискомфорта — только уверенность, что ветровка останется на своем месте, где бы вы ни находились.
Водоотталкивающая обработка без фтора — это забота не только о вас, но и о планете. Under Armour доказывает, что технологии могут быть экологичными, а стиль — ответственным. Эта деталь говорит о том, что вы выбираете бренд, который разделяет ваши ценности.
С первого взгляда эта ветровка кажется минималистичной, но именно в этой простоте кроется ее величие. Она не кричит о себе, она действует. Она создана для тех, кто знает цену комфорту, функциональности и стилю.
Under Armour Rival Woven — это больше, чем одежда. Это свобода передвижения, защита от непогоды и уверенность в каждом шаге. Это выбор тех, кто живет активно, несмотря на погоду, и ценит детали, которые делают жизнь лучше.</t>
  </si>
  <si>
    <t>PJT RCK HWT FULL ZIP</t>
  </si>
  <si>
    <t>1389708-299</t>
  </si>
  <si>
    <t>Легкий French Terry имеет гладкую внешнюю сторону и теплую, мягкую внутреннюю.
Материал отводит влагу и очень быстро сохнет.
Открытые карманы.
Опущенные края плечевых швов.</t>
  </si>
  <si>
    <t>PJT RCK ICON FLEECE HDY</t>
  </si>
  <si>
    <t>1389916-100</t>
  </si>
  <si>
    <t>Тренировочная экипировка Project Rock создана, чтобы помогать вам находить границы возможного — и затем преодолевать их. Этот худи из флиса невероятно мягкий, имеет оптимальный уровень тепла и обеспечивает комфорт, держа вас всегда в готовности.
Исключительно мягкий флис средней плотности из смеси хлопка с начёсом внутри для дополнительного тепла
Передний карман-кенгуру
Манжеты и нижняя кромка из трикотажной резинки</t>
  </si>
  <si>
    <t>PJT RCK SL HD</t>
  </si>
  <si>
    <t>1389947-989</t>
  </si>
  <si>
    <t>Сверхмягкая ткань из хлопковой смеси, обеспечивающая комфорт в течение всего дня
Передний карман-кенгуру
Спущенные широкие плечи для максимальной свободы движений
Покрой с заниженной линией талии и фигурным подолом для дополнительного покрытия</t>
  </si>
  <si>
    <t>UA Rival Terry AOP FZ Q1</t>
  </si>
  <si>
    <t>1390139-025</t>
  </si>
  <si>
    <t>Эта толстовка — словно утренний свет, который согревает, не слепит. Она создана для тех, кто ищет баланс между комфортом и стилем, кто ценит каждую деталь своей повседневной жизни. Легкий французский трикотаж с гладким внешним слоем и мягким начесом внутри — это идеальное сочетание практичности и роскоши. Внешне она выглядит безупречно, а внутри дарит ощущение теплых объятий. Каждое прикосновение к ткани напоминает о том, как приятно быть окруженной заботой.
Материал, который отводит пот и быстро сохнет, делает эту толстовку незаменимой для активного образа жизни. Будь то тренировка в зале или прогулка под переменчивым небом, она сохраняет ваше тело сухим и комфортным. Это технология, которая работает так тихо, что вы даже не замечаете ее — просто чувствуете себя легко и уверенно.
Открытые карманы для рук — это маленький, но важный штрих. Они достаточно глубокие, чтобы спрятать ваши ладони от прохладного ветра, и достаточно удобные, чтобы хранить ключи или телефон. Эти карманы — место, где можно найти тепло и уют, когда мир вокруг становится чуть холоднее.
Формованный подол добавляет изделию завершенности и элегантности. Он мягко облегает фигуру, создавая аккуратный силуэт, который подчеркивает вашу индивидуальность. Этот элемент дизайна говорит о внимании к мелочам, которые делают вещь особенной.
С первого взгляда эта толстовка кажется простой, но именно в этой простоте кроется ее уникальность. Минималистичный дизайн украшен изысканным принтом, который добавляет характер и стиль. Это выбор тех, кто предпочитает говорить своим вкусом, а не яркими деталями.
Under Armour Rival Terry Printed — это больше, чем одежда. Это мягкость, которая согревает. Это свобода, которая позволяет вам двигаться без ограничений. Это стиль, который говорит сам за себя. Наденьте ее, и вы почувствуете, что значит быть одновременно уютной и уверенной.
Это толстовка, которая станет вашим любимым предметом гардероба. Она для тех дней, когда хочется быть собой — легко, свободно и красиво.</t>
  </si>
  <si>
    <t>UA Rival Terry Logo Crew Q2</t>
  </si>
  <si>
    <t>1390140-410</t>
  </si>
  <si>
    <t>Толстовка Under Armour — идеальный выбор для мужчин, которые ценят комфорт и спортивный дизайн одежды высокого качества.
Толстовка для мужчин от Under Armour
Быстросохнущая хлопковая ткань
Синтетическая добавка для оптимальной эластичности
Низ и рукава оформлены резинками
Подходит как для повседневной носки, так и во время физических нагрузок</t>
  </si>
  <si>
    <t>UA Rival Wvn Windbreaker</t>
  </si>
  <si>
    <t>1390149-001</t>
  </si>
  <si>
    <t>Есть причины, по которым ветровки остаются незаменимым элементом гардероба каждого спортсмена. Они лёгкие, защищают от ветра, не перегревая тело, и созданы для свободы движений.
Технология UA Storm отталкивает воду, не снижая воздухопроницаемости
Гладкая ткань — лёгкая и исключительно прочная
Ветрозащитная конструкция защищает от непогоды
Полностью сетчатая подкладка для дополнительной вентиляции
Надёжные карманы с zip-замком
Вшитые эластичные манжеты</t>
  </si>
  <si>
    <t>1390149-390</t>
  </si>
  <si>
    <t>1390149-410</t>
  </si>
  <si>
    <t>1390154-001</t>
  </si>
  <si>
    <t>1390154-410</t>
  </si>
  <si>
    <t>1390298-001</t>
  </si>
  <si>
    <t>UA Stretch Wvn WindbreakerEU</t>
  </si>
  <si>
    <t>6003001-001</t>
  </si>
  <si>
    <t>Технология UA Storm отталкивает воду, не жертвуя воздухопроницаемостью
Ветроустойчивые материалы и конструкция защитят вас от непогоды
Легкий эластичный тканый материал обеспечивает превосходную подвижность и долговечность
Просторный трехпанельный капюшон с регулировкой на резинке
Надежные карманы для рук на молнии
Открытая эластичная окантовка на манжетах помогает удерживать рукава на месте
Использует водоотталкивающую обработку без фтора.</t>
  </si>
  <si>
    <t>6003001-025</t>
  </si>
  <si>
    <t>6003001-289</t>
  </si>
  <si>
    <t>UA Vibe Woven Jacket</t>
  </si>
  <si>
    <t>6003001-338</t>
  </si>
  <si>
    <t>UA Unstoppable Non-Hood FZ</t>
  </si>
  <si>
    <t>6003087-299</t>
  </si>
  <si>
    <t>Если вы ищете куртку, в которой можно тренироваться в холодные и дождливые дни — вы её нашли. Сверхлегкая и эластичная, дождь скатывается с неё, и она согревает, но не перегревает.
Технология UA Storm отталкивает воду, не жертвуя воздухопроницаемостью.
Ткань UA Microthread сохнет быстрее, не прилипает к телу, не натирает и растягивается, не впитывая пот.
Ткань Performance Knit обеспечивает комфорт и эластичность трикотажа с внешним видом и структурой ткани плетения.
Материал отводит пот и быстро сохнет.
UPF 50 защищает кожу от вредного воздействия солнечных лучей.
Надёжные карманы на молнии, формованные манжеты и низ изделия.
Использует водоотталкивающую обработку без фтора.
Технология контроля запаха минимизирует появление неприятного запаха.</t>
  </si>
  <si>
    <t>6003978-320</t>
  </si>
  <si>
    <t>UA M Challenger Training QZ</t>
  </si>
  <si>
    <t>6004043-001</t>
  </si>
  <si>
    <t>В коллекции UA Challenger вы найдете всю необходимую футбольную экипировку. Этот джемпер с молнией на четверть длины создан для того, чтобы вы чувствовали себя легко и быстро на поле.
Детали:
Текстурированная трикотажная ткань легкая, прочная и дышащая.
Материал отводит пот и очень быстро сохнет.
Застежка-молния на четверть длины позволяет легко надевать одежду поверх другой одежды.
Встроенные отверстия для больших пальцев помогают удерживать рукава на месте.</t>
  </si>
  <si>
    <t>UA BCL Storm Hooded Jkt</t>
  </si>
  <si>
    <t>6005900-001</t>
  </si>
  <si>
    <t>Ветровка Under Armour® Storm UA Vanish -Современная защита от ветра и лёгкой влаги — без компромиссов в комфорте и стиле.
Ветровка Under Armour Storm UA Vanish создана для тех, кто ценит функциональность, лёгкость и безупречный спортивный стиль. Благодаря инновационной технологии UA Storm, ткань эффективно отталкивает влагу и ветер, сохраняя при этом отличную воздухопроницаемость — вы остаётесь сухими и комфортными даже при переменчивой погоде. Ключевые особенности: Технология UA Storm — водо- и ветроотталкивающая пропитка. Лёгкий, компактный крой — не стесняет движений, удобна в переноске (складывается в собственный карман). Полностью регулируемый капюшон — плотная посадка, защита от ветра✔️ Молния с защитной планкой — предотвращает натирание шеи. Два боковых кармана на молнии — безопасное хранение мелких вещей. Эластичные манжеты и подол с кулиской — надёжная фиксация и защита от сквозняков. Материал: 100% полиэстер (лёгкий, прочный, быстросохнущий).
Идеальна для бега, тренировок на улице, повседневной носки или как компактный слой в путешествиях. Чёрный цвет обеспечивает универсальность — легко сочетается с любой спортивной или casual-одеждой.</t>
  </si>
  <si>
    <t>6005900-025</t>
  </si>
  <si>
    <t>UA Icon Flc Graphic Top</t>
  </si>
  <si>
    <t>6007591-011</t>
  </si>
  <si>
    <t>Мужской худи Under Armour Icon Fleece Graphic изготовлен из исключительно мягкой флисовой ткани для дополнительного тепла и имеет опущенные плечи для свободного, оверсайз-кроя. Манжеты и нижний край выполнены из риб-трикотажа, обеспечивая плотную посадку. Флис средней плотности, невероятно мягкий, с хлопковым смесовым составом и ворсистой внутренней поверхностью для дополнительного утепления.
Передний карман «кенгуру»
Риб-манжеты и нижний край
Свободный крой</t>
  </si>
  <si>
    <t>6007591-418</t>
  </si>
  <si>
    <t>Under Armour UA Icon Fleece Graphic Hoodie: Теплое и стильное худи с графикой.
Худи Under Armour Icon Fleece Graphic — это сочетание классического стиля и современного комфорта. Оно создано из ультрамягкого флиса средней плотности, обеспечивающего тепло и уют, и отлично подходит как для занятий спортом, так и для повседневной носки. 
 Идеально подходит для повседневного использования в прохладную погоду, отдыха дома, а также в качестве разминочной одежды до или после тренировок.Изготовлено из ультрамягкого флиса средней плотности (смесь хлопка и полиэстера) с начесом на внутренней стороне для дополнительного тепла и мягкости. Свободный, объемный крой (Oversized/Loose fit) с заниженными плечами. Передний карман-кенгуру. Ребристые манжеты и нижний край для надежной фиксации.Материал: Смесь хлопка и полиэстера. На  худи присутствует вышитый логотип Under Armour, что характерно для моделей UA Icon Fleece Graphic.</t>
  </si>
  <si>
    <t>6008900-418</t>
  </si>
  <si>
    <t>UA Rival LW FZ</t>
  </si>
  <si>
    <t>6009346-011</t>
  </si>
  <si>
    <t>Эта легкая французская махра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Открытые боковые карманы для рук
Манжеты и нижний край с резинкой
Спущенная линия плеча для свободного, расслабленного кроя и ощущений</t>
  </si>
  <si>
    <t>UA Rival LW Crew</t>
  </si>
  <si>
    <t>6009347-001</t>
  </si>
  <si>
    <t>Эта легкая французская махровая ткань на ощупь напоминает флис, но не создает ощущения излишнего тепла, характерного для ворсистого флиса. Это делает ее идеальной для прохладных летних ночей или утренних тренировок.
Детали:
Легкий французский махровый трикотаж имеет гладкую внешнюю поверхность и теплую, мягкую внутреннюю часть.
Материал отводит пот и очень быстро сохнет.
Ребристый воротник, манжеты и нижний край.
Спущенный низ на плечах для свободной, непринужденной посадки.</t>
  </si>
  <si>
    <t>6009347-299</t>
  </si>
  <si>
    <t>UA Rival Fleece Nov Hoodie</t>
  </si>
  <si>
    <t>6009353-410</t>
  </si>
  <si>
    <t>Эта толстовка согреет вас и подготовит практически к любым занятиям — она лёгкая, удобная и невероятно мягкая с внутренней стороны.
Ультрамягкий флис из хлопковой смеси с начёсом внутри для дополнительного тепла
Передний карман-«кенгуру»
Рифлёные манжеты и нижний край изделия</t>
  </si>
  <si>
    <t>UA Icon Woven Track FZ</t>
  </si>
  <si>
    <t>6009436-001</t>
  </si>
  <si>
    <t>Это идеальная спортивная куртка для поддержания мышц в тонусе — для любых видов спорта и тренировок. Она лёгкая, водостойкая и удобна для многослойной носки или компактной упаковки, когда вы переходите к активным действиям.
Технология UA Storm отталкивает воду, не жертвуя воздухопроницаемостью
Тканая основа с текстурой «кринкл» по всей поверхности: лёгкая и прочная
Надёжные боковые карманы на молнии
Эластичные манжеты и нижний край с укреплённой окантовкой для надёжной посадки</t>
  </si>
  <si>
    <t>M Explor Trail Run 1/4 Zip</t>
  </si>
  <si>
    <t>6009553-016</t>
  </si>
  <si>
    <t>Беговая экипировка, разработанная специально для преодоления препятствий на пересеченной местности. Легкая, сверхпрочная, эластичная и быстросохнущая. Ни один трейл не будет слишком сложным.
Особенности:
Сетчатая ткань UA Microthread сохнет быстрее, не прилипает к телу, не вызывает раздражения и растягивается, не впитывая пот
Материал отводит влагу и очень быстро сохнет
Прочная ткань Airvent под мышками и по центру спины для дополнительной воздухопроницаемости в нужных зонах
Застежка-молния на ¼ длины обеспечивает удобство при многослойной носке
Встроенные отверстия для больших пальцев помогают зафиксировать рукава; специальное отверстие для часов на левом запястье для быстрого и удобного доступа
Рукава реглан
Технология контроля запаха минимизирует появление неприятных ароматов</t>
  </si>
  <si>
    <t>UA Rival Woven Ruched Vest</t>
  </si>
  <si>
    <t>6009679-001</t>
  </si>
  <si>
    <t>Это идеальный жилет для разминки, который поможет сохранить ваши мышцы готовыми к любому виду спорта или тренировке. Он лёгкий, водонепроницаемый, отлично подходит для многослойной экипировки и легко убирается, когда вы готовы перейти к серьёзным нагрузкам. Технология UA Storm обеспечивает водонепроницаемость без ущерба для воздухопроницаемости. Лёгкая эластичная ткань дарит полную свободу движений и высокую износостойкость.
Основные особенности:
Материал: 100% полиэстер
Технология UA Storm: водонепроницаемая защита без ограничения воздухопроницаемости
Лёгкая эластичная ткань обеспечивает абсолютную свободу движений и высокую прочность
Ткань с 4-сторонней растяжкой для максимальной мобильности в любом направлении
Открытые боковые карманы
Эластичный низ с кулиской и шнурком для регулировки посадки
Декоративная кулиска для дополнительного стиля
Водонепроницаемое покрытие без использования фтора
Свободный крой для максимального комфорта</t>
  </si>
  <si>
    <t>Sport Terry Trend Hoodie</t>
  </si>
  <si>
    <t>6009705-100</t>
  </si>
  <si>
    <t>Этот лёгкий французский терри обладает мягкой фактурой флиса, но без излишнего тепла начёсанного материала. Благодаря этому он идеально подходит для прохладных летних вечеров или утренних тренировок.
Лёгкая ткань французского терри обеспечивает превосходный комфорт и воздухопроницаемость
Ткань с растяжением в 4 направлениях обеспечивает свободу движений в любом направлении
Оригинальные рукава с объёмной деталью «пафф», рифлёные манжеты и нижний край изделия
Спущенная линия плеча для свободного кроя и расслабленного ощущения</t>
  </si>
  <si>
    <t>6009705-338</t>
  </si>
  <si>
    <t>UA Drive Lightweight 1/2 Zip</t>
  </si>
  <si>
    <t>6009748-001</t>
  </si>
  <si>
    <t>Этот слой для гольфа обеспечивает дополнительное тепло без лишнего веса и объёма.
Технология UA Storm отталкивает воду, не жертвуя воздухопроницаемостью
Лёгкая ткань с мягким начёсом и инженерным жаккардовым узором для превосходной воздухопроницаемости и динамичного вида
Ткань с растяжением в 4 направлениях обеспечивает свободу движений в любом направлении
Передняя молния на ½ длины для удобной многослойной носки, дополненная современным спортивным воротником-стойкой
Усовершенствованный крой для неограниченной амплитуды свинга и повышенного комфорта
Силиконовый логотип на рукаве и тканая бирка-держатель для ти на боковом шве
Используется водоотталкивающая пропитка без содержания фтора</t>
  </si>
  <si>
    <t>UA T2G 1/4 Zip</t>
  </si>
  <si>
    <t>6010129-001</t>
  </si>
  <si>
    <t>Создано для сверхкомфортной посадки и ощущений, при этом обеспечивает отведение влаги, защиту от перегрева и высокую производительность.
Особенности:
Мягкая ткань с защитой от катышков и зацепок, чрезвычайно воздухопроницаемая и легкая
Материал с растяжкой в 4 направлениях обеспечивает свободу движений в любом направлении
Материал отводит влагу и очень быстро сохнет
Застежка-молния на ¼ длины обеспечивает удобство при многослойной носке
Технология контроля запаха минимизирует появление неприятных ароматов</t>
  </si>
  <si>
    <t>Luna Wvn FZ</t>
  </si>
  <si>
    <t>6010350-110</t>
  </si>
  <si>
    <t>Всегда на высоте — эта куртка на молнии выполнена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Технология UA Storm: отталкивает воду без ущерба для воздухопроницаемости
Стретч-ткань плотного плетения: лёгкая, прочная и движется вместе с вами
Надёжные карманы для рук на молнии
Регулируемый шнурок по нижнему краю и эластичные манжеты в кулиске для надёжной посадки
Спущенная линия плеча и удлинённый задний край для стильного силуэта</t>
  </si>
  <si>
    <t>6010350-230</t>
  </si>
  <si>
    <t>UA BCL 1/4 Zip</t>
  </si>
  <si>
    <t>6010887-001</t>
  </si>
  <si>
    <t>Длинные дистанции и скоростные забеги начинаются с невероятного комфорта, идеальной эластичности и ощущения легкости. Именно это вы получаете с UA BCL. По сути, возникает полное ощущение, будто на вас вообще ничего нет.
Детали:
Сверхмягкая, легкая ткань с обновленным жаккардовым узором и добавлением эластичных волокон для улучшенной воздухопроницаемости и циркуляции воздуха.
Материал отводит пот и очень быстро сохнет.
Эластичная ткань, растягивающаяся в 4 направлениях, обеспечивает лучшую свободу движений.
Обновленный, более свободный крой с более высоким воротником для большего комфорта и защиты от посторонних взглядов.
Застежка-молния на четверть длины позволяет легко надевать несколько слоев одежды.
Боковой разрез по низу.
Технология контроля запаха минимизирует его появление.</t>
  </si>
  <si>
    <t>UA MatchPlay 1/4 Zip</t>
  </si>
  <si>
    <t>6010892-001</t>
  </si>
  <si>
    <t>Универсальный средний слой, разработанный для обеспечения комфорта и свободы движений на поле для гольфа. Изготовлен из мягкой, дышащей ткани с добавлением эластичных волокон — поддерживает плавный, ничем не скованный свинг и помогает регулировать температуру тела на протяжении всей игры.
Идеально подходит для многослойной экипировки в прохладную погоду: эта модель с четверть-молнией сочетает надёжную функциональность с лаконичным современным дизайном, который уместен как на поле, так и в повседневной носке.
Ключевые особенности:
🔹 Мягкая двойная вязка (Double Knit) — обеспечивает приятные тактильные ощущения при контакте с кожей, оставаясь воздухопроницаемой: сохраняет тепло, не допуская перегрева во время игры
🔹 Встроенная эластичность для свободы движений — гибкий материал естественно повторяет движения тела, обеспечивая полную амплитуду при свинге и комфорт при ходьбе между ударами
🔹 Дизайн с четверть-молнией спереди — упрощает многослойную экипировку и позволяет регулировать вентиляцию при изменении погодных условий, сохраняя комфорт от первого ти до последнего лунки
🔹 Технология контроля запаха — помогает минимизировать появление неприятных запахов во время длительных раундов или тренировочных сессий, обеспечивая ощущение свежести на протяжении всего дня</t>
  </si>
  <si>
    <t>71% полиэстер, 29% эластан</t>
  </si>
  <si>
    <t>SU Mesh Bomber</t>
  </si>
  <si>
    <t>6010983-001</t>
  </si>
  <si>
    <t>Эта мужская куртка-бомбер создана с упором на функциональность. Она изготовлена из легкой, прочной тканой и дышащей сетчатой ткани. Кроме того, имеет надежные карманы для хранения вещей.
Детали:
Внешняя сторона из сетчатого материала с принтом и легкая тканая внутренняя подкладка обеспечивают комфорт и долговечность.
Надежные боковые карманы на кнопках и карман на молнии на левом рукаве.
Ребристый воротник, манжеты и нижний край.</t>
  </si>
  <si>
    <t>Sport Terry FZ</t>
  </si>
  <si>
    <t>6011017-001</t>
  </si>
  <si>
    <t>Этот лёгкий французский терри обладает мягкой фактурой флиса, но без излишнего тепла начёсанного материала. Благодаря этому он идеально подходит для прохладных летних вечеров или утренних тренировок.
Лёгкая ткань французского терри обеспечивает превосходный комфорт и воздухопроницаемость
Ткань с растяжением в 4 направлениях обеспечивает свободу движений в любом направлении
Открытые боковые карманы
Спущенная линия плеча для свободного кроя и расслабленного ощущения</t>
  </si>
  <si>
    <t>UA Tech Sport Woven Jkt</t>
  </si>
  <si>
    <t>6011267-001</t>
  </si>
  <si>
    <t>Лёгкая и дышащая ветровка, разработанная для любых тренировочных сессий и повседневных активностей. Комфортная, гибкая и износостойкая — она обеспечивает максимальную свободу движений, одновременно создавая современный спортивный образ.
Детали:
 Ультралёгкая ткань с приятной текстурой — комфортна в носке в течение всего дня
 Воздухопроницаемый материал — помогает сохранять ощущение комфорта даже во время интенсивных нагрузок
 Эластичная тканая основа — обеспечивает оптимальную свободу движений в любом направлении
 Защищённые карманы на молнии — надёжное хранение самых необходимых вещей
 Эластичные манжеты и нижняя кромка — обеспечивают плотную, но комфортную посадку и не стесняют движений
 Удобный современный крой — универсальный дизайн, подходящий как для спорта, так и для повседневного стиля (Sport &amp; Lifestyle)
 Рельефный логотип Under Armour — премиальная отделка, подчёркивающая качество исполнения</t>
  </si>
  <si>
    <t>6011267-408</t>
  </si>
  <si>
    <t>Лёгкая и дышащая ветровка, разработанная для любых тренировочных сессий и повседневных активностей. Комфортная, гибкая и износостойкая — она обеспечивает максимальную свободу движений, одновременно создавая современный спортивный образ.
Детали:
🔹 Ультралёгкая ткань с приятной текстурой — комфортна в носке в течение всего дня
🔹 Воздухопроницаемый материал — помогает сохранять ощущение комфорта даже во время интенсивных нагрузок
🔹 Эластичная тканая основа — обеспечивает оптимальную свободу движений в любом направлении
🔹 Защищённые карманы на молнии — надёжное хранение самых необходимых вещей
🔹 Эластичные манжеты и нижняя кромка — обеспечивают плотную, но комфортную посадку и не стесняют движений
🔹 Удобный современный крой — универсальный дизайн, подходящий как для спорта, так и для повседневного стиля (Sport &amp; Lifestyle)
🔹 Рельефный логотип Under Armour — премиальная отделка, подчёркивающая качество исполнения</t>
  </si>
  <si>
    <t>UA Drive 1/2 Zip</t>
  </si>
  <si>
    <t>6011279-001</t>
  </si>
  <si>
    <t>Этот слой для гольфа обеспечивает дополнительное тепло без лишнего веса и объема.
Особенности:
Технология UA Storm отталкивает влагу, не жертвуя воздухопроницаемостью
Легкая ткань с начесом и инженерной жаккардовой текстурой для превосходной воздухопроницаемости и динамичного внешнего вида
Плетеная эластичная ткань на плечах, рукавах и воротнике для повышенной износостойкости и защиты
Материал с растяжкой в 4 направлениях обеспечивает свободу движений в любом направлении
Удлиненная планка с молнией на ½ длины обеспечивает удобство при многослойной носке
Манжеты на резинке в кулиске
Стильные детали из канта
Используется водоотталкивающая пропитка без фтора</t>
  </si>
  <si>
    <t>Rival Fleece Script HZ</t>
  </si>
  <si>
    <t>6012292-011</t>
  </si>
  <si>
    <t>UA Rival LW Hoodie</t>
  </si>
  <si>
    <t>6012335-001</t>
  </si>
  <si>
    <t>Эта легкая французская махровая ткань на ощупь напоминает флис, но не создает ощущения излишнего тепла, характерного для ворсистого флиса. Это делает ее идеальной для прохладных летних ночей или утренних тренировок.
Детали:
Легкий французский махровый трикотаж имеет гладкую внешнюю поверхность и тёплый, мягкий внутренний слой
Материал отводит пот и очень быстро сохнет
Открытые боковые карманы
Ребристые манжеты и нижний край
Спущенные плечи для свободной, непринужденной посадки</t>
  </si>
  <si>
    <t>6012335-299</t>
  </si>
  <si>
    <t>6012335-338</t>
  </si>
  <si>
    <t>6012335-498</t>
  </si>
  <si>
    <t>M Challenger Track Jacket</t>
  </si>
  <si>
    <t>6014168-001</t>
  </si>
  <si>
    <t>В коллекции UA Challenger вы найдете всю необходимую футбольную экипировку.  Этот спортивная олимпийка создана для того, чтобы вам было тепло и вы были готовы ко всему на поле.
Детали:
Текстурированная трикотажная ткань легкая, прочная и воздухопроницаемая.
Материал отводит пот и очень быстро сохнет.
Открытые боковые карманы.</t>
  </si>
  <si>
    <t>UA Unstoppable Woven Jacket</t>
  </si>
  <si>
    <t>6014621-014</t>
  </si>
  <si>
    <t>Всегда на высоте — эта куртка создана из нашей самой технологичной тканой материи, которая отталкивает воду, растягивается, когда это нужно, и обладает исключительной прочностью. Поэтому, выходя на улицу, вы можете делать это с уверенностью.
• Технология UA Storm отталкивает влагу, не жертвуя воздухопроницаемостью
• Эластичная тканая основа — лёгкая, износостойкая и не сковывает движений
• Надёжные ручные карманы на молнии
• Шнурки-регуляторы на капюшоне и по нижнему краю для идеальной посадки</t>
  </si>
  <si>
    <t>6014621-299</t>
  </si>
  <si>
    <t>6014621-338</t>
  </si>
  <si>
    <t>6014621-498</t>
  </si>
  <si>
    <t>6014686-338</t>
  </si>
  <si>
    <t>Favorite Knit Tank</t>
  </si>
  <si>
    <t>1284888-692</t>
  </si>
  <si>
    <t>Майка</t>
  </si>
  <si>
    <t>Футболки и майки</t>
  </si>
  <si>
    <t>Charged Cotton обеспечивает комфорт быстросохнущего хлопка. Уникальная система отвода влаги отводит пот и обеспечивает быстрое высыхание, а боковые швы внахлест делают силуэт более стройным и привлекательным. Классический дизайн спинки с вырезом «плавать вверх». Прилегание: Идеальное прилегание к телу, без сжатия. Charged Cotton обеспечивает комфорт быстросохнущего хлопка. Уникальная система переноса влаги отталкивает пот и обеспечивает быстрое высыхание. Четырехсторонняя эластичная ткань для большей подвижности. Технология защиты от запаха сохраняет одежду чистой дольше. Многослойный боковой шов делает силуэт более стройным и привлекательным. Классический дизайн спинки с глубоким вырезом.</t>
  </si>
  <si>
    <t>Хлопок 57%, Полиэстер 38%, Эластан 5%</t>
  </si>
  <si>
    <t>PJT RCK RUGBY SHIRT</t>
  </si>
  <si>
    <t>1387512-001</t>
  </si>
  <si>
    <t>Футболка</t>
  </si>
  <si>
    <t>Футболка для мужчин Under Armour Pjt Rck Rugby Shirt сочетает в себе стиль и функциональность, что делает её отличным выбором для активных людей. Изготовленная из прочного нейлона с добавлением эластана, эта футболка обеспечивает исключительную эластичность и комфорт, прекрасно адаптируясь к каждому вашему движению. Круглый ворот и короткие рукава подчеркивают классический спортивный дизайн, а материал эффективно отводит влагу, поддерживая ощущение свежести в течение всего дня. Эта футболка является частью линии Project Rock, вдохновленной стремлением к преодолению пределов и достижению новых высот. Идеальна как для тренировок, так и для повседневной носки, она станет незаменимой частью гардероба.</t>
  </si>
  <si>
    <t>90% нейлон, 10% эластан</t>
  </si>
  <si>
    <t>UA W SMARTFORM EVOLUTION MID</t>
  </si>
  <si>
    <t>1373826-001</t>
  </si>
  <si>
    <t>Бра</t>
  </si>
  <si>
    <t>Привет, спортсмены! Представляем вам новый UA W SMARTFORM EVOLUTION MID - идеальный спортивный топ для вашего активного образа жизни. Наша технология SMARTFORM идеально подходит для динамичных тренировок и поможет вам справиться с любым вызовом. Материал топа прекрасно приспосабливается к вашему телу, обеспечивая поддержку и комфорт при интенсивных движениях. Невероятно легкий и дышащий материал позволяет вашей коже дышать, создавая ощущение свежести и комфорта на протяжении всей тренировки. UA W SMARTFORM EVOLUTION MID - практичный и функциональный топ, который выдерживает длительные занятия и позволяет вам оставаться на пике максимальной производительности. Будьте лучшими с UA W SMARTFORM EVOLUTION MID!</t>
  </si>
  <si>
    <t>SmartForm Evolution Mid</t>
  </si>
  <si>
    <t>1373826-501</t>
  </si>
  <si>
    <t>QUALIFIER COLD LONGSLEEVE</t>
  </si>
  <si>
    <t>1379304-100</t>
  </si>
  <si>
    <t>Лонгслив</t>
  </si>
  <si>
    <t>Откройте для себя всесезонное совершенство с лонгсливом UA Qualifier Cold Longsleeve – мастерским творением от Under Armour, созданным для тех, кто никогда не останавливается перед холодом. Эта одежда обладает всеми необходимыми качествами для того, чтобы стать вашим незаменимым компаньоном в холодную погоду.
Технологическое тепло: Уникальное сочетание волокон и ткани с технологией ColdGear от Under Armour обеспечивает необходимое удержание тепла и быстрый отвод влаги от тела, поддерживая ваш комфорт даже в самые холодные дни.
Легкость и гибкость: Невероятно легкий и эластичный материал усиливает вашу подвижность и не сковывает движений во время бега, фитнеса или любых других видов активностей.
Бесшовная конструкция: Минимум швов в UA Qualifier Cold Longsleeve предотвращает натирание, обеспечивая комфорт на протяжении всего времени носки, что делает его идеальным для длительных тренировок и соревнований.
Влагоотводящая технология: Система влагоотвода от Under Armour поддерживает вас сухим, отводя пот от вашей кожи и ускоряя испарение, повышая общее ощущение комфорта.
Утонченный дизайн: Приталенный крой и стильные дизайнерские элементы делают UA Qualifier Cold Longsleeve стильным элементом спортивного гардероба, который хорошо выглядит как во время тренировок, так и в повседневной жизни.
Дышащие вставки: Стратегически размещенные дышащие панели улучшают воздухопроницаемость в ключевых зонах, обеспечивая дополнительный поток воздуха там, где это необходимо больше всего.
Долговечность и качество: Высококачественные материалы и надежная отделка гарантируют, что лонгслив UA Qualifier Cold Longsleeve выдержит испытание временем и интенсивными тренировками.
Добавьте в свою тренировочную рутину новую энергию с лонгсливом UA Qualifier Cold Longsleeve, который дарит уверенность в любую погоду и помогает оставаться сфокусированным только на вашей цели. Удивительное сочетание тепла, комфорта и стиля делает его непреодолимым выбором для атлетов, стремящихся преодолеть холод и выйти на новый уровень своих достижений.</t>
  </si>
  <si>
    <t>PJT RCK MESH TANK BOH</t>
  </si>
  <si>
    <t>1386888-505</t>
  </si>
  <si>
    <t>Майка Pjt Rck Mesh Tank Boh — отличный выбор для мужчин, серьёзно подходящих к тренировкам и ценящих комфорт. Эта майка без рукавов с круглым вырезом обеспечивает максимальную свободу движений, что делает её идеальной для любых спортивных занятий. Изготовленная из высококачественного и дышащего материала, она эффективно отводит влагу и позволяет коже дышать, помогая вам оставаться свежим даже во время интенсивных тренировок. Сетчатая структура ткани способствует дополнительной вентиляции, а стильный дизайн делает майку универсальным элементом гардероба. Независимо от того, занимаетесь ли вы в зале или на улице, эта майка станет вашим надёжным спутником, сочетая в себе функциональность и современный стиль.</t>
  </si>
  <si>
    <t>UA PJT RCK PAYOFF GRAPHC SS</t>
  </si>
  <si>
    <t>1383191-800</t>
  </si>
  <si>
    <t>Футболка Under Armour Project Rock Payoff Graphic Short Sleeve – это не просто элемент спортивной одежды, а воплощение философии Dwayne "The Rock" Johnson о непрерывном стремлении к достижению поставленных целей и преодолению любых преград. Эта футболка идеально сочетает в себе стиль, функциональность и высокое качество, делая ее незаменимой для тех, кто ценит активный образ жизни и мотивацию.
Основные характеристики:
1. Материал: Футболка выполнена из мягкой и прочной смеси хлопка и полиэстера, обеспечивающей приятные тактильные ощущения и долговечность. Этот материал отлично дышит, что позволяет вам чувствовать себя комфортно в течение всего дня.
2. Технология Moisture Transport System: Инновационная технология эффективно отводит влагу от тела, сохраняя ощущение сухости и комфорта даже при самых интенсивных тренировках.
3. Крой и посадка: Футболка имеет свободный крой (Loose Fit), который обеспечивает максимальную свободу движений. Специальная конструкция швов снижает вероятность натирания и раздражения кожи, что особенно важно при активных занятиях спортом.
4. Дизайн: Стильный и мотивационный графический принт в ином фирменном стиле Project Rock на груди подчеркивает вашу целеустремленность и приверженность философии Dwayne "The Rock" Johnson. Логотип Project Rock сочетает в себе символ Быка – метафору силы, выносливости и решимости.
5. Прочность и легкость: Материалы и конструкция футболки рассчитаны на долговечность, что делает ее идеальным выбором для ежедневного использования и интенсивных тренировок.
Идеальное применение:
Under Armour Project Rock Payoff Graphic Short Sleeve идеально подходит для самых разнообразных видов спортивной активности – от тренировок в спортзале и на открытом воздухе до пробежек и активного отдыха. Она также отлично впишется в повседневный гардероб, благодаря своему стильному и универсальному дизайну.
Выбирая футболку Under Armour Project Rock Payoff Graphic Short Sleeve, вы делаете выбор в пользу качества, комфорта и настоящей мотивации. Эта футболка станет не просто частью вашего спортивного комплекта, но и символом вашей настойчивости и стремления к победе. Будьте готовы преодолевать любые преграды вместе с ней!</t>
  </si>
  <si>
    <t>UA UTILITY LS</t>
  </si>
  <si>
    <t>1367967-390</t>
  </si>
  <si>
    <t>Двухслойная ткань с очень теплой матовой внутренней частью и гладкой, быстро сохнущей внешней стороной. Вставки из эластичной сетки на спине и подмышках обеспечивают стратегическую вентиляцию без ущерба для тепла.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t>
  </si>
  <si>
    <t>1383191-100</t>
  </si>
  <si>
    <t>UA Authentics Mid Padless</t>
  </si>
  <si>
    <t>1373865-012</t>
  </si>
  <si>
    <t>Under Armour UA Authentics Mid Padless — это функциональный и стильный топ, идеально подходящий для активных тренировок и повседневного ношения. Этот топ выполнен из высококачественного, легкого и дышащего материала, который обеспечит максимальный комфорт и свободу движений. Благодаря технологии отвода влаги, он эффективно отводит пот, позволяя вашей коже оставаться сухой даже при интенсивных занятиях спортом. Минималистичный дизайн без лишних деталей и надежная посадка делают этот топ универсальным выбором для любой фитнес-активности. Люди, активно занимающиеся спортом, оценят продуманный крой и эластичность, которые позволяют топу идеально сидеть на теле и не стеснять движений. В дополнение, специальный антибактериальный слой предотвращает появление неприятного запаха, обеспечивая свежесть на длительное время.</t>
  </si>
  <si>
    <t>UA Icon Polo</t>
  </si>
  <si>
    <t>1386608-465</t>
  </si>
  <si>
    <t>Поло</t>
  </si>
  <si>
    <t>Мужская рубашка-поло прекрасно подойдет к самым разным повседневным стилям, а также станет элементом спортивного образа. 
Характеристики:
Просторный свободный крой, обеспечивающий комфорт во время активности и полный диапазон движений.
Стандартный крой до бедра.
Изготовлена из 60% хлопка, что делает ее прочным, мягким и приятным на ощупь.
Добавление полиэстера (40%) делает материал прочным и лучше держит форму.
Классический воротник, застегивающийся на 3 пуговицы.
Небольшой логотип Under Armour спереди
Боковые разрезы обеспечивают большую свободу движений.</t>
  </si>
  <si>
    <t>UA SUMMIT KNIT CREW</t>
  </si>
  <si>
    <t>1370417-001</t>
  </si>
  <si>
    <t>Мы создали эту экипировку, чтобы удовлетворить запросы спортсменов отовсюду. Неважно, как вы выглядите, откуда вы или каким видом спорта вы занимаетесь — мы поддерживаем всех спортсменов, без исключения. Ткань двойного переплетения мягкая, эластичная и дышащая обеспечивает превосходный комфорт и мобильность. Материал отводит пот и очень быстро сохнет. Эластичная конструкция обеспечивает любое передвижение во всех направлениях. Тканые накладки используются для дополнительной прочности. Есть карманы.</t>
  </si>
  <si>
    <t>UA HG Authentics Mid Branded</t>
  </si>
  <si>
    <t>1383544-572</t>
  </si>
  <si>
    <t>Спортивный топ UA HG Authentics Mid Branded - это высокотехнологичное снаряжение, созданное для обеспечения исключительного комфорта и поддержки во время тренировок. Этот топ от Under Armour сочетает в себе инновационные материалы и продуманный дизайн, что делает его идеальным выбором для активных женщин, стремящихся к максимальным результатам. Оснащенный технологией HeatGear®, топ обеспечивает оптимальное отведение влаги и поддержание прохлады, что является критически важным при интенсивных физических нагрузках. Материал обладает великолепной эластичностью и износостойкостью, а благодаря компрессионной посадке способствует улучшению кровообращения и уменьшению мышечной усталости.</t>
  </si>
  <si>
    <t>1373865-002</t>
  </si>
  <si>
    <t>UA SEAMLESS STRIDE SS</t>
  </si>
  <si>
    <t>1375692-100</t>
  </si>
  <si>
    <t>Откройте для себя производительность, переосмысленную с новой футболкой UA Seamless Stride SS от Under Armour. Эта инновационная спортивная футболка создана, чтобы обеспечить максимальный комфорт во время самых напряженных тренировок. Бесшовная конструкция - Говорите "нет" дискомфорту! С нашей эксклюзивной бесшовной технологией футболка UA Seamless Stride SS избавляет от лишних швов, предотвращая трение и раздражение кожи, даже во время самых интенсивных упражнений. 4-сторонняя растяжка – Футболка разработана с учетом необходимости свободы движений, обеспечивая исключительную гибкость и поддержку при каждом занятии. Влагоотводящий материал – Система Moisture Transport System быстро отводит влагу от тела, снижая перегрев и обеспечивая ощущение сухости и свежести на протяжении всей тренировки. Антимикробная обработка – Борьба с неприятными запахами благодаря антимикробной технологии, которая помогает поддерживать вашу одежду свежей дольше. Стиль и функциональность – Строгий, но стильный дизайн с нашим узнаваемым логотипом идеально дополнит ваш спортивный гардероб. Силуэт, подчеркивающий атлетическую фигуру, делает эту футболку идеальным выбором как для тренировок, так и для повседневной носки. UA Seamless Stride SS — не просто одежда, это высокотехнологичное оборудование, помогающее раскрыть ваш полный потенциал. Выбирайте интеллектуальную экипировку, выбирайте Under Armour для наилучших результатов в спорте и за его пределами.</t>
  </si>
  <si>
    <t>63% нейлон, 37% полиэстер</t>
  </si>
  <si>
    <t>Tech Short Sleeve V Neck</t>
  </si>
  <si>
    <t>1255839-100</t>
  </si>
  <si>
    <t>Ткань UA Tech  быстросохнущая, ультра-мягкая и более естественная на ощупь. Материал отводит пот и очень быстро сохнет. Конструкция ткани с 4-сторонним растяжением. Технология защиты от запаха предотвращает рост вызывающих запах микробов. Глубокий воротник с V-образным вырезом и более узкий крой создают элегантный и женственный силуэт. Металлический серебристый логотип спереди на груди.</t>
  </si>
  <si>
    <t>UA M Radial WM SS</t>
  </si>
  <si>
    <t>6009264-498</t>
  </si>
  <si>
    <t>Футболка мужская UA M Radial WM SS.
Детали:
Очень мягкая хлопчатобумажная ткань обеспечивает комфорт в течение всего дня.
Ребристый воротник.</t>
  </si>
  <si>
    <t>UA M SPORTSTYLE LC SS</t>
  </si>
  <si>
    <t>1326799-300</t>
  </si>
  <si>
    <t>Футболка Under Armour  идеально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</si>
  <si>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UA Rival SS</t>
  </si>
  <si>
    <t>1389721-001</t>
  </si>
  <si>
    <t>Все делают футболки с принтами... но Under Armour делает их лучше. Ткань, которую мы используем, легкая, мягкая и быстро сохнет. Эта футболка имеет свободный, оверсайз-крой и низкопрофильные логотипы, поэтому вы можете носить ее с чем угодно.
Сверхмягкая ткань из хлопкового смесового материала обеспечивает комфорт в течение всего дня.
Ребристый воротник.</t>
  </si>
  <si>
    <t>UA Crossback Mid Bra</t>
  </si>
  <si>
    <t>1361034-554</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</si>
  <si>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UA еще лучше. И это сработало. Создан для легкой активности и комфорта в течение всего дня. Обновленные съемные чашки с перфорацией для лучшей формы и воздухопроницаемости. Узкая резинка и ремни с логотипом. Сверхгладкая двухслойная ткань HeatGear обеспечивает превосходное ощущение прикосновения к коже. Материал отводит пот и очень быстро сохнет. Растягивающаяся в четырех направлениях конструкция ткани. Технология защиты от запаха предотвращает рост вызывающих запах микробов. Удалить подушечки перед стиркой.</t>
  </si>
  <si>
    <t>UA HG Mid Branded</t>
  </si>
  <si>
    <t>1383544-681</t>
  </si>
  <si>
    <t>UA Tech Utility SS</t>
  </si>
  <si>
    <t>6004965-690</t>
  </si>
  <si>
    <t>UA Tech™ — наша оригинальная универсальная экипировка для тренировок. Эта футболка с коротким рукавом имеет свободный крой, лёгкая, обеспечивает охлаждение и дополнена светоотражающими деталями.
• Ткань UA Tech™ быстро сохнет, ультрамягкая и имеет более натуральное ощущение на ощупь
• Материал отводит пот и очень быстро сохнет
• Технология контроля запаха минимизирует появление неприятных ароматов
• Светоотражающие детали</t>
  </si>
  <si>
    <t>UA Tech Tee Pixelate</t>
  </si>
  <si>
    <t>6005920-299</t>
  </si>
  <si>
    <t>Under Armour UA Tech Short Sleeve - легкая и дышащая футболка для тренировок.
Футболка UA Tech — это оригинальный функциональный базовый слой Under Armour, созданный для того, чтобы вы чувствовали себя легко, прохладно и комфортно во время любых нагрузок. Эта модель обеспечивает отличную посадку и функциональность. 
Идеально подходит для широкого спектра спортивных дисциплин, включая тренировки в зале, бег, кардио, а также для повседневного ношения в теплую погоду.
 Фирменная ткань UA Tech быстро сохнет, обладает ультрамягким и более естественным ощущением на теле.
 Материал эффективно отводит пот и очень быстро высыхает. Технология Anti-Odor минимизирует размножение бактерий, вызывающих неприятный запах, сохраняя свежесть во время тренировки.Модель имеет свободный крой , не стесняющий движений.
Материал: 100% полиэстер (основная ткань содержит не менее 70% переработанного полиэстера, за исключением отделки).
Формированный нижний край для чистого, спортивного вида. На футболке присутствует большой печатный логотип Under Armour на груди и на спине сверху.</t>
  </si>
  <si>
    <t>UA Hoops Training Tank</t>
  </si>
  <si>
    <t>6012823-016</t>
  </si>
  <si>
    <t>Эта коллекция создана для людей, которые живут и дышат баскетболом. В ней вы найдете ультракомфортные спортивные костюмы, а также футболки, майки и шорты, которые превосходят все остальное на площадке.
Детали:
Сверхмягкая ткань из смеси хлопка обеспечивает комфорт в течение всего дня.
Заниженные проймы для полной свободы движений.
Необработанный край воротника и пройм.
Боковая шлица.</t>
  </si>
  <si>
    <t>Golazo 2.0 Jersey</t>
  </si>
  <si>
    <t>1305828-410</t>
  </si>
  <si>
    <t>Материал с передовой технологией влаговывода UA HeatGear обладает превосходными влоговыводящими свойствами, дарит ощущение прохлады и сухость во время тренировки. Антибактериальная обработка предотвращает рост числа бактерий в ткани, вызывающих нежелательные запахи. Легкость и эластичность материала обеспечат непревзойдённый комфорт во время занятий.</t>
  </si>
  <si>
    <t>Armour Mid Heather</t>
  </si>
  <si>
    <t>1310458-020</t>
  </si>
  <si>
    <t>Топ</t>
  </si>
  <si>
    <t>Ткань обладает эффектом "второй кожи".  
Размеры съемных чашечек от A до C. 
Спортивные топы UA Compression идеально подходят для занятий со средней нагрузкой, таких как езда на велосипеде, силовые тренировки и бокс. 
Классический дизайн спинки-борцовки обеспечивает удивительно широкий диапазон движений.  
Сверхмягкая жаккардовая эластичная резинка обеспечивает удобную посадку. 
Ткань HeatGear обеспечивает максимальный комфорт. 
Материал отводит пот и сохнет очень быстро. 
Материал отлично растягивается, не ограничивая свободу движений.</t>
  </si>
  <si>
    <t>87% Полиэстер, 13% Эластан</t>
  </si>
  <si>
    <t>UA M STACKED LOGO SS</t>
  </si>
  <si>
    <t>6000211-494</t>
  </si>
  <si>
    <t>Все выпускают футболки с принтами... но Under Armour делает их лучше. Мы используем лёгкую, мягкую и быстро сохнущую ткань. Эта футболка дополнена узким принтом спереди для более современного стиля.
— Сверхмягкая ткань из хлопковой смеси обеспечивает комфорт в течение всего дня
— Трикотажный воротник</t>
  </si>
  <si>
    <t>Crossback Mid Bra</t>
  </si>
  <si>
    <t>1361034-010</t>
  </si>
  <si>
    <t>Топ Crossback Mid Bra от Under Armour создан с учетом потребностей современных женщин в комфорте и поддержке. Выполненный из 87% полиэстера и 13% эластана, он обеспечивает отличное влагоотведение и свободу движений, делая его идеальным для тренировок и активного отдыха. Дизайн, разработанный с учетом реальных отзывов женщин, сочетает функциональность и стиль, предлагая уникальное решение для тренировок. - Материал эффективно отводит пот и быстро сохнет, поддерживая ощущение свежести и комфорта на протяжении всей тренировки. - Растягивающаяся в четырех направлениях конструкция ткани обеспечивает свободу движений, позволяя сосредоточиться на максимальной эффективности занятий. - Удобный крой и продуманная конструкция топа гарантируют надежную поддержку без ощущения дискомфорта. - Мягкие и плотные лямки создают дополнительную стабильность и предотвращают соскальзывание во время активных движений. - Идеален для занятий спортом средней интенсивности, таких как фитнес, йога и пилатес.</t>
  </si>
  <si>
    <t>1361034-656</t>
  </si>
  <si>
    <t>Топ Crossback Mid Bra от Under Armour создан с учетом потребностей современных женщин в комфорте и поддержке. Выполненный из 87% полиэстера и 13% эластана, он обеспечивает отличное влагоотведение и свободу движений, делая его идеальным для тренировок и активного отдыха. Дизайн, разработанный с учетом реальных отзывов женщин, сочетает функциональность и стиль, предлагая уникальное решение для тренировок.
- Материал эффективно отводит пот и быстро сохнет, поддерживая ощущение свежести и комфорта на протяжении всей тренировки.
- Растягивающаяся в четырех направлениях конструкция ткани обеспечивает свободу движений, позволяя сосредоточиться на максимальной эффективности занятий.
- Удобный крой и продуманная конструкция топа гарантируют надежную поддержку без ощущения дискомфорта.
- Мягкие и плотные лямки создают дополнительную стабильность и предотвращают соскальзывание во время активных движений.
- Идеален для занятий спортом средней интенсивности, таких как фитнес, йога и пилатес.</t>
  </si>
  <si>
    <t>UA M LC FLY IN LOGO SS</t>
  </si>
  <si>
    <t>1390206-100</t>
  </si>
  <si>
    <t>Все делают графические футболки... но Under Armour делает их лучше. Мы используем легкую, мягкую и быстросохнущую ткань, которая обеспечивает комфорт в течение всего дня. Ребристый воротник и увеличенная длина туловища для более просторной посадки и ощущения.</t>
  </si>
  <si>
    <t>1361034-006</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</si>
  <si>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Материал отводит пот и очень быстро сохнет. Растягивающаяся в четырех направлениях конструкция ткани.</t>
  </si>
  <si>
    <t>Knockout Novelty Tank</t>
  </si>
  <si>
    <t>1378580-906</t>
  </si>
  <si>
    <t>Это одна из самых легких и дышащих рубашек Under Armou — и ваш новый фаворит. Любой вид спорта, любые тренировки, в любое время. Свободный крой: более широкий крой для полного комфорта.Безумно мягкая, дышащая ткань. Технология защиты от запаха предотвращает рост микробов, вызывающих неприятный запах. Т-образные бретели на спине с градиентной тесьмой. Заниженный фасонный край для лучшего прикрытия.</t>
  </si>
  <si>
    <t>UA ELEVATED CORE POCKET SS</t>
  </si>
  <si>
    <t>1379554-057</t>
  </si>
  <si>
    <t>Мягкий материал с влаговыводящими свойствами.
Карман на груди.</t>
  </si>
  <si>
    <t>UA Vanish Seamless SS</t>
  </si>
  <si>
    <t>6000642-299</t>
  </si>
  <si>
    <t>Ничто не сможет вас остановить в этой футболке. Она выполнена без швов в тех местах, где это особенно важно, чтобы минимизировать трение, а также имеет дополнительную воздухопроницаемость за счёт стратегически расположенных сетчатых вставок в зонах повышенного потоотделения, помогая вам сохранять прохладу и концентрацию.
Сверхмягкая двухцветная трикотажная ткань с текстурированными участками, которые подчеркивают и выгодно моделируют фигуру
Практически бесшовный крой исключает натирания
Материал с четырёхсторонней эластичностью обеспечивает свободу движений во всех направлениях
Ткань эффективно отводит влагу и очень быстро сохнет
Ребристый воротник
Технология контроля запаха надёжно подавляет появление неприятных запахов</t>
  </si>
  <si>
    <t>76% нейлон, 18% полиэстер, 6% эластан</t>
  </si>
  <si>
    <t>Crossback Low</t>
  </si>
  <si>
    <t>1361033-561</t>
  </si>
  <si>
    <t>UA RUN EVERYWHERE LONGSLEEVE</t>
  </si>
  <si>
    <t>1384195-410</t>
  </si>
  <si>
    <t>Лонгслив UA RUN EVERYWHERE LONGSLEEVE – это идеальное сочетание функциональности, комфорта и стиля, созданное для тех, кто живет в движении и стремится к максимальной эффективности в любой обстановке. Независимо от того, тренируетесь ли вы на улице или в зале, этот лонгслив станет вашим надежным спутником на пути к новым высотам.
Особенности:
- Материал: Высококачественный, легкий и дышащий материал эффективно отводит влагу от тела, обеспечивая вам прохладу и сухость даже при самых интенсивных тренировках. Технология Anti-odor предотвращает рост микробов, вызывающих неприятный запах, сохраняя свежесть лонгслива дольше.
- Дизайн: Эргономичный крой обеспечивает максимальную свободу движений и удобство во время любых физических нагрузок. Специальные вставки из сетчатого материала для дополнительной вентиляции в наиболее "горячих" зонах, таких как подмышки и спина.
- Удобство: Плоские швы и мягкая поверхность ткани минимизируют риск натирания, обеспечивая комфорт даже при длительных тренировках. Эластичный материал отлично сидит по фигуре и не сковывает движения.
- Функциональные детали: Светоотражающие элементы повышают вашу безопасность при занятиях спортом в условиях недостаточного освещения, таких как раннее утро или поздний вечер. Карманы на молнии предоставляют удобное и безопасное место для хранения мелочей, например, ключей или карточек.
- Универсальность: Этот лонгслив идеально подходит для любой активности – от бега и фитнеса до повседневной носки. Он легко сочетается с другими элементами спортивной и повседневной одежды, создавая стильный и функциональный образ.
Лонгслив UA RUN EVERYWHERE LONGSLEEVE – это ваш надежный союзник в любых спортивных начинаниях, обеспечивая комфорт и поддержку на каждом шагу. Объедините стиль и производительность, и двигайтесь к своим целям уверенно и непреклонно!</t>
  </si>
  <si>
    <t>60% Хлопок; 40% Полиэстер</t>
  </si>
  <si>
    <t>UA CAMO CHEST STRIPE SS</t>
  </si>
  <si>
    <t>1376830-011</t>
  </si>
  <si>
    <t>Футболка Under Armour UA CAMO CHEST STRIPE SS — это стильный и функциональный элемент гардероба, идеально подходящий как для повседневного ношения, так и для активных тренировок. Ее современный дизайн с характерным камуфляжным принтом и горизонтальной полосой на груди придает образу динамичность и уникальность.
Футболка выполнена из мягкого и дышащего материала, который обеспечивает непревзойденный комфорт и свободу движений. Технология отвода влаги HeatGear® быстро справляется с потоотделением, поддерживая вашу кожу сухой даже при самых интенсивных нагрузках. Антибактериальная обработка препятствует появлению неприятных запахов, позволяя вам чувствовать свежесть на протяжении всего дня.
Легкая и эластичная ткань отлично садится по фигуре, подчеркивая ваш силуэт и обеспечивая естественные движения. Продуманный крой и внимательное отношение к деталям гарантируют долгую службу футболки и устойчивость к износу.
Футболка Under Armour UA CAMO CHEST STRIPE SS — это отличный выбор для тренировок, пробежек или просто активного отдыха на свежем воздухе. В ней вы будете выглядеть стильно и уверенно в любой ситуации, наслаждаясь комфортом и качеством, которые предлагает только Under Armour.</t>
  </si>
  <si>
    <t>Tech SSV- Twist</t>
  </si>
  <si>
    <t>1384227-338</t>
  </si>
  <si>
    <t>Наша оригинальная ткань HeatGear® суперлёгкая, дышащая и быстро сохнет. Материал впитывает влагу и очень быстро высыхает.
Ткань UA Tech™ быстро сохнет, ультрамягкая и имеет более натуральное ощущение на ощупь.
Материал впитывает влагу и очень быстро высыхает.
V-образный вырез.
Меланжевый эффект.</t>
  </si>
  <si>
    <t>UA STREAKER LONG SLEEVE</t>
  </si>
  <si>
    <t>1382584-001</t>
  </si>
  <si>
    <t>Мужской лонгслив UA Streaker Long Sleeve сочетает в себе функциональность и комфорт, делая его идеальным выбором для повседневного ношения и активных тренировок. Изготовленный из 94% полиэстера и 6% эластерелла, он обеспечивает легкость и воздухопроницаемость благодаря использованию технологии Microthread. Уникальная ткань Microthread способствует быстрому отводу влаги, обеспечивая комфорт и сухость даже во время интенсивных занятий.
- Эластичность материала позволяет свободно двигаться, не вызывая дискомфорта при любых активностях.
- Антибактериальные свойства помогают противостоять запахам, поддерживая свежесть в течение всего дня.
- Легкий вес и отличная вентиляция делают лонгслив подходящим не только для тренировок, но и для повседневного использования.
- Прочная ткань сохраняет форму и цвет после многократных стирок, поддерживая опрятный вид.
- Современный и минималистичный дизайн легко сочетается с остальной спортивной одеждой.</t>
  </si>
  <si>
    <t>94% полиэстер, 6% эластерелл</t>
  </si>
  <si>
    <t>UA M BLUR WM SS</t>
  </si>
  <si>
    <t>6009248-025</t>
  </si>
  <si>
    <t>Мужская футболка Under Armour выполнена из лёгкой и мягкой ткани, которая быстро сохнет. Эта модель украшена приглушёнными графическими элементами спереди и сзади для дополнительного стиля.</t>
  </si>
  <si>
    <t>UA EXPLOR Graphic SS</t>
  </si>
  <si>
    <t>6012783-110</t>
  </si>
  <si>
    <t>Все производят футболки с принтами... но Under Armour делает их лучше. Эта футболка украшена рисунками в стиле активного отдыха и выполнена из легкой, мягкой и быстросохнущей ткани, поэтому вы можете носить ее как на природе, так и вне ее.
Детали:
Сверхмягкая ткань из смеси хлопка обеспечивает комфорт в течение всего дня.
Воротник в рубчик.</t>
  </si>
  <si>
    <t>UA HG Armour Fitted SS</t>
  </si>
  <si>
    <t>1361683-432</t>
  </si>
  <si>
    <t>Сверхлегкая ткань HeatGear обеспечивает превосходное покрытие, не отягощая вас. Сетчатые подмышки и задние панели для вентиляции. Материал отводит пот и очень быстро сохнет. Технология защиты от запаха предотвращает рост вызывающих запах микробов. Эргономичный дизайн предотвращает попадание швов на участки с высокой степенью истирания и увеличивает срок службы. Гибридная конструкция рукава реглан для дополнительной свободы движений и комфорта.</t>
  </si>
  <si>
    <t>UA Tech 2.0 SS Tee</t>
  </si>
  <si>
    <t>1326413-002</t>
  </si>
  <si>
    <t>Футболка Under Armour Men Tech 2.0 SS – это сочетание инновационных технологий и максимального комфорта для вашего активного образа жизни. Выполненная из 100% полиэстера, она идеально подходит как для тренажерного зала, так и для повседневной носки. Технология Tech обеспечивает непревзойденное сочетание синтетики, делая изделие гипоаллергенным и влагоотводящим.
- Ткань с технологией Tech быстро отводит влагу от тела, сохраняя комфорт и обеспечивая постоянное ощущение свежести и сухости на протяжении всей тренировки.
- Легкость и воздухопроницаемость материала делают футболку идеальным выбором для физической активности.
- Технология Tech предотвращает развитие бактерий, отвечающих за неприятные запахи, сохраняя свежесть на долгое время.
- Прочный полиэстер отличается износостойкостью, сохраняя форму и цвет даже после многократных стирок при 30 градусах.
- Удобная посадка и современный дизайн позволяют легко сочетать изделие с другими элементами одежды, поддерживая стильный и спортивный образ.
- Подходит как для тренировок, так и для повседневной носки, предлагая универсальность и комфорт в любых условиях.</t>
  </si>
  <si>
    <t>1326799-453</t>
  </si>
  <si>
    <t>Любая тренировка в первую очередь должна приносить удовольствие и приводить к хорошим результатам – так оно и будет вместе с удобной и красивой экипировкой UNDER ARMOUR .
Фанатичный подход дизайнеров UNDER ARMOUR к предпочтению лучших материалов для производства собственной продукции приводит к тому, что одежда и обувь служит своим хозяевам долгое время. Летом майки из тонких тканей не заставят вас изнемогать от жары, а зимой комфортный флис и плотный хлопок станут самыми настоящими помощниками в защите от холода.
Супермягкая хлопчатобумажная ткань обеспечивает комфорт в течение всего дня.
Особенности:
Технология Charged Cotton имеет все качества хлопка, но сохнет намного быстрее
Впитывающий и быстросохнущий материал 4-х сторонняя стрейтч-конструкция для свободного движения во всех направлениях.
60% хлопок / 40% полиэстер</t>
  </si>
  <si>
    <t>Tech Knockout Tank</t>
  </si>
  <si>
    <t>1389851-600</t>
  </si>
  <si>
    <t>Это одна из самых легких и дышащих маек, которые производят Under Armour, — и она станет вашей любимой. Для любого вида спорта, любой тренировки, в любое время.
Невероятно мягкая, дышащая ткань
Материал, растягивающийся в 4 направлениях, обеспечивает лучшую свободу движений
Материал отводит пот и очень быстро сохнет
Классический дизайн с перекрещивающимися лямками и фирменной лентой
Технология контроля запаха минимизирует неприятный запах.</t>
  </si>
  <si>
    <t>UA COLLEGE CREST LOGO SS</t>
  </si>
  <si>
    <t>6005611-035</t>
  </si>
  <si>
    <t>Графические футболки выпускают все... но Under Armour делает их лучше. Используемая нами ткань — лёгкая, мягкая и быстро сохнущая. Эта футболка украшена графическими элементами в стиле университетских команд для дополнительного стиля.
Сверхмягкая ткань из хлопкового микса обеспечивает комфорт в течение всего дня.
Ребристый воротник.</t>
  </si>
  <si>
    <t>1375692-009</t>
  </si>
  <si>
    <t>1375692-465</t>
  </si>
  <si>
    <t>Pjt Rck Iso Chill SS</t>
  </si>
  <si>
    <t>6007149-001</t>
  </si>
  <si>
    <t>Тренировочная экипировка Project Rock создана, чтобы помочь вам найти свои границы — и тут же решительно их преодолеть. Этот охлаждающий вариант с коротким рукавом лично одобрен Дуэйном Джонсоном — человеком, который работает усерднее всех. В любой комнате. В любом зале.
Ткань Iso-Chill способствует отведению тепла от тела, создавая ощущение прохлады при прикосновении.
Сетчатая вставка на спине обеспечивает дополнительную вентиляцию.
Материал эффективно отводит влагу и очень быстро сохнет.
Эластичная ткань с 4-сторонним растяжением обеспечивает максимальную свободу движений в любом направлении.</t>
  </si>
  <si>
    <t>1375698-543</t>
  </si>
  <si>
    <t>Футболка Under Armour UA SEAMLESS STRIDE SS — это идеальный выбор для активных женщин, ценящих комфорт и свободу движения. 
Ключевые особенности:
Бесшовный дизайн: обеспечивает максимальную комфорт и свободу движения, исключая раздражение кожи. 
Технология UA Tech™: отводит влагу от кожи, создавая ощущение свежести и комфорта.
Легкая и дышащая ткань: обеспечивает хорошую вентиляцию, сохраняя тело сухим и прохладным.
Приталенный крой: обеспечивает идеальную посадку и подчеркивает фигуру.
Стильный дизайн: подходит для различных видов тренировок, от фитнеса до бега.
С Under Armour UA SEAMLESS STRIDE SS ты будешь чувствовать себя комфортно и уверенно на каждой тренировке!</t>
  </si>
  <si>
    <t>2 in 1 Knockout Tank SP</t>
  </si>
  <si>
    <t>1371137-001</t>
  </si>
  <si>
    <t>Эта  беговая майка с внутренним топом, изготовленная из одной из самых легких и дышащих тканей, которую мы производим, станет вашим новым помощником в любом виде спорта, при любой тренировке и в любое время. Безумно мягкая дышащая ткань. Материал отводит пот и очень быстро сохнет. Технология защиты от запаха предотвращает рост вызывающих запах микробов.</t>
  </si>
  <si>
    <t>UA HeatGear. Экипировка, которая дарит прохладу во время тренировок и соревнований. Система контроля влаги отводит пот от кожи, позволяя ему быстрее испаряться.  Эластичная ткань обеспечивает комфорт и не сковывает движения.; 4-Way Srtetch. Легкий материал повышенной потности и эластичности.</t>
  </si>
  <si>
    <t>UA Launch Shortsleeve</t>
  </si>
  <si>
    <t>1382582-348</t>
  </si>
  <si>
    <t>Мужская спортивная футболка UA Streaker Tee предлагает инновационный подход к тренировкам, сочетая в себе комфорт и высокую влаговыводимость. Изготовленная из 94% полиэстера и 6% эластерелла, она обеспечивает легкость и свободу движений, используя уникальную технологию Microthread. Ткань Microthread обеспечивает абсолютное ощущение легкости и не вызывает раздражений, сохраняя комфорт на протяжении всей тренировки.
- Технология влагоотведения мгновенно отводит пот с поверхности кожи, поддерживая сухость и комфорт в жарких условиях.
- Антибактериальные свойства материала препятствуют образованию запахов, сохраняя свежесть в течение всего дня.
- Эластичность и легкость материала позволяют заниматься самыми интенсивными упражнениями без ограничений движений.
- Современный дизайн делает её подходящей не только для тренажерного зала, но и для повседневной носки.
- Прочная конструкция обеспечивает долговечность, устойчивость к износу и сохранение формы после стирок.</t>
  </si>
  <si>
    <t>UA Tech Tee Novelty</t>
  </si>
  <si>
    <t>6005920-014</t>
  </si>
  <si>
    <t>Threadborne Swyft Strappy</t>
  </si>
  <si>
    <t>1318423-100</t>
  </si>
  <si>
    <t>Прилегающий крой, не стесняющий движения. Благодаря технологии UA Microthread, ткань высыхает быстрее, не цепляется за вас и не теряет форму. Жаккардовая эластичная спинка обеспечивает максимальный комфорт, мобильность и воздухопроницаемость. Материал отводит пот и очень быстро сохнет. Технология Anti-odor предотвращает появление неприятного запаха и рост бактерий. Светоотражающие элементы для лучшей видимости при слабом освещении. Расположенные крест-накрест бретели на спине.</t>
  </si>
  <si>
    <t>UA Microthread. Прочный быстросохнущий материал.</t>
  </si>
  <si>
    <t>Полиэстер 50%, Эластарель 50%</t>
  </si>
  <si>
    <t>Armour Mid Crossback Printed Bra</t>
  </si>
  <si>
    <t>1307213-024</t>
  </si>
  <si>
    <t>Легкий материал с влаговыводящими свойствами.Технология HeatGear супер-дышащая ткань регулирует влагообмен и температуру тела в теплую погоду.Материал обеспечивает сухость, прохладу и оптимальный комфорт.Технология 4-Way Srtetch анатомически повторяет форму тела и обеспечивает максимальный комфорт движения.Съемные чашечки.Уровень поддержки: средний (подойдет для всех видов физической активности средней интенсивности).</t>
  </si>
  <si>
    <t>FCSP Auth Jsy-BLK</t>
  </si>
  <si>
    <t>1330016-004</t>
  </si>
  <si>
    <t>Сверхмягкая ткань из смесового хлопка обеспечивает комфорт на весь день.
Воротник в рубчик.</t>
  </si>
  <si>
    <t>90% полиэстер 10% эластан</t>
  </si>
  <si>
    <t>UA Tech Big Logo SS</t>
  </si>
  <si>
    <t>1363283-001</t>
  </si>
  <si>
    <t>UA Tech - это наше оригинальное снаряжение для тренировок: свободное, легкое и сохраняет прохладу. Это все, что вам нужно. Ткань UA Tech быстросохнущая, ультра-мягкая и более естественная на ощупь. Материал отводит пот и очень быстро сохнет. Технология anti-odor предотвращает рост вызывающих запах микробов.</t>
  </si>
  <si>
    <t>1363283-011</t>
  </si>
  <si>
    <t>1363283-498</t>
  </si>
  <si>
    <t>1363374-600</t>
  </si>
  <si>
    <t>Майки спортивные для детей – это отличный выбор для активных и энергичных малышей! Эти майки изготовлены из высококачественных материалов – 90% полиэстера и 10% эластана, чтобы обеспечить максимальный комфорт и свободу движений во время физических нагрузок.</t>
  </si>
  <si>
    <t>90% полиэстер,10% эластан</t>
  </si>
  <si>
    <t>UA B BOXED SPORTS Update SS</t>
  </si>
  <si>
    <t>1388672-338</t>
  </si>
  <si>
    <t>Все бренды выпускают футболки с принтами... но Under Armour делает их лучше. Ткань, которую мы используем, — лёгкая, мягкая и быстро сохнет.
Основные особенности:
Супермягкая ткань из хлопкового микса обеспечивает комфорт в течение всего дня
Воротник из эластичного рубчика</t>
  </si>
  <si>
    <t>UA Launch Elite Shortsleeve</t>
  </si>
  <si>
    <t>1389802-100</t>
  </si>
  <si>
    <t>Under Armour UA Launch Elite Short Sleeve - инновационная футболка с короткими рукавами для максимальной производительности в жаркую погоду,
 создана с использованием передовых технологий, чтобы помочь вам сохранять спокойствие, прохладу и максимальную работоспособность во время интенсивных пробежек и тренировок в теплую погоду. Уникальная ткань Iso-Chill буквально отводит тепло от кожи, создавая ощущение прохлады при прикосновении. 
 Идеально подходит для бега, высокоинтенсивных тренировок, фитнеса и любых видов спорта на открытом воздухе в жаркую погоду, а также в качестве надежного базового слоя.Используются нейлоновые волокна ленточной формы и диоксид титана для рассеивания тепла тела, обеспечивая охлаждающий эффект. Модель имеет обтекаемый fitted-крой (прилегающий, но не сдавливающий), который не слишком тесный и не слишком свободный.
Стратегическая лазерная перфорация обеспечивает дополнительную вентиляцию там, где это необходимо больше всего.
 Фактор защиты от ультрафиолета UPF 30 защищает кожу от вредных солнечных лучей.Материал 4-Way Stretch тянется во всех направлениях, обеспечивая лучшую мобильность. Материал очень быстро впитывает пот и высыхает.Технология минимизации запаха предотвращает размножение вызывающих его микробов. Имеются светоотражающие детали для безопасных пробежек в условиях низкой освещенности.Материал: 90% нейлон, 10% эластан. 
На футболке присутствует печатный логотип Under Armour.</t>
  </si>
  <si>
    <t>G Crossback Bra</t>
  </si>
  <si>
    <t>1390066-600</t>
  </si>
  <si>
    <t>HeatGear® - это оригинальный базовый слой, который вы надеваете первым и снимаете последним. Без него не может обойтись ни один спортсмен.Супергладкая двухслойная ткань обеспечивает превосходное прилегание к коже. Материал отводит пот и очень быстро сохнет. Материал 4-Way Stretch отлично тянется в любом направлении и обеспечивает свободу движений. Перекрещивающиеся бретели с обновленной застежкой для более легкого надевания/снятия. Двойная подкладка. Технология контроля запаха Odor Control минимизирует неприятный запах.</t>
  </si>
  <si>
    <t>UA B Basketball SS</t>
  </si>
  <si>
    <t>6009319-001</t>
  </si>
  <si>
    <t>Их любовь к игре проявляется в детской футболке Under Armour Basketball! Эта детская футболка имеет вязаный круглый вырез горловины и ультямягкую ткань для комфорта в течение всего дня. Принт идеально дополняет баскетбольный стиль.
Особенности:
Ультямягкая ткань обеспечивает комфорт в течение всего дня
Вязаный круглый вырез горловины
Свободный крой</t>
  </si>
  <si>
    <t>UA G BLOCK LOGO OS SS</t>
  </si>
  <si>
    <t>6009720-100</t>
  </si>
  <si>
    <t>Все шьют футболки... но Under Armour делает их лучше. Эта модель обладает мягкой текстурой и свободным кроем для комфорта в течение всего дня.
Особенности:
Сверхмягкая ткань из хлопковой смеси обеспечивает комфорт в течение всего дня
Воротник с резинкой
Спущенная линия плеча для свободного, объемного кроя и ощущений</t>
  </si>
  <si>
    <t>6009720-520</t>
  </si>
  <si>
    <t>UA B HOOPS Triple Logo SS</t>
  </si>
  <si>
    <t>6012660-100</t>
  </si>
  <si>
    <t>Все шьют футболки с принтами... но Under Armour делает их лучше. Ткань, которую мы используем, легкая, мягкая и быстросохнущая. Эта футболка украшена баскетбольным логотипом, чтобы вы могли продемонстрировать свою любовь к игре.
Особенности:
Сверхмягкая ткань из хлопковой смеси обеспечивает комфорт в течение всего дня
Воротник с резинкой</t>
  </si>
  <si>
    <t>UA M Caddy Speaking SS</t>
  </si>
  <si>
    <t>6012766-100</t>
  </si>
  <si>
    <t>UA CGI LS AOP GOLF MOCK</t>
  </si>
  <si>
    <t>1366273-031</t>
  </si>
  <si>
    <t>Инфракрасный камуфляжный базовый слой ColdGear обеспечивает более плотную компрессионную посадку на коже. В инфракрасной технологии Under Armour ColdGear используется мягкое теплопроводящее внутреннее покрытие, которое поглощает и удерживает тепло тела. Эластичная в 4 направлениях двухслойная ткань с технологией Storm отталкивает воду, не жертвуя при этом воздухопроницаемостью, в то время как матовая внутренняя часть обеспечивает ощущение ультратепла, а также впитывает влагу и пот.</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</si>
  <si>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</si>
  <si>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UA SmartForm Rush Mid</t>
  </si>
  <si>
    <t>1370838-001</t>
  </si>
  <si>
    <t>UA SmartForm Rush Mid - это идеальный выбор для тех, кто заботится о своем здоровье и физической форме. Этот спортивный топ сочетает в себе лучшие технологии и материалы, чтобы обеспечить вам максимальный комфорт и поддержку во время тренировок. Он оснащен технологией UA SmartForm, которая предоставляет точное и комфортное прилегание к телу, обеспечивая оптимальную поддержку при движении. Материал топа отличается высоким качеством, он дышит и быстро высыхает, что позволяет сохранять комфортный микроклимат во время интенсивных тренировок. UA SmartForm Rush Mid - это не просто топ, это идеальный спутник для вашей физической активности, который поможет достигнуть ваших целей и даже превзойти их. Вы будете ощущать себя уверенно и комфортно во время любой тренировки благодаря UA SmartForm Rush Mid.</t>
  </si>
  <si>
    <t>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 UA SmartForm. Адаптируется к сложным линиям и формам тела атлета. Минимизирует деформацию ткани, учитывает анатомию человека и его движения до степени симбиоза. Лучше держит форму, плотнее облегает при движении.</t>
  </si>
  <si>
    <t>1382801-001</t>
  </si>
  <si>
    <t>Футболка Under Armour UA Vanish Seamless SS для мужчин создана для активных тренировок и комфорта в повседневной жизни. Изготовленная из нейлона и высококачественного полиэстера, эта футболка обеспечивает отличную вентиляцию и отвод влаги, помогая вам оставаться сухим даже в самых интенсивных занятиях. Бесшовная конструкция минимизирует риск натирания, а круглый ворот и короткие рукава обеспечивают классический и универсальный стиль. Идеально подходит для занятий спортом или для повседневного ношения, сочетает в себе технологии и стиль, обеспечивая максимальный комфорт и свободу движений.</t>
  </si>
  <si>
    <t>53% нейлон, 47% полиэстер</t>
  </si>
  <si>
    <t>UA W BOXY CROP BRANDED SS</t>
  </si>
  <si>
    <t>1386846-100</t>
  </si>
  <si>
    <t>Женская укороченная футболка Under Armour UA W Boxy Crop Branded SS предлагает яркий стиль и максимальный комфорт для повседневной жизни и тренировок. Благодаря свободному, укороченному крою, она обеспечивает легкость и свободу движений, подчеркивая современные модные тенденции. Мягкая и дышащая ткань гарантирует комфорт даже в самые жаркие дни, а технология отвода влаги сохраняет ощущение свежести. Футболка украшена стильными брендовыми элементами Under Armour, которые добавляют индивидуальности вашему образу. Эта модель легко сочетается с леггинсами, джинсами или спортивными брюками, создавая стильные образы для любой ситуации.</t>
  </si>
  <si>
    <t>UA HG IsoChill Comp SS</t>
  </si>
  <si>
    <t>1365229-025</t>
  </si>
  <si>
    <t>Футболка компрессионная</t>
  </si>
  <si>
    <t>Мужской спортивный лонгслив Under Armour HG IsoChill Comp SS – это образец инновационных технологий и утонченного дизайна, созданный для спортсменов, которые стремятся к высочайшему уровню комфорта и производительности. Благодаря передовым материалам и продуманным деталям, этот лонгслив обеспечивает исключительную поддержку и комфорт в самых интенсивных тренировках и спортивных занятиях.
Изготовленный из фирменного материала UA IsoChill, лонгслив активно выводит тепло от тела, благодаря чему ваша кожа ощущает прохладу и свежесть на протяжении всей тренировки. Материал отлично тянется, обеспечивая полную свободу движений, а технология Moisture Transport System эффективно отводит влагу, сохраняя ощущение сухости и комфорта в любой ситуации.
Эргономичный крой и анатомический дизайн обеспечивают идеальную посадку по фигуре, а плоские швы минимизируют риск раздражений и натираний, обеспечивая дополнительное удобство при длительном ношении. Стильный принт и фирменный логотип Under Armour добавляют динамичности и современности вашему спортивному образу.
Мужской спортивный лонгслив Under Armour HG IsoChill Prtd SS также оснащен защитой от вредного ультрафиолетового излучения UPF 50+, что делает его идеальным выбором для тренировок на открытом воздухе. Этот лонгслив – ваш надежный партнер для достижения новых вершин в спортивных достижениях, обеспечивая непревзойденную комбинацию технологичности, комфорта и стиля.</t>
  </si>
  <si>
    <t>77% нейлон, 23% эластан</t>
  </si>
  <si>
    <t>UA IntelliKnit Half Zip SS</t>
  </si>
  <si>
    <t>1366503-001</t>
  </si>
  <si>
    <t>Высококачественная пряжа с безотходной конструкцией обеспечивает дышащее тепло без веса.
Плотно прилегающая к телу трикотажная конструкция для быстрого высыхания.
Ребристые манжеты, воротник и нижняя полоса для дополнительного комфорта.
Трикотажные ленты с высокой светоотражающей способностью на бицепсах.
Застежка-молния ¼ спереди позволяет легко надевать одежду или обеспечивает дополнительную вентиляцию, когда это необходимо.</t>
  </si>
  <si>
    <t>UA Intelliknit. Технологичный трикотаж согреет, когда еще холодно для футболки, но уже жарко для лонгслива. Мягкая, эластичная, дышащая ткань, теплая и при этом легкая, не сковывающая движений.  Во время пробежки поддерживает ощущение сухости и комфорта.</t>
  </si>
  <si>
    <t>Основной материал: 100% полиэстер</t>
  </si>
  <si>
    <t>1389802-001</t>
  </si>
  <si>
    <t>Tech Mesh Racer Tank</t>
  </si>
  <si>
    <t>1328962-494</t>
  </si>
  <si>
    <t>Представляем вам женскую спортивную майку от известного бренда Under Armour. Эта майка идеально подходит для активных женщин, которые заботятся о своей физической форме и хотят выглядеть стильно даже во время тренировок.Майка выполнена из комфортного и прочного материала, состоящего на 94% из полиэстера и на 6% из эластана. Это обеспечивает исключительную прочность и стойкость к износу, даже при интенсивных тренировках. Благодаря такому составу, майка обладает отличной эластичностью, что позволяет свободно двигаться и не ограничивает ваши движения.Одной из особенностей этой майки является ее происхождение. Она произведена на фабриках в Мексике, что гарантирует высокое качество и соблюдение всех стандартов производства. Вы можете быть уверены, что эта майка сделана с любовью и заботой о каждой детали.</t>
  </si>
  <si>
    <t>UA Infinity Mid High Neck Shine-GRY</t>
  </si>
  <si>
    <t>1373854-781</t>
  </si>
  <si>
    <t>Спортивный топ UA Infinity Mid High Neck Shine - это верхняя одежда для истинных чемпионок, которые не боятся выделяться на тренировке. Он создан для превосходства, совмещая в себе высокотехнологичные материалы и инновационный дизайн. Модель с высоким воротником обеспечивает дополнительную поддержку шеи и позволяет чувствовать себя уверенно на любом тренировочном занятии. А блестящая отделка дополнительно подчеркивает вашу индивидуальность и стиль. Спортивный топ UA Infinity Mid High Neck Shine не просто добавляет стиля к вашей гардеробной, но также обеспечивает дополнительный комфорт и идеальную посадку, позволяя вам смело выходить на тренировки и демонстрировать свои лучшие результаты.</t>
  </si>
  <si>
    <t>UA Tech Vent SS</t>
  </si>
  <si>
    <t>1376791-001</t>
  </si>
  <si>
    <t>Under Armour Tech Vent SS создана для активных мужчин, которым важны комфорт и функциональность во время тренировок. Состав из 96% полиэстера и 4% эластана обеспечивает оптимальную подгонку и свободу движений.
- Технология UA Tech предлагает невероятно мягкую руку, благодаря чему футболка остается комфортной и легкой даже при интенсивных нагрузках.
- Дышащие свойства материала способствуют эффективной вентиляции, обеспечивая прохладу и комфорт в течение всей тренировки.
- Эластичная структура позволяет футболке идеально подстраиваться под тело, не ограничивая движений, что особенно важно для фитнеса.
- Быстросохнущие свойства ткани гарантируют отвод влаги, поддерживая ощущение сухости даже в самые насыщенные моменты тренировки.
- Легкий вес и комфорт фокусируют внимание на тренировочном процессе, не отвлекая внимание от достижения целей.
- Простой, но стильный дизайн позволяет комбинировать футболку с различной спортивной одеждой, сохраняя при этом функциональность.</t>
  </si>
  <si>
    <t>Tech Rib SSC</t>
  </si>
  <si>
    <t>1389852-494</t>
  </si>
  <si>
    <t>Футболка Under Armour Tech Rib SSC для женщин — это идеальное сочетание функциональности и стиля для занятий фитнесом. Изготовленная из мягкого и легкого материала UA Tech™, она обеспечивает максимальный комфорт и свободу движений. Ребристая текстура ткани придаёт уникальный вид и добавляет дополнительную стильность вашему спортивному гардеробу. Ткань эффективно отводит влагу от тела и быстро сохнет, что позволяет сохранять ощущение свежести на протяжении всей тренировки. Технология анти-запах предотвращает рост микробов, вызывающих неприятные запахи. Классический круглый вырез и свободный крой делают эту футболку универсальным выбором, который подходит для любых спортивных мероприятий.</t>
  </si>
  <si>
    <t>PJT RCK TERRY TOP Q3</t>
  </si>
  <si>
    <t>1386880-505</t>
  </si>
  <si>
    <t>Under Armour PJT RCK TERRY TOP Q3 — это стильная и удобная футболка, созданная для активного образа жизни. Изготовленная из качественных материалов, таких как хлопок и полиэстер, она обеспечивает комфорт и долговечность в носке. Свободный крой позволяет чувствовать себя непринужденно, а короткие рукава делают ее идеальным выбором как для тренировок, так и для повседневной носки. Футболка отлично сочетается с различными элементами гардероба, подчеркивая ваш стиль и индивидуальность. Это идеальный выбор для тех, кто ценит качество и функциональность в одежде.</t>
  </si>
  <si>
    <t>UA PJT RCK BRAHMA BULL SS</t>
  </si>
  <si>
    <t>1383191-989</t>
  </si>
  <si>
    <t>UA PJT RCK SS TOOLS</t>
  </si>
  <si>
    <t>1386907-001</t>
  </si>
  <si>
    <t>Футболка Under Armour UA PJT RCK SS TOOLS идеально сочетает в себе комфорт и функциональность, что делает её отличным выбором для тренировок и повседневного ношения. Изготовленная из мягкого и прочного материала, включающего хлопок, полиэстер и эластан, она обеспечивает превосходную воздухопроницаемость и эластичность. Свободный крой и короткие рукава гарантируют свободу движений и удобство в любых условиях. Материал быстро сохнет и устойчив к износу, что делает эту футболку надежным спутником для активного образа жизни. Благодаря универсальному стилю, её можно легко сочетать с другими элементами гардероба, создавая комфортные образы на каждый день.</t>
  </si>
  <si>
    <t>UA Crossback Mid Print</t>
  </si>
  <si>
    <t>1361042-470</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</si>
  <si>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UA еще лучше. И это сработало. Создан для легкой активности и комфорта в течение всего дня. Обновленные съемные чашки с перфорацией для лучшей формы и воздухопроницаемости. Узкая резинка и ремни с логотипом. Сверхгладкая двухслойная ткань HeatGear обеспечивает превосходное ощущение прикосновения к коже. Материал отводит пот и очень быстро сохнет. Растягивающаяся в четырех направлениях конструкция ткани. Технология защиты от запаха предотвращает рост вызывающих запах микробов.</t>
  </si>
  <si>
    <t>PJT RCK TRUCK SS</t>
  </si>
  <si>
    <t>1389944-001</t>
  </si>
  <si>
    <t>Спортивная одежда Project Rock создана для самых усердных спортсменов в зале. Эта футболка с принтом удобна, быстро сохнет и выделяется за счёт дизайна в стиле монстр-траков.
— Мягкая ткань из смеси хлопка обеспечивает комфорт в течение всего дня  
— Рубашечный воротник (резинка)  
— Основная ткань содержит не менее 40% переработанного полиэстера, за исключением отделки и декоративных элементов</t>
  </si>
  <si>
    <t>Perpetual Fitted LS-BLK//OEY</t>
  </si>
  <si>
    <t>1306386-001</t>
  </si>
  <si>
    <t>Свободная посадка придает ощущение комфорта, а эластичная ткань не сковывает движения. Материал позволяет эффективно отводить излишнее тепло и влагу от тела, сохраняя мышцы разогретыми после разминки и не дает остывать им в течение длительного времени. Это идеальный вариант для повседневной носки или во время активного отдыха.</t>
  </si>
  <si>
    <t>50% Полиэстер, 33% Нейлон, 17% Эластан</t>
  </si>
  <si>
    <t>UA Vanish Elite Seamless SS</t>
  </si>
  <si>
    <t>1376781-847</t>
  </si>
  <si>
    <t>UA RUSH™ поддерживает самые сложные тренировки, самые важные игры и самые интенсивные тренировки. Он вернет вам энергию, отлично сидит, сохраняет сухость и заставляет вас чувствовать, что вы можете сокрушить каждый личный рекорд. UA RUSH™ - это инфракрасная технология, которая отражает энергию вашего тела, помогая вам работать усерднее и быстрее восстанавливаться. Мягкая трикотажная ткань со специальной сетчатой ​​вентиляцией, расположенной там, где это необходимо больше всего. Почти бесшовная конструкция для предотвращения натирания. Материал, растягивающийся в 4 направлениях, впитывает пот и очень быстро сохнет.</t>
  </si>
  <si>
    <t>UA PJT RCK SS BOH</t>
  </si>
  <si>
    <t>1386890-505</t>
  </si>
  <si>
    <t>Футболка Under Armour UA PJT RCK SS BOH — это сочетание стиля, удобства и высоких технологий для повседневной носки и активного образа жизни. Благодаря сочетанию материалов — хлопка, полиэстера и эластана — эта футболка обеспечивает мягкость, прочность и легкую эластичность, сохраняя свою форму и комфорт в течение всего дня. Свободный крой дарит ощущение свободы, позволяя двигаться без ограничений. Футболка прекрасно сочетает стиль с функциональностью, делая её идеальной как для тренировок, так и для повседневного ношения. Современный дизайн и качественная ткань делают её незаменимой частью вашего гардероба.</t>
  </si>
  <si>
    <t>UA PJT RCK EVOLVE CAP SLV T</t>
  </si>
  <si>
    <t>1386893-001</t>
  </si>
  <si>
    <t>Футболка Under Armour UA PJT RCK EVOLVE CAP SLV T сочетает в себе элегантность, комфорт и функциональность, что делает её идеальным выбором для активного образа жизни и повседневного ношения. Изготовленная из высококачественной смеси хлопка, полиэстера и эластана, эта футболка обеспечивает мягкость, прочность и легкую эластичность, адаптируясь к движениям вашего тела. Свободный крой и короткие рукава способствуют максимальной свободе движений и отличной вентиляции, делая её идеальной для теплой погоды. Эта футболка легко сочетает стиль с практичностью, добавляя современный акцент в ваш гардероб. Независимо от того, идёте ли вы в спортзал или на улицу, она станет незаменимой частью вашего образа.</t>
  </si>
  <si>
    <t>UA PJT RCK 60/40S SS 4 TOOLS</t>
  </si>
  <si>
    <t>1386909-709</t>
  </si>
  <si>
    <t>Футболка Under Armour UA PJT RCK 60/40S SS 4 TOOLS сочетает стиль и функциональность, идеально подходя для активного образа жизни. Изготовленная из мягкого и прочного материала, она состоит из хлопка, полиэстера и эластана, обеспечивая комфорт и вентиляцию в течение всего дня. Свободный крой позволяет свободно двигаться, а короткие рукава делают её идеальной для занятий спортом или повседневной носки. Эта футболка легко впишется в любой гардероб благодаря современному дизайну и универсальности, обеспечивая удобство в любых ситуациях.</t>
  </si>
  <si>
    <t>Armour ® Mid Support</t>
  </si>
  <si>
    <t>1307196-001</t>
  </si>
  <si>
    <t>Спортивные топы UA Compression обеспечивают стратегическую поддержку и подходят для занятий со средней нагрузкой, таких как езда на велосипеде, силовые тренировки и бокс. Топ в классическом стиле с дизайном спины-борцовки для увеличения диапазона движений и дополнительной прорезью для дополнительной вентиляции. Сверхмягкая жаккардовая резинка для идеальной фиксации. Ткань HeatGear обеспечивает превосходное ощущение прикосновения к коже. Материал отводит пот и очень быстро и легко сохнет. Конструкция ткани с 4-сторонним растяжением способствует комфотному движению. Двойная подкладка для покрытия. Для чашек от A до C.</t>
  </si>
  <si>
    <t>87% полиэстер  13% эластан</t>
  </si>
  <si>
    <t>1361034-308</t>
  </si>
  <si>
    <t>Under Armour Crossback Mid Bra- компрессионный спортивный бюстгальтер для средних нагрузок.
Under Armour Crossback Mid Bra — это незаменимый элемент спортивной экипировки, разработанный для обеспечения стратегической поддержки во время разнообразных тренировок. Благодаря использованию инновационной ткани HeatGear, он ощущается как вторая кожа, сохраняя прохладу и сухость.  Идеально подходит для занятий спортом со средней интенсивностью, таких как езда на велосипеде, силовые тренировки, бокс, а также для йоги, пилатеса и пеших прогулок. Гладкая, двухслойная ткань ультрабыстро отводит пот и высыхает, обеспечивая превосходное прилегание к коже.
 Мягкие, быстросохнущие чашки обеспечивают дополнительную структуру и покрытие с перфорацией для воздухопроницаемости.
Модель имеет ультраплотный компрессионный крой. Перекрестные бретели с обновленной деталью в виде замочной скважины для более легкого надевания и снятия.Эластичный пояс очень гладкий и мягкий на ощупь. Съемные чашки с маркировкой «Right» и «Left» (правая и левая) для правильного размещения.Материал: 87% полиэстер, 13% эластан. На спортивном бюстгальтере присутствует печатный логотип Under Armour.</t>
  </si>
  <si>
    <t>1361034-410</t>
  </si>
  <si>
    <t>1361034-538</t>
  </si>
  <si>
    <t>Under Armour Crossback Mid Bra  представляет собой женский спортивный топ (бра) средней степени поддержки, предназначенный для таких видов активности, как фитнес, йога, пилатес, езда на велосипеде или силовые тренировки. 
Обеспечивает стратегическую (среднюю) поддержку, подходит для тренировок средней интенсивности.
 Топ выполнен из комбинации 87% полиэстера и 13% эластана, что обеспечивает хорошее влагоотведение и свободу движений.
Используется супергладкая двухслойная ткань HeatGear®, которая создает приятное ощущение прикосновении к коже, а технология защиты от запаха предотвращает рост микробов, вызывающих неприятный запах.
Имеет перекрещивающиеся лямки (crossback) сзади для дополнительной стабильности и предотвращения соскальзывания, а также съемные чашечки.
 Эргономичные плоские швы обеспечивают удобную посадку без натирания</t>
  </si>
  <si>
    <t>1361034-672</t>
  </si>
  <si>
    <t>88% Полиэстер,12% Эластан</t>
  </si>
  <si>
    <t>UA Crossback Low Bra</t>
  </si>
  <si>
    <t>1386424-847</t>
  </si>
  <si>
    <t>UA Crossback Low Bra — идеальный выбор для активных женщин, обеспечивающий комфорт и стиль во время тренировок. Этот спортивный бюстгальтер сочетает в себе передовые технологии и материалы, обеспечивая надежную поддержку без сковывания движений. Поддержка low-impact специально разработана для занятий фитнесом и йогой, обеспечивая комфорт при легких нагрузках.
- Ткань с технологией влагоотведения эффективно выводит пот, сохраняя сухость и комфорт даже во время интенсивных тренировок.
- Ультрастильный дизайн с крест-накрест спинками обеспечивает свободу движений и дополнительный комфорт в активных позах.
- Высококачественный материал из 87% полиэстера и 13% эластана обеспечивает эластичность и долговечность, идеально прилегая к телу.
- Эластичная нижняя полоска обеспечивает дополнительную поддержку и надежно удерживает бюстгальтер на месте, предотвращая смещение.
- Инновационный дизайн UA Crossback Low Bra подчеркивает эстетику, что делает его естественным дополнением к любому спортивному гардеробу.</t>
  </si>
  <si>
    <t>UA Crossback Long Line</t>
  </si>
  <si>
    <t>1372798-001</t>
  </si>
  <si>
    <t>Обеспечивает стратегическую поддержку, адаптированную для занятий со средней поддержкой, таких как езда на велосипеде, силовые тренировки и бокс.
Мягкие, быстросохнущие чашки обеспечивают дополнительную структуру и покрытие благодаря перфорации для дополнительной воздухопроницаемости.
Съемные чашки
Перекрещенные ремешки с обновленной деталью в виде замочной скважины для более легкого надевания/снятия.
Эластичная лента на ощупь очень гладкая и мягкая
Сверхгладкая двухслойная ткань HeatGear® обеспечивает превосходное тактильное ощущение
Материал впитывает пот и очень быстро сохнет</t>
  </si>
  <si>
    <t>UA HG Armour Ftd Graphic SS</t>
  </si>
  <si>
    <t>1383320-840</t>
  </si>
  <si>
    <t>Оригинальная ткань HeatGear® сверхлегкая, дышащая и быстро сохнет.
Сетчатые вставки под мышками и на спине для стратегической вентиляции.
Эргономичный дизайн защищает швы от зон повышенного истирания и повышает долговечность.
Гибридная конструкция рукава реглан для дополнительной свободы движений и комфорта.
Технология контроля запаха минимизирует запах.
Приталенный облегающий крой, не слишком узкий и не слишком свободный.
Основная часть: 84% полиэстер/16% эластан
Сетка: 92% полиэстер/8% эластан</t>
  </si>
  <si>
    <t>UA ABC CAMO SS</t>
  </si>
  <si>
    <t>1357727-026</t>
  </si>
  <si>
    <t>Футболка Men ABC Camo SS от Under Armour — это стильное и функциональное решение для вашего гардероба. Камуфляжный принт делают её универсальной для тренировок и повседневного использования. Состав из 60% хлопка и 40% полиэстера обеспечивает приятные тактильные ощущения, дыхание материала и быстрое высыхание. 
- Комбинация хлопка и полиэстера в ткани обеспечивает оптимальную вентиляцию и мгновенный влагоотвод, улучшая комфорт в течение дня.
- Современный камуфляжный принт добавляют стилю индивидуальности, позволяя выделяться в любой обстановке.
- Быстрое высыхание материала гарантирует свежесть и сухость, даже при интенсивных тренировках или в жаркие дни.
- Футболка легко сочетается с различными элементами гардероба, создавая стильные и практичные образы для любой ситуации.
- Материал обеспечивает комфортные тактильные ощущения на коже, что делает её идеальной для продолжительного ношения.
- Деликатная машинная стирка при 30 градусах позволяет сохранять внешний вид и качество, продлевая срок службы изделия.</t>
  </si>
  <si>
    <t>1373826-100</t>
  </si>
  <si>
    <t>UA Tech Split Wordmark SS</t>
  </si>
  <si>
    <t>1383010-004</t>
  </si>
  <si>
    <t>UA Tech™ — наша оригинальная универсальная экипировка для тренировок: свободный крой, лёгкость и ощущение прохлады. Всё, что вам нужно.
• Ткань UA Tech™ быстро сохнет, необычайно мягкая и обладает более естественной текстурой
• Материал эффективно отводит влагу и очень быстро сохнет</t>
  </si>
  <si>
    <t>1383010-027</t>
  </si>
  <si>
    <t>1383010-338</t>
  </si>
  <si>
    <t>Tech SSV- Solid</t>
  </si>
  <si>
    <t>1384229-703</t>
  </si>
  <si>
    <t>UA Tech™ — наша оригинальная базовая экипировка для тренировок: свободная, легкая и отлично охлаждающая. Всё, что вам нужно.
Ткань UA Tech™ быстро сохнет, невероятно мягкая и обладает более натуральным ощущением.
Материал эффективно отводит влагу и очень быстро высыхает.
Воротник с V-образным вырезом.
Технология контроля запаха надежно подавляет неприятные запахи.</t>
  </si>
  <si>
    <t>Pjt Rck Graphic SS 2</t>
  </si>
  <si>
    <t>6005083-279</t>
  </si>
  <si>
    <t>Тренировочная экипировка Project Rock создана для самых трудолюбивых людей в комнате. Эта футболка с принтом обеспечивает комфорт, быстро сохнет и заявляет о себе графикой в стиле outdoor.
• Сверхмягкая ткань из хлопковой смеси обеспечивает комфорт в течение всего дня
• Вязаный ребристый воротник</t>
  </si>
  <si>
    <t>Tech ™</t>
  </si>
  <si>
    <t>1290140-040</t>
  </si>
  <si>
    <t>Легкий материал с влаговыводящими свойствами.Материал с технологией Tech - материал, сочетающий в себе характеристики хлопка и синтетики, гипоаллергенный и быстросохнущий.Технология Anti-Odor препятствует росту бактерий, которые вызывают неприятный запах​.</t>
  </si>
  <si>
    <t>Tech Polo</t>
  </si>
  <si>
    <t>1290140-069</t>
  </si>
  <si>
    <t>Легкий материал с влаговыводящими свойствами.Материал с технологией Tech - материал, сочетающий в себе характеристики хлопка и синтетики, гипоаллергенный и быстросохнущий.Технология Anti-Odor препятствует росту бактерий, которые вызывают неприятный запах.</t>
  </si>
  <si>
    <t>1290140-100</t>
  </si>
  <si>
    <t>1290140-338</t>
  </si>
  <si>
    <t>1290140-410</t>
  </si>
  <si>
    <t>Ткань UA Tech  быстросохнущая, ультрамягкая и обладает более естественным ощущением.Технология против запаха предотвращает рост микроорганизмов, вызывающих запах.Впитывающий и быстросохнущий материал.Откидной воротник.</t>
  </si>
  <si>
    <t>1290140-427</t>
  </si>
  <si>
    <t>Under Armour Tech Polo — стильное поло для мужчин, идеально подходящее для повседневного ношения и активного отдыха. Состав: 100% полиэстер, который обеспечивает легкость и функциональность. Технология UA Charged Cotton сочетает преимущества натуральных и синтетических материй, быстро отводя влагу и ускоряя высыхание.
- Материал адаптируется к движениям тела, предлагая максимальный комфорт и свободу в каждодневной активности.
- Отличная дышимость поддерживает оптимальный микроклимат, предотвращая перегрев и потоотделение.
- Многофункциональный дизайн подходит для гольфа, прогулок и других активностей, усиливая ваш стиль и уверенность.
- Легкость материала не нагружает, позволяя оставаться в движении и активности в течение всего дня.
- Долговечность ткани и кроя сохраняет привлекательный вид, и функциональные свойства даже после длительного использования.</t>
  </si>
  <si>
    <t>1290140-453</t>
  </si>
  <si>
    <t>1290140-714</t>
  </si>
  <si>
    <t>1326413-600</t>
  </si>
  <si>
    <t>Sportstyle Left Chest Logo SS</t>
  </si>
  <si>
    <t>1326799-001</t>
  </si>
  <si>
    <t>Футболка Under Armour - иделально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</si>
  <si>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1326799-025</t>
  </si>
  <si>
    <t>1326799-036</t>
  </si>
  <si>
    <t>SPORTSTYLE LEFT CHEST SS</t>
  </si>
  <si>
    <t>1326799-408</t>
  </si>
  <si>
    <t>Футболка Under Armour - иделально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</si>
  <si>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1326799-587</t>
  </si>
  <si>
    <t>1326799-600</t>
  </si>
  <si>
    <t>Tech Mesh SS</t>
  </si>
  <si>
    <t>1328964-402</t>
  </si>
  <si>
    <t>Футболка Under Armour - иделально подойдет как для похода в тренажерный зал, так и для простой повседневной прогулки. Наша футболка с приминением новейшей технологии HeatGear, что позволяет материалу сочетать в себе лучшие качества хлопка и синтетики, быть абсолютно гиппоалергенным и обладать идельным влагооотводом, моментально высыхая, технология Anti-Otdor защищает футболку от бактерий способствующих появлению неприятного запаха. Технология 4-Way Srtetch анатомически повторяет форму тела и обеспечивает максимальный комфорт движения.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</si>
  <si>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Boxed Sportstyle Graphic Charged Cotton ® SS</t>
  </si>
  <si>
    <t>1329581-600</t>
  </si>
  <si>
    <t>Материал Charged Cotton, из которого состоит футболка, обладает удобством хлопка, но сохнет намного быстрее.</t>
  </si>
  <si>
    <t>UA BIG LOGO SS Red /  / Black</t>
  </si>
  <si>
    <t>1329583-600</t>
  </si>
  <si>
    <t>Мягкий, легкий материал с влаговыводящими свойствами</t>
  </si>
  <si>
    <t>60% хлопок 40% полиэстер</t>
  </si>
  <si>
    <t>Live Sportstyle Graphic SSC</t>
  </si>
  <si>
    <t>1356305-001</t>
  </si>
  <si>
    <t>Все делают футболки с графическим принтом ... но Under Armour делает их лучше. Используемая нами ткань легкая, мягкая и быстросохнущая. Сверхмягкая ткань из хлопка обеспечивает комфорт на весь день.</t>
  </si>
  <si>
    <t>1356305-002</t>
  </si>
  <si>
    <t>UA Rival Logo SS</t>
  </si>
  <si>
    <t>1356305-009</t>
  </si>
  <si>
    <t>Окутайте себя стилем и комфортом, который длится весь день, с футболкой Under Armour W Live Sportstyle Graphic SSC. Изысканно сконструирована для активных женщин, эта футболка станет вашим идеальным спутником, будь то напряженная тренировка или расслабленный выходной день. Элегантный дизайн: Подчеркнутая женственным принтом, эта футболка гармонирует с вашим активным образом жизни, выделяясь своим модным Sportstyle графиком и придавая стильный акцент вашему спортивному гардеробу. Инновационный комфорт: Ультрамягкая ткань мгновенно дарит ощущение лёгкости и мягкости, обеспечивая безупречный комфорт и уверенность на протяжении всего дня. Быстрое высыхание: Со встроенной технологией отвода влаги, ваше тело останется сухим даже в самый жаркий момент, делая любую активность более приятной и продуктивной. Отточенная посадка: Приталенный крой обеспечивает современный внешний вид без ущерба для комфорта и свободы движений – идеально для женщин, которые не готовы жертвовать стилем ради функциональности. Прочность и качество: Сочетание инновационных материалов и качественного исполнения гарантируют, что ваша футболка будет выглядеть как новая даже после многочисленных стирок и изнурительных тренировок. Универсальность: Футболка превосходно сочетается как с леггинсами и спортивными штанами для решительной утренней пробежки, так и с джинсами для неформальной встречи с друзьями. С Футболкой Under Armour W Live Sportstyle Graphic SSC вы не только чувствуете поддержку наивысшего класса, но и выглядите неотразимо, демонстрируя яркую индивидуальность и уверенный вкус. Идеальное сочетание стилевой изысканности и спортивного комфорта – в одной великолепной футболке.</t>
  </si>
  <si>
    <t>1356305-107</t>
  </si>
  <si>
    <t>UA W SPORTSTYLE LOGO SS</t>
  </si>
  <si>
    <t>1356305-111</t>
  </si>
  <si>
    <t>Все делают футболки с графическим принтом ... но Under Armour делает их лучше. Используемая сверхмягкая ткань легкая и быстросохнущая обеспечивает комфорт на весь день.</t>
  </si>
  <si>
    <t>UA Logo SS</t>
  </si>
  <si>
    <t>1356305-402</t>
  </si>
  <si>
    <t>1356305-465</t>
  </si>
  <si>
    <t>1361034-001</t>
  </si>
  <si>
    <t>1361034-007</t>
  </si>
  <si>
    <t>1361034-011</t>
  </si>
  <si>
    <t>88% Полиэстер, 12% Эластан</t>
  </si>
  <si>
    <t>1361034-100</t>
  </si>
  <si>
    <t>1361034-338</t>
  </si>
  <si>
    <t>1361034-402</t>
  </si>
  <si>
    <t>1361034-690</t>
  </si>
  <si>
    <t>1361034-703</t>
  </si>
  <si>
    <t>UA HG Armour Comp SS</t>
  </si>
  <si>
    <t>1361518-025</t>
  </si>
  <si>
    <t>Сверхлегкая ткань HeatGear обеспечивает превосходное покрытие, не утяжеляя вас. Сетка подмышек и задние панели для дополнительной вентиляции. Материал отводит пот и очень быстро сохнет. Технология защиты от запаха предотвращает рост вызывающих запах микробов. Гибридная конструкция рукава реглан для дополнительной свободы движений и комфорта.</t>
  </si>
  <si>
    <t>1361518-338</t>
  </si>
  <si>
    <t>1361518-410</t>
  </si>
  <si>
    <t>1361518-600</t>
  </si>
  <si>
    <t>UA HG Armour Comp LS</t>
  </si>
  <si>
    <t>1361524-001</t>
  </si>
  <si>
    <t>Лонгслив компрессионный</t>
  </si>
  <si>
    <t>1361524-025</t>
  </si>
  <si>
    <t>1361524-090</t>
  </si>
  <si>
    <t>1361524-410</t>
  </si>
  <si>
    <t>UA Sportstyle Logo SS</t>
  </si>
  <si>
    <t>1363282-100</t>
  </si>
  <si>
    <t>Мягкая, хлопковая ткань обеспечивает комфорт в течение всего дня. Ребристый воротник.</t>
  </si>
  <si>
    <t>Infinity Covered Low</t>
  </si>
  <si>
    <t>1363354-001</t>
  </si>
  <si>
    <t>Ткань HeatGear обеспечивает превосходное ощущение прикосновения к коже. Материал отводит пот и хорошо сохнет. Создан для легкой активности и комфорта в течение всего дня. Формованная цельная набивка из полиуретана для максимальной поддержки, комфорта и защиты. Сетчатые вставки для дополнительной воздухопроницаемости. Резинка в оболочке на ощупь очень гладкая и мягкая. Узкие эластичные бретельки с логотипом и капля на спине.</t>
  </si>
  <si>
    <t>UA W EMPOWERED FUNNEL</t>
  </si>
  <si>
    <t>1365636-914</t>
  </si>
  <si>
    <t>Мы создали эту экипировку, чтобы вы могли бегать в холодную погоду - с вентилируемой панелью и сверхмягкой щеткой внутри, которая дышит, чтобы вы чувствовали себя комфортно и сосредоточенно. Сверхмягкая трикотажная ткань с гладкой внешней стороной. Материал отводит пот и очень быстро сохнет. Широкая горловина-воронка с сетчатой панелью. Встроенные отверстия для больших пальцев помогают удерживать рукава на месте и удерживать тепло.</t>
  </si>
  <si>
    <t>85% полиэстер, 15% эластан</t>
  </si>
  <si>
    <t>UA HG Armour Comp Mock LS</t>
  </si>
  <si>
    <t>1369606-001</t>
  </si>
  <si>
    <t>HeatGear Armor - это наш оригинальный базовый слой с высокими эксплуатационными характеристиками - тот, который вы надеваете первым и снимаете последним. Поэтому мы сделали его особенно комфортным. Прочная, легкая ткань HeatGear.
Задняя часть и боковые панели из эластичной сетки для оптимальной вентиляции. Обновленный эргономичный дизайн предотвращает попадание швов на участки с высокой степенью истирания и увеличивает долговечность изделия. Технология защиты от запаха предотвращает рост вызывающих запах микробов. Материал отводит пот и очень быстро сохнет.</t>
  </si>
  <si>
    <t>1369606-100</t>
  </si>
  <si>
    <t>UA LOGO EMB HEAVYWEIGHT SS-BLK</t>
  </si>
  <si>
    <t>1373997-001</t>
  </si>
  <si>
    <t>Откройте для себя легендарный комфорт с Under Armour Logo Embroidered Heavyweight SS — футболкой, созданной, чтобы выдерживать спортивные испытания и эталон практичности в вашем гардеробе. Тяжеловесный хлопок гарантирует долговечность, тогда как дышащий материал обещает удобство в течение всего дня. Изысканный вышитый логотип UA придает этому основному предмету одежды дополнительное чувство стиля. С фасоном, который сочетает в себе свободу движения и современную эстетику, эта футболка обязательно станет вашим фаворитом. Для тяжелых тренировок и повседневной жизни, Under Armour Logo Embroidered Heavyweight SS — выбор победителей.</t>
  </si>
  <si>
    <t>UA M LOGO EMB HEAVYWEIGHT SS</t>
  </si>
  <si>
    <t>1373997-069</t>
  </si>
  <si>
    <t>1373997-100</t>
  </si>
  <si>
    <t>1373997-348</t>
  </si>
  <si>
    <t>1373997-411</t>
  </si>
  <si>
    <t>1375692-001</t>
  </si>
  <si>
    <t>Новая, более мягкая трикотажная ткань со специальной сетчатой ​​вентиляцией, расположенной там, где она нужна больше всего.
Почти бесшовная конструкция для предотвращения натирания
Материал впитывает пот и очень быстро сохнет
Технология Anti-Odor предотвращает рост микробов, вызывающих неприятный запах.
Светоотражающие детали для лучшей видимости на пробежках при слабом освещении</t>
  </si>
  <si>
    <t>Anti-Odor. Технология препятствует разрастанию бактерии и появлению неприятного запаха пота.</t>
  </si>
  <si>
    <t>1375692-323</t>
  </si>
  <si>
    <t>UA CGI UP THE PACE FUNNEL</t>
  </si>
  <si>
    <t>1375857-469</t>
  </si>
  <si>
    <t>UA CGI UP THE PACE FUNNEL - это совершенно новый уровень комфорта и функциональности в мире спортивных лонгсливов! Этот продукт создан для тех, кто стремится достичь невероятных результатов и установить новые рекорды своей активностью.
Мы используем передовые технологии и инновационные материалы, чтобы помочь вам увеличить свою скорость и эффективность на тренировках. Благодаря технологии UA CGI (ColdGear Infrared) этот лонгслив обеспечивает идеальный тепловой баланс, сохраняя тепло вашего тела и защищая от холода. Вы будете чувствовать себя комфортно в любых погодных условиях!
UP THE PACE FUNNEL имеет удобный воротник-воронку, который обеспечивает дополнительную защиту от ветра и холода. Уникальная конструкция гарантирует идеальную посадку и свободу движения во время тренировок.
Кроме того, наш лонгслив обладает отличными дышащими свойствами, что позволяет коже "дышать" и избегать излишнего потоотделения. Это особенно важно при интенсивных тренировках, когда комфорт и сухость - на первом месте.
UA CGI UP THE PACE FUNNEL - это не просто одежда для спорта, это идеальный партнер для достижения ваших спортивных целей. Наслаждайтесь каждым моментом тренировки, зноя и холода уже не помеха!</t>
  </si>
  <si>
    <t>1376791-600</t>
  </si>
  <si>
    <t>1376830-002</t>
  </si>
  <si>
    <t>UA Perf 3.0 Stripe Polo</t>
  </si>
  <si>
    <t>1377376-104</t>
  </si>
  <si>
    <t>Under Armour  Perf 3.0 Stripe Polo предоставляет современный стиль и комфорт. Эта поло, изготовленная из 94% полиэстера и 6% эластана, сочетает элегантный дизайн с технологическими инновациями, делая ее идеальным выбором для повседневного ношения. Устойчивость к сминанию делает поло идеальным для путешествий и активного образа жизни.
- Благодаря эластичному материалу, поло обеспечивает свободу движений, не жертвуя стильным видом.
- Технология влагоотведения поддерживает кожу сухой и свежей, даже в жаркие дни.
- Полосатый дизайн добавляет классический акцент, подходящий как для работы, так и для отдыха.
- Легкая и дышащая текстура создает комфортное ощущение на протяжении всего дня.
- Прочное и качественное исполнение обеспечивает долговечность, поддерживая первоначальный вид.</t>
  </si>
  <si>
    <t>UA Playoff 3.0 Printed Polo</t>
  </si>
  <si>
    <t>1378677-017</t>
  </si>
  <si>
    <t>Мы взяли нашу самую популярную поло для гольфа и сделали ее еще лучше. Созданная для лучшей воздухопроницаемости, эластичности и удобной посадки, поло UA Playoff Polo 3.0 поможет вам играть без отвлекающих факторов на протяжении всех 18 лунок.
Детали:
Мягкая, не образующая катышков и затяжек ткань чрезвычайно воздухопроницаема и легка.
Материал отводит пот и очень быстро сохнет.
Эластичная ткань, растягивающаяся в 4 направлениях, обеспечивает лучшую свободу движений.
Защита UPF 40 защищает кожу от вредных солнечных лучей.
Застежка на 3 пуговицы с обновленным низкопрофильным дизайном.
Боковой разрез по низу.</t>
  </si>
  <si>
    <t>1378677-026</t>
  </si>
  <si>
    <t>1378677-121</t>
  </si>
  <si>
    <t>1378677-429</t>
  </si>
  <si>
    <t>UA Vanish Energy SS 2.0</t>
  </si>
  <si>
    <t>1379141-348</t>
  </si>
  <si>
    <t>UA RUSH™ помогает вам максимально эффективно тренироваться, достигать высших результатов в соревнованиях и проходить самые интенсивные тренировки. Он возвращает энергию, отлично сидит по фигуре, сохраняет сухость и дарит ощущение, что вы способны побить все свои рекорды.
UA RUSH™ — это инфракрасная технология, которая отражает энергию вашего тела, помогая усерднее тренироваться и быстрее восстанавливаться.
Материал отводит влагу и быстро высыхает.
Ткань с четырёхсторонней растяжкой обеспечивает свободу движений в любом направлении.
Разрезы по бокам низа изделия для вентиляции.</t>
  </si>
  <si>
    <t>1379149-467</t>
  </si>
  <si>
    <t>Используя зоны сетчатой ткани, точно соответствующие форме вашего тела, вы получаете вентиляцию именно там, где она наиболее необходима, а также повышенный комфорт за счёт минимального количества швов. По сути, это, пожалуй, самая комфортная одежда для тренировок, в которой вам когда-либо приходилось заниматься.
— Мягкая трикотажная ткань со встроенной сетчатой вентиляцией, расположенной в тех местах, где она нужна вам больше всего.
— Конструкция практически без швов, исключающая натирание кожи.
— Четырёхнаправленная эластичная ткань, обеспечивающая максимальную свободу движений во всех направлениях.
— Материал эффективно отводит влагу и очень быстро сохнет.</t>
  </si>
  <si>
    <t>Meridian Fitted Crop Tank</t>
  </si>
  <si>
    <t>1379153-001</t>
  </si>
  <si>
    <t>Эта специально разработанная ткань обеспечивает уникальную мягкость, но при этом отлично отводит пот. Она легкая и воздухопроницаемая. Супермягкий и эластичный трикотаж обеспечивает поддержку и длительный комфорт. Топ со съемной подкладкой для дополнительного покрытия и поддержки.</t>
  </si>
  <si>
    <t>Motion SS</t>
  </si>
  <si>
    <t>1379178-538</t>
  </si>
  <si>
    <t>Футболка Under Armour Motion SS сочетает стиль и функциональность для активной жизни. Изготавливаемая из 82% полиэстера и 18% эластана, эта футболка обеспечивает удобство и производительность. Легкая и эластичная ткань позволяет свободно двигаться, не испытывая ограничений, что важно для динамичных занятий.
- Материал UA Charged Cotton® дарит комфорт натурального хлопка, сохнет быстрее, поддерживая сухость даже при интенсивных тренировках.
- Продуманный крой подчеркивает фигуру и добавляет динамичный стиль, который подходит для разных ситуаций.
- Эффективное управление влагой сохраняет свежесть, помогая сконцентрироваться на достижении спортивных целей.
- Каждый элемент — от воротника до швов — разработан для усиления комфорта и уверенности в движениях.
- Это идеальный союзник в стремлении к совершенству, объединяя производительность и стиль в вашем гардеробе.</t>
  </si>
  <si>
    <t>1382434-044</t>
  </si>
  <si>
    <t>Женская футболка Under Armour Streaker SS – это воплощение инновационных технологий и стильного дизайна, созданная специально для активных женщин, которые ценят комфорт и производительность в каждой тренировке. Изготовленная из фирменного материала UA Microthread, эта футболка обеспечивает невероятную легкость и сверхбыстрое высыхание, что позволяет вам оставаться свежей и сконцентрированной даже при самых интенсивных нагрузках.
Футболка имеет облегающий крой, который подчеркивает фигуру и обеспечивает свободу движений без ощущения стеснения. Технология отведения влаги и антибактериальная пропитка позволяют бороться с неприятным запахом и поддерживать ощущение чистоты в течение всего времени ношения. Продуманный дизайн с сетчатыми вставками улучшает вентиляцию, обеспечивая дополнительный комфорт во время тренировок в жаркую погоду.
Эстетически привлекательный внешний вид достигается благодаря минималистичному дизайну и элегантному логотипу Under Armour на груди, который добавляет изысканности и стиля. Женская футболка Under Armour Streaker SS – это ваш надежный партнер для занятий спортом, будь то бег, фитнес или йога, обеспечивающий оптимальное сочетание функциональности и модного вида.</t>
  </si>
  <si>
    <t>UA STREAKER SINGLET</t>
  </si>
  <si>
    <t>1382436-100</t>
  </si>
  <si>
    <t>Мягкая, легкая и дышащая ткань
Материал отводит пот и очень быстро сохнет.
перекрывающийся край для лучшей вентиляции
Классический дизайн гоночной спины.
Светоотражающие детали для лучшей видимости при беге в условиях низкой освещенности.
Улучшенная посадка: не слишком тугая и не слишком свободная.</t>
  </si>
  <si>
    <t>94% полиэстер,6% эластан</t>
  </si>
  <si>
    <t>UA Tech Textured SS</t>
  </si>
  <si>
    <t>1382796-001</t>
  </si>
  <si>
    <t>Мужская футболка Under Armour UA Tech Textured SS — это отличный выбор для тех, кто ценит комфорт и стиль в спортивной одежде. Изготовленная из легкого полиэстера, эта футболка обеспечивает превосходную вентиляцию и быстро сохнет, поддерживая ощущение свежести и сухости во время тренировок. Технология UA Tech придаёт ткани мягкость, делающую её приятной к телу, а текстурированная поверхность добавляет современный и динамичный вид. Эта футболка идеально подходит как для занятий спортом, так и для повседневной носки, обеспечивая комфорт и свободу движений. Будь то в зале или на улице, Under Armour UA Tech Textured SS станет надежным спутником в любой ситуации.</t>
  </si>
  <si>
    <t>1382796-026</t>
  </si>
  <si>
    <t>1382796-203</t>
  </si>
  <si>
    <t>1382796-498</t>
  </si>
  <si>
    <t>1382796-648</t>
  </si>
  <si>
    <t>1382796-703</t>
  </si>
  <si>
    <t>1382796-709</t>
  </si>
  <si>
    <t>Vanish Seamless SS</t>
  </si>
  <si>
    <t>1382801-026</t>
  </si>
  <si>
    <t>1382801-690</t>
  </si>
  <si>
    <t>UA HW ARMOUR LABEL SS</t>
  </si>
  <si>
    <t>1382831-001</t>
  </si>
  <si>
    <t>Футболка UA HW ARMOUR LABEL SS от Under Armour — это воплощение новейших технологий и классического стиля для взыскательных спортсменов. Сделанная из первоклассных материалов, она обеспечивает исключительный комфорт и эффективность. Встроенные инновационные технологии идеально подходят как для повседневной носки, так и для интенсивных тренировок. Технология HeatGear от Under Armour обеспечивает максимально эффективное влагоотведение и быстро сохнет, сохраняя свежесть в жаркие дни.
- Эластичность ткани предоставляет свободу движений без всяких ограничений, поддерживая ваши результаты даже в напряжённые моменты.
- Высокая воздухопроницаемость способствует естественной терморегуляции, что особенно важно при физической активности.
- Продвинутая комфортность благодаря качественному сочетанию хлопка и полиэстера, что делает её мягкой и приятной на ощупь.
- Классический стиль с модной ноткой обеспечивает универсальность футболки, подходящей как для тренировочных залов, так и для прогулок.
- Прочность материала гарантирует долгий срок службы и устойчивость к потертостям, сохраняя первоначальный вид.</t>
  </si>
  <si>
    <t>1382831-011</t>
  </si>
  <si>
    <t>1382831-100</t>
  </si>
  <si>
    <t>Футболка UA HW ARMOUR LABEL SS представляет собой новинку в линейке спортивной одежды от Under Armour, сочетающую классический стиль и инновационные технологии, способные удовлетворить требования самых взыскательных спортсменов. Сделанная из высококачественного материала, эта футболка гарантирует исключительный комфорт при носке и высокую производительность во время интенсивных тренировок. Продвинутая ткань с технологией HeatGear от Under Armour обеспечивает отличный уровень влагоотведения и быстро сохнет, что помогает оставаться сухим и прохладным в жаркие дни. Кроме того, материал обладает хорошей эластичностью, не ограничивая движения и позволяя телу дышать в самые напряженные моменты.</t>
  </si>
  <si>
    <t>1382831-477</t>
  </si>
  <si>
    <t>UA SPORTSTYLE LOGO UPDATE SS</t>
  </si>
  <si>
    <t>1382911-037</t>
  </si>
  <si>
    <t>Футболка UA SPORTSTYLE LOGO UPDATE SS от Under Armour представляет собой тот самый необходимый элемент повседневного гардероба для тех, кто ведет активный образ жизни и предъявляет высокие требования к комфорту и стилю. Эта мужская футболка создана на стыке спортивного шика и повседневного удобства, демонстрируя собой искусное сочетание функциональной простоты и современного дизайна. Заботясь о максимальном комфорте, Under Armour использовали для изготовления этой футболки высококачественный хлопковый материал, который обладает приятной мягкостью и достаточной воздухопроводимостью для поддержки прохлады тела. Классический крой с круглым вырезом обеспечивает свободу движений, при этом фасон не слишком облегающий, что позволяет футболке идеально сидеть на любой фигуре.</t>
  </si>
  <si>
    <t>UA GL FOUNDATION UPDATE SS</t>
  </si>
  <si>
    <t>1382915-011</t>
  </si>
  <si>
    <t>Футболка UA GL FOUNDATION UPDATE SS от Under Armour — это совершенная комбинация стиля и комфорта для активных людей. Футболка из 60% хлопка и 40% полиэстера обладает мягкостью, легкостью и долговечностью, делая её идеальной для спортивных или повседневных образов. Специальная обработка ткани сохраняет форму и цвет после многократных стирок, предлагая долговечность и надежное качество. Уход за изделием осуществляется деликатной или ручной стиркой.
- Уникальное сочетание хлопка и полиэстера обеспечивает мягкость и лёгкость, делая футболку комфортной для ежедневной носки и физических нагрузок.
- Ткань сохраняет форму и цвет, выдерживая многократные стирки, что гарантирует долговечность.
- Модный крой создаёт актуальный силуэт, подходящий для различных видов активности и отдыха.
- Логотип Under Armour на груди демонстрирует приверженность бренду и добавляет стилю уверенности.
- Универсальный дизайн позволяет сочетать футболку с любым гардеробом, от спортивного до повседневного.
- Антибактериальная обработка предотвращает появление неприятных запахов, поддерживая свежесть даже при интенсивной носке.</t>
  </si>
  <si>
    <t>1382915-028</t>
  </si>
  <si>
    <t>1382915-069</t>
  </si>
  <si>
    <t>1382915-402</t>
  </si>
  <si>
    <t>1382915-452</t>
  </si>
  <si>
    <t>1382915-601</t>
  </si>
  <si>
    <t>UA Pjt Rck Brahma Bull SS</t>
  </si>
  <si>
    <t>1383191-005</t>
  </si>
  <si>
    <t>1383191-308</t>
  </si>
  <si>
    <t>1383191-362</t>
  </si>
  <si>
    <t>UA PJT RCK EAGLE GRAPHIC SS</t>
  </si>
  <si>
    <t>1383224-001</t>
  </si>
  <si>
    <t>Футболка Under Armour UA PJT RCK EAGLE GRAPHIC SS, созданная в сотрудничестве с Двейном "Скалой" Джонсоном, представляет собой идеальное сочетание комфорта, стиля и непреклонной мотивации. Эта футболка разработана для тех, кто стремится к высшим целям и при этом ценит отличный внешний вид.
- Высококачественные материалы: Футболка изготовлена из мягкой и прочной смеси хлопка и быстросохнущего полиэстера, который обеспечивает высокий уровень комфорта и долговечность. Ткань приятна на ощупь и эффективно отводит влагу, сохраняя ощущение свежести.
- Уникальный дизайн: Яркий графический принт с изображением орла и фирменным логотипом Project Rock символизирует силу, свободу и решимость. Этот дизайн не только придает футболке уникальный стиль, но и вдохновляет на достижение новых высот.
- Свобода движений: Эргономичный крой и эластичный материал позволяют свободно двигаться, что делает эту футболку идеальной для интенсивных тренировок и активного отдыха.
- Мотивация и вдохновение: Каждый элемент этой футболки передает дух Двейна "Скалы" Джонсона, помогая вам оставаться мотивированным и сосредоточенным на своих целях. Фирменная символика Project Rock напоминает о том, что нет ничего невозможного.
- Универсальность: Эта футболка отлично подходит как для тренировок, так и для повседневного ношения. Она легко сочетается с джинсами, спортивными брюками и шортами, делая ваш образ завершенным и стильным.</t>
  </si>
  <si>
    <t>1383224-273</t>
  </si>
  <si>
    <t>UA PJT RCK CAMO GRPHC TK</t>
  </si>
  <si>
    <t>1383226-273</t>
  </si>
  <si>
    <t>Майка Under Armour UA PJT RCK CAMO GRPHC TK, разработанная в сотрудничестве с Двейном "Скалой" Джонсоном, идеально подходит для тех, кто стремится к новым высотам и не боится трудностей. Это уникальное сочетание превосходного комфорта, стильного дизайна и непревзойденной мотивации
- Высококачественные материалы: Изготовлена из дышащей и эластичной тканевой смеси, которая эффективно отводит влагу и быстро сохнет, обеспечивая комфорт даже во время самых интенсивных тренировок.
- Камуфляжный графический дизайн: На майке нанесен стильный камуфляжный принт и фирменный логотип Project Rock, символизирующий силу и решительность. Этот дизайн придает майке уникальный и вдохновляющий вид.
- Эргономичный крой: Специальный крой обеспечивающий полную свободу движений и оптимальную посадку, идеально подходит для занятий спортом и активного образа жизни.
- Мотивация и вдохновение: Фирменная символика Project Rock, включая логотип и графические элементы, напоминает о том, что сила находится внутри каждого из нас. Эта майка вдохновляет на преодоление любых преград и достижение своих целей.
- Универсальность: Майка идеально подходит как для тренировок в зале, так и для активного отдыха на свежем воздухе. Она легко комбинируется с другими элементами спортивного гардероба, создавая стильный и функциональный образ.</t>
  </si>
  <si>
    <t>UA T2G Printed Polo LB</t>
  </si>
  <si>
    <t>1383249-025</t>
  </si>
  <si>
    <t>Сложно найти что-то более комфортное. Это поло из жаккардовой ткани с повышенной эластичностью движется вместе с вами, а не против вас, поэтому вы никогда не будете чувствовать скованности на поле.
Основные особенности:
Мягкая ткань с жаккардовым узором по всей поверхности, устойчивая к катышкам и зацепкам, обеспечивает отличную воздухопроницаемость и лёгкость
Материал отводит влагу и очень быстро сохнет
Ткань с 4-сторонней растяжкой свободно двигается в любом направлении
Защита UPF 50+ оберегает кожу от вредного воздействия солнечных лучей
Воротник и манжеты из плоского трикотажного рубчика
Низкопрофильная планка на 2 пуговицы
Боковые разрезы по низу изделия
Технология контроля запаха эффективно снижает появление неприятных ароматов</t>
  </si>
  <si>
    <t>1383249-100</t>
  </si>
  <si>
    <t>1383249-426</t>
  </si>
  <si>
    <t>1383320-432</t>
  </si>
  <si>
    <t>1383544-001</t>
  </si>
  <si>
    <t>1383544-015</t>
  </si>
  <si>
    <t>Off Campus Core SS</t>
  </si>
  <si>
    <t>1383648-100</t>
  </si>
  <si>
    <t>Завоюйте уверенность и стиль с футболкой Off Campus Core SS от Under Armour: одежда, которая идеально сочетает в себе академический шик и спортивную функциональность. Разработанная для тех, кто не хочет выбирать между элегантностью и удобством, эта футболка станет верным спутником как в учебных залах, так и на улицах города. Премиальный хлопок обеспечивает уникальное сочетание мягкости, дышащих свойств и долговечности, что делает эту футболку идеальной для ежедневного использования. Её классический крой гарантирует расслабленный силуэт, в то время как современные линии подчеркивают динамичный образ. С футболкой Off Campus Core SS вы получаете не только комфорт, но и привлекательный внешний вид, завершенный изысканным логотипом Under Armour, который тонко демонстрирует вашу приверженность качеству и стилю. Испытайте смелое сочетание классики и инноваций в одном предмете гардероба, который мгновенно станет вашим избранным. Не важно, сталкиваетесь ли вы с академическими вызовами или же проводите свободное время с друзьями, Off Campus Core SS — ваш ответ на требования современной жизни.</t>
  </si>
  <si>
    <t>UA Rival Core SS</t>
  </si>
  <si>
    <t>1383648-498</t>
  </si>
  <si>
    <t>1383648-520</t>
  </si>
  <si>
    <t>UA Infinity High Bra</t>
  </si>
  <si>
    <t>1384112-001</t>
  </si>
  <si>
    <t>Спортивный топ с высокой степенью поддержки, созданный для интенсивных тренировок. Инновационные формованные чашки обеспечивают надёжную фиксацию и сохраняют комфорт даже при активных нагрузках. Быстросохнущий материал эффективно отводит влагу, а сетчатые вставки усиливают вентиляцию. Регулируемые перекрёстные лямки и мягкая эластичная лента под грудью гарантируют удобную посадку и свободу движений. Отличный выбор для бега, HIIT и других динамичных тренировок.</t>
  </si>
  <si>
    <t>XS A-C</t>
  </si>
  <si>
    <t>40-42 A-C</t>
  </si>
  <si>
    <t>L A-C</t>
  </si>
  <si>
    <t>46-48 A-C</t>
  </si>
  <si>
    <t>L D-DD</t>
  </si>
  <si>
    <t>46-48 D-DD</t>
  </si>
  <si>
    <t>Pjt Rck LG LL Infty Pt Bra</t>
  </si>
  <si>
    <t>1384161-709</t>
  </si>
  <si>
    <t>Экипировка Project Rock для тренировок создана, чтобы помочь вам не просто найти свои границы — но и с уверенностью преодолеть их. Каждая вещь из этой коллекции лично одобрена Дуэйном Джонсоном — человеком, который работает усерднее всех. В ЛЮБОМ помещении.
Особенности:
• Обеспечивает целенаправленную поддержку, специально адаптированную для активностей средней интенсивности: велотренажёр, силовые тренировки, бокс
• Формованная однослойная вставка из полиуретана (PU), отлитая методом инжекции — для максимального комфорта и расширенной зоны защиты
• Вставки из сетчатого материала — для улучшенной вентиляции и отвода тепла
• Широкая эластичная нижняя резинка в чехле — невероятно гладкая и мягкая на ощупь
• Технология защиты от запахов эффективно подавляет появление неприятных запахов
• Исключительно мягкая и эластичная трикотажная ткань высокого функционального качества обеспечивает надёжную поддержку и длительный комфорт
• Ткань быстро отводит влагу и очень быстро сохнет
• Материал с 4-сторонним растяжением — обеспечивает максимальную свободу движений во всех направлениях</t>
  </si>
  <si>
    <t>1384227-001</t>
  </si>
  <si>
    <t>1384227-014</t>
  </si>
  <si>
    <t>1384229-100</t>
  </si>
  <si>
    <t>Tech SSC - Solid</t>
  </si>
  <si>
    <t>1384231-100</t>
  </si>
  <si>
    <t>Практичная футболка от Under Armour станет прекрасной основой вашей экипировки для занятий в фитнес-зале.
ОТВЕДЕНИЕ ВЛАГИ
Благодаря технологии UA Tech ткань обладает невероятной мягкостью. Материал отводит пот от кожи и быстро сохнет.
КОМФОРТНАЯ ПОСАДКА
Приталенный крой повторяет линии фигуры. Эластичная ткань 4-Way Stretch обеспечивает максимальный комфорт во время движения.
АНТИБАКТЕРИАЛЬНЫЙ ЭФФЕКТ
Технология Anti-Odor препятствует росту бактерий, которые вызывают неприятный запах​.</t>
  </si>
  <si>
    <t>Vanish Seamless Low Bra</t>
  </si>
  <si>
    <t>1384417-001</t>
  </si>
  <si>
    <t>Топ Under Armour Vanish Seamless Low Bra разработан специально для женщин, занимающихся фитнесом, и обеспечивает максимальный комфорт и поддержку во время тренировок. Изготовленный из мягкой и эластичной ткани, состоящей из 88% полиэстера и 12% эластана, он идеально облегает тело, обеспечивая свободу движений. Бесшовная конструкция снижает риск раздражения кожи и обеспечивает приятные ощущения во время носки. Технология отвода влаги быстро испаряет пот, сохраняя сухость и свежесть даже при интенсивных нагрузках. Топ отлично подходит для занятий спортом с низкой нагрузкой, такими как йога или пилатес. Благодаря стильному дизайну и функциональности, этот топ станет незаменимой частью вашего спортивного гардероба.</t>
  </si>
  <si>
    <t>1384417-003</t>
  </si>
  <si>
    <t>1384417-600</t>
  </si>
  <si>
    <t>1384417-659</t>
  </si>
  <si>
    <t>1386424-008</t>
  </si>
  <si>
    <t>1386608-001</t>
  </si>
  <si>
    <t>1386608-025</t>
  </si>
  <si>
    <t>1386608-100</t>
  </si>
  <si>
    <t>UA M BOXED SPORTS UPDATED SS</t>
  </si>
  <si>
    <t>1386793-402</t>
  </si>
  <si>
    <t>Футболка UA M BOXED SPORTS UPDATED SS от Under Armour предлагает комфорт и стиль на каждый день. Сделанная из 60% хлопка и 40% полиэстера, эта футболка обладает мягкостью и долговечностью, идеально подходя для активного дня или расслабленного отдыха. Простой и стильный дизайн позволяет легко сочетать с другими элементами гардероба, будь то для занятий спортом или повседневного ношения.
- Сверхмягкая хлопчатобумажная ткань дарит ощущения комфорта и легкости на протяжении всего дня.
- Смесь полиэстера с хлопком увеличивает износостойкость и ускоряет высыхание, сохраняя форму после стирок.
- Воротник в рубчик добавляет классический стиль и предотвращает потерю формы, продлевая срок службы изделия.
- Легкий вес и дышащие материалы делают эту футболку подходящей для любых погодных условий.
- Футболка демонстрирует высокое качество исполнения, сочетая современный стиль и комфорт от Under Armour.</t>
  </si>
  <si>
    <t>UA PJT RCK 7 SS</t>
  </si>
  <si>
    <t>1386878-505</t>
  </si>
  <si>
    <t>Футболка Under Armour UA PJT RCK 7 SS — это отличный выбор для тех, кто ценит комфорт и стиль в повседневной и спортивной одежде. Выполненная из высококачественной ткани, сочетающей хлопок и полиэстер, она предлагает лучший баланс мягкости и износостойкости. Свободный крой обеспечивает удобство и не стесняет движений, делая эту футболку идеальной как для тренировок, так и для повседневного использования. Короткие рукава подходят для любой активности в теплую погоду, обеспечивая должную вентиляцию. Футболка отличается современным дизайном и универсальностью, подходящей для любого гардероба.</t>
  </si>
  <si>
    <t>Campus Oversize SS</t>
  </si>
  <si>
    <t>1387193-001</t>
  </si>
  <si>
    <t>Женская футболка Campus Oversize SS — это стильная и удобная модель, идеально подходящая для создания расслабленного и модного образа. Ее свободный, оверсайз крой обеспечивает максимальный комфорт и свободу движений, добавляя нотку современных тенденций в ваш гардероб. Эта футболка выполнена из мягкого и приятного на ощупь материала, который обеспечивает комфорт в течение всего дня. Универсальный дизайн позволяет легко сочетать её с различными элементами одежды, будь то джинсы, леггинсы или шорты. Отличный выбор для повседневных прогулок, встреч с друзьями или уютного отдыха дома.</t>
  </si>
  <si>
    <t>1387193-100</t>
  </si>
  <si>
    <t>Vanish Seamless Novelty SS</t>
  </si>
  <si>
    <t>1388129-001</t>
  </si>
  <si>
    <t>Ничто не сможет вас остановить в этой майке. Она изготовлена по технологии бесшовности в самых важных зонах, чтобы минимизировать натирание, а также дополнена продуманной вентиляцией: сетчатые вставки расположены в тех местах, где вы больше всего потеете, чтобы сохранять прохладу и концентрацию.
Мягкая трикотажная ткань с инженерной вентиляцией в ключевых зонах
Почти без швов — для предотвращения раздражения кожи
Материал с четырёхсторонним стрейчем обеспечивает свободу движений в любом направлении
Ткань эффективно отводит пот и быстро высыхает
Технология контроля запаха снижает образование неприятных ароматов</t>
  </si>
  <si>
    <t>52% нейлон, 48% полиэстер</t>
  </si>
  <si>
    <t>1388672-001</t>
  </si>
  <si>
    <t>1388672-498</t>
  </si>
  <si>
    <t>HeatGear Rib Tank</t>
  </si>
  <si>
    <t>1388694-348</t>
  </si>
  <si>
    <t>Еще в 1996 году мы изобрели базовый слой — и с тех пор постоянно его совершенствуем. На создание идеального легкого и плотно прилегающего слоя, который эффективно отводит пот, быстро сохнет и сохраняет прохладу, потребовалось 37 прототипаов и бесчисленные часы испытаний.
Наш оригинальный материал HeatGear® невероятно легкий, дышащий и быстро сохнет.
Ткань с четырехсторонней растяжкой обеспечивает свободу движений в любом направлении.
Эластичная ребристая вставка под грудью.
Укороченная длина изделия и открытая резинка по низу с логотипом.
Дизайн спинки с перекрещивающимися бретелями и вырезом в виде keyhole.
Технология контроля запаха минимизирует появление неприятного запаха.</t>
  </si>
  <si>
    <t>UA M HW OS LOGO WASH SS</t>
  </si>
  <si>
    <t>1389147-001</t>
  </si>
  <si>
    <t>Under Armour M HW OS LOGO WASH SS — стильное и комфортное дополнение к вашему повседневному гардеробу. Состав ткани 60% хлопка и 40% полиэстера гарантирует удобство и долговечность на каждый день. Объемная посадка обеспечивает свободу движений и современный силуэт, подходящий для различных поводов.
- Ткань из хлопчатобумажной смеси сочетает плотность и мягкость, поддерживая комфорт в течение всего дня и сохраняя форму даже при интенсивной носке.
- Рубчатый воротник добавляет устойчивости к растяжению, что позволяет изделию сохранять форму после стирки.
- Мягкость натурального материала создает приятные ощущения на коже, поддерживая комфорт и стиль в каждом образе.
- Легкость в уходе делает эту футболку лучшим выбором для тех, кто ценит практичность и удобство.
- Современный дизайн и фирменные детали подчеркивают стиль и индивидуальность, оставаясь при этом универсальными и функциональными.</t>
  </si>
  <si>
    <t>1389147-069</t>
  </si>
  <si>
    <t>1389147-498</t>
  </si>
  <si>
    <t>1389147-919</t>
  </si>
  <si>
    <t>PJT RCK W LS CAMPUS T Q1</t>
  </si>
  <si>
    <t>1389700-001</t>
  </si>
  <si>
    <t>Тренировочная экипировка Project Rock создана для самых трудолюбивых спортсменов. Эта футболка из плотной ткани невероятно удобна и привлекает внимание своим дизайном в гоночном стиле.
Плотная, мягкая ткань из смесового хлопка обеспечивает комфорт в течение всего дня. Воротник и манжеты в рубчик. Спущенный низ плеч и удлиненная длина изделия обеспечивают свободный крой и ощущение комфорта. Основной материал изделия содержит не менее 40% переработанного полиэстера, за исключением отделки и декоративных элементов. Свободный крой: более свободная посадка для максимального комфорта.</t>
  </si>
  <si>
    <t>60% Хлопок, 40% Полиэстер</t>
  </si>
  <si>
    <t>PJT RCK IP TANK</t>
  </si>
  <si>
    <t>1389705-001</t>
  </si>
  <si>
    <t>Экипировка Project Rock создана для самых усердных атлетов в зале. Этот плотный топ невероятно комфортен и посвящён тренажёрному залу Дуэйна Джонсона — «Железному рая».
Плотная мягкая ткань с хлопковым смесовым составом обеспечивает комфорт на протяжении всего дня
Ребристый воротник
Необработанный край по проймам рукавов</t>
  </si>
  <si>
    <t>PJT RCK BRALETTE</t>
  </si>
  <si>
    <t>1389707-299</t>
  </si>
  <si>
    <t>Команда тренировочного проекта Project Rock создана, чтобы помочь вам найти свои пределы и преодолеть их. Вся коллекция лично одобрена Дуэйном Джонсоном — самым усердным трудягой в своем классе. В ЛЮБОМ месте.
Разработано для легкой поддержки и комфорта в течение всего дня.
Ультрамягкая дышащая и комфортная ткань.
Материал с четырехсторонней эластичностью обеспечивает лучшую свободу движений в любых ситуациях.
Формованная проставочная прокладка для большего покрытия и фиксации.
Передний шов с квадратным вырезом для более выгодной посадки.
Перекрещивающиеся бретели на спине.
Технология контроля запахов.</t>
  </si>
  <si>
    <t>82% Полиэстер, 18% Эластан</t>
  </si>
  <si>
    <t>Infinity High Strappy</t>
  </si>
  <si>
    <t>1389827-001</t>
  </si>
  <si>
    <t>Спортивный бюстгальтер UA Infinity Bra создан для неограниченной поддержки благодаря уникальной технологии, которая подстраивается под каждое ваше движение, и сверхлёгкой полой пеноматериальной подкладке.
• Обеспечивает целенаправленную поддержку, разработанную специально для активных нагрузок: бега, игровых видов спорта в зале и на поле
• Новая литая чашка со стратегически продуманным рисунком для более аэродинамичной посадки и ощущения лёгкости
• Сетчатая панель спереди для улучшенной воздухопроницаемости
• Гладкая, влагоотводящая лента с удобной застёжкой на крючки для лёгкого надевания и снятия
• Регулируемые бретели спереди и перекрёстный дизайн спинки из сетчатых ремешков
• Материал отводит влагу и очень быстро сохнет
• Технология контроля запаха минимизирует появление неприятных ароматов</t>
  </si>
  <si>
    <t>UA Playoff Jacquard Polo</t>
  </si>
  <si>
    <t>1389846-004</t>
  </si>
  <si>
    <t>Мягкая ткань с жаккардовой текстурой, устойчивая к выщипыванию и образованию катышков, чрезвычайно дышащая и легкая.
Материал отводит пот и очень быстро высыхает.
Материал, растягивающийся в 4 стороны, лучше тянется во всех направлениях.
UPF 50+ защищает вашу кожу от вредных солнечных лучей.
Планка с тремя пуговицами.
Боковой разрез по низу.</t>
  </si>
  <si>
    <t>1389846-709</t>
  </si>
  <si>
    <t>1389851-100</t>
  </si>
  <si>
    <t>1389851-520</t>
  </si>
  <si>
    <t>PJT ROCK IRON TANK</t>
  </si>
  <si>
    <t>1389935-989</t>
  </si>
  <si>
    <t>Тренировочная экипировка Project Rock создана для самых усердных спортсменов в зале. Эта футболка с принтом сочетает в себе комфорт, быстрое высыхание и посвящена тренажёрному залу Дуэйна Джонсона — Iron Paradise.
Очень мягкая ткань из хлопковой смеси обеспечивает комфорт в течение всего дня
Материал с четырёхсторонней растяжкой для максимальной свободы движений
Ребристый воротник
Удлинённые проймы для полной амплитуды движений</t>
  </si>
  <si>
    <t>UA B SPORTSTYLE LC SS</t>
  </si>
  <si>
    <t>1389962-001</t>
  </si>
  <si>
    <t>Детская футболка с короткими рукавами Under Armour Sportstyle идеальна для любых активностей. Она выполнена из чрезвычайно мягкого материала, который обеспечивает комфорт и свободу движений в течение всего дня. Логотип UA придаёт изделию спортивный стиль.
• Чрезвычайно мягкий материал
• Комфорт и свобода движений
• Спортивный стиль с логотипом UA</t>
  </si>
  <si>
    <t>1389962-012</t>
  </si>
  <si>
    <t>1389962-100</t>
  </si>
  <si>
    <t>1389962-690</t>
  </si>
  <si>
    <t>UA Tech Vent Jcqrd SS</t>
  </si>
  <si>
    <t>1390047-299</t>
  </si>
  <si>
    <t>Технология контроля запаха эффективно подавляет неприятные запахи.
Материал быстро отводит пот и очень быстро сохнет.
Мужская футболка UA Tech™ Vent Jacquard с короткими рукавами.
Мягкая ткань UA Tech™ с жаккардовым узором по всей поверхности для максимальной воздухопроницаемости.
Короткие рукава.</t>
  </si>
  <si>
    <t>1390066-002</t>
  </si>
  <si>
    <t>UA Icon HWT Tee Taping</t>
  </si>
  <si>
    <t>1390300-001</t>
  </si>
  <si>
    <t>Все делают простые футболки с принтом... но Under Armour делает их лучше. Эта плотная футболка имеет более весомую фактуру, при этом остаётся невероятно мягкой и удобной. Классические цветовые решения и фирменная тесьма на рукавах добавляют стиля.
Плотная, мягкая ткань из хлопковой смеси обеспечивает комфорт в течение всего дня
Вязаный воротник-стойка
Фирменная тесьма в качестве декоративного элемента</t>
  </si>
  <si>
    <t>1390300-100</t>
  </si>
  <si>
    <t>UA Rival Rib Baby Tee</t>
  </si>
  <si>
    <t>6000264-001</t>
  </si>
  <si>
    <t>Женская  футболка Under Armour UA Rival Rib Baby Tee идеально подходит для занятий спортом и создания стильного повседневного образа благодаря своей удобной и модной укороченной длине.
Модель выполнена из мягкой, легкой и эластичной ребристой ткани (57% хлопок, 38% полиэстер, 5% эластан), которая тянется в четырех направлениях, обеспечивая полную свободу движений.Имеет облегающий крой, укороченную длину с разрезами по бокам подола и круглый воротник.
 Основной материал содержит не менее 30% переработанного полиэстера, исключая отделку и украшения. На футболке присутствует вышитый фирменный логотип бренда Under Armour.</t>
  </si>
  <si>
    <t>6000264-100</t>
  </si>
  <si>
    <t>UA Heatgear Fitted SS</t>
  </si>
  <si>
    <t>6000939-001</t>
  </si>
  <si>
    <t>Встречайте футболку, которая становится второй кожей во время тренировок — Under Armour HeatGear Fitted SS. Этот предмет гардероба создан для тех, кто знает цену комфорту и уверенности в движении.
Представьте: ткань настолько мягкая и плотная, что она словно обнимает ваше тело, не стесняя движений. Технология HeatGear® работает как ваш личный терморегулятор, отводя излишки тепла и влаги, чтобы вы оставались прохладным даже в самые напряжённые моменты. Она дышит вместе с вами, позволяя коже свободно «дышать», независимо от интенсивности нагрузки.
Приталенный крой подчёркивает силуэт, придавая образу спортивную элегантность. Но это не просто стиль — каждая деталь продумана до мелочей. Плотная текстура материала защищает вас от малейших дискомфортных ситуаций: никаких зацепок, натираний или складок, которые могли бы помешать вашему фокусу. Эта футболка становится щитом между вами и внешним миром, будь то гири на тренировке или рюкзак в городской суете.
Секрет её совершенства кроется в мелочах: идеальная посадка, строгий минимализм дизайна и универсальный характер. Она станет основой вашего спортивного образа, который легко перекочует из зала на улицу, сохраняя безупречный вид.
Under Armour HeatGear Fitted SS — это больше, чем футболка. Это символ контроля, комфорта и готовности к любым испытаниям. Наденьте её, и пусть ничто не отвлекает вас от достижения целей.</t>
  </si>
  <si>
    <t>6000939-410</t>
  </si>
  <si>
    <t>Under Armour HeatGear  Fitted SS - это  легкая и дышащая мужская футболка для интенсивных тренировок,  оригинальный функциональный базовый слой экипировки, который вы надеваете первым и снимаете последним. Эта футболка создана, чтобы работать вместе с вашим телом, помогая регулировать температуру и повышать эффективность тренировок. 
Идеально подходит для широкого спектра спортивных дисциплин, включая бег, фитнес, силовые тренировки, кардио, кросс-тренинг, а также для любого активного отдыха в теплую погоду. Инновационный материал обеспечивает охлаждение, отводит пот от тела и очень быстро сохнет, сохраняя ощущение сухости и комфорта даже во время самых интенсивных нагрузок.Модель имеет обтекаемый fitted-крой (прилегающий, но не сдавливающий), который не стесняет движений. Материал 4-Way Stretch тянется во всех направлениях, обеспечивая максимальную мобильность.Технология Anti-Odor (контроль запаха) минимизирует размножение бактерий, вызывающих неприятный запах.Эргономичный дизайн швов предотвращает натирание в зонах повышенного трения.Материал: 80% полиэстер, 20% эластоэстер . Футболка отличается отличным комфортом, гибкостью и воздухопроницаемостью, что делает ее надежным выбором для регулярных тренировок.</t>
  </si>
  <si>
    <t>UA HG Rib Tank</t>
  </si>
  <si>
    <t>6003985-673</t>
  </si>
  <si>
    <t>Эта майка создана, чтобы двигаться вместе с вашим телом, а не против него. Продвинутая конструкция с 4-направленным стретчем обеспечивает полную свободу движений в любом направлении. В сочетании с ажурным дизайном без рукавов она даёт полную свободу рукам при подъёмах, растяжках и захватах.
Фигурный, облегающий силуэт создаёт ощущение поддержки без давления компрессионной одежды, а уникальная рельефная текстура добавляет стильный вид и улучшает гибкость. Удлинённый контурный подол обеспечивает надёжное прикрытие спины — вы можете уверенно наклоняться, приседать и растягиваться, не отвлекаясь на одежду.
Основные характеристики и технические параметры:
Дизайн: Спортивная конструкция без рукавов для максимальной мобильности и циркуляции воздуха — идеально подходит для интенсивных тренировок, сохраняя прохладу.
Технология ткани: Изготовлена из передового синтетического материала с фирменной технологией HeatGear® от Under Armour для эффективного отвода влаги и тепла.
Посадка и эластичность: Материал с 4-направленным стретчем идеально повторяет контуры тела, обеспечивая безупречную посадку, которая движется вместе с вами при любой активности.
Вырез горловины: Классический круглый вырез — удобный, не стесняющий движений, сочетает в себе функциональность и универсальность.
Управление влагой: Превосходные влагоотводящие свойства — отводят влагу от тела, чтобы вы оставались сухими и комфортными.
Скорость высыхания: Материал специально разработан для быстрого высыхания, исключая ощущение тяжести и промокания.
Покрытие: Контурный удлинённый подол обеспечивает дополнительное прикрытие и уверенность при динамичных движениях.
Текстура: Мягкая рельефная структура добавляет стиля, одновременно улучшая естественную растяжку и комфорт ткани.</t>
  </si>
  <si>
    <t>UA HWT ATHLETIC DEPT AOP SS</t>
  </si>
  <si>
    <t>6005655-001</t>
  </si>
  <si>
    <t>Все делают футболки с принтами... но Under Armour делает их лучше. Эта плотная футболка ощущается более солидно, но при этом очень мягкая и удобная, а сплошной принт добавляет яркости.
Детали:
Плотная, мягкая ткань из смеси хлопка обеспечивает комфорт в течение всего дня.
Воротник в рубчик.
Основная ткань изделия содержит не менее 40% переработанного полиэстера, за исключением отделки и декоративных элементов.</t>
  </si>
  <si>
    <t>6005655-279</t>
  </si>
  <si>
    <t>6005655-498</t>
  </si>
  <si>
    <t>Pjt Rck Hwt OS T</t>
  </si>
  <si>
    <t>6006763-001</t>
  </si>
  <si>
    <t>Футболка Under Armour — это мужская розовая (Maroon Mist) футболка из коллекции Project Rock, созданная Дуэйном «Скалой» Джонсоном, сочетающая комфорт хлопка и функциональность полиэстера (60% хлопок, 40% полиэстер) для тренировок и повседневной носки, обладающая мягкой, плотной тканью и оверсайз кроем для свободы движений и комфорта в течение всего дня.</t>
  </si>
  <si>
    <t>6006763-651</t>
  </si>
  <si>
    <t>6007149-308</t>
  </si>
  <si>
    <t>6007149-651</t>
  </si>
  <si>
    <t>Pjt Rck Iso Chill Tank</t>
  </si>
  <si>
    <t>6007179-044</t>
  </si>
  <si>
    <t>Сетчатая ткань ISO-CHILL помогает равномерно распределять тепло тела, создавая приятное ощущение прохлады
• Сетчатая вставка на спине для дополнительной вентиляции
• Материал отводит влагу и очень быстро сохнет
• Эластичный материал с растяжением в 4 направлениях обеспечивает большую свободу движений во всех направлениях</t>
  </si>
  <si>
    <t>PERFORMANCE COTTON UNDERSHIRT - SOLID FITTED CREW NECK 2PK</t>
  </si>
  <si>
    <t>6007621-001</t>
  </si>
  <si>
    <t>Футболка (2 шт)</t>
  </si>
  <si>
    <t>Футболка Under Armour UA Performance Cotton Crew Neck  является частью базовой линейки мужских хлопковых футболок , которые  продаются в наборе из двух штук. Предназначена для повседневной носки, а также может использоваться как базовый слой или одежда для легких тренировок благодаря комфортному материалу. Высококачественный смесовый хлопок, который обеспечивает мягкость, комфорт и воздухопроницаемость. Классический крой с круглым вырезом (crew neck) для свободы движений.Ткань очень мягкая и приятная к телу.  Стандартная посадка (Regular Fit) , облегающий крой (Fitted).
Эта футболка сочетает в себе классический стиль с функциональностью Under Armour, обеспечивая долговечность и комфорт в течение всего дня. Белый цвет делает ее универсальным элементом гардероба.</t>
  </si>
  <si>
    <t>6007621-100</t>
  </si>
  <si>
    <t>PERFORMANCE COTTON UNDERSHIRT - SOLID FITTED TANK 2PK</t>
  </si>
  <si>
    <t>6007622-001</t>
  </si>
  <si>
    <t>Майка (2 шт)</t>
  </si>
  <si>
    <t>Майка Under Armour   — это мужская майка (безрукавка) под названием UA Performance Cotton Undershirt - Solid Fitted Tank 2PK. Она  продается в наборе из двух штук. Предназначена для использования в качестве удобного базового слоя под одежду, а также подходит для легких физических нагрузок в зале или на улице. Модель разработана для обеспечения комфорта в течение всего дня благодаря мягкому материалу. 
Сверхмягкая смесовая хлопковая ткань (performance cotton), которая обеспечивает комфорт и приятные ощущения к телу. Материал эффективно отводит пот и быстро сохнет. Облегающий крой (Fitted), не слишком тугой и не слишком свободный. Классический вырез горловины и широкие бретели.
 Поставляется в комплекте из 2-х штук. 
Эта майка сочетает в себе мягкость хлопка и функциональные свойства синтетических материалов Under Armour, обеспечивая комфорт, воздухопроницаемость и быстрое высыхание. Это долговечный и универсальный предмет гардероба.</t>
  </si>
  <si>
    <t>95% хлопок, 5% спандекс</t>
  </si>
  <si>
    <t>6007622-100</t>
  </si>
  <si>
    <t>Motion Tank EMEA</t>
  </si>
  <si>
    <t>6007656-338</t>
  </si>
  <si>
    <t>Эта специально разработанная ткань отличается уникальной мягкостью, при этом безупречно отводя влагу. Она легкая, дышащая и полностью готова к работе.
Детали:
Сверхмягкий трикотаж — дышащий и комфортный
Материал с растяжимостью в 4 направлениях обеспечивает полную свободу движений
Глубокий округлый вырез спереди и сзади
Отделка пройм окантовкой</t>
  </si>
  <si>
    <t>Motion Shorts Bodysuit</t>
  </si>
  <si>
    <t>6007876-338</t>
  </si>
  <si>
    <t>Боди</t>
  </si>
  <si>
    <t>Rival OS Campus Tee</t>
  </si>
  <si>
    <t>6007883-001</t>
  </si>
  <si>
    <t>Все производят футболки... но Under Armour делает их лучше. Эта футболка невероятно мягкая и удобная, с просторным, свободным кроем.
Детали:
Сверхмягкая ткань из смеси хлопка обеспечивает комфорт в течение всего дня.
Эластичный материал, растягивающийся в четырех направлениях, обеспечивает лучшую подвижность.
Ребристый воротник.
Расширенный крой.
Удлинённый силуэт и опущенные плечи для свободной, объемной посадки.</t>
  </si>
  <si>
    <t>W Explor Trail Run Graphic</t>
  </si>
  <si>
    <t>6009174-016</t>
  </si>
  <si>
    <t>Беговая экипировка, разработанная специально для преодоления трудностей бездорожья. Лёгкая, сверхпрочная, эластичная и быстро сохнущая. Ни одна тропа не будет слишком сложной.
Супермягкая сетка с микроперфорацией обеспечивает превосходную воздухопроницаемость без ущерба для защиты
Материал отводит влагу и очень быстро сохнет
Ткань с растяжением в 4 направлениях обеспечивает свободу движений в любом направлении
Светоотражающий принт для повышенной видимости
Укороченная длина изделия
Технология контроля запаха эффективно минимизирует неприятные ароматы</t>
  </si>
  <si>
    <t>UA M 60/40S ARMOR GLOBE SS</t>
  </si>
  <si>
    <t>6009261-338</t>
  </si>
  <si>
    <t>Все производят футболки с принтами... но Under Armour делает их лучше. Мы используем легкую, мягкую и быстросохнущую ткань. Эта футболка украшена ярким логотипом, который продемонстрирует вашу любовь к бренду.
Детали:
Сверхмягкая ткань из смеси хлопка обеспечивает комфорт в течение всего дня.
Воротник в рубчик.</t>
  </si>
  <si>
    <t>UA M HWT WM SS</t>
  </si>
  <si>
    <t>6009266-069</t>
  </si>
  <si>
    <t>Мужская футболка UA M HWT WM SS.
Детали:
Плотная и мягкая ткань с содержанием хлопка обеспечивает комфорт в течение всего дня.
Ребристый воротник.</t>
  </si>
  <si>
    <t>6009266-100</t>
  </si>
  <si>
    <t>UA M HWT SPORTS SS</t>
  </si>
  <si>
    <t>6009268-008</t>
  </si>
  <si>
    <t>Все бренды выпускают футболки с принтами... но Under Armour делает их лучше. Эта плотная футболка с короткими рукавами и ярким графическим принтом обладает более весомой, качественной фактурой, при этом остаётся супермягкой и комфортной.
Плотная, мягкая ткань из хлопковой смеси обеспечивает комфорт в течение всего дня
Вязаный рифлёный воротник</t>
  </si>
  <si>
    <t>6009268-100</t>
  </si>
  <si>
    <t>UA M 60/40S CITY CLASSIC SS</t>
  </si>
  <si>
    <t>6009326-008</t>
  </si>
  <si>
    <t>Мужская футболка с коротким рукавом Under Armour City Classic черного цвета сочетает в себе комфорт и стиль, что делает ее незаменимой в повседневной жизни.
Ультрамягкая ткань облегает тело, не стесняя движений, обеспечивая комфорт в течение всего дня.
Ребристый круглый вырез горловины обеспечивает идеальную посадку футболки Under Armour и сохранение ее формы даже после многократного использования и стирок.
Свободный крой придает изделию современный и комфортный вид, а яркий принт на спине добавляет динамичности и стиля, который выделяется, не будучи при этом излишним.
Идеально подходит для повседневных образов, тренировок низкой интенсивности или моментов отдыха, всегда обеспечивая комфорт и современный вид.</t>
  </si>
  <si>
    <t>UA BCL Pro Shortsleeve</t>
  </si>
  <si>
    <t>6009506-001</t>
  </si>
  <si>
    <t>6009506-069</t>
  </si>
  <si>
    <t>UA BCL Pro Print SS</t>
  </si>
  <si>
    <t>6009507-001</t>
  </si>
  <si>
    <t>UA BCL SS</t>
  </si>
  <si>
    <t>6009517-001</t>
  </si>
  <si>
    <t>Для длительных дистанций и скоростных забегов невероятный комфорт, идеальная эластичность и легкость — вот что вы получаете с UA BCL. По сути, вы чувствуете себя так, будто на вас ничего нет.
Детали:
Сверхмягкая, легкая ткань с обновленным жаккардовым узором и добавлением эластичных волокон для улучшенной воздухопроницаемости и циркуляции воздуха.
Материал отводит пот и очень быстро сохнет.
Эластичная ткань, растягивающаяся в 4 направлениях, обеспечивает лучшую свободу движений.
Обновленный, более свободный крой с более высоким воротником.
Боковой разрез по низу.
Технология контроля запаха минимизирует его появление.</t>
  </si>
  <si>
    <t>6009517-100</t>
  </si>
  <si>
    <t>UA BCL Shortsleeve</t>
  </si>
  <si>
    <t>6009540-001</t>
  </si>
  <si>
    <t>6009540-025</t>
  </si>
  <si>
    <t>6009540-703</t>
  </si>
  <si>
    <t>UA Drive Bonded Polo</t>
  </si>
  <si>
    <t>6009652-477</t>
  </si>
  <si>
    <t>Дизайн с применением технологии UA Helix обеспечивает адаптацию к движениям тела, сверхбыстрое отведение влаги, улучшенную циркуляцию воздуха и исключительную сухость.
Преимущества модели:
🔹 Антистатичный материал — сохнет на 50% быстрее, эффективно отводит пот и обеспечивает комфорт в течение всего дня
🔹 Защита от УФ-излучения UPF 50+ — надёжно защищает кожу при занятиях на открытом воздухе
🔹 Технология контроля запаха — предотвращает появление неприятных запахов, сохраняя свежесть
🔹 Современный воротник с укрепляющей вставкой — сохраняет идеальную форму даже после интенсивной игры
🔹 Бесшовная планка — лаконичный дизайн и повышенный комфорт без натирания
🔹 Универсальная посадка — свободный, но аккуратный крой: можно носить как навыпуск, так и заправлять
🔹 Премиальные детали — силиконовый логотип и перламутровые пуговицы добавляют изысканности
🔹 Свободный крой (Loose Fit) — максимальный комфорт и свобода движений</t>
  </si>
  <si>
    <t>UA Drive Printed Polo</t>
  </si>
  <si>
    <t>6009719-014</t>
  </si>
  <si>
    <t>Разработанное с применением технологии UA Helix, это поло с принтом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Защита UPF 50+ оберегает кожу от вредного воздействия солнечных лучей
Технология контроля запаха эффективно минимизирует неприятные ароматы
Современный структурированный воротник со встроенными фиксаторами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</si>
  <si>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Drive Chill Printed Polo</t>
  </si>
  <si>
    <t>6009724-001</t>
  </si>
  <si>
    <t>Мы сплющили волокна в этом гольф-поло и добавили немного науки, чтобы создать революционную ткань, которая быстро отводит тепло от кожи — помогая вам сохранять спокойствие, прохладу и работать на максимуме возможностей на поле.
Ткань Iso-Chill помогает рассеивать тепло тела, создавая ощущение прохлады при прикосновении — идеально для жарких раундов в гольф
Ткань с растяжением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Модернизированный воротник из основной ткани
Премиальные детали: силиконовый логотип на груди и перламутровые пуговицы
Технология контроля запаха эффективно минимизирует неприятные ароматы</t>
  </si>
  <si>
    <t>76% нейлон, 24% эластан</t>
  </si>
  <si>
    <t>6009724-411</t>
  </si>
  <si>
    <t>UA Drive Jacquard Polo</t>
  </si>
  <si>
    <t>6009737-001</t>
  </si>
  <si>
    <t>Разработанное с применением технологии UA Helix, это поло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Технология контроля запаха эффективно минимизирует неприятные ароматы
Современный структурированный воротник со встроенными фиксаторами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</si>
  <si>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T2G Colorblock Polo</t>
  </si>
  <si>
    <t>6009798-069</t>
  </si>
  <si>
    <t>Создано для невероятно комфортной посадки и ощущений, при этом обеспечивает отведение влаги, защиту от перегрева и высокие рабочие характеристики.
Мягкая ткань с защитой от катышков и пиллинга: чрезвычайно дышащая и лёгкая
Ткань с растяжением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Планка на 2 пуговицы
Технология контроля запаха эффективно минимизирует неприятные ароматы</t>
  </si>
  <si>
    <t>серый/зеленый</t>
  </si>
  <si>
    <t>6009798-426</t>
  </si>
  <si>
    <t>UA Matchplay Polo</t>
  </si>
  <si>
    <t>6009799-100</t>
  </si>
  <si>
    <t>Мы действительно улучшили одну из самых продаваемых поло в мире. Ткань теперь стала легче и более воздухопроницаемой, чтобы вы оставались еще более прохладными и сосредоточенными.
Особенности:
Гладкая, мягкая ткань с защитой от катышков и зацепок, имеет текстурированную поверхность, устойчивую к затяжкам
Материал с растяжкой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Планка на 2 пуговицы
Технология контроля запаха минимизирует появление неприятных ароматов</t>
  </si>
  <si>
    <t>UA Drive SS Polo</t>
  </si>
  <si>
    <t>6009805-001</t>
  </si>
  <si>
    <t>Разработанное с применением технологии UA Helix, это поло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Защита UPF 50+ оберегает кожу от вредного воздействия солнечных лучей
Технология контроля запаха эффективно минимизирует неприятные ароматы
Современный структурированный воротник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</si>
  <si>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M HWT FITNESS EXPO SS</t>
  </si>
  <si>
    <t>6009931-100</t>
  </si>
  <si>
    <t>Все бренды выпускают футболки с принтами... но Under Armour делает их лучше. Эта плотная футболка с короткими рукавами и яркими графическими принтами обладает более весомой, качественной фактурой, при этом остаётся супермягкой и комфортной.
Плотная, мягкая ткань из хлопковой смеси обеспечивает комфорт в течение всего дня
Вязаный рифлёный воротник</t>
  </si>
  <si>
    <t>6009989-001</t>
  </si>
  <si>
    <t>6009989-100</t>
  </si>
  <si>
    <t>6009990-001</t>
  </si>
  <si>
    <t>UA HeatGear Mesh Tank</t>
  </si>
  <si>
    <t>6010007-008</t>
  </si>
  <si>
    <t>Гладкая функциональная ткань HeatGear® невероятно лёгкая и дышащая.
Основные особенности:
Материал эффективно отводит влагу и быстро сохнет
Дизайн «рейсербек» из сетчатого материала Power Mesh и вырез «замочная скважина» для улучшенной воздухопроницаемости
Мягкий эластичный низ с принтом-логотипом
Технология контроля запаха минимизирует появление неприятных ароматов</t>
  </si>
  <si>
    <t>6010007-338</t>
  </si>
  <si>
    <t>UA W WM CROP SS</t>
  </si>
  <si>
    <t>6010588-001</t>
  </si>
  <si>
    <t>Все производят футболки с принтами, но никто не делает их так хорошо, как Under Armour. Используется легкая, мягкая и быстросохнущая ткань. Эта футболка выделяется своим рукописным логотипом, который добавляет ей стиля.
Мягкая ткань из смесового хлопка обеспечивает комфорт в течение всего дня.
Ребристый воротник.</t>
  </si>
  <si>
    <t>6010588-100</t>
  </si>
  <si>
    <t>6010588-690</t>
  </si>
  <si>
    <t>UA W VARSITY SS</t>
  </si>
  <si>
    <t>6010592-025</t>
  </si>
  <si>
    <t>Все производят футболки с принтами... но Under Armour делает их лучше. Мы используем легкую, мягкую и быстросохнущую ткань. Эта футболка украшена графическими элементами в университетском стиле.
Детали:
Сверхмягкая ткань из смеси хлопка обеспечивает комфорт в течение всего дня.
Воротник в рубчик.</t>
  </si>
  <si>
    <t>6010592-477</t>
  </si>
  <si>
    <t>6010592-603</t>
  </si>
  <si>
    <t>6010603-001</t>
  </si>
  <si>
    <t>В этой футболке ничто не сможет вас остановить. Бесшовный крой обеспечивает минимальное натирание, кроме того, сетчатые детали, стратегически расположенные там, где вы больше всего потеете, обеспечивают дополнительную воздухопроницаемость, чтобы вам было прохладно и вы могли сосредоточиться.</t>
  </si>
  <si>
    <t>53% полиэстер, 47% нейлон</t>
  </si>
  <si>
    <t>6010603-338</t>
  </si>
  <si>
    <t>6010603-709</t>
  </si>
  <si>
    <t>UA Vanish SS</t>
  </si>
  <si>
    <t>6010870-338</t>
  </si>
  <si>
    <t>6010870-603</t>
  </si>
  <si>
    <t>UA Hoops SS Shooting Shirt</t>
  </si>
  <si>
    <t>6010921-001</t>
  </si>
  <si>
    <t>Эта коллекция создана для людей, которые живут и дышат баскетболом. В ней вы найдете ультракомфортные спортивные костюмы, а также футболки, майки и шорты, которые превосходят все остальное на площадке.
Детали:
Гладкая, легкая, быстросохнущая ткань с градиентным принтом для превосходных характеристик.
Материал отводит пот и очень быстро сохнет.
Эластичная ткань, растягивающаяся в 4 направлениях, обеспечивает лучшую свободу движений.
Рукава реглан.
Боковой разрез по низу.
Технология контроля запаха минимизирует неприятные запахи.</t>
  </si>
  <si>
    <t>UA Hoops Performance LS</t>
  </si>
  <si>
    <t>6010922-014</t>
  </si>
  <si>
    <t>Эта коллекция создана для тех, кто живёт и дышит баскетболом. В неё входят ультракомфортные разминочные комплексы, а также футболки, майки и шорты, которые превосходят всё остальное на площадке.
Гладкая, лёгкая, быстросохнущая ткань с градиентным принтом для превосходной производительности
Материал отводит влагу и очень быстро сохнет
Ткань с растяжением в 4 направлениях обеспечивает свободу движений в любом направлении
Рукава реглан для улучшенной амплитуды движений
Боковые вентиляционные разрезы по нижнему краю
Технология контроля запаха эффективно минимизирует неприятные ароматы</t>
  </si>
  <si>
    <t>UA Burnout 96 Tee</t>
  </si>
  <si>
    <t>6010952-008</t>
  </si>
  <si>
    <t>Все шьют футболки с принтами... но Under Armour делает их лучше. Ткань, которую мы используем, легкая, мягкая и быстросохнущая. Эта футболка выполнена с эффектом винтажного выгорания и имеет необработанный край по низу для дополнительного стиля.
Особенности:
Сверхмягкая ткань из хлопковой смеси с эффектом выгорания обеспечивает комфорт в течение всего дня
Необработанный край по низу изделия</t>
  </si>
  <si>
    <t>64% хлопок, 36% полиэстер</t>
  </si>
  <si>
    <t>6010952-690</t>
  </si>
  <si>
    <t>UA Rival Boxy Tee Solid</t>
  </si>
  <si>
    <t>6011064-023</t>
  </si>
  <si>
    <t>Эта мягкая футболка из хлопковой смеси невероятно комфортна, со спущенной линией плеча и укороченной длиной для свободного, объемного силуэта и ощущений.
Особенности:
Сверхмягкая ткань из хлопковой смеси обеспечивает комфорт в течение всего дня
Материал с растяжкой в 4 направлениях обеспечивает свободу движений в любом направлении
Воротник с резинкой
Спущенная линия плеча для свободного, объемного кроя и ощущений
Укороченная длина изделия</t>
  </si>
  <si>
    <t>UA M MOUNTAIN PHOTOREAL SS</t>
  </si>
  <si>
    <t>6011077-279</t>
  </si>
  <si>
    <t>Все шьют футболки с принтами... но Under Armour делает их лучше. Ткань, которую мы используем, легкая, мягкая и быстросохнущая. Эта футболка украшена принтом и цветами в стиле outdoor для прогулок по трейлам.
Особенности:
Сверхмягкая ткань из хлопковой смеси обеспечивает комфорт в течение всего дня
Воротник с резинкой</t>
  </si>
  <si>
    <t>6011077-709</t>
  </si>
  <si>
    <t>HeatGear High</t>
  </si>
  <si>
    <t>6011152-008</t>
  </si>
  <si>
    <t>Компрессионный спортивный бюстгальтер Under Armour с технологией HeatGear®
Никакого двойного слоя. Никакого сдавливания. Никакого сползания. Только ощущение надёжной фиксации, гладкие регулируемые бретели, которые легко сдвигаются и фиксируются крючком, и влагоотводящая сила технологии HeatGear®. Это компрессионный топ, в котором вы действительно можете выкладываться на полную.
Ключевые особенности:
🔹 Стратегическая поддержка — специально разработан для видов активности с высокой нагрузкой: бег, игровые виды спорта в зале и на открытом поле
🔹 Гладкая мягкая спейсер-ткань спереди — обеспечивает поддержку и покрытие с эффектом компрессии, не создавая дискомфорта
🔹 Сетчатые вставки на спине и по бокам — гарантируют максимальную воздухопроницаемость и терморегуляцию во время интенсивных тренировок
🔹 Быстрая и удобная регулировка бретелей спереди — позволяет легко подобрать индивидуальную посадку под ваши потребности
🔹 Открытая спинка с вырезом-каплей — облегчает надевание и снятие; эластичная нижняя кромка невероятно гладкая и мягкая на ощупь
🔹 Тройной слой ткани спереди — обеспечивает надёжное покрытие без использования поролоновых вставок
🔹 Влагоотводящий материал с быстрым высыханием — эффективно отводит пот и быстро сохнет, сохраняя ощущение сухости
🔹 Материал с 4-сторонней эластичностью — свободно растягивается в любом направлении, повторяя каждое ваше движение</t>
  </si>
  <si>
    <t>UA M HOOPS TRIPLE LOGO SS</t>
  </si>
  <si>
    <t>6011246-100</t>
  </si>
  <si>
    <t>Все производят футболки с принтами... но Under Armour делает это лучше. Материал, который мы используем, легкий, мягкий и быстросохнущий. Эта футболка украшена логотипом в баскетбольной тематике, чтобы показать вашу страсть к игре.
Детали:
Сверхмягкий материал из смеси хлопка для комфорта в течение всего дня.
Ребристый воротник.</t>
  </si>
  <si>
    <t>6011246-520</t>
  </si>
  <si>
    <t>UA W SCRIPTHEART CROP SS</t>
  </si>
  <si>
    <t>6011506-001</t>
  </si>
  <si>
    <t>Все шьют футболки с принтами... но Under Armour делает их лучше. Ткань, которую мы используем, легкая, мягкая и быстросохнущая. Эта футболка украшена классическим графическим логотипом в стиле каллиграфической надписи для дополнительного шарма.
Особенности:
Сверхмягкая ткань из хлопковой смеси обеспечивает комфорт в течение всего дня
Воротник с резинкой</t>
  </si>
  <si>
    <t>6011506-110</t>
  </si>
  <si>
    <t>UA Mesh Jersey</t>
  </si>
  <si>
    <t>6011509-002</t>
  </si>
  <si>
    <t>Дышащая сетчатая ткань и свободный крой делают эту футболку-джерси идеальной для любых активностей, а принты в стиле университетской спортивной атрибутики придают ей атлетичный стиль.
Особенности:
Мягкая сетчатая ткань с открытыми ячейками обеспечивает превосходную воздухопроницаемость и комфорт
Материал отводит влагу и очень быстро сохнет
Фигурный нижний край с боковыми разрезами
Рукава реглан
Принты, нанесенные методом шелкографии, спереди и сзади</t>
  </si>
  <si>
    <t>UA T2G Pique Polo</t>
  </si>
  <si>
    <t>6012303-001</t>
  </si>
  <si>
    <t>Создано для максимального комфорта и удобства, обеспечивая при этом отвод влаги и защиту от перегрева.
Детали:
Мягкая, не образующая катышков и затяжек ткань обладает исключительной воздухопроницаемостью и легкостью.
Эластичный материал, растягивающийся в четырех направлениях, обеспечивает лучшую подвижность во всех направлениях.
Материал отводит пот и очень быстро сохнет.
UPF 40 защищает вашу кожу от вредного воздействия солнечных лучей.
планка с двумя пуговицами
Технология контроля запахов сводит запахи к минимуму.
Основной материал изделия содержит не менее 90% переработанного полиэстера, за исключением отделки и декоративных элементов.</t>
  </si>
  <si>
    <t>6012303-100</t>
  </si>
  <si>
    <t>UA T2G Printed Polo</t>
  </si>
  <si>
    <t>6012304-001</t>
  </si>
  <si>
    <t>UA Tech Taping SS</t>
  </si>
  <si>
    <t>6012356-001</t>
  </si>
  <si>
    <t>UA Tech™ — это оригинальная тренировочная одежда: свободная, легкая и обеспечивающая комфорт и прохладу. В ней есть все, что вам нужно.
Детали:
Ткань UA Tech™ быстро сохнет, очень мягкая и приятна на ощупь.
Материал отводит пот и очень быстро сохнет.
Технология контроля запаха минимизирует появление неприятного запаха.
Декоративные элементы в виде тесьмы с логотипом компании на плечах и рукавах.
Основная ткань изделия содержит не менее 90% переработанного полиэстера, за исключением отделки и декоративных элементов.</t>
  </si>
  <si>
    <t>6012356-203</t>
  </si>
  <si>
    <t>UA M WM Locker Tag SS</t>
  </si>
  <si>
    <t>6012778-011</t>
  </si>
  <si>
    <t>Все делают обычные футболки... но Under Armour делает их лучше. Ткань, которую мы используем, — лёгкая, мягкая и быстросохнущая. Эта футболка украшена логотипом-надписью на груди для стильного акцента.
• Сверхмягкая ткань из хлопковой смеси обеспечивает комфорт в течение всего дня
• Воротник с трикотажной резинкой</t>
  </si>
  <si>
    <t>6012778-466</t>
  </si>
  <si>
    <t>6012778-498</t>
  </si>
  <si>
    <t>6012783-016</t>
  </si>
  <si>
    <t>6012823-100</t>
  </si>
  <si>
    <t>UA Hoops 695 Tank</t>
  </si>
  <si>
    <t>6012824-001</t>
  </si>
  <si>
    <t>Эта коллекция создана для людей, которые живут и дышат баскетболом. В ней вы найдете ультракомфортные спортивные костюмы, а также футболки, майки и шорты, которые превосходят все остальное на площадке.
Детали:
Сверхмягкая ткань из смесового хлопка с сетчкатой майкой сверху обеспечивает комфорт и воздухопроницаемость.
Боковой разрез по низу.</t>
  </si>
  <si>
    <t>100% полиэстер/57% хлопок, 38% полиэстер, 5% эластан</t>
  </si>
  <si>
    <t>6012824-100</t>
  </si>
  <si>
    <t>UA Halftime Ribbed Pom-BLK</t>
  </si>
  <si>
    <t>1373098-001</t>
  </si>
  <si>
    <t>Шапка</t>
  </si>
  <si>
    <t>Шапки</t>
  </si>
  <si>
    <t>Шапка Under Armour черного цвета современного кроя.</t>
  </si>
  <si>
    <t>22% нейлон, 28% полиэстер, 50% акрил</t>
  </si>
  <si>
    <t>UA W AROUND TOWN BEANIE</t>
  </si>
  <si>
    <t>1299899-100</t>
  </si>
  <si>
    <t>Прочная трикотажная конструкция обеспечивает тепло в течение всего дня.Флисовая подкладка обеспечивает мягкость и комфорт.Маленький металлический логотип Under Armour.</t>
  </si>
  <si>
    <t>54-58</t>
  </si>
  <si>
    <t>M Halftime Pom Beanie</t>
  </si>
  <si>
    <t>1386634-305</t>
  </si>
  <si>
    <t>Шапка Under Armour M Halftime Pom Beanie  — это мужской зимний головной убор из мягкой акриловой вязки с классическим помпоном сверху.
 Изготовлена из высококачественной ребристой акриловой ткани, которая невероятно мягкая и приятная на ощупь.
Обеспечивает эффективную защиту от холода, сохраняя тепло, при этом позволяя коже дышать.
 Материал эффективно отводит пот и очень быстро сохнет, сохраняя голову сухой и теплой.</t>
  </si>
  <si>
    <t>95% акрил, 4% нейлон, 1% эластан</t>
  </si>
  <si>
    <t>56-60</t>
  </si>
  <si>
    <t>W's Halftime Beanie</t>
  </si>
  <si>
    <t>6007044-538</t>
  </si>
  <si>
    <t>Эта шапка-бини станет вашим новым must-have в холодную погоду. Она создана из ребристой вязки, невероятно мягкой и обеспечивающей комфорт и тепло в течение всего дня. Вы захотите иметь её во всех цветах.
Ребристая акриловая вязка невероятно мягкая и дарит тепло и комфорт на протяжении всего дня.
Удлиненный отворот.</t>
  </si>
  <si>
    <t>1299899-554</t>
  </si>
  <si>
    <t>Storm Insulated CGI Beanie</t>
  </si>
  <si>
    <t>1365931-554</t>
  </si>
  <si>
    <t>Технология ColdGear Infrared удерживает тепло тела, не добавляя веса или объема. Это особый мягкий рисунок на внутренней стороне, который сохраняет тепло дольше, так что вы можете тренироваться в сильный мороз. Технология UA Storm отталкивает воду, не уменьшая воздухопроницаемость. Стеганая внешняя ткань из флиса UA Swacket - прочная и удобная. Текстурированная внутренняя ткань вафельного трикотажа удерживает тепло для дополнительного тепла. В инфракрасной технологии ColdGear используется мягкое теплопроводящее покрытие, которое поглощает и сохраняет тепло вашего тела. Ребристые боковые панели внутри обеспечивают дополнительную эластичность и комфорт.</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</si>
  <si>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</si>
  <si>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Основной материал: 74% полиэстер,24% нейлон,2% эластан</t>
  </si>
  <si>
    <t>UA Around Town CGI Beanie</t>
  </si>
  <si>
    <t>1365936-500</t>
  </si>
  <si>
    <t>Толстая трикотажная ткань в рубчик снаружи обеспечивает комфорт и тепло на весь день. В инфракрасной технологии ColdGear используется мягкое теплопроводящее покрытие, которое поглощает и сохраняет тепло вашего тела. Внутренняя флисовая подкладка обеспечивает мягкое ощущение тепла и комфорта.</t>
  </si>
  <si>
    <t>UA Halftime Ribbed Pom-PPL</t>
  </si>
  <si>
    <t>1373098-767</t>
  </si>
  <si>
    <t>Шапка Under Armour фиолетового цвета современного кроя.</t>
  </si>
  <si>
    <t>50% акрил, 28% полиэстер, 22% нейлон</t>
  </si>
  <si>
    <t>UA Halftime Cuff</t>
  </si>
  <si>
    <t>1373155-390</t>
  </si>
  <si>
    <t>Шапка Under Armour Men HALFTIME CUFF — это сочетание практичности и стиля для активных мужчин в холодное время года. Изготовленная из 100% акрила, эта модель гарантирует комфорт и защиту от холода на целый день. Ее классический цвет и ребристая текстура создают универсальный дизайн, который можно легко сочетать с повседневной и спортивной одеждой. Влагоотводящие свойства поддерживают сухость и тепло даже при интенсивной активности, а наличие фирменной нашивки с логотипом подчеркивает оригинальность изделия. Простота ухода за шапкой продлевает срок службы, позволяя наслаждаться комфортом долгие годы.
- Ребристая акриловая ткань эффективно удерживает тепло, создавая барьер от холода, что делает шапку Under Armour Men HALFTIME CUFF идеальной для зимних условий.
- Мягкость материала обеспечивает непревзойденный комфорт в течение всего дня, не раздражая кожу головы.
- Отлично поддерживает ощущения свежести и тепла, что особенно важно при интенсивных нагрузках.
- Подходит для машинной стирки при 30 градусах, что упрощает уход за изделием, сохраняя его внешний вид и функциональные свойства.
- Нашивка с логотипом подчеркивает принадлежность к бренду, известному своим качеством и инновациями.</t>
  </si>
  <si>
    <t>1373155-410</t>
  </si>
  <si>
    <t>UA Halftime Shallow Cuff</t>
  </si>
  <si>
    <t>1379990-001</t>
  </si>
  <si>
    <t>Шапка UA Halftime Shallow Cuff от Under Armour — это стильный аксессуар, созданный для тех, кто ценит комфорт и тепло в холодное время года. Выполненная из 100% акрила, она обеспечивает надежное теплоизоляцию и уют. Элегантный дизайн с низким подворотом делает ее идеальным выбором как для активного отдыха, так и для повседневной носки. Простая машинная стирка при 30 градусах упрощает уход за изделием.
- Материал из 100% акрила обеспечивает отличную теплоизоляцию, создавая комфорт и уют в прохладные дни.
- Используемая технология HeatGear защищает от холода и эффективно отводит влагу, поддерживая оптимальный микроклимат.
- Низкий подворот добавляет стиль и увеличивает защиту, плотно прилегая к ушам.
- Эластичная структура предлагает универсальную посадку, подходящую для любой формы головы, обеспечивая комфортное ношение.
- Логотип Under Armour на манжете подчеркивает принадлежность к качественной спортивной экипировке.</t>
  </si>
  <si>
    <t>1386634-279</t>
  </si>
  <si>
    <t>Launch Reflective Beanie</t>
  </si>
  <si>
    <t>1386648-001</t>
  </si>
  <si>
    <t>Шапка Under Armour Launch Reflective Beanie специально разработана для спортсменов и активных людей, которым важны комфорт и безопасность в любых условиях. Благодаря использованию технологии высококачественной ткани, эта шапка обеспечивает отличное сохранение тепла и эффективное отведение влаги, что позволяет оставаться сухим и чувствовать себя комфортно даже в холодную погоду. Ее облегающий фасон обеспечивает идеальную посадку, а светоотражающие элементы добавляют видимости в условиях низкой освещенности, что особенно важно для вечерних или утренних пробежек. Стильный и практичный аксессуар для тех, кто не останавливается ни перед какими препятствиями.</t>
  </si>
  <si>
    <t>85% акрил, 15% полиэстер</t>
  </si>
  <si>
    <t>6007044-001</t>
  </si>
  <si>
    <t>UA Storm Fleece-BLK</t>
  </si>
  <si>
    <t>1373120-001</t>
  </si>
  <si>
    <t>Снуд</t>
  </si>
  <si>
    <t>Шарфы</t>
  </si>
  <si>
    <t>Шарф-снуд для бега Under Armour Storm Fleece — это идеальный аксессуар для тренировок на открытом воздухе в холодную погоду. Изготовленный из хлопка и полиэстера, этот снуд обеспечивает тепло и защиту от погодных условий, сохраняя стильный вид. Универсальность снуд позволяет использовать его как шарф, маску или головной убор, адаптируясь к любой ситуации.
- Технология Storm отталкивает воду, позволяя оставаться сухим и комфортным даже в дождливую погоду.
- Флисовая подкладка сохраняет тепло и уют, делая его идеальным для холодных дней.
- Современный крой обеспечивает стильный внешний вид, подходящий как для пробежек, так и для повседневного ношения.
- Легкий и мягкий материал не вызывает раздражения, обеспечивая комфорт в течение всего времени носки.
- Элегантный дизайн делают его отличным дополнением к любому спортивному гардеробу.</t>
  </si>
  <si>
    <t>65% хлопок, 35% полиэстер</t>
  </si>
  <si>
    <t>PJT RCK ICON FLC SHORT PT BOH</t>
  </si>
  <si>
    <t>1386885-505</t>
  </si>
  <si>
    <t>Шорты</t>
  </si>
  <si>
    <t>Шорты Under Armour Pjt Rck Icon Flc Short Pt Boh — это идеальное сочетание комфорта и функциональности для мужчин, ведущих активный образ жизни. Созданные специально для фитнеса, они обеспечивают непревзойдённый комфорт благодаря высокому содержанию хлопка. Состав из хлопка и полиэстера дарит приятную на ощупь текстуру и отличную воздухопроницаемость, что делает шорты идеальными для тренировок и повседневной носки. Эластичная талия с регулируемым шнурком гарантирует отличную посадку и свободу движений. Стильный и лаконичный дизайн позволяет легко сочетать их с различной спортивной одеждой, подчеркивая ваш уникальный стиль. Эти шорты станут надёжным спутником в любых спортивных достижениях.</t>
  </si>
  <si>
    <t>PJT ROCK ULT 5IN TRAIN SHORT</t>
  </si>
  <si>
    <t>1384217-505</t>
  </si>
  <si>
    <t>Шорты PJT ROCK ULT 5IN TRAIN SHORT – это воплощение высочайшего качества, функциональности и современного дизайна, созданные для самых интенсивных тренировок и повседневной активности. Разработанные в сотрудничестве с Двейном "Скалой" Джонсоном, эти шорты вдохновят вас на достижение новых высот, объединяя силу и стиль в одном изделии.
- Материал: Высококачественная ткань, сочетающая в себе легкость и прочность, помогает сохранять прохладу и комфорт во время тренировок. Технология отвода влаги быстро удаляет пот, обеспечивая сухость и свежесть в любых условиях. Материал также обладает устойчивостью к растяжению и сохраняет форму даже после многократных стирок.
- Дизайн: Продуманный крой учитывает особенности движения тела, обеспечивая максимальную свободу и комфорт. Внутренняя длина шорт составляет 5 дюймов (12,7 см), что обеспечивает оптимальный баланс между мобильностью и прикрытием. Эластичный пояс с регулируемым шнурком позволяет добиться идеальной посадки, обеспечивая надежную фиксацию на талии.
- Функциональные детали: Два боковых кармана на молнии предлагают удобное и безопасное место для хранения мелочей, таких как ключи или телефон, что особенно важно во время тренировок. Вентиляционные отверстия и вставки из сетчатой ткани способствуют улучшенной вентиляции, предотвращая перегрев.
- Лого и вдохновение: Шорты украшены культовым логотипом Project Rock, символизирующим силу воли и стремление к совершенству. Этот элемент придает шортам уникальный вид и добавляет мотивации каждому вашему движению.
- Универсальность: Эти шорты идеально подходят для самых разных видов активности – от интенсивных тренировок в зале до бега или спортивных игр на открытом воздухе. Они также отлично вписываются в повседневный гардероб, добавляя нотку спортивного стиля и функциональности.
Шорты PJT ROCK ULT 5IN TRAIN SHORT – это идеальный выбор для тех, кто ищет сочетание качества, комфорта и стиля. Наденьте их и дайте себе возможность сосредоточиться на самом важном – достижении своих целей и преодолении новых рубежей!</t>
  </si>
  <si>
    <t>UA Unstoppable Utility Short</t>
  </si>
  <si>
    <t>1390257-001</t>
  </si>
  <si>
    <t>Шорты Under Armour UA Unstoppable Utility Short — это сочетание стиля, комфорта и функциональности. Они выполнены из высококачественного материала, который обеспечивает прочность и долговечность. Прямой крой шорт придаёт им универсальный вид, подходящий как для занятий спортом, так и для повседневной носки. Боковые карманы добавляют практичности, позволяя хранить мелкие предметы всегда под рукой. Застежка пояса на завязке обеспечивает индивидуальную подгонку и надежную фиксацию, удобно адаптируясь под разные формы тела. Эти шорты отлично подходят для активного отдыха, тренировок и повседневного использования, предлагая свободу движений и стильный внешний вид. Благодаря вниманию к деталям и качеству, они станут незаменимой частью вашего гардероба.</t>
  </si>
  <si>
    <t>1390257-251</t>
  </si>
  <si>
    <t>PJT RCK ULTIMATE 5IN TRN ST E</t>
  </si>
  <si>
    <t>1387773-800</t>
  </si>
  <si>
    <t>Шорты Under Armour PJT RCK ULTIMATE 5IN TRN ST E созданы для максимального комфорта и свободы движений. Изготовленные из прочной смеси полиэстера и эластана, они обеспечивают легкость и отличную эластичность, что делает их идеальными для любых тренировок. Эти шорты оснащены удобной застежкой-завязкой, позволяющей точно регулировать посадку по талии. Их продуманный дизайн делает их универсальным выбором как для спортивных занятий, так и для повседневной носки.</t>
  </si>
  <si>
    <t>PJT RCK HWT SHORTS TOOLS</t>
  </si>
  <si>
    <t>1386901-709</t>
  </si>
  <si>
    <t>Шорты Under Armour PJT RCK HWT SHORTS TOOLS идеально подходят для активного образа жизни и повседневного комфорта. Выполненные из мягкого и прочного сочетания хлопка и полиэстера, они гарантируют свободу движений и долговечность. Практичная застежка на завязках позволяет легко регулировать посадку по фигуре, обеспечивая надежную фиксацию даже во время интенсивных тренировок. Эти шорты станут отличным выбором как для занятий в зале, так и для прогулок в теплую погоду. Универсальный дизайн позволяет сочетать их с любой спортивной или повседневной одеждой, добавляя нотку стиля и комфорта в ваш гардероб. Наслаждайтесь легкостью и свободой движения в любой ситуации.</t>
  </si>
  <si>
    <t>UA LAUNCH PRO 5'' SHORTS</t>
  </si>
  <si>
    <t>1376509-452</t>
  </si>
  <si>
    <t>Спортивные шорты Under Armour LAUNCH ELITE 5'' SHORT — это идеальный выбор для бегунов, которые ищут комфортную и функциональную одежду для тренировок.
Ключевые особенности:
UA Speedwick технология: отводит влагу от кожи, создавая ощущение сухости и комфорта.
Легкая и дышащая ткань: обеспечивает хорошую вентиляцию, сохраняя тело сухим и прохладным.
Эластичный пояс: обеспечивает идеальную посадку и комфорт, не стесняя движений.
Внутренний шорт-лайнер: обеспечивает дополнительный комфорт и поддержку.
Карман на молнии: для удобного хранения необходимых мелочей.</t>
  </si>
  <si>
    <t>Pjt Rck Middie Short</t>
  </si>
  <si>
    <t>6005086-651</t>
  </si>
  <si>
    <t>Шорты Under Armour  - это женские велосипедки (Pjt Rck Middie Short), плотно облегающие, из смеси полиэстера (82%) и эластана (18%), предназначенные для фитнеса, тренировок, йоги и повседневного ношения, обеспечивая комфорт, свободу движений и влагоотведение благодаря эластичности и технологичным материалам.</t>
  </si>
  <si>
    <t>UA TRAIL RUN 5'' SHORTS</t>
  </si>
  <si>
    <t>1383236-279</t>
  </si>
  <si>
    <t>Шорты Under Armour UA Trail Run 5'' Shorts  — это идеальный выбор для бега по пересеченной местности.  Легкая и дышащая ткань  обеспечивает комфорт даже при интенсивных тренировках.  Эргономичный крой не сковывает движения, позволяя свободно преодолевать любые препятствия на вашем пути.  Удобные карманы для хранения мелочей – телефон, ключи, энергетический гель – позволят вам сосредоточиться на пробежке.  Технологии Under Armour гарантируют отвод влаги и быстрое высыхание, сохраняя вас сухими и комфортными на протяжении всей тренировки.  Эти шорты – ваш верный спутник на любой беговой тропе.</t>
  </si>
  <si>
    <t>UA M Challenger Train Short</t>
  </si>
  <si>
    <t>6009896-025</t>
  </si>
  <si>
    <t>В коллекции UA Challenger вы найдете всю необходимую футбольную экипировку, которая позволит вам оставаться легким и быстрым на поле. Эта экипировка с каждым сезоном становится только лучше.
Детали:
Гладкая, легкая, быстросохнущая ткань для превосходных характеристик
Материал отводит пот и очень быстро сохнет
Боковые сетчатые вставки для дополнительной воздухопроницаемости
Эластичный пояс с внутренним шнурком
Декоративная отделка
Технология контроля запаха минимизирует неприятный запах</t>
  </si>
  <si>
    <t>HG Armour Mid Rise Shorty</t>
  </si>
  <si>
    <t>1360925-001</t>
  </si>
  <si>
    <t>HeatGear Armor - это наш оригинальный базовый слой одежды, который вы надеваете первым и снимаете последним. Поэтому мы сделали его особенно комфортным. Отводит пот и растягивается, чтобы вы могли двигаться несмотря ни на что. Наше самое легендарное: сверхлегкая ткань HeatGear обеспечивает превосходное покрытие, не отягощая вас. Материал отводит пот и высыхает очень быстро. Растягивающаяся в четырех направлениях конструкция лучше тянется во всех направлениях. Технология защиты от запаха предотвращает рост вызывающих запах микробов. Эргономичные плоские швы обеспечивают комфортнаю посадку без натирания. Эластичный пояс с высокой посадкой для оптимальной посадки и поддержки со встроенным передним карманом. Блестящие вставки для дополнительного эффекта.</t>
  </si>
  <si>
    <t>Speedpocket Run 6cm Stretch Woven</t>
  </si>
  <si>
    <t>1319509-706</t>
  </si>
  <si>
    <t>UA Speedpocket решает все ваши проблемы с карманами во время бега. Уникальный дизайн позволяет вмещать смартфон большого размера, обеспечивая отличную фиксацию.
Прилегающий крой, не стесняющий движения. 
Водонепроницаемый широкий карман на поясе сохраняет смартфон в безопасности: он хорошо фиксируется и не подпрыгивает.  
Прочная эластичная ткань обеспечивает превосходный комфорт и защиту.
Материал отводит пот и быстро сохнет. 
Материал тянется в 4-х направлениях, позволяя свободно двигаться. 
Технология против неприятного запаха предотвращает появление микробов. 
Широкий пояс для идеального комфорта. 
Эргономичные плоские швы обеспечивают удобную посадку без натираний.  
Светоотражающие элементы обеспечивают лучшую видимость при слабом освещении. 
Передний карман подходит для большинства смартфонов до 15 x 7 см. 
Внутренний шов: 6 см.</t>
  </si>
  <si>
    <t>88% Полиэстер;12% Эластан</t>
  </si>
  <si>
    <t>1376509-036</t>
  </si>
  <si>
    <t>Спортивные шорты Under Armour LAUNCH ELITE 5'' SHORT — это идеальный выбор для бегунов, которые ищут комфортную и функциональную одежду для тренировок. 
Ключевые особенности:
 UA Speedwick технология: отводит влагу от кожи, создавая ощущение сухости и комфорта.
 Легкая и дышащая ткань: обеспечивает хорошую вентиляцию, сохраняя тело сухим и прохладным.
 Эластичный пояс: обеспечивает идеальную посадку и комфорт, не стесняя движений.
 Внутренний шорт-лайнер: обеспечивает дополнительный комфорт и поддержку.
 Карман на молнии: для удобного хранения необходимых мелочей.</t>
  </si>
  <si>
    <t>UA Tech Woven Short</t>
  </si>
  <si>
    <t>1377264-011</t>
  </si>
  <si>
    <t>Цель коллекции UA Woven — создать идеальный комплект разминки, который поддерживает мышцы в тонусе, подходит для любого вида спорта и при этом компактно складывается, занимая минимум места в сумке, чтобы вы могли брать его с собой куда угодно.
Ультралёгкий, дышащий, но при этом чрезвычайно прочный материал.
Ткань эффективно отводит влагу и очень быстро сохнет.
Пояс на резинке с внутренним шнурком для регулировки посадки.
Открытые карманы для рук.</t>
  </si>
  <si>
    <t>UA Rival Fleece Shorts</t>
  </si>
  <si>
    <t>1379785-001</t>
  </si>
  <si>
    <t>Ультрамягкий флис из хлопковой смеси с начесом с внутренней стороны для дополнительного тепла. Эластичный пояс в кулиске с внешним шнурком-утяжкой. Открытые боковые карманы и надёжный задний карман на кнопке.
Ультрамягкий флис из хлопковой смеси с начесом с внутренней стороны для дополнительного тепла
• Эластичный пояс в кулиске с внешним шнурком-утяжкой
• Открытые боковые карманы и надёжный задний карман на кнопке</t>
  </si>
  <si>
    <t>1379785-025</t>
  </si>
  <si>
    <t>UA Tech Taper Short</t>
  </si>
  <si>
    <t>1383154-014</t>
  </si>
  <si>
    <t>Созданы, чтобы двигаться вместе с вашим телом при любых движениях. Мы использовали высокопроизводительную эластичную ткань, растягивающийся пояс и новый обтекаемый крой, чтобы уменьшить сопротивление при каждом ударе и обеспечить полную свободу движений на поле.
• Гладкая эластичная тканая ткань: лёгкая, но износостойкая
• Материал с 4-сторонней растяжкой обеспечивает свободу движений в любом направлении
• Ткань эффективно отводит влагу и очень быстро сохнет
• Плоский передний крой и дизайн с 4 карманами</t>
  </si>
  <si>
    <t>71% эластерелл, 29% полиэстер</t>
  </si>
  <si>
    <t>35</t>
  </si>
  <si>
    <t>36</t>
  </si>
  <si>
    <t>38</t>
  </si>
  <si>
    <t>40</t>
  </si>
  <si>
    <t>42</t>
  </si>
  <si>
    <t>33</t>
  </si>
  <si>
    <t>UA Vanish Shorts</t>
  </si>
  <si>
    <t>1389171-001</t>
  </si>
  <si>
    <t>Если в названии указано UA Vanish, это значит, что перед вами один из наших самых быстро сохнущих материалов. Эти изделия невероятно лёгкие, прочные, дышащие и сохнут очень быстро, помогая вам оставаться прохладными.
Основные особенности:
Лёгкая стретч-ткань плотного плетения обеспечивает превосходную свободу движений и износостойкость
Материал с 4-сторонней растяжкой свободно двигается в любом направлении
Сетчатые вставки для дополнительной воздухопроницаемости
Частично открытая эластичная резинка на поясе сзади
Открытые боковые карманы для рук</t>
  </si>
  <si>
    <t>1389171-203</t>
  </si>
  <si>
    <t>1389171-498</t>
  </si>
  <si>
    <t>G Tech Play Up Short</t>
  </si>
  <si>
    <t>1390075-002</t>
  </si>
  <si>
    <t>Детские шорты Under Armour Tech Play Up для девочек предлагают юным спортсменкам удачное сочетание стиля и функциональности. Эти шорты из известной линейки Tech от Under Armour, которая славится своими инновационными и спортивными дизайнерскими решениями. Яркий красный цвет придаёт энергичный вид, идеально подходящий для спортсменок, которые ценят удобство движений, не жертвуя стилем.
Эти шорты специально разработаны с учётом потребностей активных юных спортсменок. Линейка Tech отличается свободой движений и лёгкой конструкцией, благодаря чему шорты идеально подходят для различных видов спорта. Красный цвет легко комбинируется с другой спортивной одеждой. Выбирая эти шорты, вы отдаёте предпочтение функциональному и стильному продукту, который способствует оптимальным спортивным впечатлениям.</t>
  </si>
  <si>
    <t>1390075-600</t>
  </si>
  <si>
    <t>1390075-690</t>
  </si>
  <si>
    <t>UA Tech Play Up 2n1 Short</t>
  </si>
  <si>
    <t>6004985-005</t>
  </si>
  <si>
    <t>Каждому нужна идеальная пара шорт для тренировок. Эти универсальные шорты 2-в-1 с боковыми карманами и мягким, гладким поясом — именно то, что нужно.
Мягкая, лёгкая трикотажная ткань внешних шорт обеспечивает превосходный комфорт и воздухопроницаемость
Встроенные внутренние шорты с технологией HeatGear® эластичны, дышат и быстро сохнут
Мягкий эластичный пояс с контрастным логотипом-надписью
Просторные боковые карманы для рук</t>
  </si>
  <si>
    <t>6004985-600</t>
  </si>
  <si>
    <t>100% полиэстер, внутренние шорты: 84% полиэстер, 16% эластан</t>
  </si>
  <si>
    <t>HeatGear Shorty</t>
  </si>
  <si>
    <t>6009974-001</t>
  </si>
  <si>
    <t>HeatGear® — это наш оригинальный функциональный базовый слой: то, что вы надеваете первым и снимаете последним. Поэтому мы сделали эти шорты особенно комфортными: они отводят влагу и тянутся, чтобы вы могли двигаться в любых условиях.
Гладкая функциональная ткань HeatGear®: суперлёгкая и дышащая
Материал отводит пот и быстро сохнет
Ткань с растяжением в 4 направлениях обеспечивает свободу движений в любом направлении
Средняя посадка с открытым эластичным поясом и деталью с логотипом-надписью
Обновлённая конструкция ластовицы обеспечивает максимальный комфорт и улучшенную амплитуду движений
Обновлённый дизайн заднего шва для красивой, облегающей посадки по фигуре
Технология контроля запаха эффективно минимизирует неприятные ароматы</t>
  </si>
  <si>
    <t>6009974-600</t>
  </si>
  <si>
    <t>Tech Bike Short</t>
  </si>
  <si>
    <t>1360939-681</t>
  </si>
  <si>
    <t>UA Vanish Woven Short DC</t>
  </si>
  <si>
    <t>6009865-001</t>
  </si>
  <si>
    <t>В шортах UA Vanish, одном из наших самых быстросохнущих материалов, ничто не сможет вас остановить. Эти шорты сверхлегкие, прочные, дышащие и очень быстро сохнут, обеспечивая вам прохладу и концентрацию.
Детали:
Сверхлегкая и прочная тканая ткань создана для самых интенсивных тренировок.
Боковые сетчатые вставки для дополнительной воздухопроницаемости.
Эластичный материал, растягивающийся в 4 направлениях, обеспечивает лучшую свободу движений.
Материал отводит пот и очень быстро сохнет.
Эластичный пояс с открытой задней частью и внутренним шнурком спереди для надежной фиксации.
Открытые боковые карманы.</t>
  </si>
  <si>
    <t>UA Vanish Woven 6in Shorts</t>
  </si>
  <si>
    <t>1373718-410</t>
  </si>
  <si>
    <t>Under Armour Vanish Woven 6 In Shorts представляют собой выбор для тех, кто ищет максимальный комфорт и производительность. Эти беговые шорты созданы из 100% полиэстера и отличаются продуманной конструкцией, с акцентом на легкость и быстросохнущие свойства, а шестидюймовый крой идеально подходит для гибкости движений, создавая комфорт и функциональность для бега.
- Быстросохнущий материал UA Vanish поддерживает комфорт во время любых тренировок, сохраняя чувство сухости и свежести.
- Легкость шорт позволяет свободно и быстро двигаться, а дышащая структура предотвращает перегрев.
- Прочные материалы обеспечивают долгосрочную износостойкость, справляясь с интенсивными нагрузками.
- Продуманный дизайн включает эластичный пояс для оптимальной посадки и комфорта, исключая давление на талию.
- Эти шорты станут отличным выбором для мужчин, которые стремятся улучшать свои результаты, добавляя стиль в каждый шаг.</t>
  </si>
  <si>
    <t>UA M's Ch. Knit Short</t>
  </si>
  <si>
    <t>1379507-001</t>
  </si>
  <si>
    <t>Шорты Under Armour UA M's Ch. Knit Short созданы для тех, кто ищет комфорт и высокую производительность в спортивной одежде. Изготовленные из гладкого и легкого трикотажа, они обеспечивают исключительную свободу движений и долгий срок службы. Материал шорт впитывает пот и очень быстро сохнет, поддерживая оптимальный комфорт даже при интенсивной физической активности. Боковые вставки из сетки улучшают воздухопроницаемость, обеспечивая дополнительную вентиляцию в жаркие дни. Эластичный пояс с внутренним шнурком позволяет легко регулировать посадку по талии, гарантируя комфортное и надежное прилегание. Эти шорты — идеальный выбор для активного образа жизни.</t>
  </si>
  <si>
    <t>Armour Mid Rise Shorty</t>
  </si>
  <si>
    <t>1360925-782</t>
  </si>
  <si>
    <t>Шорты Under Armour HG Armour Mid Rise Shorts - это идеальный выбор для женщин, которые ищут комфортную и стильную одежду для своих тренировок. Они сочетают в себе высокую функциональность и модный дизайн. Шорты изготовлены из ультра-мягкого, дышащего и прочного материала, который обеспечивает максимальный комфорт в любых условиях. Технология Moisture Transport System отводит влагу от кожи, что позволяет оставаться сухой и комфортной во время интенсивных тренировок. Средняя посадка шорт обеспечивает идеальную посадку на талии, а узкий крой подчеркивает фигуру и добавляет элегантности. Кроме того, шорты имеют эластичный пояс для дополнительного комфорта и удобства. Under Armour HG Armour Mid Rise Shorts - это идеальный выбор для женщин, которые ищут комфорт и стиль в своих тренировках. Наденьте эти шорты и почувствуйте себя уверенно и стильно на тренировках и в повседневной жизни!</t>
  </si>
  <si>
    <t>UA HG Shorty</t>
  </si>
  <si>
    <t>1383629-452</t>
  </si>
  <si>
    <t>Женские шорты UA HG Authentics Shorty созданы для тех, кто ценит комфорт и производительность. Эти шорты изготовлены из высококачественного материала, который эффективно отводит влагу и быстро сохнет, обеспечивая максимальный комфорт даже во время самых интенсивных тренировок. Технология HeatGear поддерживает оптимальную температуру тела, позволяя вам сосредоточиться на своих занятиях. Эластичная ткань с эффектом второй кожи обеспечивает свободу движений, а широкая эластичная резинка на поясе гарантирует надежную посадку без скатывания. Стильный дизайн и минималистичный вид делают эти шорты универсальным выбором для занятий спортом и активного отдыха.</t>
  </si>
  <si>
    <t>UA Reign Woven Shorts</t>
  </si>
  <si>
    <t>1361515-066</t>
  </si>
  <si>
    <t>Технология UA Storm отталкивает воду, не жертвуя воздухопроницаемостью. Легкая, прочная эластичная ткань, созданная для того, чтобы выдержать самые тяжелые тренировки в тренажерном зале или в воде. Материал 4-way stretch лучше движется во всех направлениях. Новый дизайн ластовицы имеет цельную форму бумеранга для дополнительной мобильности и комфорта. Эластичный пояс с регулируемой застежкой на шнурке в стиле бордшортов для надежной посадки. Надежная застежка-молния Strength Pocket с правой стороны. Боковые разрезы с лазерной обработкой для дополнительной мобильности без утяжеления.</t>
  </si>
  <si>
    <t>Основной материал: 87% полиэстер,13% эластан</t>
  </si>
  <si>
    <t>UA Baseline Short</t>
  </si>
  <si>
    <t>1383389-025</t>
  </si>
  <si>
    <t>Эта коллекция создана для людей, которые живут и дышат баскетболом. Материал не пропускает пот и быстро сохнет. Закрытый эластичный пояс с внутренним шнурком. Открытые карманы для рук.</t>
  </si>
  <si>
    <t>UA Unstoppable Shorts</t>
  </si>
  <si>
    <t>1370378-001</t>
  </si>
  <si>
    <t>Независимо от того, тренируетесь ли вы под дождем или потеете в тренажерном зале, оставайтесь сухими, сосредоточенными и готовыми ко всему в легких водоотталкивающих шортах.</t>
  </si>
  <si>
    <t>UA HG Armour Shorts</t>
  </si>
  <si>
    <t>1361596-001</t>
  </si>
  <si>
    <t>Launch Tulip Short</t>
  </si>
  <si>
    <t>1290875-540</t>
  </si>
  <si>
    <t>Свободная посадка. 
Эластичная ткань обеспечивает превосходный комфорт и износостойкость.  
Материал тянется в 4-х направлениях, позволяя свободно двигаться. 
Супер эластичный пояс. 
Скрытый карман для хранения со встроенным медиа-портом. 
Перекрестные боковые швы с фактурными вставками. 
Внутренний шов: 6 см.</t>
  </si>
  <si>
    <t>Полиэстер</t>
  </si>
  <si>
    <t>UA TECH GRAPHIC SHORT Steel /  / Black</t>
  </si>
  <si>
    <t>1306443-035</t>
  </si>
  <si>
    <t>Ткань UA Tech  быстросохнущая, ультра-мягкая и более естественная на ощупь. Материал отводит пот и очень быстро сохнет. Облегающий эластичный пояс с внутренним шнурком. Карманы для рук из сетки.</t>
  </si>
  <si>
    <t>UA TECH GRAPHIC SHORT</t>
  </si>
  <si>
    <t>1306443-390</t>
  </si>
  <si>
    <t>UA Tech — наше оригинальное тренировочное снаряжение: эти мужские тренировочные шорты с принтом Under Armour свободные, легкие и сохраняют прохладу. По сути, это все, что вам нужно.
Ткань UA Tech быстро сохнет, очень мягкая и создает более естественное ощущение. Материал впитывает пот и очень быстро сохнет. Закрытый эластичный пояс с внутренним шнурком.
Сетчатые карманы для рук</t>
  </si>
  <si>
    <t>HG Armour Bike Short</t>
  </si>
  <si>
    <t>1360939-001</t>
  </si>
  <si>
    <t>1360939-432</t>
  </si>
  <si>
    <t>1370378-465</t>
  </si>
  <si>
    <t>Challenger Core Short</t>
  </si>
  <si>
    <t>1372691-100</t>
  </si>
  <si>
    <t>Коллекция UA Challenger включает в себя всю необходимую футбольную экипировку, созданную для того, чтобы вы оставались легкими и быстрыми на поле. Эта экипировка, уже в третьей версии и с каждым сезоном становится только лучше.
Детали:
Гладкая, легкая, быстросохнущая ткань для превосходных характеристик
Материал отводит пот и очень быстро сохнет
Эластичный пояс с внутренним шнурком
Боковой разрез по низу</t>
  </si>
  <si>
    <t>1373718-338</t>
  </si>
  <si>
    <t>1373718-390</t>
  </si>
  <si>
    <t>1373718-690</t>
  </si>
  <si>
    <t>UA Vanish Woven 2in1 Sts</t>
  </si>
  <si>
    <t>1373764-008</t>
  </si>
  <si>
    <t>Мужские тканые шорты 2-в-1 Under Armour Vanish – черно-белые Широкий эластичный пояс со шнурками обеспечивает идеальную посадку и комфорт во время занятий спортом. Встроенные внутренние шорты из дышащей ткани. Два боковых кармана с внутренней сеткой для лучшей вентиляции. Плоские швы снижают риск потертостей и раздражений.</t>
  </si>
  <si>
    <t>1373764-025</t>
  </si>
  <si>
    <t>1373764-498</t>
  </si>
  <si>
    <t>UA LAUNCH PRO 7'' SHORTS</t>
  </si>
  <si>
    <t>1376508-002</t>
  </si>
  <si>
    <t>Спортивные шорты UA Launch Elite 7'' Short от Under Armour — это высокопроизводительная одежда для активных людей, стремящихся к максимальной производительности и комфорту во время занятий спортом. Изготовлены из ультралегкого материала, они не сковывают движения, что позволяет полностью сосредоточиться на беге или тренировке. Семидюймовая длина шорт обеспечивает оптимальное покрытие и свободу, а сетчатые вставки по бокам способствуют лучшей вентиляции и контролю температуры тела. Влагоотводящая технология поддерживает сухость, отводя влагу от кожи, в то время как эластичный пояс с внутренней регулировкой гарантирует идеальную посадку на любую фигуру. Отражающие элементы делают эти шорты безопасным выбором для бега в условиях низкой видимости, а также придают стильный и функциональный вид. Карманы с застежкой удобно расположены для безопасного хранения личных вещей, таких как ключи или мелочи. Идеально сбалансированные по функциональности и стилю, шорты UA Launch Elite 7'' Short являются отличным выбором для спортсменов, ценящих свободу движений, производительность и эстетику в одном флаконе.</t>
  </si>
  <si>
    <t>LAUNCH ELITE 7'' SHORT</t>
  </si>
  <si>
    <t>1376508-025</t>
  </si>
  <si>
    <t>1376508-432</t>
  </si>
  <si>
    <t>LAUNCH ELITE 5'' SHORT</t>
  </si>
  <si>
    <t>1376509-001</t>
  </si>
  <si>
    <t>LAUNCH ELITE 2in1 7'' SHORT</t>
  </si>
  <si>
    <t>1376831-001</t>
  </si>
  <si>
    <t>Шорты LAUNCH ELITE 2in1 7'' SHORT - это идеальный выбор для бегунов любого уровня, которые хотят максимального комфорта и функциональности. 
Преимущества:
Легкий и дышащий материал: Обеспечивает максимальный комфорт и прохладу во время бега.
 Двойная конструкция: Внутренние шорты из дышащего материала обеспечивают поддержку и комфорт, а внешние шорты из легкой ткани отводят влагу и обеспечивают свободу движений.
 7-дюймовая длина: Оптимальная длина для максимальной свободы движений и комфорта.
 Карманы: Два боковых кармана на внешних шортах для хранения ключей, телефона или других мелочей.
Встроенный эластичный пояс с внешним шнурком.
Светоотражающие элементы для пробежек в условиях плохой освещенности.
Обновленный центральный задний карман с возможностью расширения водонепроницаем и надежно защищает ваш телефон, исключая его падение.</t>
  </si>
  <si>
    <t>1376831-025</t>
  </si>
  <si>
    <t>UA Vanish 3in Short</t>
  </si>
  <si>
    <t>1376935-348</t>
  </si>
  <si>
    <t>Спортивные шорты UA Flex Woven Short 5in - это идеальный выбор для активных спортсменов, которые стремятся достичь максимальной свободы движений и комфорта во время тренировок. Эти шорты изготовлены из высококачественного тканого материала, который обеспечивает идеальную дышимость и легкость во время физической активности. Они имеют пятидюймовую длину, которая отлично подходит для тренировок различной интенсивности и спортивных активностей. Специально разработанная технология UA Storm защищает от влаги, сохраняя вас сухими даже во время непогоды или интенсивного потоотделения. Боковые разрезы обеспечивают оптимальную вентиляцию и свободу движений, позволяя вам достичь максимальной производительности. С наличием внутреннего регулируемого пояса и эластичных шнурков, эти спортивные шорты гарантируют идеальную посадку и комфорт на протяжении всей тренировки. Они также оснащены удобными боковыми карманами, в которых можно хранить мелкие предметы или ключи. Стильный и современный дизайн этих шортов подчеркивает вашу спортивную эстетику и добавляет уверенности на тренировках или в повседневной жизни. Они прекрасно сочетаются со спортивными футболками и обувью, позволяя вам выразить свой неповторимый стиль. Спортивные шорты UA Flex Woven Short 5in - это не только высокое качество и функциональность, но и стильный аксессуар, который поможет вам достичь максимальной производительности и комфорта во время спортивных занятий. Будьте уверены и готовы к великим достижениям!
UPF 40 защищает вашу кожу от вредного воздействия солнечных лучей.</t>
  </si>
  <si>
    <t>UPF. Защищает вашу кожу от вредного воздействия солнечных лучей.;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</si>
  <si>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UA Icon Volley Short</t>
  </si>
  <si>
    <t>1377191-300</t>
  </si>
  <si>
    <t>Шорты Under Armour UA Icon Volley Short — это универсальная модель, сочетающая в себе классический спортивный стиль и современные технологии. Они идеально подходят для активного отдыха, тренировок и повседневной носки. 
Преимущества:
Лёгкость и быстросохнущие свойства материала делают шорты идеальными для летних тренировок и отдыха.
Сетчатая подкладка повышает воздухопроницаемость, обеспечивая комфорт даже в жаркую погоду.
Эластичный пояс с шнурком позволяет индивидуально настроить посадку.
Два открытых боковых кармана и один задний карман с застёжкой на кнопку для безопасного хранения мелких предметов.
Материал: 100% полиэстер — прочная ткань, которая быстро сохнет и обеспечивает лёгкость при носке.
Шорты Under Armour UA Icon Volley Short — отличный выбор для тех, кто ценит комфорт, функциональность и стиль в повседневной и спортивной одежде. Они подходят для различных видов активности, включая бег, тренировки в зале и прогулки на свежем воздухе.</t>
  </si>
  <si>
    <t>1377264-002</t>
  </si>
  <si>
    <t>UA Peak Woven 2in1 Sts</t>
  </si>
  <si>
    <t>1378604-001</t>
  </si>
  <si>
    <t>Мужские шорты Under Armour UA Peak Woven 2in1 Sts созданы для тех, кто ценит комфорт и функциональность в одежде для спорта. Выполненные из сочетания полиэстера и эластана, они обеспечивают превосходную эластичность и свободу движений, что особенно важно во время интенсивных тренировок. Встроенные практичные карманы позволяют удобно хранить мелкие предметы, такие как ключи или телефон. Шорты также оснащены завязкой-застежкой, что гарантирует надежную фиксацию на талии и идеальную посадку. Эти шорты отлично вписываются в активный образ жизни, обеспечивая комфорт и стиль каждый день.</t>
  </si>
  <si>
    <t>UA Vanish Elite 2in1 Short</t>
  </si>
  <si>
    <t>1378604-402</t>
  </si>
  <si>
    <t>Мужские шорты 2-в-1 Under Armour, коллекция UA Vanish Elite  предназначены специально для интенсивных тренировок (бег, фитнес), обеспечивая полную мобильность и долговечность.
 Легкая эластичная ткань, тянущаяся в четырех направлениях, обеспечивает превосходную подвижность. Встроенные компрессионные трикотажные шорты обеспечивают дополнительную поддержку, защиту и отводят влагу. Сетчатые вставки и лазерная перфорация обеспечивают стратегическую воздухопроницаемость и охлаждение.Состав: Внешние шорты: 87% полиэстер/13% эластан. Внутренние шорты: 84% полиэстер/16% эластан.
 Облегающий крой (Fitted). Открытый эластичный пояс с сетчатой вентиляцией и внутренним шнурком. Открытые карманы для рук и надежный карман на молнии Strength Pocket справа. Фигурный низ с боковыми разрезами для лучшего диапазона движений. На шортах присутствует фирменный логотип Under Armour,  расположенный на правой штанине.</t>
  </si>
  <si>
    <t>UA Vanish Seamless Short</t>
  </si>
  <si>
    <t>1379151-466</t>
  </si>
  <si>
    <t>Under Armour Train Seamless Short дарят вам легкость и свободу движений. Эти шорты, изготовленные из 100% полиэстера, являются идеальным вариантом для тренировок благодаря своим великолепным характеристикам. Они идеально сочетают функциональность и стиль, делая их отличным дополнением к вашему фитнес-гардеробу.
- Легкий материал с влаговыводящими свойствами поддерживает сухость и комфорт даже во время интенсивных упражнений.
- Технология 4-Way Stretch обеспечивает максимальное соответствие форму тела, улучшая мобильность и комфорт движений.
- Легкая компрессия поддерживает основные группы мышц, уменьшая усталость и повышая эффективность тренировки.
- Эластичный пояс гарантирует удобную и надежную посадку, не сковывая движения.
- Шорты без швов предотвращают раздражение, улучшая комфорт при долгих тренировках.</t>
  </si>
  <si>
    <t>UA Train Seamless Short</t>
  </si>
  <si>
    <t>1379151-539</t>
  </si>
  <si>
    <t>Легкий материал с влаговыводящими свойствамиТехнология 4-Way Srtetch анатомически повторяет форму тела и обеспечивает максимальный комфорт движенияЛегкая компрессия для дополнительной поддержки основных групп мышцЭластичный пояс</t>
  </si>
  <si>
    <t>сиреневый</t>
  </si>
  <si>
    <t>1379779-001</t>
  </si>
  <si>
    <t>Когда холодный ветер начинает пронизывать городские улицы или когда нужен надежный компаньон для прохладных вечеров — эти шорты становятся вашим тихим героем. Черный цвет, как вечная классика, окутывает их благородным покровом. Он глубокий, матовый, словно тень, которая следует за вами повсюду, не выделяясь, но подчеркивая вашу уверенность.
Свободный крой дарит ощущение безграничной свободы. Никаких ограничений, только плавные движения и легкость бытия. Эти шорты созданы для тех, кто ценит комфорт, будь то расслабленные выходные дома или неспешные прогулки по парку. В них вы чувствуете себя так, будто на вас вообще ничего нет — это свобода, которую можно носить.
Флисовая подкладка — вот где скрывается магия этих шорт. Она мягкая, как объятия старого друга, согревает в моменты прохлады и создает ощущение уюта даже в самый холодный день. Это не просто материал, это технология, которая заботится о вас, сохраняя тепло вашего тела и отталкивая холод. Каждое прикосновение флиса — это напоминание о том, что иногда простые вещи могут приносить самое большое удовольствие.
Открытые карманы добавляют практичности этому изделию. Они удобны, функциональны и готовы принять всё необходимое: ключи, телефон или просто ваши руки, когда хочется спрятать их от холода. Карманы здесь не просто деталь — они часть общей гармонии, которая делает эти шорты универсальными.
Эти шорты — выбор тех, кто знает, что комфорт и стиль могут идти рука об руку. Они не кричат о себе, они просто есть. Без лишних слов, без излишеств. Просто черный цвет, свободный крой и флисовая нежность внутри. Они говорят о вас: вы тот, кто ценит качество, выбирает практичность и предпочитает быть собой, не стараясь произвести впечатление.
Under Armour Rival Fleece — это больше, чем одежда. Это состояние комфорта, уверенности и стиля, которое вы носите с собой каждый день.</t>
  </si>
  <si>
    <t>1379779-025</t>
  </si>
  <si>
    <t>1379779-410</t>
  </si>
  <si>
    <t>UA Unstoppable Flc Shorts</t>
  </si>
  <si>
    <t>1379809-001</t>
  </si>
  <si>
    <t>Разминка, которую невозможно остановить.
Созданная для высоких результатов — с мягкой и эластичной тканью, которая приятна к телу, пропускает воздух и повторяет каждое ваше движение. Вы всегда будете готовы выйти на площадку.
Двусторонняя ткань — мягкая, тянущаяся и дышащая, обеспечивает максимальный комфорт и свободу движений.
Материал отводит пот и быстро высыхает.
Ткань с 4-сторонней растяжимостью — обеспечивает свободу движений в любом направлении.
Утягивающий пояс на резинке со шнурком внутри — для плотной и удобной посадки.
Открытые боковые карманы — для рук, и безопасный карман на молнии — для хранения мелочей.</t>
  </si>
  <si>
    <t>1379809-348</t>
  </si>
  <si>
    <t>UA Essential Fleece Shorts</t>
  </si>
  <si>
    <t>1380377-001</t>
  </si>
  <si>
    <t>Когда холодный ветер начинает пронизывать городские улицы или когда нужен надежный компаньон для прохладных вечеров — эти шорты становятся вашим тихим героем. Черный цвет, как вечная классика, окутывает их благородным покровом. Он глубокий, матовый, словно тень, которая следует за вами повсюду, не выделяясь, но подчеркивая вашу уверенность.
Свободный крой дарит ощущение безграничной свободы. Никаких ограничений, только плавные движения и легкость бытия. Эти шорты созданы для тех, кто ценит комфорт, будь то расслабленные выходные дома или неспешные прогулки по парку. В них вы чувствуете себя так, будто на вас вообще ничего нет — это свобода, которую можно носить.
Флисовая подкладка — вот где скрывается магия этих шорт. Она мягкая, как объятия старого друга, согревает в моменты прохлады и создает ощущение уюта даже в самый холодный день. Это не просто материал, это технология, которая заботится о вас, сохраняя тепло вашего тела и отталкивая холод. Каждое прикосновение флиса — это напоминание о том, что иногда простые вещи могут приносить самое большое удовольствие.
Открытые карманы добавляют практичности этому изделию. Они удобны, функциональны и готовы принять всё необходимое: ключи, телефон или просто ваши руки, когда хочется спрятать их от холода. Карманы здесь не просто деталь — они часть общей гармонии, которая делает эти шорты универсальными.
Эти шорты — выбор тех, кто знает, что комфорт и стиль могут идти рука об руку. Они не кричат о себе, они просто есть. Без лишних слов, без излишеств. Просто черный цвет, свободный крой и флисовая нежность внутри. Они говорят о вас: вы тот, кто ценит качество, выбирает практичность и предпочитает быть собой, не стараясь произвести впечатление.
Under Armour Icon Fleece — это больше, чем одежда. Это состояние комфорта, уверенности и стиля, которое вы носите с собой каждый день.</t>
  </si>
  <si>
    <t>UA Icon Fleece Short</t>
  </si>
  <si>
    <t>1380377-011</t>
  </si>
  <si>
    <t>1380377-410</t>
  </si>
  <si>
    <t>UA Fly By Short</t>
  </si>
  <si>
    <t>1382438-001</t>
  </si>
  <si>
    <t>При создании этих шорт для бега мы подумали обо всем: стратегическая сетка, карман для ключей и светоотражающие элементы. Так что вы будете думать только о том, чтобы бежать быстрее и дольше. Материал - легкий, удобный и прочный, отводит влагу и быстро сохнет. Супердышащие сетчатые панели обеспечивают улучшенную вентиляцию. Утягивающий пояс со средней линией талии и внутренними завязками для максимального комфорта.Невидимый карман на молнии на правой стороне подходит для наушников, ключей или кредитной карты/документов.</t>
  </si>
  <si>
    <t>UA Fly By 3'' Shorts</t>
  </si>
  <si>
    <t>1382438-520</t>
  </si>
  <si>
    <t>Under Armour Fly By Short — это идеальные женские шорты для активного отдыха и тренировок. Созданные с учетом потребностей современных женщин, они сочетают в себе стиль, комфорт и высокую функциональность. Выполненные из легкого и дышащего материала, эти шорты обеспечивают отличную вентиляцию и отвод влаги, что помогает сохранить ощущение свежести на протяжении всей тренировки.
Эргономичный крой и эластичный пояс с внутренним шнурком гарантируют удобную посадку и свободу движений. Сетчатые вставки по бокам способствуют дополнительному притоку воздуха, а встроенные внутренних трусики обеспечивают дополнительную поддержку и комфорт.
Шорты Under Armour Fly By Short также имеют небольшие карманы для хранения ключей или мелочей, что добавляет им практичности. Доступны в различных цветовых решениях, они станут отличным дополнением к вашему спортивному гардеробу, позволяя не только эффективно тренироваться, но и выглядеть стильно.</t>
  </si>
  <si>
    <t>UA LAUNCH 5'' SHORT</t>
  </si>
  <si>
    <t>1382617-001</t>
  </si>
  <si>
    <t>Шорты UA LAUNCH 5'' SHORT отлично подойдут для бегунов, спортсменов и всех активных мужчин, стремящихся к комфорту, производительности и стилю. В этих шортах каждый ваш шаг будет рассчитан на скорость и комфорт, помогая вам устанавливать новые рекорды и оставаться впереди. 
Преимущества: 
&lt;li&gt;Ткань легкая, удобная и прочная &lt;/li&gt;
&lt;li&gt;Внутренняя сетчатая подкладка обеспечивает дополнительное покрытие и поддержку&lt;/li&gt;
&lt;li&gt;Материал впитывает пот и очень быстро сохнет&lt;/li&gt;
&lt;li&gt;Дышащие сетчатые вставки обеспечивают улучшенную вентиляцию&lt;/li&gt;
&lt;li&gt;Мягкий трикотажный пояс с внутренним шнурком для максимального комфорта и надежной посадки&lt;/li&gt;
&lt;li&gt;Открытые карманы для рук с внутренним карманом для телефона с правой стороны&lt;/li&gt;
&lt;li&gt;Светоотражающий логотип&lt;/li&gt;</t>
  </si>
  <si>
    <t>1382617-025</t>
  </si>
  <si>
    <t>UA LAUNCH 7'' SHORTS</t>
  </si>
  <si>
    <t>1382620-703</t>
  </si>
  <si>
    <t>Завоюйте трассы с несравненным комфортом и стилем в UA LAUNCH 7'' SHORT от Under Armour. Эти спортивные шорты, созданные для достижения высочайших результатов, предлагают оптимальное сочетание легкости, гибкости и воздухопроницаемости. Оснащенные эксклюзивной технологией HeatGear®, шорты обеспечивают исключительную вентиляцию, отводя влагу от тела и поддерживая прохладу даже в самых напряженных моментах вашей тренировки. Встроенные сетчатые панели усиливают циркуляцию воздуха, что делает каждый ваш шаг свежим и освежающим. Длина в 7 дюймов идеально сбалансирована для свободы движений, не сковывая вас при прыжках, рывках и разгоне до максимальных скоростей. Эластичный пояс со встроенной регулируемой шнуровкой обеспечивает надежную фиксацию на вашей талии, подстраиваясь под активные движения без риска соскальзывания. В дизайн UA LAUNCH 7'' SHORT включены боковые карманы с внутренними сетчатыми карманами для мелких предметов, что позволяет всегда держать необходимые вещи под рукой. Отражающие логотипы на шортах не только подчеркивают ваш стильный образ, но и повышают вашу видимость в условиях недостаточного освещения, делая каждый вечерний забег безопаснее. Выберите Under Armour LAUNCH 7'' SHORT для максимальной производительности и стиля, которые будут мотивировать вас на новые рекорды и цели. С этими шортами каждая тренировка пройдет на высшем уровне, а их долговечность и функциональность сделают их незаменимым элементом вашего спортивного гардероба.</t>
  </si>
  <si>
    <t>1382620-714</t>
  </si>
  <si>
    <t>Шорты Under Armour UA Launch 7'' Shorts  — это мужские спортивные шорты, разработанные для обеспечения комфорта и эффективности во время тренировок и бега, с внутренним сетчатым подкладом и влагоотводящим материалом. 
 Модель имеет обтекаемый (fitted) крой, который не является слишком узким или слишком свободным. 
 Шорты изготовлены из легкой, прочной тканой ткани (100% полиэстер) и оснащены внутренним сетчатым подкладом для дополнительной поддержки и покрытия.  Сверхдышащие сетчатые панели обеспечивают улучшенную вентиляцию. Материал быстро отводит пот и очень быстро сохнет.
Мягкий трикотажный пояс с внутренним шнурком обеспечивает надежную и удобную посадку.
 Предусмотрены открытые боковые карманы для рук, а также внутренний карман справа для телефона. Светоотражающие детали улучшают видимость в условиях недостаточной освещенности. Благодаря своим свойствам, шорты подходят для различных видов физической активности, включая бег, тренировки в зале и повседневное использование</t>
  </si>
  <si>
    <t>UA LAUNCH 5'' 2-IN-1 SHORT</t>
  </si>
  <si>
    <t>1382640-001</t>
  </si>
  <si>
    <t>Шорты Under Armour UA Launch 5'' 2-in-1 Short – это инновационный продукт, который сочетает в себе комфорт, функциональность и высокие технологии, чтобы максимально улучшить ваши спортивные результаты. Эти шорты разработаны для тех, кто не готов идти на компромиссы и хочет всегда быть на пике своей формы, независимо от типа тренировки или уровня интенсивности.
Основные характеристики:
1. Двухслойный дизайн: Особенность этой модели в том, что она состоит из двух слоев: внутренних компрессионных шорт и внешних свободных шорт. Это обеспечивает отличную поддержку мышц и свободу движений, минимизируя возможность натираний и дискомфорта.
2. Материалы: Внутренние шорты выполнены из мягкого и эластичного материала, который облегает тело и поддерживает мышцы. Внешний слой выполнен из лёгкой и крепкой ткани, отличающейся отличной воздухопроницаемостью и влаговыводящими свойствами.
3. Технология Moisture Transport System: Эта технология эффективно отводит влагу от тела, помогая сохранить ощущение сухости и комфорта даже во время интенсивных тренировок.
4. Эластичный пояс: Регулируемый пояс с внутренним шнуром позволяет точно подогнать шорты по размеру для максимально удобной посадки и фиксации.
5. Карман для телефона: Внутренние компрессионные шорты оснащены специальным карманом для телефона, что позволяет вам безопасно хранить устройства во время тренировки.
6. Сетчатые вставки: Вставки из сетчатой ткани обеспечивают дополнительную вентиляцию, улучшая воздухопроницаемость и позволяя телу оставаться прохладным.
7. Светоотражающие элементы: Светоотражающие детали повышают вашу видимость в тёмное время суток, обеспечивая дополнительную безопасность при занятиях спортом на улице.
Идеальное применение:
Under Armour UA Launch 5'' 2-in-1 Short подходят для самых разнообразных видов тренировок – от бега и фитнеса до кроссфита и высокоинтенсивных интервальных тренировок (HIIT). Они также отлично зарекомендовали себя при ношении в жаркую погоду благодаря своей вентиляции и способности отводить влагу.
Выбирая шорты Under Armour UA Launch 5'' 2-in-1 Short, вы получаете изделие, которое работает на вас, позволяя сконцентрироваться на достижении ваших спортивных целей. Эти шорты станут вашим надежным партнером в любом спортивном начинании!</t>
  </si>
  <si>
    <t>UA LAUNCH 5'' 2-IN-1 SHORTS</t>
  </si>
  <si>
    <t>1382640-703</t>
  </si>
  <si>
    <t>Встречайте каждый беговой вызов с непревзойденным комфортом и поддержкой в UA LAUNCH 5'' 2-IN-1 SHORT – шортах, которые исключительно разработаны, чтобы обеспечить вам превосходство и уверенность при каждом шаге. Эти шорты представляют собой мастерский симбиоз легкости и функциональности, где внешний слой из сверхлегких материалов сочетается с внутренним компрессионным слоем, предназначенным для обеспечения поддержки и улучшения кровообращения. 2-в-1 дизайн гарантирует, что вы останетесь сухим и свежим благодаря впитывающей влагу ткани и технологии, которая активно отводит пот от тела. 5-дюймовый (приблизительно 12,7 см) внутренний шов обеспечивает идеальную длину для свободы движений, а эргономичный крой учитывает анатомию вашего тела, обеспечивая комфорт и предотвращая натирание. Эластичный пояс с внутренней регулировкой шнурка позволит вам идеально подогнать шорты под вашу фигуру.</t>
  </si>
  <si>
    <t>UA LAUNCH 7'' 2-IN-1 SHORT</t>
  </si>
  <si>
    <t>1382641-001</t>
  </si>
  <si>
    <t>Шорты Under Armour UA Launch 7'' 2-in-1 Short представляют собой идеальное сочетание инновационных технологий и продуманного дизайна, что делает их незаменимым элементом экипировки для активного образа жизни. Созданные с учетом всех потребностей спортсменов, эти шорты обеспечивают максимальный комфорт, поддержку и свободу движений во время тренировок.
Основные характеристики:
1. Двухслойный дизайн: Шорты состоят из двух слоев: внутренних компрессионных шорт и внешних свободных шорт. Внутренний слой обеспечивает надежную поддержку мышц и улучшает кровообращение, а внешний слой добавляет комфорт и стиль. Длина 7 дюймов (около 18 см) идеально подходит для всевозможных тренировок, предоставляя оптимальный баланс между защитой и свободой движений.
2. Материалы: Внутренние компрессионные шорты выполнены из эластичной ткани, которая плотно облегает тело и поддерживает мышцы. Внешний слой изготовлен из легкой и прочной ткани с отличной воздухопроницаемостью, что позволяет вам оставаться свежими в течение всей тренировки.
3. Технология Moisture Transport System: Эта технология эффективно отводит влагу от тела, помогая сохранять ощущение сухости и комфорта даже при самых интенсивных занятиях.
4. Эластичный пояс: Регулируемый пояс с внутренним шнуром позволяет точно подогнать шорты по размеру, обеспечивая комфортную и надежную посадку.
5. Карман для телефона: Внутренние компрессионные шорты оснащены специальным карманом для телефона, что позволяет безопасно хранить устройства во время тренировки, избавив вас от необходимости держать их в руках или носить дополнительные аксессуары.
6. Сетчатые вставки: Вставки из сетчатой ткани улучшивают вентиляцию, позволяя телу оставаться прохладным и минимизируя перегрев во время интенсивных нагрузок.
7. Светоотражающие элементы: Светоотражающие детали на шортах повышают вашу видимость в условиях низкой освещенности, обеспечивая дополнительную безопасность при занятиях спортом на улице.
Идеальное применение:
Under Armour UA Launch 7'' 2-in-1 Short идеально подходят для различных видов спортивной активности, включая бег, фитнес, кроссфит, высокоинтенсивные интервальные тренировки (HIIT) и занятия в тренажерном зале. Эти шорты также отлично подойдут для тренировок на улице и в жаркую погоду благодаря своим вентиляционным и влаговыводящим свойствам.
Выбирая шорты Under Armour UA Launch 7'' 2-in-1 Short, вы получаете не только высококачественный продукт, но и уверенность в том, что ваша экипировка отвечает самым высоким стандартам. Эти шорты помогут вам сосредоточиться на достижении своих целей и обеспечат необходимый комфорт и поддержку на каждом шагу.</t>
  </si>
  <si>
    <t>1382641-025</t>
  </si>
  <si>
    <t>UA Icon Fleece Boxer Short</t>
  </si>
  <si>
    <t>1382725-001</t>
  </si>
  <si>
    <t>Мягкие и уютные женские шорты Under Armour UA Icon Fleece Boxer из среднетяжелого флиса с внутренним ворсом для дополнительного тепла. Идеальны для отдыха, домашнего уюта и лёгких тренировок.
Особенности:
• Материал: 80% хлопок, 20% полиэстер
• Мягкий флис с тёплой уютной подкладкой
• Эластичный пояс с внешним шнурком для надёжной посадки
• Два открытых боковых кармана
• Свободный крой для максимального комфорта</t>
  </si>
  <si>
    <t>1383154-001</t>
  </si>
  <si>
    <t>28</t>
  </si>
  <si>
    <t>1383154-035</t>
  </si>
  <si>
    <t>1383154-410</t>
  </si>
  <si>
    <t>UA Tech Woven Wordmark Short</t>
  </si>
  <si>
    <t>1383356-005</t>
  </si>
  <si>
    <t>Спортивные шорты UA Woven Wdmk Shorts представляют собой эталон атлетической функциональности, вдохновленный стремлением Under Armour к инновациям, удобству и стилю. Эти шорты созданы для людей, ведущих активный образ жизни и ценящих свободу движений в любой ситуации.
Легкий и прочный тканевый материал этих шорт не только обеспечивает высокую износостойкость, но и гарантирует отличную воздухопроницаемость, что необходимо во время интенсивных тренировок или длительного нахождения на открытом воздухе. Благодаря специфической технологии ткани, шорты быстро сохнут, а значит, в них будет комфортно заниматься даже в самую жаркую погоду.
Удобный эластичный пояс с внутренней регулировкой делает эти шорты идеально подходящими для любой фигуры, обеспечивая надежную, но не стесняющую фитнес-активности посадку. Внешне дизайн дополнен лаконичным лого Under Armour, что добавляет шортам спортивного шика и узнаваемости бренда</t>
  </si>
  <si>
    <t>1383356-009</t>
  </si>
  <si>
    <t>1383356-011</t>
  </si>
  <si>
    <t>1383356-203</t>
  </si>
  <si>
    <t>1383356-338</t>
  </si>
  <si>
    <t>Спортивные шорты UA Woven Wdmk Shorts представляют собой эталон атлетической функциональности, вдохновленный стремлением Under Armour к инновациям, удобству и стилю. Эти шорты созданы для людей, ведущих активный образ жизни и ценящих свободу движений в любой ситуации.
Легкий и прочный тканевый материал этих шорт не только обеспечивает высокую износостойкость, но и гарантирует отличную воздухопроницаемость, что необходимо во время интенсивных тренировок или длительного нахождения на открытом воздухе. Благодаря специфической технологии ткани, шорты быстро сохнут, а значит, в них будет комфортно заниматься даже в самую жаркую погоду.
Удобный эластичный пояс с внутренней регулировкой делает эти шорты идеально подходящими для любой фигуры, обеспечивая надежную, но не стесняющую фитнес-активности посадку. Внешне дизайн дополнен лаконичным лого Under Armour, что добавляет шортам спортивного шика и узнаваемости бренда.</t>
  </si>
  <si>
    <t>UA Woven Wdmk Shorts</t>
  </si>
  <si>
    <t>1383356-410</t>
  </si>
  <si>
    <t>1383356-452</t>
  </si>
  <si>
    <t>1384217-001</t>
  </si>
  <si>
    <t>UA Vibe Woven Cargo Short</t>
  </si>
  <si>
    <t>1386560-001</t>
  </si>
  <si>
    <t>Технология UA Storm отталкивает воду, не нарушая воздухопроницаемости Легкая эластичная ткань обеспечивает превосходный комфорт и долговечность Эластичный материал с 4-сторонним растяжением перемещается во всех направлениях Эластичный пояс с внешней завязкой Открытые карманы для рук, задний карман на кнопке и карманы для грузов с клапанами Используется водоотталкивающее средство, не содержащее фтора Основная ткань содержит не менее 80% переработанного полиэстера, за исключением отделки и украшений</t>
  </si>
  <si>
    <t>1386560-025</t>
  </si>
  <si>
    <t>1386560-289</t>
  </si>
  <si>
    <t>1386560-348</t>
  </si>
  <si>
    <t>Motion Bike Short EMEA</t>
  </si>
  <si>
    <t>1388646-338</t>
  </si>
  <si>
    <t>Благодаря специально разработанной ткани, изделие эффективно отводит пот, сохраняет кожу сухой и обеспечивает исключительную мягкость.
Легкая и дышащая конструкция гарантирует максимальный комфорт в любых условиях.
Футболка Under Armour Performance позволяет чувствовать себя готовой к тренировке в любой момент, обеспечивает свободу движений и помогает сосредоточиться на занятиях.
Особенности:
— Технология отвода пота: сохраняет сухость, повышает уровень вашей выносливости
— Мягкая и легкая ткань: комфорт и свобода движений на протяжении всего дня
— Дышащая структура: быстро выводит влагу благодаря воздухопроницаемости
— Идеальная посадка: повторяет все Ваши движения, обеспечивая максимальный комфорт</t>
  </si>
  <si>
    <t>1388646-520</t>
  </si>
  <si>
    <t>UA Run 96 Short</t>
  </si>
  <si>
    <t>1389569-001</t>
  </si>
  <si>
    <t>Представляем женские беговые шорты UA Run 96 от Under Armour — идеальное сочетание стиля и функциональности, созданное специально для женщин, которые любят бегать. Эти яркие оранжевые шорты изготовлены из высококачественной ткани, состоящей из 75% полиэстера и 25% эластана, обеспечивая плотную, но при этом гибкую посадку, которая движется вместе с вами.
Продвинутые технологии:
Четырёхсторонняя растяжка: Обеспечивает свободу движений и сохраняет форму.
Система отвода влаги: Отводит пот, оставляя кожу сухой и комфортной.
Защита от запаха: Предотвращает размножение бактерий, вызывающих неприятный запах, сохраняя свежесть.
Дизайн для высоких результатов:
Воздупропускаемость: Обеспечивает циркуляцию воздуха для максимального комфорта.
Светоотражающие элементы: Повышают видимость во время пробежек в условиях слабого освещения.
Облегающий крой: Повторяет контуры тела, создавая стройный и подтянутый силуэт.
Независимо от того, бежите ли вы по беговой дорожке или по пересечённой местности, шорты UA Run 96 станут вашим идеальным спутником для мощной и стильной пробежки. Ощутите на себе высший уровень комфорта и производительности с этими незаменимыми беговыми шортами.</t>
  </si>
  <si>
    <t>75% полиэстер, 25% эластан</t>
  </si>
  <si>
    <t>PJT RCK MIDDY SHORT</t>
  </si>
  <si>
    <t>1389712-001</t>
  </si>
  <si>
    <t>Экипировка Project Rock создана, чтобы помочь вам найти свои границы — а затем смело их преодолеть. Эти шорты дышащие, эластичные и обеспечивают поддержку для максимальной производительности.
• Ультрамягкая ткань — дышащая и комфортная
• Материал отводит влагу и очень быстро сохнет
• Четырехсторонняя эластичность обеспечивает свободу движений в любом направлении
• Высокая посадка пояса для лучшего покрытия и поддержки
• Боковые карманы с вертикальным входом
• Технология контроля запахов эффективно снижает появление неприятных запахов</t>
  </si>
  <si>
    <t>1389712-299</t>
  </si>
  <si>
    <t>Tech Play Up Shorts</t>
  </si>
  <si>
    <t>1389882-001</t>
  </si>
  <si>
    <t>UA Tech™ - это наша оригинальная тренировочная одежда: свободная, легкая, сохраняющая прохладу. Это все, что вам нужно. Мягкая, легкая трикотажная ткань обеспечивает превосходный комфорт и воздухопроницаемость. Материал отводит пот и быстро сохнет. Низкий эластичный пояс с обновленным логотипом. Открытые карманы для рук. Формованный подол для более плоской посадки и лучшего диапазона движения.</t>
  </si>
  <si>
    <t>1389882-002</t>
  </si>
  <si>
    <t>1389882-025</t>
  </si>
  <si>
    <t>1389882-520</t>
  </si>
  <si>
    <t>Женские  шорты Under Armour UA Tech Play Up идеально подходящие для тренировок (бег, фитнес) и повседневного ношения.
 Изготовлены из легкого, мягкого и дышащего материала UA Tech, который отводит пот и очень быстро сохнет, обеспечивая комфорт во время активности.
Модель свободного кроя (Loose fit) с низкой посадкой, эластичным поясом с обновленным фирменным текстовым логотипом и удобными открытыми карманами для рук. Имеют закругленный (фигурный) низ для лучшего диапазона движений.
Состав: 100% полиэстер. На шортах присутствует напечатанный фирменный логотип бренда Under Armour, как на штанине, так и на поясе.</t>
  </si>
  <si>
    <t>1389882-703</t>
  </si>
  <si>
    <t>PJT RCK COLORBLOCK WVN SHORT</t>
  </si>
  <si>
    <t>1389919-001</t>
  </si>
  <si>
    <t>Тренировочная экипировка Project Rock создана для самых трудолюбивых в зале. Эта футболка с принтом обеспечивает комфорт, быстро сохнет и украшена фирменным девизом Дуэйна Джонсона.
Сверхлёгкая, прочная ткань с эластичным плетением, разработанная для самых интенсивных тренировок
Материал с четырёхсторонней растяжкой обеспечивает свободу движений в любом направлении
Вшитая резинка на талии с внутренним шнурком для регулировки
Открытые карманы для рук</t>
  </si>
  <si>
    <t>6005086-002</t>
  </si>
  <si>
    <t>Pjt Rock Ultimate Short</t>
  </si>
  <si>
    <t>6007178-035</t>
  </si>
  <si>
    <t>Шорты Under Armour  (PJT Rock Ultimate Short) – это мужские спортивные шорты для тренировок, выполненные из смеси полиэстера (88%) и эластана (12%) (состав 88% Polyester, 12% Elastane), обеспечивающие комфорт, свободу движений и влагоотведение благодаря эластичности и быстросохнущему материалу, идеальны для фитнеса, поднятия тяжестей (линейка Project Rock) и активных занятий спортом, а код цвета указывает на розовый или фуксия оттенок</t>
  </si>
  <si>
    <t>6007178-651</t>
  </si>
  <si>
    <t>UA Rival LW Shorts</t>
  </si>
  <si>
    <t>6009345-011</t>
  </si>
  <si>
    <t>Эта легкая французская махровая ткань на ощупь напоминает флис, но не создает ощущения излишнего тепла, характерного для ворсистого флиса. Это делает ее идеальной для прохладных летних ночей или утренних тренировок.
Детали:
Легкий французский махровый трикотаж имеет гладкую внешнюю поверхность и теплую, мягкую внутреннюю часть.
Материал отводит пот и очень быстро сохнет.
Эластичный ребристый пояс с внешним шнурком.
Открытые боковые карманы и задний карман.</t>
  </si>
  <si>
    <t>UA Icon Woven Track Shorts</t>
  </si>
  <si>
    <t>6009350-001</t>
  </si>
  <si>
    <t>Это идеальные беговые шорты, которые помогут вашим мышцам оставаться в тонусе — для любых видов спорта и тренировок. Они лёгкие, водоотталкивающие, их удобно надевать поверх другой одежды или компактно убрать, когда вы переходите к активным действиям.
Технология UA Storm отталкивает влагу, не жертвуя воздухопроницаемостью.
Тканая ткань с текстурой «кринкл» по всей поверхности обеспечивает лёгкость и прочность.
Обработанный эластичный пояс со внешним шнурком-утяжкой.
Открытые боковые карманы и надёжный задний карман на кнопке.
Свободный крой, длина до середины бедра.</t>
  </si>
  <si>
    <t>6009350-100</t>
  </si>
  <si>
    <t>UA Unstoppable Woven Shorts</t>
  </si>
  <si>
    <t>6009361-001</t>
  </si>
  <si>
    <t>Всегда на высоте — эти шорты выполнены из нашей самой технологичной тканой материи,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Технология UA Storm отталкивает воду, не жертвуя воздухопроницаемостью
Эластичная тканая основа: лёгкая, прочная и свободно движется вместе с вами
Материал отводит влагу и очень быстро сохнет
Ткань с растяжением в 4 направлениях обеспечивает свободу движений в любом направлении
Скрытый эластичный пояс со внутренним шнурком для регулировки
Открытые боковые карманы, задний карман на кнопке и вместительный грузовой карман на молнии
Свободный крой по всей длине, длина до середины бедра
Используется водоотталкивающая пропитка без содержания фтора</t>
  </si>
  <si>
    <t>UA BCL 6" Fitted Short</t>
  </si>
  <si>
    <t>6009498-001</t>
  </si>
  <si>
    <t>HeatGear® — это наш оригинальный функциональный базовый слой: то, что вы надеваете первым и снимаете последним. Поэтому мы сделали эти шорты особенно комфортными: они отводят влагу и тянутся, чтобы вы могли бегать в любых условиях.
Суперлёгкая, мягкая ткань HeatGear® обеспечивает превосходную защиту, не утяжеляя вас
Материал отводит пот и очень быстро сохнет
Ткань с растяжением в 4 направлениях обеспечивает свободу движений в любом направлении
Увеличенное количество лазерных перфораций для улучшенной циркуляции воздуха
Скрытый эластичный пояс обновлённой высоты для повышенного комфорта и снижения веса, с внутренним шнурком для регулировки
Боковые прорезные карманы
Светоотражающие элементы для лучшей видимости при пробежках в условиях слабой освещённости
Технология контроля запаха эффективно минимизирует неприятные ароматы</t>
  </si>
  <si>
    <t>UA BCL REFLCT 7in Short</t>
  </si>
  <si>
    <t>6009519-713</t>
  </si>
  <si>
    <t>Лёгкая, износостойкая и комфортная тканая материя
🔹 Сетчатая подкладка — обеспечивает дополнительную защиту и надёжную поддержку
🔹 Влагоотводящий материал с быстрым высыханием — эффективно отводит пот и быстро сохнет, сохраняя комфорт во время тренировок
🔹 Встроенный эластичный пояс с внутренним шнурком-утяжкой для идеальной посадки
🔹 Открытые боковые карманы для рук с дополнительным внутренним карманом справа для смартфона
🔹 Закруглённый нижний край с боковыми разрезами и контрастной окантовкой для свободы движений и стильного вида
🔹 Светоотражающие элементы — улучшают видимость в условиях слабой освещённости
🔹 Облегающая посадка (Slim Fit) — лаконичный крой, который не слишком тесный, но и не свободный: идеален для активных движений</t>
  </si>
  <si>
    <t>6009865-338</t>
  </si>
  <si>
    <t>6009896-410</t>
  </si>
  <si>
    <t>Tech Vent 7in Shorts NEW</t>
  </si>
  <si>
    <t>6010858-001</t>
  </si>
  <si>
    <t>Идеальные шорты для самых жарких тренировочных дней — свободные, лёгкие и с вентиляционными сетчатыми вставками по всей поверхности для максимальной воздухопроницаемости. Кроме того, ткань с растяжением в 4 направлениях означает, что вам никогда не придётся сбавлять темп.
Гладкая функциональная трикотажная ткань: суперлёгкая, дышащая и комфортная
Сетчатые боковые вставки для дополнительной воздухопроницаемости
Ткань с растяжением в 4 направлениях обеспечивает свободу движений в любом направлении
Материал отводит влагу и очень быстро сохнет
Скрытый эластичный пояс со внутренним шнурком для регулировки
Открытые боковые карманы
Боковые вентиляционные разрезы по нижнему краю
Технология контроля запаха эффективно минимизирует неприятные ароматы</t>
  </si>
  <si>
    <t>6010858-410</t>
  </si>
  <si>
    <t>Seamless Cotton Shorty</t>
  </si>
  <si>
    <t>6011164-008</t>
  </si>
  <si>
    <t>Ничто не сможет вас остановить в этих шортах. Эта модель изготовлена без швов в местах, где это наиболее важно, чтобы снизить трение. Кроме того, они чрезвычайно воздухопроницаемы и комфортны благодаря мягкой хлопковой ткани.
Особенности:
Сверхмягкая бесшовная хлопковая ткань легкая и движется вместе с вами, обеспечивая комфорт в течение всего дня
Эластичный материал с растяжкой в 4 направлениях обеспечивает свободу движений в любом направлении
Прочный и комфортный пояс</t>
  </si>
  <si>
    <t>67% хлопок, 26% нейлон, 7% эластан</t>
  </si>
  <si>
    <t>Motion Skort</t>
  </si>
  <si>
    <t>1387538-002</t>
  </si>
  <si>
    <t>Юбка-шорты</t>
  </si>
  <si>
    <t>Юбки и платья</t>
  </si>
  <si>
    <t>Эта специально разработанная ткань обладает уникальной мягкостью и при этом впитывает пот. Она легкая, дышащая и готова к любой активности.
Ткань с мягкой сетчатой структурой обеспечивает дышащий комфорт и приятна на ощупь.
Ткань с растяжением во всех четырех направлениях.
Внутренние шорты для дополнительного покрытия и поддержки.
Широкий пояс с внутренней резинкой.
Боковой карман во внутренних шортах.
Технология контроля запахов минимизирует их появление.
Длина шагового шва (внутренние шорты): 5 см (2 дюйма).</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</si>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</sst>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6">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4" fillId="0" borderId="2" xfId="0" applyFont="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3" borderId="5" xfId="0" applyFont="1" applyFill="1" applyBorder="1" applyAlignment="1">
      <alignment horizontal="center" vertical="top"/>
    </xf>
    <xf numFmtId="164" fontId="0" fillId="3" borderId="1" xfId="0" applyNumberFormat="1" applyFill="1" applyBorder="1" applyAlignment="1">
      <alignment horizontal="center" vertical="top"/>
    </xf>
    <xf numFmtId="2" fontId="1" fillId="0" borderId="5" xfId="0" applyNumberFormat="1" applyFont="1" applyBorder="1" applyAlignment="1">
      <alignment horizontal="center" vertical="top"/>
    </xf>
    <xf numFmtId="0" fontId="4" fillId="0" borderId="1" xfId="0" applyFont="1" applyBorder="1" applyAlignment="1">
      <alignment horizontal="center" vertical="top"/>
    </xf>
    <xf numFmtId="2" fontId="0" fillId="0" borderId="5" xfId="0" applyNumberForma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4"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7"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F3C6-4E5B-A360-DB402A8B3085}"/>
            </c:ext>
          </c:extLst>
        </c:ser>
        <c:dLbls>
          <c:dLblPos val="outEnd"/>
          <c:showLegendKey val="0"/>
          <c:showVal val="1"/>
          <c:showCatName val="0"/>
          <c:showSerName val="0"/>
          <c:showPercent val="0"/>
          <c:showBubbleSize val="0"/>
        </c:dLbls>
        <c:gapWidth val="100"/>
        <c:axId val="334431680"/>
        <c:axId val="334432336"/>
      </c:barChart>
      <c:catAx>
        <c:axId val="33443168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4432336"/>
        <c:crosses val="autoZero"/>
        <c:auto val="1"/>
        <c:lblAlgn val="ctr"/>
        <c:lblOffset val="100"/>
        <c:noMultiLvlLbl val="0"/>
      </c:catAx>
      <c:valAx>
        <c:axId val="33443233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443168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5815-4A1F-AD71-FC2975E87221}"/>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5815-4A1F-AD71-FC2975E87221}"/>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5815-4A1F-AD71-FC2975E87221}"/>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5815-4A1F-AD71-FC2975E87221}"/>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8AA7-4A5A-A610-AC59A91DC2BD}"/>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522" Type="http://schemas.openxmlformats.org/officeDocument/2006/relationships/image" Target="../media/image1522.png"/><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1477" Type="http://schemas.openxmlformats.org/officeDocument/2006/relationships/image" Target="../media/image1477.png"/><Relationship Id="rId1684" Type="http://schemas.openxmlformats.org/officeDocument/2006/relationships/image" Target="../media/image1684.png"/><Relationship Id="rId707" Type="http://schemas.openxmlformats.org/officeDocument/2006/relationships/image" Target="../media/image707.png"/><Relationship Id="rId914" Type="http://schemas.openxmlformats.org/officeDocument/2006/relationships/image" Target="../media/image914.png"/><Relationship Id="rId1337" Type="http://schemas.openxmlformats.org/officeDocument/2006/relationships/image" Target="../media/image1337.png"/><Relationship Id="rId1544" Type="http://schemas.openxmlformats.org/officeDocument/2006/relationships/image" Target="../media/image1544.png"/><Relationship Id="rId1751" Type="http://schemas.openxmlformats.org/officeDocument/2006/relationships/image" Target="../media/image1751.png"/><Relationship Id="rId43" Type="http://schemas.openxmlformats.org/officeDocument/2006/relationships/image" Target="../media/image43.png"/><Relationship Id="rId1404" Type="http://schemas.openxmlformats.org/officeDocument/2006/relationships/image" Target="../media/image1404.png"/><Relationship Id="rId1611" Type="http://schemas.openxmlformats.org/officeDocument/2006/relationships/image" Target="../media/image1611.png"/><Relationship Id="rId192" Type="http://schemas.openxmlformats.org/officeDocument/2006/relationships/image" Target="../media/image192.png"/><Relationship Id="rId1709" Type="http://schemas.openxmlformats.org/officeDocument/2006/relationships/image" Target="../media/image1709.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1499" Type="http://schemas.openxmlformats.org/officeDocument/2006/relationships/image" Target="../media/image149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1261" Type="http://schemas.openxmlformats.org/officeDocument/2006/relationships/image" Target="../media/image1261.png"/><Relationship Id="rId1359" Type="http://schemas.openxmlformats.org/officeDocument/2006/relationships/image" Target="../media/image1359.png"/><Relationship Id="rId936" Type="http://schemas.openxmlformats.org/officeDocument/2006/relationships/image" Target="../media/image936.png"/><Relationship Id="rId1121" Type="http://schemas.openxmlformats.org/officeDocument/2006/relationships/image" Target="../media/image1121.png"/><Relationship Id="rId1219" Type="http://schemas.openxmlformats.org/officeDocument/2006/relationships/image" Target="../media/image1219.png"/><Relationship Id="rId1566" Type="http://schemas.openxmlformats.org/officeDocument/2006/relationships/image" Target="../media/image1566.png"/><Relationship Id="rId1773" Type="http://schemas.openxmlformats.org/officeDocument/2006/relationships/image" Target="../media/image1773.png"/><Relationship Id="rId65" Type="http://schemas.openxmlformats.org/officeDocument/2006/relationships/image" Target="../media/image65.png"/><Relationship Id="rId1426" Type="http://schemas.openxmlformats.org/officeDocument/2006/relationships/image" Target="../media/image1426.png"/><Relationship Id="rId1633" Type="http://schemas.openxmlformats.org/officeDocument/2006/relationships/image" Target="../media/image1633.png"/><Relationship Id="rId1700" Type="http://schemas.openxmlformats.org/officeDocument/2006/relationships/image" Target="../media/image1700.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1283" Type="http://schemas.openxmlformats.org/officeDocument/2006/relationships/image" Target="../media/image1283.png"/><Relationship Id="rId1490" Type="http://schemas.openxmlformats.org/officeDocument/2006/relationships/image" Target="../media/image1490.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1588" Type="http://schemas.openxmlformats.org/officeDocument/2006/relationships/image" Target="../media/image1588.png"/><Relationship Id="rId1795" Type="http://schemas.openxmlformats.org/officeDocument/2006/relationships/image" Target="../media/image1795.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350" Type="http://schemas.openxmlformats.org/officeDocument/2006/relationships/image" Target="../media/image1350.png"/><Relationship Id="rId1448" Type="http://schemas.openxmlformats.org/officeDocument/2006/relationships/image" Target="../media/image1448.png"/><Relationship Id="rId1655" Type="http://schemas.openxmlformats.org/officeDocument/2006/relationships/image" Target="../media/image1655.png"/><Relationship Id="rId1003" Type="http://schemas.openxmlformats.org/officeDocument/2006/relationships/image" Target="../media/image1003.png"/><Relationship Id="rId1210" Type="http://schemas.openxmlformats.org/officeDocument/2006/relationships/image" Target="../media/image1210.png"/><Relationship Id="rId1308" Type="http://schemas.openxmlformats.org/officeDocument/2006/relationships/image" Target="../media/image1308.png"/><Relationship Id="rId1515" Type="http://schemas.openxmlformats.org/officeDocument/2006/relationships/image" Target="../media/image1515.png"/><Relationship Id="rId1722" Type="http://schemas.openxmlformats.org/officeDocument/2006/relationships/image" Target="../media/image1722.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1372" Type="http://schemas.openxmlformats.org/officeDocument/2006/relationships/image" Target="../media/image1372.png"/><Relationship Id="rId602" Type="http://schemas.openxmlformats.org/officeDocument/2006/relationships/image" Target="../media/image602.png"/><Relationship Id="rId1025" Type="http://schemas.openxmlformats.org/officeDocument/2006/relationships/image" Target="../media/image1025.png"/><Relationship Id="rId1232" Type="http://schemas.openxmlformats.org/officeDocument/2006/relationships/image" Target="../media/image1232.png"/><Relationship Id="rId1677" Type="http://schemas.openxmlformats.org/officeDocument/2006/relationships/image" Target="../media/image1677.png"/><Relationship Id="rId907" Type="http://schemas.openxmlformats.org/officeDocument/2006/relationships/image" Target="../media/image907.png"/><Relationship Id="rId1537" Type="http://schemas.openxmlformats.org/officeDocument/2006/relationships/image" Target="../media/image1537.png"/><Relationship Id="rId1744" Type="http://schemas.openxmlformats.org/officeDocument/2006/relationships/image" Target="../media/image1744.png"/><Relationship Id="rId36" Type="http://schemas.openxmlformats.org/officeDocument/2006/relationships/image" Target="../media/image36.png"/><Relationship Id="rId1604" Type="http://schemas.openxmlformats.org/officeDocument/2006/relationships/image" Target="../media/image1604.png"/><Relationship Id="rId185" Type="http://schemas.openxmlformats.org/officeDocument/2006/relationships/image" Target="../media/image185.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394" Type="http://schemas.openxmlformats.org/officeDocument/2006/relationships/image" Target="../media/image1394.png"/><Relationship Id="rId1699" Type="http://schemas.openxmlformats.org/officeDocument/2006/relationships/image" Target="../media/image1699.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1254" Type="http://schemas.openxmlformats.org/officeDocument/2006/relationships/image" Target="../media/image1254.png"/><Relationship Id="rId1461" Type="http://schemas.openxmlformats.org/officeDocument/2006/relationships/image" Target="../media/image1461.png"/><Relationship Id="rId929" Type="http://schemas.openxmlformats.org/officeDocument/2006/relationships/image" Target="../media/image929.png"/><Relationship Id="rId1114" Type="http://schemas.openxmlformats.org/officeDocument/2006/relationships/image" Target="../media/image1114.png"/><Relationship Id="rId1321" Type="http://schemas.openxmlformats.org/officeDocument/2006/relationships/image" Target="../media/image1321.png"/><Relationship Id="rId1559" Type="http://schemas.openxmlformats.org/officeDocument/2006/relationships/image" Target="../media/image1559.png"/><Relationship Id="rId1766" Type="http://schemas.openxmlformats.org/officeDocument/2006/relationships/image" Target="../media/image1766.png"/><Relationship Id="rId58" Type="http://schemas.openxmlformats.org/officeDocument/2006/relationships/image" Target="../media/image58.png"/><Relationship Id="rId1419" Type="http://schemas.openxmlformats.org/officeDocument/2006/relationships/image" Target="../media/image1419.png"/><Relationship Id="rId1626" Type="http://schemas.openxmlformats.org/officeDocument/2006/relationships/image" Target="../media/image1626.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1276" Type="http://schemas.openxmlformats.org/officeDocument/2006/relationships/image" Target="../media/image1276.png"/><Relationship Id="rId1483" Type="http://schemas.openxmlformats.org/officeDocument/2006/relationships/image" Target="../media/image1483.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1690" Type="http://schemas.openxmlformats.org/officeDocument/2006/relationships/image" Target="../media/image1690.png"/><Relationship Id="rId1788" Type="http://schemas.openxmlformats.org/officeDocument/2006/relationships/image" Target="../media/image1788.png"/><Relationship Id="rId713" Type="http://schemas.openxmlformats.org/officeDocument/2006/relationships/image" Target="../media/image713.png"/><Relationship Id="rId920" Type="http://schemas.openxmlformats.org/officeDocument/2006/relationships/image" Target="../media/image920.png"/><Relationship Id="rId1343" Type="http://schemas.openxmlformats.org/officeDocument/2006/relationships/image" Target="../media/image1343.png"/><Relationship Id="rId1550" Type="http://schemas.openxmlformats.org/officeDocument/2006/relationships/image" Target="../media/image1550.png"/><Relationship Id="rId1648" Type="http://schemas.openxmlformats.org/officeDocument/2006/relationships/image" Target="../media/image1648.png"/><Relationship Id="rId1203" Type="http://schemas.openxmlformats.org/officeDocument/2006/relationships/image" Target="../media/image1203.png"/><Relationship Id="rId1410" Type="http://schemas.openxmlformats.org/officeDocument/2006/relationships/image" Target="../media/image1410.png"/><Relationship Id="rId1508" Type="http://schemas.openxmlformats.org/officeDocument/2006/relationships/image" Target="../media/image1508.png"/><Relationship Id="rId1715" Type="http://schemas.openxmlformats.org/officeDocument/2006/relationships/image" Target="../media/image1715.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298" Type="http://schemas.openxmlformats.org/officeDocument/2006/relationships/image" Target="../media/image129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365" Type="http://schemas.openxmlformats.org/officeDocument/2006/relationships/image" Target="../media/image1365.png"/><Relationship Id="rId1572" Type="http://schemas.openxmlformats.org/officeDocument/2006/relationships/image" Target="../media/image1572.png"/><Relationship Id="rId1018" Type="http://schemas.openxmlformats.org/officeDocument/2006/relationships/image" Target="../media/image1018.png"/><Relationship Id="rId1225" Type="http://schemas.openxmlformats.org/officeDocument/2006/relationships/image" Target="../media/image1225.png"/><Relationship Id="rId1432" Type="http://schemas.openxmlformats.org/officeDocument/2006/relationships/image" Target="../media/image1432.png"/><Relationship Id="rId71" Type="http://schemas.openxmlformats.org/officeDocument/2006/relationships/image" Target="../media/image71.png"/><Relationship Id="rId802" Type="http://schemas.openxmlformats.org/officeDocument/2006/relationships/image" Target="../media/image802.png"/><Relationship Id="rId1737" Type="http://schemas.openxmlformats.org/officeDocument/2006/relationships/image" Target="../media/image1737.png"/><Relationship Id="rId29" Type="http://schemas.openxmlformats.org/officeDocument/2006/relationships/image" Target="../media/image29.png"/><Relationship Id="rId178" Type="http://schemas.openxmlformats.org/officeDocument/2006/relationships/image" Target="../media/image178.png"/><Relationship Id="rId1804" Type="http://schemas.openxmlformats.org/officeDocument/2006/relationships/image" Target="../media/image1804.png"/><Relationship Id="rId385" Type="http://schemas.openxmlformats.org/officeDocument/2006/relationships/image" Target="../media/image385.png"/><Relationship Id="rId592" Type="http://schemas.openxmlformats.org/officeDocument/2006/relationships/image" Target="../media/image592.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1387" Type="http://schemas.openxmlformats.org/officeDocument/2006/relationships/image" Target="../media/image1387.png"/><Relationship Id="rId1594" Type="http://schemas.openxmlformats.org/officeDocument/2006/relationships/image" Target="../media/image1594.png"/><Relationship Id="rId93" Type="http://schemas.openxmlformats.org/officeDocument/2006/relationships/image" Target="../media/image93.png"/><Relationship Id="rId617" Type="http://schemas.openxmlformats.org/officeDocument/2006/relationships/image" Target="../media/image617.png"/><Relationship Id="rId824" Type="http://schemas.openxmlformats.org/officeDocument/2006/relationships/image" Target="../media/image824.png"/><Relationship Id="rId1247" Type="http://schemas.openxmlformats.org/officeDocument/2006/relationships/image" Target="../media/image1247.png"/><Relationship Id="rId1454" Type="http://schemas.openxmlformats.org/officeDocument/2006/relationships/image" Target="../media/image1454.png"/><Relationship Id="rId1661" Type="http://schemas.openxmlformats.org/officeDocument/2006/relationships/image" Target="../media/image1661.png"/><Relationship Id="rId1107" Type="http://schemas.openxmlformats.org/officeDocument/2006/relationships/image" Target="../media/image1107.png"/><Relationship Id="rId1314" Type="http://schemas.openxmlformats.org/officeDocument/2006/relationships/image" Target="../media/image1314.png"/><Relationship Id="rId1521" Type="http://schemas.openxmlformats.org/officeDocument/2006/relationships/image" Target="../media/image1521.png"/><Relationship Id="rId1759" Type="http://schemas.openxmlformats.org/officeDocument/2006/relationships/image" Target="../media/image1759.png"/><Relationship Id="rId1619" Type="http://schemas.openxmlformats.org/officeDocument/2006/relationships/image" Target="../media/image1619.png"/><Relationship Id="rId20" Type="http://schemas.openxmlformats.org/officeDocument/2006/relationships/image" Target="../media/image20.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86" Type="http://schemas.openxmlformats.org/officeDocument/2006/relationships/image" Target="../media/image986.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269" Type="http://schemas.openxmlformats.org/officeDocument/2006/relationships/image" Target="../media/image1269.png"/><Relationship Id="rId1476" Type="http://schemas.openxmlformats.org/officeDocument/2006/relationships/image" Target="../media/image1476.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1683" Type="http://schemas.openxmlformats.org/officeDocument/2006/relationships/image" Target="../media/image1683.png"/><Relationship Id="rId706" Type="http://schemas.openxmlformats.org/officeDocument/2006/relationships/image" Target="../media/image706.png"/><Relationship Id="rId913" Type="http://schemas.openxmlformats.org/officeDocument/2006/relationships/image" Target="../media/image913.png"/><Relationship Id="rId1336" Type="http://schemas.openxmlformats.org/officeDocument/2006/relationships/image" Target="../media/image1336.png"/><Relationship Id="rId1543" Type="http://schemas.openxmlformats.org/officeDocument/2006/relationships/image" Target="../media/image1543.png"/><Relationship Id="rId1750" Type="http://schemas.openxmlformats.org/officeDocument/2006/relationships/image" Target="../media/image1750.png"/><Relationship Id="rId42" Type="http://schemas.openxmlformats.org/officeDocument/2006/relationships/image" Target="../media/image42.png"/><Relationship Id="rId1403" Type="http://schemas.openxmlformats.org/officeDocument/2006/relationships/image" Target="../media/image1403.png"/><Relationship Id="rId1610" Type="http://schemas.openxmlformats.org/officeDocument/2006/relationships/image" Target="../media/image1610.png"/><Relationship Id="rId191" Type="http://schemas.openxmlformats.org/officeDocument/2006/relationships/image" Target="../media/image191.png"/><Relationship Id="rId1708" Type="http://schemas.openxmlformats.org/officeDocument/2006/relationships/image" Target="../media/image1708.png"/><Relationship Id="rId289" Type="http://schemas.openxmlformats.org/officeDocument/2006/relationships/image" Target="../media/image289.png"/><Relationship Id="rId496" Type="http://schemas.openxmlformats.org/officeDocument/2006/relationships/image" Target="../media/image496.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1260" Type="http://schemas.openxmlformats.org/officeDocument/2006/relationships/image" Target="../media/image1260.png"/><Relationship Id="rId1498" Type="http://schemas.openxmlformats.org/officeDocument/2006/relationships/image" Target="../media/image149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1358" Type="http://schemas.openxmlformats.org/officeDocument/2006/relationships/image" Target="../media/image1358.png"/><Relationship Id="rId1565" Type="http://schemas.openxmlformats.org/officeDocument/2006/relationships/image" Target="../media/image1565.png"/><Relationship Id="rId1772" Type="http://schemas.openxmlformats.org/officeDocument/2006/relationships/image" Target="../media/image1772.png"/><Relationship Id="rId64" Type="http://schemas.openxmlformats.org/officeDocument/2006/relationships/image" Target="../media/image64.png"/><Relationship Id="rId1120" Type="http://schemas.openxmlformats.org/officeDocument/2006/relationships/image" Target="../media/image1120.png"/><Relationship Id="rId1218" Type="http://schemas.openxmlformats.org/officeDocument/2006/relationships/image" Target="../media/image1218.png"/><Relationship Id="rId1425" Type="http://schemas.openxmlformats.org/officeDocument/2006/relationships/image" Target="../media/image1425.png"/><Relationship Id="rId1632" Type="http://schemas.openxmlformats.org/officeDocument/2006/relationships/image" Target="../media/image1632.png"/><Relationship Id="rId280" Type="http://schemas.openxmlformats.org/officeDocument/2006/relationships/image" Target="../media/image280.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1282" Type="http://schemas.openxmlformats.org/officeDocument/2006/relationships/image" Target="../media/image1282.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1587" Type="http://schemas.openxmlformats.org/officeDocument/2006/relationships/image" Target="../media/image1587.png"/><Relationship Id="rId1794" Type="http://schemas.openxmlformats.org/officeDocument/2006/relationships/image" Target="../media/image1794.png"/><Relationship Id="rId86" Type="http://schemas.openxmlformats.org/officeDocument/2006/relationships/image" Target="../media/image86.png"/><Relationship Id="rId817" Type="http://schemas.openxmlformats.org/officeDocument/2006/relationships/image" Target="../media/image817.png"/><Relationship Id="rId1002" Type="http://schemas.openxmlformats.org/officeDocument/2006/relationships/image" Target="../media/image1002.png"/><Relationship Id="rId1447" Type="http://schemas.openxmlformats.org/officeDocument/2006/relationships/image" Target="../media/image1447.png"/><Relationship Id="rId1654" Type="http://schemas.openxmlformats.org/officeDocument/2006/relationships/image" Target="../media/image1654.png"/><Relationship Id="rId1307" Type="http://schemas.openxmlformats.org/officeDocument/2006/relationships/image" Target="../media/image1307.png"/><Relationship Id="rId1514" Type="http://schemas.openxmlformats.org/officeDocument/2006/relationships/image" Target="../media/image1514.png"/><Relationship Id="rId1721" Type="http://schemas.openxmlformats.org/officeDocument/2006/relationships/image" Target="../media/image1721.png"/><Relationship Id="rId13" Type="http://schemas.openxmlformats.org/officeDocument/2006/relationships/image" Target="../media/image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371" Type="http://schemas.openxmlformats.org/officeDocument/2006/relationships/image" Target="../media/image1371.png"/><Relationship Id="rId1469" Type="http://schemas.openxmlformats.org/officeDocument/2006/relationships/image" Target="../media/image1469.png"/><Relationship Id="rId601" Type="http://schemas.openxmlformats.org/officeDocument/2006/relationships/image" Target="../media/image601.png"/><Relationship Id="rId1024" Type="http://schemas.openxmlformats.org/officeDocument/2006/relationships/image" Target="../media/image1024.png"/><Relationship Id="rId1231" Type="http://schemas.openxmlformats.org/officeDocument/2006/relationships/image" Target="../media/image1231.png"/><Relationship Id="rId1676" Type="http://schemas.openxmlformats.org/officeDocument/2006/relationships/image" Target="../media/image1676.png"/><Relationship Id="rId906" Type="http://schemas.openxmlformats.org/officeDocument/2006/relationships/image" Target="../media/image906.png"/><Relationship Id="rId1329" Type="http://schemas.openxmlformats.org/officeDocument/2006/relationships/image" Target="../media/image1329.png"/><Relationship Id="rId1536" Type="http://schemas.openxmlformats.org/officeDocument/2006/relationships/image" Target="../media/image1536.png"/><Relationship Id="rId1743" Type="http://schemas.openxmlformats.org/officeDocument/2006/relationships/image" Target="../media/image1743.png"/><Relationship Id="rId35" Type="http://schemas.openxmlformats.org/officeDocument/2006/relationships/image" Target="../media/image35.png"/><Relationship Id="rId1603" Type="http://schemas.openxmlformats.org/officeDocument/2006/relationships/image" Target="../media/image1603.png"/><Relationship Id="rId184" Type="http://schemas.openxmlformats.org/officeDocument/2006/relationships/image" Target="../media/image184.png"/><Relationship Id="rId391" Type="http://schemas.openxmlformats.org/officeDocument/2006/relationships/image" Target="../media/image391.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393" Type="http://schemas.openxmlformats.org/officeDocument/2006/relationships/image" Target="../media/image1393.png"/><Relationship Id="rId111" Type="http://schemas.openxmlformats.org/officeDocument/2006/relationships/image" Target="../media/image111.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1253" Type="http://schemas.openxmlformats.org/officeDocument/2006/relationships/image" Target="../media/image1253.png"/><Relationship Id="rId1698" Type="http://schemas.openxmlformats.org/officeDocument/2006/relationships/image" Target="../media/image1698.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1460" Type="http://schemas.openxmlformats.org/officeDocument/2006/relationships/image" Target="../media/image1460.png"/><Relationship Id="rId1558" Type="http://schemas.openxmlformats.org/officeDocument/2006/relationships/image" Target="../media/image1558.png"/><Relationship Id="rId1765" Type="http://schemas.openxmlformats.org/officeDocument/2006/relationships/image" Target="../media/image1765.png"/><Relationship Id="rId57" Type="http://schemas.openxmlformats.org/officeDocument/2006/relationships/image" Target="../media/image57.png"/><Relationship Id="rId1113" Type="http://schemas.openxmlformats.org/officeDocument/2006/relationships/image" Target="../media/image1113.png"/><Relationship Id="rId1320" Type="http://schemas.openxmlformats.org/officeDocument/2006/relationships/image" Target="../media/image1320.png"/><Relationship Id="rId1418" Type="http://schemas.openxmlformats.org/officeDocument/2006/relationships/image" Target="../media/image1418.png"/><Relationship Id="rId1625" Type="http://schemas.openxmlformats.org/officeDocument/2006/relationships/image" Target="../media/image1625.png"/><Relationship Id="rId273" Type="http://schemas.openxmlformats.org/officeDocument/2006/relationships/image" Target="../media/image273.png"/><Relationship Id="rId480" Type="http://schemas.openxmlformats.org/officeDocument/2006/relationships/image" Target="../media/image480.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1275" Type="http://schemas.openxmlformats.org/officeDocument/2006/relationships/image" Target="../media/image1275.png"/><Relationship Id="rId1482" Type="http://schemas.openxmlformats.org/officeDocument/2006/relationships/image" Target="../media/image1482.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1342" Type="http://schemas.openxmlformats.org/officeDocument/2006/relationships/image" Target="../media/image1342.png"/><Relationship Id="rId1787" Type="http://schemas.openxmlformats.org/officeDocument/2006/relationships/image" Target="../media/image1787.png"/><Relationship Id="rId79" Type="http://schemas.openxmlformats.org/officeDocument/2006/relationships/image" Target="../media/image79.png"/><Relationship Id="rId1202" Type="http://schemas.openxmlformats.org/officeDocument/2006/relationships/image" Target="../media/image1202.png"/><Relationship Id="rId1647" Type="http://schemas.openxmlformats.org/officeDocument/2006/relationships/image" Target="../media/image1647.png"/><Relationship Id="rId1507" Type="http://schemas.openxmlformats.org/officeDocument/2006/relationships/image" Target="../media/image1507.png"/><Relationship Id="rId1714" Type="http://schemas.openxmlformats.org/officeDocument/2006/relationships/image" Target="../media/image1714.png"/><Relationship Id="rId295" Type="http://schemas.openxmlformats.org/officeDocument/2006/relationships/image" Target="../media/image295.png"/><Relationship Id="rId155" Type="http://schemas.openxmlformats.org/officeDocument/2006/relationships/image" Target="../media/image155.png"/><Relationship Id="rId362" Type="http://schemas.openxmlformats.org/officeDocument/2006/relationships/image" Target="../media/image362.png"/><Relationship Id="rId1297" Type="http://schemas.openxmlformats.org/officeDocument/2006/relationships/image" Target="../media/image1297.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1364" Type="http://schemas.openxmlformats.org/officeDocument/2006/relationships/image" Target="../media/image1364.png"/><Relationship Id="rId1571" Type="http://schemas.openxmlformats.org/officeDocument/2006/relationships/image" Target="../media/image1571.png"/><Relationship Id="rId70" Type="http://schemas.openxmlformats.org/officeDocument/2006/relationships/image" Target="../media/image70.png"/><Relationship Id="rId801" Type="http://schemas.openxmlformats.org/officeDocument/2006/relationships/image" Target="../media/image801.png"/><Relationship Id="rId1017" Type="http://schemas.openxmlformats.org/officeDocument/2006/relationships/image" Target="../media/image1017.png"/><Relationship Id="rId1224" Type="http://schemas.openxmlformats.org/officeDocument/2006/relationships/image" Target="../media/image1224.png"/><Relationship Id="rId1431" Type="http://schemas.openxmlformats.org/officeDocument/2006/relationships/image" Target="../media/image1431.png"/><Relationship Id="rId1669" Type="http://schemas.openxmlformats.org/officeDocument/2006/relationships/image" Target="../media/image1669.png"/><Relationship Id="rId1529" Type="http://schemas.openxmlformats.org/officeDocument/2006/relationships/image" Target="../media/image1529.png"/><Relationship Id="rId1736" Type="http://schemas.openxmlformats.org/officeDocument/2006/relationships/image" Target="../media/image1736.png"/><Relationship Id="rId28" Type="http://schemas.openxmlformats.org/officeDocument/2006/relationships/image" Target="../media/image28.png"/><Relationship Id="rId1803" Type="http://schemas.openxmlformats.org/officeDocument/2006/relationships/image" Target="../media/image1803.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386" Type="http://schemas.openxmlformats.org/officeDocument/2006/relationships/image" Target="../media/image1386.png"/><Relationship Id="rId1593" Type="http://schemas.openxmlformats.org/officeDocument/2006/relationships/image" Target="../media/image1593.png"/><Relationship Id="rId104" Type="http://schemas.openxmlformats.org/officeDocument/2006/relationships/image" Target="../media/image104.png"/><Relationship Id="rId311" Type="http://schemas.openxmlformats.org/officeDocument/2006/relationships/image" Target="../media/image311.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1246" Type="http://schemas.openxmlformats.org/officeDocument/2006/relationships/image" Target="../media/image1246.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1453" Type="http://schemas.openxmlformats.org/officeDocument/2006/relationships/image" Target="../media/image1453.png"/><Relationship Id="rId1660" Type="http://schemas.openxmlformats.org/officeDocument/2006/relationships/image" Target="../media/image1660.png"/><Relationship Id="rId1758" Type="http://schemas.openxmlformats.org/officeDocument/2006/relationships/image" Target="../media/image1758.png"/><Relationship Id="rId1106" Type="http://schemas.openxmlformats.org/officeDocument/2006/relationships/image" Target="../media/image1106.png"/><Relationship Id="rId1313" Type="http://schemas.openxmlformats.org/officeDocument/2006/relationships/image" Target="../media/image1313.png"/><Relationship Id="rId1520" Type="http://schemas.openxmlformats.org/officeDocument/2006/relationships/image" Target="../media/image1520.png"/><Relationship Id="rId1618" Type="http://schemas.openxmlformats.org/officeDocument/2006/relationships/image" Target="../media/image1618.png"/><Relationship Id="rId199" Type="http://schemas.openxmlformats.org/officeDocument/2006/relationships/image" Target="../media/image199.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1268" Type="http://schemas.openxmlformats.org/officeDocument/2006/relationships/image" Target="../media/image1268.png"/><Relationship Id="rId1475" Type="http://schemas.openxmlformats.org/officeDocument/2006/relationships/image" Target="../media/image1475.png"/><Relationship Id="rId1682" Type="http://schemas.openxmlformats.org/officeDocument/2006/relationships/image" Target="../media/image1682.png"/><Relationship Id="rId400" Type="http://schemas.openxmlformats.org/officeDocument/2006/relationships/image" Target="../media/image400.png"/><Relationship Id="rId705" Type="http://schemas.openxmlformats.org/officeDocument/2006/relationships/image" Target="../media/image705.png"/><Relationship Id="rId1128" Type="http://schemas.openxmlformats.org/officeDocument/2006/relationships/image" Target="../media/image1128.png"/><Relationship Id="rId1335" Type="http://schemas.openxmlformats.org/officeDocument/2006/relationships/image" Target="../media/image1335.png"/><Relationship Id="rId1542" Type="http://schemas.openxmlformats.org/officeDocument/2006/relationships/image" Target="../media/image1542.png"/><Relationship Id="rId912" Type="http://schemas.openxmlformats.org/officeDocument/2006/relationships/image" Target="../media/image912.png"/><Relationship Id="rId41" Type="http://schemas.openxmlformats.org/officeDocument/2006/relationships/image" Target="../media/image41.png"/><Relationship Id="rId1402" Type="http://schemas.openxmlformats.org/officeDocument/2006/relationships/image" Target="../media/image1402.png"/><Relationship Id="rId1707" Type="http://schemas.openxmlformats.org/officeDocument/2006/relationships/image" Target="../media/image1707.png"/><Relationship Id="rId190" Type="http://schemas.openxmlformats.org/officeDocument/2006/relationships/image" Target="../media/image190.png"/><Relationship Id="rId288" Type="http://schemas.openxmlformats.org/officeDocument/2006/relationships/image" Target="../media/image288.png"/><Relationship Id="rId495" Type="http://schemas.openxmlformats.org/officeDocument/2006/relationships/image" Target="../media/image495.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1497" Type="http://schemas.openxmlformats.org/officeDocument/2006/relationships/image" Target="../media/image1497.png"/><Relationship Id="rId727" Type="http://schemas.openxmlformats.org/officeDocument/2006/relationships/image" Target="../media/image727.png"/><Relationship Id="rId934" Type="http://schemas.openxmlformats.org/officeDocument/2006/relationships/image" Target="../media/image934.png"/><Relationship Id="rId1357" Type="http://schemas.openxmlformats.org/officeDocument/2006/relationships/image" Target="../media/image1357.png"/><Relationship Id="rId1564" Type="http://schemas.openxmlformats.org/officeDocument/2006/relationships/image" Target="../media/image1564.png"/><Relationship Id="rId1771" Type="http://schemas.openxmlformats.org/officeDocument/2006/relationships/image" Target="../media/image1771.png"/><Relationship Id="rId63" Type="http://schemas.openxmlformats.org/officeDocument/2006/relationships/image" Target="../media/image63.png"/><Relationship Id="rId1217" Type="http://schemas.openxmlformats.org/officeDocument/2006/relationships/image" Target="../media/image1217.png"/><Relationship Id="rId1424" Type="http://schemas.openxmlformats.org/officeDocument/2006/relationships/image" Target="../media/image1424.png"/><Relationship Id="rId1631" Type="http://schemas.openxmlformats.org/officeDocument/2006/relationships/image" Target="../media/image1631.png"/><Relationship Id="rId1729" Type="http://schemas.openxmlformats.org/officeDocument/2006/relationships/image" Target="../media/image1729.png"/><Relationship Id="rId377" Type="http://schemas.openxmlformats.org/officeDocument/2006/relationships/image" Target="../media/image377.png"/><Relationship Id="rId584" Type="http://schemas.openxmlformats.org/officeDocument/2006/relationships/image" Target="../media/image584.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1281" Type="http://schemas.openxmlformats.org/officeDocument/2006/relationships/image" Target="../media/image1281.png"/><Relationship Id="rId1379" Type="http://schemas.openxmlformats.org/officeDocument/2006/relationships/image" Target="../media/image1379.png"/><Relationship Id="rId1586" Type="http://schemas.openxmlformats.org/officeDocument/2006/relationships/image" Target="../media/image1586.png"/><Relationship Id="rId304" Type="http://schemas.openxmlformats.org/officeDocument/2006/relationships/image" Target="../media/image304.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1239" Type="http://schemas.openxmlformats.org/officeDocument/2006/relationships/image" Target="../media/image1239.png"/><Relationship Id="rId1793" Type="http://schemas.openxmlformats.org/officeDocument/2006/relationships/image" Target="../media/image1793.png"/><Relationship Id="rId85" Type="http://schemas.openxmlformats.org/officeDocument/2006/relationships/image" Target="../media/image85.png"/><Relationship Id="rId816" Type="http://schemas.openxmlformats.org/officeDocument/2006/relationships/image" Target="../media/image816.png"/><Relationship Id="rId1001" Type="http://schemas.openxmlformats.org/officeDocument/2006/relationships/image" Target="../media/image1001.png"/><Relationship Id="rId1446" Type="http://schemas.openxmlformats.org/officeDocument/2006/relationships/image" Target="../media/image1446.png"/><Relationship Id="rId1653" Type="http://schemas.openxmlformats.org/officeDocument/2006/relationships/image" Target="../media/image1653.png"/><Relationship Id="rId1306" Type="http://schemas.openxmlformats.org/officeDocument/2006/relationships/image" Target="../media/image1306.png"/><Relationship Id="rId1513" Type="http://schemas.openxmlformats.org/officeDocument/2006/relationships/image" Target="../media/image1513.png"/><Relationship Id="rId1720" Type="http://schemas.openxmlformats.org/officeDocument/2006/relationships/image" Target="../media/image1720.png"/><Relationship Id="rId12" Type="http://schemas.openxmlformats.org/officeDocument/2006/relationships/image" Target="../media/image12.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1370" Type="http://schemas.openxmlformats.org/officeDocument/2006/relationships/image" Target="../media/image1370.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468" Type="http://schemas.openxmlformats.org/officeDocument/2006/relationships/image" Target="../media/image1468.png"/><Relationship Id="rId1675" Type="http://schemas.openxmlformats.org/officeDocument/2006/relationships/image" Target="../media/image1675.png"/><Relationship Id="rId600" Type="http://schemas.openxmlformats.org/officeDocument/2006/relationships/image" Target="../media/image600.png"/><Relationship Id="rId1230" Type="http://schemas.openxmlformats.org/officeDocument/2006/relationships/image" Target="../media/image1230.png"/><Relationship Id="rId1328" Type="http://schemas.openxmlformats.org/officeDocument/2006/relationships/image" Target="../media/image1328.png"/><Relationship Id="rId1535" Type="http://schemas.openxmlformats.org/officeDocument/2006/relationships/image" Target="../media/image1535.png"/><Relationship Id="rId905" Type="http://schemas.openxmlformats.org/officeDocument/2006/relationships/image" Target="../media/image905.png"/><Relationship Id="rId1742" Type="http://schemas.openxmlformats.org/officeDocument/2006/relationships/image" Target="../media/image1742.png"/><Relationship Id="rId34" Type="http://schemas.openxmlformats.org/officeDocument/2006/relationships/image" Target="../media/image34.png"/><Relationship Id="rId1602" Type="http://schemas.openxmlformats.org/officeDocument/2006/relationships/image" Target="../media/image1602.png"/><Relationship Id="rId183" Type="http://schemas.openxmlformats.org/officeDocument/2006/relationships/image" Target="../media/image183.png"/><Relationship Id="rId390" Type="http://schemas.openxmlformats.org/officeDocument/2006/relationships/image" Target="../media/image390.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392" Type="http://schemas.openxmlformats.org/officeDocument/2006/relationships/image" Target="../media/image1392.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1252" Type="http://schemas.openxmlformats.org/officeDocument/2006/relationships/image" Target="../media/image1252.png"/><Relationship Id="rId1697" Type="http://schemas.openxmlformats.org/officeDocument/2006/relationships/image" Target="../media/image1697.png"/><Relationship Id="rId927" Type="http://schemas.openxmlformats.org/officeDocument/2006/relationships/image" Target="../media/image927.png"/><Relationship Id="rId1112" Type="http://schemas.openxmlformats.org/officeDocument/2006/relationships/image" Target="../media/image1112.png"/><Relationship Id="rId1557" Type="http://schemas.openxmlformats.org/officeDocument/2006/relationships/image" Target="../media/image1557.png"/><Relationship Id="rId1764" Type="http://schemas.openxmlformats.org/officeDocument/2006/relationships/image" Target="../media/image1764.png"/><Relationship Id="rId56" Type="http://schemas.openxmlformats.org/officeDocument/2006/relationships/image" Target="../media/image56.png"/><Relationship Id="rId1417" Type="http://schemas.openxmlformats.org/officeDocument/2006/relationships/image" Target="../media/image1417.png"/><Relationship Id="rId1624" Type="http://schemas.openxmlformats.org/officeDocument/2006/relationships/image" Target="../media/image1624.png"/><Relationship Id="rId272" Type="http://schemas.openxmlformats.org/officeDocument/2006/relationships/image" Target="../media/image272.png"/><Relationship Id="rId577" Type="http://schemas.openxmlformats.org/officeDocument/2006/relationships/image" Target="../media/image577.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1274" Type="http://schemas.openxmlformats.org/officeDocument/2006/relationships/image" Target="../media/image1274.png"/><Relationship Id="rId1481" Type="http://schemas.openxmlformats.org/officeDocument/2006/relationships/image" Target="../media/image1481.png"/><Relationship Id="rId1579" Type="http://schemas.openxmlformats.org/officeDocument/2006/relationships/image" Target="../media/image1579.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1341" Type="http://schemas.openxmlformats.org/officeDocument/2006/relationships/image" Target="../media/image1341.png"/><Relationship Id="rId1786" Type="http://schemas.openxmlformats.org/officeDocument/2006/relationships/image" Target="../media/image1786.png"/><Relationship Id="rId78" Type="http://schemas.openxmlformats.org/officeDocument/2006/relationships/image" Target="../media/image78.png"/><Relationship Id="rId809" Type="http://schemas.openxmlformats.org/officeDocument/2006/relationships/image" Target="../media/image809.png"/><Relationship Id="rId1201" Type="http://schemas.openxmlformats.org/officeDocument/2006/relationships/image" Target="../media/image1201.png"/><Relationship Id="rId1439" Type="http://schemas.openxmlformats.org/officeDocument/2006/relationships/image" Target="../media/image1439.png"/><Relationship Id="rId1646" Type="http://schemas.openxmlformats.org/officeDocument/2006/relationships/image" Target="../media/image1646.png"/><Relationship Id="rId1506" Type="http://schemas.openxmlformats.org/officeDocument/2006/relationships/image" Target="../media/image1506.png"/><Relationship Id="rId1713" Type="http://schemas.openxmlformats.org/officeDocument/2006/relationships/image" Target="../media/image1713.png"/><Relationship Id="rId294" Type="http://schemas.openxmlformats.org/officeDocument/2006/relationships/image" Target="../media/image294.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296" Type="http://schemas.openxmlformats.org/officeDocument/2006/relationships/image" Target="../media/image129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1363" Type="http://schemas.openxmlformats.org/officeDocument/2006/relationships/image" Target="../media/image1363.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570" Type="http://schemas.openxmlformats.org/officeDocument/2006/relationships/image" Target="../media/image1570.png"/><Relationship Id="rId1668" Type="http://schemas.openxmlformats.org/officeDocument/2006/relationships/image" Target="../media/image1668.png"/><Relationship Id="rId800" Type="http://schemas.openxmlformats.org/officeDocument/2006/relationships/image" Target="../media/image800.png"/><Relationship Id="rId1223" Type="http://schemas.openxmlformats.org/officeDocument/2006/relationships/image" Target="../media/image1223.png"/><Relationship Id="rId1430" Type="http://schemas.openxmlformats.org/officeDocument/2006/relationships/image" Target="../media/image1430.png"/><Relationship Id="rId1528" Type="http://schemas.openxmlformats.org/officeDocument/2006/relationships/image" Target="../media/image1528.png"/><Relationship Id="rId1735" Type="http://schemas.openxmlformats.org/officeDocument/2006/relationships/image" Target="../media/image1735.png"/><Relationship Id="rId27" Type="http://schemas.openxmlformats.org/officeDocument/2006/relationships/image" Target="../media/image27.png"/><Relationship Id="rId1802" Type="http://schemas.openxmlformats.org/officeDocument/2006/relationships/image" Target="../media/image1802.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1080" Type="http://schemas.openxmlformats.org/officeDocument/2006/relationships/image" Target="../media/image1080.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1385" Type="http://schemas.openxmlformats.org/officeDocument/2006/relationships/image" Target="../media/image1385.png"/><Relationship Id="rId1592" Type="http://schemas.openxmlformats.org/officeDocument/2006/relationships/image" Target="../media/image1592.png"/><Relationship Id="rId91" Type="http://schemas.openxmlformats.org/officeDocument/2006/relationships/image" Target="../media/image91.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1245" Type="http://schemas.openxmlformats.org/officeDocument/2006/relationships/image" Target="../media/image1245.png"/><Relationship Id="rId1452" Type="http://schemas.openxmlformats.org/officeDocument/2006/relationships/image" Target="../media/image1452.png"/><Relationship Id="rId1105" Type="http://schemas.openxmlformats.org/officeDocument/2006/relationships/image" Target="../media/image1105.png"/><Relationship Id="rId1312" Type="http://schemas.openxmlformats.org/officeDocument/2006/relationships/image" Target="../media/image1312.png"/><Relationship Id="rId1757" Type="http://schemas.openxmlformats.org/officeDocument/2006/relationships/image" Target="../media/image1757.png"/><Relationship Id="rId49" Type="http://schemas.openxmlformats.org/officeDocument/2006/relationships/image" Target="../media/image49.png"/><Relationship Id="rId1617" Type="http://schemas.openxmlformats.org/officeDocument/2006/relationships/image" Target="../media/image1617.png"/><Relationship Id="rId198" Type="http://schemas.openxmlformats.org/officeDocument/2006/relationships/image" Target="../media/image198.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1267" Type="http://schemas.openxmlformats.org/officeDocument/2006/relationships/image" Target="../media/image1267.png"/><Relationship Id="rId1474" Type="http://schemas.openxmlformats.org/officeDocument/2006/relationships/image" Target="../media/image1474.png"/><Relationship Id="rId1681" Type="http://schemas.openxmlformats.org/officeDocument/2006/relationships/image" Target="../media/image1681.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1334" Type="http://schemas.openxmlformats.org/officeDocument/2006/relationships/image" Target="../media/image1334.png"/><Relationship Id="rId1541" Type="http://schemas.openxmlformats.org/officeDocument/2006/relationships/image" Target="../media/image1541.png"/><Relationship Id="rId1779" Type="http://schemas.openxmlformats.org/officeDocument/2006/relationships/image" Target="../media/image1779.png"/><Relationship Id="rId40" Type="http://schemas.openxmlformats.org/officeDocument/2006/relationships/image" Target="../media/image40.png"/><Relationship Id="rId1401" Type="http://schemas.openxmlformats.org/officeDocument/2006/relationships/image" Target="../media/image1401.png"/><Relationship Id="rId1639" Type="http://schemas.openxmlformats.org/officeDocument/2006/relationships/image" Target="../media/image1639.png"/><Relationship Id="rId1706" Type="http://schemas.openxmlformats.org/officeDocument/2006/relationships/image" Target="../media/image1706.png"/><Relationship Id="rId287" Type="http://schemas.openxmlformats.org/officeDocument/2006/relationships/image" Target="../media/image287.png"/><Relationship Id="rId494" Type="http://schemas.openxmlformats.org/officeDocument/2006/relationships/image" Target="../media/image494.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1289" Type="http://schemas.openxmlformats.org/officeDocument/2006/relationships/image" Target="../media/image1289.png"/><Relationship Id="rId1496" Type="http://schemas.openxmlformats.org/officeDocument/2006/relationships/image" Target="../media/image1496.png"/><Relationship Id="rId214" Type="http://schemas.openxmlformats.org/officeDocument/2006/relationships/image" Target="../media/image214.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356" Type="http://schemas.openxmlformats.org/officeDocument/2006/relationships/image" Target="../media/image1356.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1563" Type="http://schemas.openxmlformats.org/officeDocument/2006/relationships/image" Target="../media/image1563.png"/><Relationship Id="rId1770" Type="http://schemas.openxmlformats.org/officeDocument/2006/relationships/image" Target="../media/image1770.png"/><Relationship Id="rId62" Type="http://schemas.openxmlformats.org/officeDocument/2006/relationships/image" Target="../media/image62.png"/><Relationship Id="rId1216" Type="http://schemas.openxmlformats.org/officeDocument/2006/relationships/image" Target="../media/image1216.png"/><Relationship Id="rId1423" Type="http://schemas.openxmlformats.org/officeDocument/2006/relationships/image" Target="../media/image1423.png"/><Relationship Id="rId1630" Type="http://schemas.openxmlformats.org/officeDocument/2006/relationships/image" Target="../media/image1630.png"/><Relationship Id="rId1728" Type="http://schemas.openxmlformats.org/officeDocument/2006/relationships/image" Target="../media/image1728.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1280" Type="http://schemas.openxmlformats.org/officeDocument/2006/relationships/image" Target="../media/image1280.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1378" Type="http://schemas.openxmlformats.org/officeDocument/2006/relationships/image" Target="../media/image1378.png"/><Relationship Id="rId1585" Type="http://schemas.openxmlformats.org/officeDocument/2006/relationships/image" Target="../media/image1585.png"/><Relationship Id="rId1792" Type="http://schemas.openxmlformats.org/officeDocument/2006/relationships/image" Target="../media/image1792.png"/><Relationship Id="rId84" Type="http://schemas.openxmlformats.org/officeDocument/2006/relationships/image" Target="../media/image84.png"/><Relationship Id="rId510" Type="http://schemas.openxmlformats.org/officeDocument/2006/relationships/image" Target="../media/image510.png"/><Relationship Id="rId608" Type="http://schemas.openxmlformats.org/officeDocument/2006/relationships/image" Target="../media/image608.png"/><Relationship Id="rId815" Type="http://schemas.openxmlformats.org/officeDocument/2006/relationships/image" Target="../media/image815.png"/><Relationship Id="rId1238" Type="http://schemas.openxmlformats.org/officeDocument/2006/relationships/image" Target="../media/image1238.png"/><Relationship Id="rId1445" Type="http://schemas.openxmlformats.org/officeDocument/2006/relationships/image" Target="../media/image1445.png"/><Relationship Id="rId1652" Type="http://schemas.openxmlformats.org/officeDocument/2006/relationships/image" Target="../media/image1652.png"/><Relationship Id="rId1000" Type="http://schemas.openxmlformats.org/officeDocument/2006/relationships/image" Target="../media/image1000.png"/><Relationship Id="rId1305" Type="http://schemas.openxmlformats.org/officeDocument/2006/relationships/image" Target="../media/image1305.png"/><Relationship Id="rId1512" Type="http://schemas.openxmlformats.org/officeDocument/2006/relationships/image" Target="../media/image1512.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1249" Type="http://schemas.openxmlformats.org/officeDocument/2006/relationships/image" Target="../media/image124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1456" Type="http://schemas.openxmlformats.org/officeDocument/2006/relationships/image" Target="../media/image1456.png"/><Relationship Id="rId1663" Type="http://schemas.openxmlformats.org/officeDocument/2006/relationships/image" Target="../media/image1663.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1316" Type="http://schemas.openxmlformats.org/officeDocument/2006/relationships/image" Target="../media/image1316.png"/><Relationship Id="rId1523" Type="http://schemas.openxmlformats.org/officeDocument/2006/relationships/image" Target="../media/image1523.png"/><Relationship Id="rId1730" Type="http://schemas.openxmlformats.org/officeDocument/2006/relationships/image" Target="../media/image1730.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1467" Type="http://schemas.openxmlformats.org/officeDocument/2006/relationships/image" Target="../media/image1467.png"/><Relationship Id="rId1674" Type="http://schemas.openxmlformats.org/officeDocument/2006/relationships/image" Target="../media/image1674.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1327" Type="http://schemas.openxmlformats.org/officeDocument/2006/relationships/image" Target="../media/image1327.png"/><Relationship Id="rId1534" Type="http://schemas.openxmlformats.org/officeDocument/2006/relationships/image" Target="../media/image1534.png"/><Relationship Id="rId1741" Type="http://schemas.openxmlformats.org/officeDocument/2006/relationships/image" Target="../media/image1741.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380" Type="http://schemas.openxmlformats.org/officeDocument/2006/relationships/image" Target="../media/image1380.png"/><Relationship Id="rId1601" Type="http://schemas.openxmlformats.org/officeDocument/2006/relationships/image" Target="../media/image1601.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1478" Type="http://schemas.openxmlformats.org/officeDocument/2006/relationships/image" Target="../media/image1478.png"/><Relationship Id="rId1685" Type="http://schemas.openxmlformats.org/officeDocument/2006/relationships/image" Target="../media/image1685.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1240" Type="http://schemas.openxmlformats.org/officeDocument/2006/relationships/image" Target="../media/image1240.png"/><Relationship Id="rId1338" Type="http://schemas.openxmlformats.org/officeDocument/2006/relationships/image" Target="../media/image1338.png"/><Relationship Id="rId1545" Type="http://schemas.openxmlformats.org/officeDocument/2006/relationships/image" Target="../media/image1545.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1184" Type="http://schemas.openxmlformats.org/officeDocument/2006/relationships/image" Target="../media/image1184.png"/><Relationship Id="rId1405" Type="http://schemas.openxmlformats.org/officeDocument/2006/relationships/image" Target="../media/image1405.png"/><Relationship Id="rId1752" Type="http://schemas.openxmlformats.org/officeDocument/2006/relationships/image" Target="../media/image1752.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391" Type="http://schemas.openxmlformats.org/officeDocument/2006/relationships/image" Target="../media/image1391.png"/><Relationship Id="rId1489" Type="http://schemas.openxmlformats.org/officeDocument/2006/relationships/image" Target="../media/image1489.png"/><Relationship Id="rId1612" Type="http://schemas.openxmlformats.org/officeDocument/2006/relationships/image" Target="../media/image1612.png"/><Relationship Id="rId1696" Type="http://schemas.openxmlformats.org/officeDocument/2006/relationships/image" Target="../media/image1696.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1251" Type="http://schemas.openxmlformats.org/officeDocument/2006/relationships/image" Target="../media/image1251.png"/><Relationship Id="rId1349" Type="http://schemas.openxmlformats.org/officeDocument/2006/relationships/image" Target="../media/image1349.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1556" Type="http://schemas.openxmlformats.org/officeDocument/2006/relationships/image" Target="../media/image1556.png"/><Relationship Id="rId1763" Type="http://schemas.openxmlformats.org/officeDocument/2006/relationships/image" Target="../media/image1763.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1209" Type="http://schemas.openxmlformats.org/officeDocument/2006/relationships/image" Target="../media/image1209.png"/><Relationship Id="rId1416" Type="http://schemas.openxmlformats.org/officeDocument/2006/relationships/image" Target="../media/image1416.png"/><Relationship Id="rId1623" Type="http://schemas.openxmlformats.org/officeDocument/2006/relationships/image" Target="../media/image1623.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1262" Type="http://schemas.openxmlformats.org/officeDocument/2006/relationships/image" Target="../media/image1262.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1567" Type="http://schemas.openxmlformats.org/officeDocument/2006/relationships/image" Target="../media/image1567.png"/><Relationship Id="rId1774" Type="http://schemas.openxmlformats.org/officeDocument/2006/relationships/image" Target="../media/image1774.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1427" Type="http://schemas.openxmlformats.org/officeDocument/2006/relationships/image" Target="../media/image1427.png"/><Relationship Id="rId1634" Type="http://schemas.openxmlformats.org/officeDocument/2006/relationships/image" Target="../media/image1634.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1273" Type="http://schemas.openxmlformats.org/officeDocument/2006/relationships/image" Target="../media/image1273.png"/><Relationship Id="rId1480" Type="http://schemas.openxmlformats.org/officeDocument/2006/relationships/image" Target="../media/image1480.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1578" Type="http://schemas.openxmlformats.org/officeDocument/2006/relationships/image" Target="../media/image1578.png"/><Relationship Id="rId1701" Type="http://schemas.openxmlformats.org/officeDocument/2006/relationships/image" Target="../media/image1701.png"/><Relationship Id="rId1785" Type="http://schemas.openxmlformats.org/officeDocument/2006/relationships/image" Target="../media/image1785.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1340" Type="http://schemas.openxmlformats.org/officeDocument/2006/relationships/image" Target="../media/image1340.png"/><Relationship Id="rId1438" Type="http://schemas.openxmlformats.org/officeDocument/2006/relationships/image" Target="../media/image1438.png"/><Relationship Id="rId1645" Type="http://schemas.openxmlformats.org/officeDocument/2006/relationships/image" Target="../media/image1645.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1284" Type="http://schemas.openxmlformats.org/officeDocument/2006/relationships/image" Target="../media/image1284.png"/><Relationship Id="rId1491" Type="http://schemas.openxmlformats.org/officeDocument/2006/relationships/image" Target="../media/image1491.png"/><Relationship Id="rId1505" Type="http://schemas.openxmlformats.org/officeDocument/2006/relationships/image" Target="../media/image1505.png"/><Relationship Id="rId1589" Type="http://schemas.openxmlformats.org/officeDocument/2006/relationships/image" Target="../media/image1589.png"/><Relationship Id="rId1712" Type="http://schemas.openxmlformats.org/officeDocument/2006/relationships/image" Target="../media/image1712.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1351" Type="http://schemas.openxmlformats.org/officeDocument/2006/relationships/image" Target="../media/image1351.png"/><Relationship Id="rId1449" Type="http://schemas.openxmlformats.org/officeDocument/2006/relationships/image" Target="../media/image1449.png"/><Relationship Id="rId1796" Type="http://schemas.openxmlformats.org/officeDocument/2006/relationships/image" Target="../media/image1796.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1656" Type="http://schemas.openxmlformats.org/officeDocument/2006/relationships/image" Target="../media/image1656.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295" Type="http://schemas.openxmlformats.org/officeDocument/2006/relationships/image" Target="../media/image1295.png"/><Relationship Id="rId1309" Type="http://schemas.openxmlformats.org/officeDocument/2006/relationships/image" Target="../media/image1309.png"/><Relationship Id="rId1516" Type="http://schemas.openxmlformats.org/officeDocument/2006/relationships/image" Target="../media/image1516.png"/><Relationship Id="rId1723" Type="http://schemas.openxmlformats.org/officeDocument/2006/relationships/image" Target="../media/image1723.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1362" Type="http://schemas.openxmlformats.org/officeDocument/2006/relationships/image" Target="../media/image136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1222" Type="http://schemas.openxmlformats.org/officeDocument/2006/relationships/image" Target="../media/image1222.png"/><Relationship Id="rId1667" Type="http://schemas.openxmlformats.org/officeDocument/2006/relationships/image" Target="../media/image1667.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1527" Type="http://schemas.openxmlformats.org/officeDocument/2006/relationships/image" Target="../media/image1527.png"/><Relationship Id="rId1734" Type="http://schemas.openxmlformats.org/officeDocument/2006/relationships/image" Target="../media/image1734.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373" Type="http://schemas.openxmlformats.org/officeDocument/2006/relationships/image" Target="../media/image1373.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1580" Type="http://schemas.openxmlformats.org/officeDocument/2006/relationships/image" Target="../media/image1580.png"/><Relationship Id="rId1678" Type="http://schemas.openxmlformats.org/officeDocument/2006/relationships/image" Target="../media/image1678.png"/><Relationship Id="rId1801" Type="http://schemas.openxmlformats.org/officeDocument/2006/relationships/image" Target="../media/image1801.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1233" Type="http://schemas.openxmlformats.org/officeDocument/2006/relationships/image" Target="../media/image1233.png"/><Relationship Id="rId1440" Type="http://schemas.openxmlformats.org/officeDocument/2006/relationships/image" Target="../media/image1440.png"/><Relationship Id="rId1538" Type="http://schemas.openxmlformats.org/officeDocument/2006/relationships/image" Target="../media/image1538.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1300" Type="http://schemas.openxmlformats.org/officeDocument/2006/relationships/image" Target="../media/image1300.png"/><Relationship Id="rId1745" Type="http://schemas.openxmlformats.org/officeDocument/2006/relationships/image" Target="../media/image1745.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1384" Type="http://schemas.openxmlformats.org/officeDocument/2006/relationships/image" Target="../media/image1384.png"/><Relationship Id="rId1591" Type="http://schemas.openxmlformats.org/officeDocument/2006/relationships/image" Target="../media/image1591.png"/><Relationship Id="rId1605" Type="http://schemas.openxmlformats.org/officeDocument/2006/relationships/image" Target="../media/image1605.png"/><Relationship Id="rId1689" Type="http://schemas.openxmlformats.org/officeDocument/2006/relationships/image" Target="../media/image1689.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1244" Type="http://schemas.openxmlformats.org/officeDocument/2006/relationships/image" Target="../media/image1244.png"/><Relationship Id="rId1451" Type="http://schemas.openxmlformats.org/officeDocument/2006/relationships/image" Target="../media/image145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1311" Type="http://schemas.openxmlformats.org/officeDocument/2006/relationships/image" Target="../media/image1311.png"/><Relationship Id="rId1549" Type="http://schemas.openxmlformats.org/officeDocument/2006/relationships/image" Target="../media/image1549.png"/><Relationship Id="rId1756" Type="http://schemas.openxmlformats.org/officeDocument/2006/relationships/image" Target="../media/image1756.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395" Type="http://schemas.openxmlformats.org/officeDocument/2006/relationships/image" Target="../media/image1395.png"/><Relationship Id="rId1409" Type="http://schemas.openxmlformats.org/officeDocument/2006/relationships/image" Target="../media/image1409.png"/><Relationship Id="rId1616" Type="http://schemas.openxmlformats.org/officeDocument/2006/relationships/image" Target="../media/image1616.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1255" Type="http://schemas.openxmlformats.org/officeDocument/2006/relationships/image" Target="../media/image1255.png"/><Relationship Id="rId1462" Type="http://schemas.openxmlformats.org/officeDocument/2006/relationships/image" Target="../media/image1462.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1322" Type="http://schemas.openxmlformats.org/officeDocument/2006/relationships/image" Target="../media/image1322.png"/><Relationship Id="rId1767" Type="http://schemas.openxmlformats.org/officeDocument/2006/relationships/image" Target="../media/image1767.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1627" Type="http://schemas.openxmlformats.org/officeDocument/2006/relationships/image" Target="../media/image1627.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1266" Type="http://schemas.openxmlformats.org/officeDocument/2006/relationships/image" Target="../media/image1266.png"/><Relationship Id="rId1473" Type="http://schemas.openxmlformats.org/officeDocument/2006/relationships/image" Target="../media/image1473.png"/><Relationship Id="rId843" Type="http://schemas.openxmlformats.org/officeDocument/2006/relationships/image" Target="../media/image843.png"/><Relationship Id="rId1126" Type="http://schemas.openxmlformats.org/officeDocument/2006/relationships/image" Target="../media/image1126.png"/><Relationship Id="rId1680" Type="http://schemas.openxmlformats.org/officeDocument/2006/relationships/image" Target="../media/image1680.png"/><Relationship Id="rId1778" Type="http://schemas.openxmlformats.org/officeDocument/2006/relationships/image" Target="../media/image1778.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33" Type="http://schemas.openxmlformats.org/officeDocument/2006/relationships/image" Target="../media/image1333.png"/><Relationship Id="rId1540" Type="http://schemas.openxmlformats.org/officeDocument/2006/relationships/image" Target="../media/image1540.png"/><Relationship Id="rId1638" Type="http://schemas.openxmlformats.org/officeDocument/2006/relationships/image" Target="../media/image1638.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1400" Type="http://schemas.openxmlformats.org/officeDocument/2006/relationships/image" Target="../media/image1400.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1277" Type="http://schemas.openxmlformats.org/officeDocument/2006/relationships/image" Target="../media/image1277.png"/><Relationship Id="rId1484" Type="http://schemas.openxmlformats.org/officeDocument/2006/relationships/image" Target="../media/image1484.png"/><Relationship Id="rId1691" Type="http://schemas.openxmlformats.org/officeDocument/2006/relationships/image" Target="../media/image1691.png"/><Relationship Id="rId1705" Type="http://schemas.openxmlformats.org/officeDocument/2006/relationships/image" Target="../media/image1705.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1344" Type="http://schemas.openxmlformats.org/officeDocument/2006/relationships/image" Target="../media/image1344.png"/><Relationship Id="rId1551" Type="http://schemas.openxmlformats.org/officeDocument/2006/relationships/image" Target="../media/image1551.png"/><Relationship Id="rId1789" Type="http://schemas.openxmlformats.org/officeDocument/2006/relationships/image" Target="../media/image1789.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1411" Type="http://schemas.openxmlformats.org/officeDocument/2006/relationships/image" Target="../media/image1411.png"/><Relationship Id="rId1649" Type="http://schemas.openxmlformats.org/officeDocument/2006/relationships/image" Target="../media/image1649.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1288" Type="http://schemas.openxmlformats.org/officeDocument/2006/relationships/image" Target="../media/image1288.png"/><Relationship Id="rId1495" Type="http://schemas.openxmlformats.org/officeDocument/2006/relationships/image" Target="../media/image1495.png"/><Relationship Id="rId1509" Type="http://schemas.openxmlformats.org/officeDocument/2006/relationships/image" Target="../media/image1509.png"/><Relationship Id="rId1716" Type="http://schemas.openxmlformats.org/officeDocument/2006/relationships/image" Target="../media/image1716.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355" Type="http://schemas.openxmlformats.org/officeDocument/2006/relationships/image" Target="../media/image1355.png"/><Relationship Id="rId1562" Type="http://schemas.openxmlformats.org/officeDocument/2006/relationships/image" Target="../media/image1562.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1422" Type="http://schemas.openxmlformats.org/officeDocument/2006/relationships/image" Target="../media/image1422.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299" Type="http://schemas.openxmlformats.org/officeDocument/2006/relationships/image" Target="../media/image1299.png"/><Relationship Id="rId1727" Type="http://schemas.openxmlformats.org/officeDocument/2006/relationships/image" Target="../media/image1727.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366" Type="http://schemas.openxmlformats.org/officeDocument/2006/relationships/image" Target="../media/image1366.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1573" Type="http://schemas.openxmlformats.org/officeDocument/2006/relationships/image" Target="../media/image1573.png"/><Relationship Id="rId1780" Type="http://schemas.openxmlformats.org/officeDocument/2006/relationships/image" Target="../media/image1780.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1226" Type="http://schemas.openxmlformats.org/officeDocument/2006/relationships/image" Target="../media/image1226.png"/><Relationship Id="rId1433" Type="http://schemas.openxmlformats.org/officeDocument/2006/relationships/image" Target="../media/image1433.png"/><Relationship Id="rId1640" Type="http://schemas.openxmlformats.org/officeDocument/2006/relationships/image" Target="../media/image1640.png"/><Relationship Id="rId1738" Type="http://schemas.openxmlformats.org/officeDocument/2006/relationships/image" Target="../media/image1738.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1500" Type="http://schemas.openxmlformats.org/officeDocument/2006/relationships/image" Target="../media/image1500.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1377" Type="http://schemas.openxmlformats.org/officeDocument/2006/relationships/image" Target="../media/image1377.png"/><Relationship Id="rId1584" Type="http://schemas.openxmlformats.org/officeDocument/2006/relationships/image" Target="../media/image1584.png"/><Relationship Id="rId1791" Type="http://schemas.openxmlformats.org/officeDocument/2006/relationships/image" Target="../media/image1791.png"/><Relationship Id="rId1805" Type="http://schemas.openxmlformats.org/officeDocument/2006/relationships/image" Target="../media/image1805.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1237" Type="http://schemas.openxmlformats.org/officeDocument/2006/relationships/image" Target="../media/image1237.png"/><Relationship Id="rId1444" Type="http://schemas.openxmlformats.org/officeDocument/2006/relationships/image" Target="../media/image1444.png"/><Relationship Id="rId1651" Type="http://schemas.openxmlformats.org/officeDocument/2006/relationships/image" Target="../media/image1651.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290" Type="http://schemas.openxmlformats.org/officeDocument/2006/relationships/image" Target="../media/image1290.png"/><Relationship Id="rId1304" Type="http://schemas.openxmlformats.org/officeDocument/2006/relationships/image" Target="../media/image1304.png"/><Relationship Id="rId1511" Type="http://schemas.openxmlformats.org/officeDocument/2006/relationships/image" Target="../media/image1511.png"/><Relationship Id="rId1749" Type="http://schemas.openxmlformats.org/officeDocument/2006/relationships/image" Target="../media/image1749.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388" Type="http://schemas.openxmlformats.org/officeDocument/2006/relationships/image" Target="../media/image1388.png"/><Relationship Id="rId1595" Type="http://schemas.openxmlformats.org/officeDocument/2006/relationships/image" Target="../media/image1595.png"/><Relationship Id="rId1609" Type="http://schemas.openxmlformats.org/officeDocument/2006/relationships/image" Target="../media/image1609.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1248" Type="http://schemas.openxmlformats.org/officeDocument/2006/relationships/image" Target="../media/image1248.png"/><Relationship Id="rId1455" Type="http://schemas.openxmlformats.org/officeDocument/2006/relationships/image" Target="../media/image1455.png"/><Relationship Id="rId1662" Type="http://schemas.openxmlformats.org/officeDocument/2006/relationships/image" Target="../media/image1662.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315" Type="http://schemas.openxmlformats.org/officeDocument/2006/relationships/image" Target="../media/image1315.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1399" Type="http://schemas.openxmlformats.org/officeDocument/2006/relationships/image" Target="../media/image1399.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1259" Type="http://schemas.openxmlformats.org/officeDocument/2006/relationships/image" Target="../media/image1259.png"/><Relationship Id="rId1466" Type="http://schemas.openxmlformats.org/officeDocument/2006/relationships/image" Target="../media/image1466.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1673" Type="http://schemas.openxmlformats.org/officeDocument/2006/relationships/image" Target="../media/image1673.png"/><Relationship Id="rId903" Type="http://schemas.openxmlformats.org/officeDocument/2006/relationships/image" Target="../media/image903.png"/><Relationship Id="rId1326" Type="http://schemas.openxmlformats.org/officeDocument/2006/relationships/image" Target="../media/image1326.png"/><Relationship Id="rId1533" Type="http://schemas.openxmlformats.org/officeDocument/2006/relationships/image" Target="../media/image1533.png"/><Relationship Id="rId1740" Type="http://schemas.openxmlformats.org/officeDocument/2006/relationships/image" Target="../media/image1740.png"/><Relationship Id="rId32" Type="http://schemas.openxmlformats.org/officeDocument/2006/relationships/image" Target="../media/image32.png"/><Relationship Id="rId1600" Type="http://schemas.openxmlformats.org/officeDocument/2006/relationships/image" Target="../media/image1600.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1390" Type="http://schemas.openxmlformats.org/officeDocument/2006/relationships/image" Target="../media/image1390.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1488" Type="http://schemas.openxmlformats.org/officeDocument/2006/relationships/image" Target="../media/image1488.png"/><Relationship Id="rId1695" Type="http://schemas.openxmlformats.org/officeDocument/2006/relationships/image" Target="../media/image1695.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250" Type="http://schemas.openxmlformats.org/officeDocument/2006/relationships/image" Target="../media/image1250.png"/><Relationship Id="rId1348" Type="http://schemas.openxmlformats.org/officeDocument/2006/relationships/image" Target="../media/image1348.png"/><Relationship Id="rId1555" Type="http://schemas.openxmlformats.org/officeDocument/2006/relationships/image" Target="../media/image1555.png"/><Relationship Id="rId1762" Type="http://schemas.openxmlformats.org/officeDocument/2006/relationships/image" Target="../media/image1762.png"/><Relationship Id="rId1110" Type="http://schemas.openxmlformats.org/officeDocument/2006/relationships/image" Target="../media/image1110.png"/><Relationship Id="rId1208" Type="http://schemas.openxmlformats.org/officeDocument/2006/relationships/image" Target="../media/image1208.png"/><Relationship Id="rId1415" Type="http://schemas.openxmlformats.org/officeDocument/2006/relationships/image" Target="../media/image1415.png"/><Relationship Id="rId54" Type="http://schemas.openxmlformats.org/officeDocument/2006/relationships/image" Target="../media/image54.png"/><Relationship Id="rId1622" Type="http://schemas.openxmlformats.org/officeDocument/2006/relationships/image" Target="../media/image1622.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1272" Type="http://schemas.openxmlformats.org/officeDocument/2006/relationships/image" Target="../media/image1272.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1577" Type="http://schemas.openxmlformats.org/officeDocument/2006/relationships/image" Target="../media/image1577.png"/><Relationship Id="rId1784" Type="http://schemas.openxmlformats.org/officeDocument/2006/relationships/image" Target="../media/image1784.png"/><Relationship Id="rId76" Type="http://schemas.openxmlformats.org/officeDocument/2006/relationships/image" Target="../media/image76.png"/><Relationship Id="rId807" Type="http://schemas.openxmlformats.org/officeDocument/2006/relationships/image" Target="../media/image807.png"/><Relationship Id="rId1437" Type="http://schemas.openxmlformats.org/officeDocument/2006/relationships/image" Target="../media/image1437.png"/><Relationship Id="rId1644" Type="http://schemas.openxmlformats.org/officeDocument/2006/relationships/image" Target="../media/image1644.png"/><Relationship Id="rId1504" Type="http://schemas.openxmlformats.org/officeDocument/2006/relationships/image" Target="../media/image1504.png"/><Relationship Id="rId1711" Type="http://schemas.openxmlformats.org/officeDocument/2006/relationships/image" Target="../media/image1711.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1294" Type="http://schemas.openxmlformats.org/officeDocument/2006/relationships/image" Target="../media/image1294.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599" Type="http://schemas.openxmlformats.org/officeDocument/2006/relationships/image" Target="../media/image159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1361" Type="http://schemas.openxmlformats.org/officeDocument/2006/relationships/image" Target="../media/image1361.png"/><Relationship Id="rId1459" Type="http://schemas.openxmlformats.org/officeDocument/2006/relationships/image" Target="../media/image1459.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1221" Type="http://schemas.openxmlformats.org/officeDocument/2006/relationships/image" Target="../media/image1221.png"/><Relationship Id="rId1666" Type="http://schemas.openxmlformats.org/officeDocument/2006/relationships/image" Target="../media/image1666.png"/><Relationship Id="rId1319" Type="http://schemas.openxmlformats.org/officeDocument/2006/relationships/image" Target="../media/image1319.png"/><Relationship Id="rId1526" Type="http://schemas.openxmlformats.org/officeDocument/2006/relationships/image" Target="../media/image1526.png"/><Relationship Id="rId1733" Type="http://schemas.openxmlformats.org/officeDocument/2006/relationships/image" Target="../media/image1733.png"/><Relationship Id="rId25" Type="http://schemas.openxmlformats.org/officeDocument/2006/relationships/image" Target="../media/image25.png"/><Relationship Id="rId1800" Type="http://schemas.openxmlformats.org/officeDocument/2006/relationships/image" Target="../media/image1800.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383" Type="http://schemas.openxmlformats.org/officeDocument/2006/relationships/image" Target="../media/image1383.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1243" Type="http://schemas.openxmlformats.org/officeDocument/2006/relationships/image" Target="../media/image1243.png"/><Relationship Id="rId1590" Type="http://schemas.openxmlformats.org/officeDocument/2006/relationships/image" Target="../media/image1590.png"/><Relationship Id="rId1688" Type="http://schemas.openxmlformats.org/officeDocument/2006/relationships/image" Target="../media/image1688.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450" Type="http://schemas.openxmlformats.org/officeDocument/2006/relationships/image" Target="../media/image1450.png"/><Relationship Id="rId1548" Type="http://schemas.openxmlformats.org/officeDocument/2006/relationships/image" Target="../media/image1548.png"/><Relationship Id="rId1755" Type="http://schemas.openxmlformats.org/officeDocument/2006/relationships/image" Target="../media/image1755.png"/><Relationship Id="rId1103" Type="http://schemas.openxmlformats.org/officeDocument/2006/relationships/image" Target="../media/image1103.png"/><Relationship Id="rId1310" Type="http://schemas.openxmlformats.org/officeDocument/2006/relationships/image" Target="../media/image1310.png"/><Relationship Id="rId1408" Type="http://schemas.openxmlformats.org/officeDocument/2006/relationships/image" Target="../media/image1408.png"/><Relationship Id="rId47" Type="http://schemas.openxmlformats.org/officeDocument/2006/relationships/image" Target="../media/image47.png"/><Relationship Id="rId1615" Type="http://schemas.openxmlformats.org/officeDocument/2006/relationships/image" Target="../media/image1615.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1265" Type="http://schemas.openxmlformats.org/officeDocument/2006/relationships/image" Target="../media/image1265.png"/><Relationship Id="rId1472" Type="http://schemas.openxmlformats.org/officeDocument/2006/relationships/image" Target="../media/image1472.png"/><Relationship Id="rId702" Type="http://schemas.openxmlformats.org/officeDocument/2006/relationships/image" Target="../media/image702.png"/><Relationship Id="rId1125" Type="http://schemas.openxmlformats.org/officeDocument/2006/relationships/image" Target="../media/image1125.png"/><Relationship Id="rId1332" Type="http://schemas.openxmlformats.org/officeDocument/2006/relationships/image" Target="../media/image1332.png"/><Relationship Id="rId1777" Type="http://schemas.openxmlformats.org/officeDocument/2006/relationships/image" Target="../media/image1777.png"/><Relationship Id="rId69" Type="http://schemas.openxmlformats.org/officeDocument/2006/relationships/image" Target="../media/image69.png"/><Relationship Id="rId1637" Type="http://schemas.openxmlformats.org/officeDocument/2006/relationships/image" Target="../media/image1637.png"/><Relationship Id="rId1704" Type="http://schemas.openxmlformats.org/officeDocument/2006/relationships/image" Target="../media/image1704.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1287" Type="http://schemas.openxmlformats.org/officeDocument/2006/relationships/image" Target="../media/image1287.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1494" Type="http://schemas.openxmlformats.org/officeDocument/2006/relationships/image" Target="../media/image1494.png"/><Relationship Id="rId1799" Type="http://schemas.openxmlformats.org/officeDocument/2006/relationships/image" Target="../media/image1799.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1354" Type="http://schemas.openxmlformats.org/officeDocument/2006/relationships/image" Target="../media/image1354.png"/><Relationship Id="rId1561" Type="http://schemas.openxmlformats.org/officeDocument/2006/relationships/image" Target="../media/image1561.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 Id="rId1421" Type="http://schemas.openxmlformats.org/officeDocument/2006/relationships/image" Target="../media/image1421.png"/><Relationship Id="rId1659" Type="http://schemas.openxmlformats.org/officeDocument/2006/relationships/image" Target="../media/image1659.png"/><Relationship Id="rId1519" Type="http://schemas.openxmlformats.org/officeDocument/2006/relationships/image" Target="../media/image1519.png"/><Relationship Id="rId1726" Type="http://schemas.openxmlformats.org/officeDocument/2006/relationships/image" Target="../media/image1726.png"/><Relationship Id="rId18" Type="http://schemas.openxmlformats.org/officeDocument/2006/relationships/image" Target="../media/image1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234" Type="http://schemas.openxmlformats.org/officeDocument/2006/relationships/image" Target="../media/image234.png"/><Relationship Id="rId679" Type="http://schemas.openxmlformats.org/officeDocument/2006/relationships/image" Target="../media/image679.png"/><Relationship Id="rId886" Type="http://schemas.openxmlformats.org/officeDocument/2006/relationships/image" Target="../media/image886.png"/><Relationship Id="rId2" Type="http://schemas.openxmlformats.org/officeDocument/2006/relationships/image" Target="../media/image2.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1376" Type="http://schemas.openxmlformats.org/officeDocument/2006/relationships/image" Target="../media/image1376.png"/><Relationship Id="rId1583" Type="http://schemas.openxmlformats.org/officeDocument/2006/relationships/image" Target="../media/image1583.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1236" Type="http://schemas.openxmlformats.org/officeDocument/2006/relationships/image" Target="../media/image1236.png"/><Relationship Id="rId1790" Type="http://schemas.openxmlformats.org/officeDocument/2006/relationships/image" Target="../media/image1790.png"/><Relationship Id="rId82" Type="http://schemas.openxmlformats.org/officeDocument/2006/relationships/image" Target="../media/image82.png"/><Relationship Id="rId606" Type="http://schemas.openxmlformats.org/officeDocument/2006/relationships/image" Target="../media/image606.png"/><Relationship Id="rId813" Type="http://schemas.openxmlformats.org/officeDocument/2006/relationships/image" Target="../media/image813.png"/><Relationship Id="rId1443" Type="http://schemas.openxmlformats.org/officeDocument/2006/relationships/image" Target="../media/image1443.png"/><Relationship Id="rId1650" Type="http://schemas.openxmlformats.org/officeDocument/2006/relationships/image" Target="../media/image1650.png"/><Relationship Id="rId1748" Type="http://schemas.openxmlformats.org/officeDocument/2006/relationships/image" Target="../media/image1748.png"/><Relationship Id="rId1303" Type="http://schemas.openxmlformats.org/officeDocument/2006/relationships/image" Target="../media/image1303.png"/><Relationship Id="rId1510" Type="http://schemas.openxmlformats.org/officeDocument/2006/relationships/image" Target="../media/image1510.png"/><Relationship Id="rId1608" Type="http://schemas.openxmlformats.org/officeDocument/2006/relationships/image" Target="../media/image1608.png"/><Relationship Id="rId189" Type="http://schemas.openxmlformats.org/officeDocument/2006/relationships/image" Target="../media/image189.png"/><Relationship Id="rId396" Type="http://schemas.openxmlformats.org/officeDocument/2006/relationships/image" Target="../media/image396.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1398" Type="http://schemas.openxmlformats.org/officeDocument/2006/relationships/image" Target="../media/image1398.png"/><Relationship Id="rId628" Type="http://schemas.openxmlformats.org/officeDocument/2006/relationships/image" Target="../media/image628.png"/><Relationship Id="rId835" Type="http://schemas.openxmlformats.org/officeDocument/2006/relationships/image" Target="../media/image835.png"/><Relationship Id="rId1258" Type="http://schemas.openxmlformats.org/officeDocument/2006/relationships/image" Target="../media/image1258.png"/><Relationship Id="rId1465" Type="http://schemas.openxmlformats.org/officeDocument/2006/relationships/image" Target="../media/image1465.png"/><Relationship Id="rId1672" Type="http://schemas.openxmlformats.org/officeDocument/2006/relationships/image" Target="../media/image1672.png"/><Relationship Id="rId1020" Type="http://schemas.openxmlformats.org/officeDocument/2006/relationships/image" Target="../media/image1020.png"/><Relationship Id="rId1118" Type="http://schemas.openxmlformats.org/officeDocument/2006/relationships/image" Target="../media/image1118.png"/><Relationship Id="rId1325" Type="http://schemas.openxmlformats.org/officeDocument/2006/relationships/image" Target="../media/image1325.png"/><Relationship Id="rId1532" Type="http://schemas.openxmlformats.org/officeDocument/2006/relationships/image" Target="../media/image1532.png"/><Relationship Id="rId902" Type="http://schemas.openxmlformats.org/officeDocument/2006/relationships/image" Target="../media/image902.png"/><Relationship Id="rId31" Type="http://schemas.openxmlformats.org/officeDocument/2006/relationships/image" Target="../media/image31.png"/><Relationship Id="rId180" Type="http://schemas.openxmlformats.org/officeDocument/2006/relationships/image" Target="../media/image180.png"/><Relationship Id="rId278" Type="http://schemas.openxmlformats.org/officeDocument/2006/relationships/image" Target="../media/image278.png"/><Relationship Id="rId485" Type="http://schemas.openxmlformats.org/officeDocument/2006/relationships/image" Target="../media/image485.png"/><Relationship Id="rId692" Type="http://schemas.openxmlformats.org/officeDocument/2006/relationships/image" Target="../media/image69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1487" Type="http://schemas.openxmlformats.org/officeDocument/2006/relationships/image" Target="../media/image1487.png"/><Relationship Id="rId1694" Type="http://schemas.openxmlformats.org/officeDocument/2006/relationships/image" Target="../media/image1694.png"/><Relationship Id="rId717" Type="http://schemas.openxmlformats.org/officeDocument/2006/relationships/image" Target="../media/image717.png"/><Relationship Id="rId924" Type="http://schemas.openxmlformats.org/officeDocument/2006/relationships/image" Target="../media/image924.png"/><Relationship Id="rId1347" Type="http://schemas.openxmlformats.org/officeDocument/2006/relationships/image" Target="../media/image1347.png"/><Relationship Id="rId1554" Type="http://schemas.openxmlformats.org/officeDocument/2006/relationships/image" Target="../media/image1554.png"/><Relationship Id="rId1761" Type="http://schemas.openxmlformats.org/officeDocument/2006/relationships/image" Target="../media/image1761.png"/><Relationship Id="rId53" Type="http://schemas.openxmlformats.org/officeDocument/2006/relationships/image" Target="../media/image53.png"/><Relationship Id="rId1207" Type="http://schemas.openxmlformats.org/officeDocument/2006/relationships/image" Target="../media/image1207.png"/><Relationship Id="rId1414" Type="http://schemas.openxmlformats.org/officeDocument/2006/relationships/image" Target="../media/image1414.png"/><Relationship Id="rId1621" Type="http://schemas.openxmlformats.org/officeDocument/2006/relationships/image" Target="../media/image1621.png"/><Relationship Id="rId1719" Type="http://schemas.openxmlformats.org/officeDocument/2006/relationships/image" Target="../media/image1719.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1271" Type="http://schemas.openxmlformats.org/officeDocument/2006/relationships/image" Target="../media/image1271.png"/><Relationship Id="rId1369" Type="http://schemas.openxmlformats.org/officeDocument/2006/relationships/image" Target="../media/image1369.png"/><Relationship Id="rId1576" Type="http://schemas.openxmlformats.org/officeDocument/2006/relationships/image" Target="../media/image1576.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1229" Type="http://schemas.openxmlformats.org/officeDocument/2006/relationships/image" Target="../media/image1229.png"/><Relationship Id="rId1783" Type="http://schemas.openxmlformats.org/officeDocument/2006/relationships/image" Target="../media/image1783.png"/><Relationship Id="rId75" Type="http://schemas.openxmlformats.org/officeDocument/2006/relationships/image" Target="../media/image75.png"/><Relationship Id="rId806" Type="http://schemas.openxmlformats.org/officeDocument/2006/relationships/image" Target="../media/image806.png"/><Relationship Id="rId1436" Type="http://schemas.openxmlformats.org/officeDocument/2006/relationships/image" Target="../media/image1436.png"/><Relationship Id="rId1643" Type="http://schemas.openxmlformats.org/officeDocument/2006/relationships/image" Target="../media/image1643.png"/><Relationship Id="rId1503" Type="http://schemas.openxmlformats.org/officeDocument/2006/relationships/image" Target="../media/image1503.png"/><Relationship Id="rId1710" Type="http://schemas.openxmlformats.org/officeDocument/2006/relationships/image" Target="../media/image1710.png"/><Relationship Id="rId291" Type="http://schemas.openxmlformats.org/officeDocument/2006/relationships/image" Target="../media/image291.png"/><Relationship Id="rId1808" Type="http://schemas.openxmlformats.org/officeDocument/2006/relationships/image" Target="../media/image1808.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293" Type="http://schemas.openxmlformats.org/officeDocument/2006/relationships/image" Target="../media/image129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1598" Type="http://schemas.openxmlformats.org/officeDocument/2006/relationships/image" Target="../media/image159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360" Type="http://schemas.openxmlformats.org/officeDocument/2006/relationships/image" Target="../media/image1360.png"/><Relationship Id="rId1458" Type="http://schemas.openxmlformats.org/officeDocument/2006/relationships/image" Target="../media/image1458.png"/><Relationship Id="rId1665" Type="http://schemas.openxmlformats.org/officeDocument/2006/relationships/image" Target="../media/image1665.png"/><Relationship Id="rId1220" Type="http://schemas.openxmlformats.org/officeDocument/2006/relationships/image" Target="../media/image1220.png"/><Relationship Id="rId1318" Type="http://schemas.openxmlformats.org/officeDocument/2006/relationships/image" Target="../media/image1318.png"/><Relationship Id="rId1525" Type="http://schemas.openxmlformats.org/officeDocument/2006/relationships/image" Target="../media/image1525.png"/><Relationship Id="rId1732" Type="http://schemas.openxmlformats.org/officeDocument/2006/relationships/image" Target="../media/image1732.png"/><Relationship Id="rId24" Type="http://schemas.openxmlformats.org/officeDocument/2006/relationships/image" Target="../media/image24.png"/><Relationship Id="rId173" Type="http://schemas.openxmlformats.org/officeDocument/2006/relationships/image" Target="../media/image173.png"/><Relationship Id="rId380" Type="http://schemas.openxmlformats.org/officeDocument/2006/relationships/image" Target="../media/image380.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 Id="rId1382" Type="http://schemas.openxmlformats.org/officeDocument/2006/relationships/image" Target="../media/image1382.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1242" Type="http://schemas.openxmlformats.org/officeDocument/2006/relationships/image" Target="../media/image1242.png"/><Relationship Id="rId1687" Type="http://schemas.openxmlformats.org/officeDocument/2006/relationships/image" Target="../media/image1687.png"/><Relationship Id="rId917" Type="http://schemas.openxmlformats.org/officeDocument/2006/relationships/image" Target="../media/image917.png"/><Relationship Id="rId1102" Type="http://schemas.openxmlformats.org/officeDocument/2006/relationships/image" Target="../media/image1102.png"/><Relationship Id="rId1547" Type="http://schemas.openxmlformats.org/officeDocument/2006/relationships/image" Target="../media/image1547.png"/><Relationship Id="rId1754" Type="http://schemas.openxmlformats.org/officeDocument/2006/relationships/image" Target="../media/image1754.png"/><Relationship Id="rId46" Type="http://schemas.openxmlformats.org/officeDocument/2006/relationships/image" Target="../media/image46.png"/><Relationship Id="rId1407" Type="http://schemas.openxmlformats.org/officeDocument/2006/relationships/image" Target="../media/image1407.png"/><Relationship Id="rId1614" Type="http://schemas.openxmlformats.org/officeDocument/2006/relationships/image" Target="../media/image1614.png"/><Relationship Id="rId195" Type="http://schemas.openxmlformats.org/officeDocument/2006/relationships/image" Target="../media/image195.png"/><Relationship Id="rId262" Type="http://schemas.openxmlformats.org/officeDocument/2006/relationships/image" Target="../media/image262.png"/><Relationship Id="rId567" Type="http://schemas.openxmlformats.org/officeDocument/2006/relationships/image" Target="../media/image567.png"/><Relationship Id="rId1197" Type="http://schemas.openxmlformats.org/officeDocument/2006/relationships/image" Target="../media/image119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1264" Type="http://schemas.openxmlformats.org/officeDocument/2006/relationships/image" Target="../media/image1264.png"/><Relationship Id="rId1471" Type="http://schemas.openxmlformats.org/officeDocument/2006/relationships/image" Target="../media/image1471.png"/><Relationship Id="rId1569" Type="http://schemas.openxmlformats.org/officeDocument/2006/relationships/image" Target="../media/image1569.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1331" Type="http://schemas.openxmlformats.org/officeDocument/2006/relationships/image" Target="../media/image1331.png"/><Relationship Id="rId1776" Type="http://schemas.openxmlformats.org/officeDocument/2006/relationships/image" Target="../media/image1776.png"/><Relationship Id="rId68" Type="http://schemas.openxmlformats.org/officeDocument/2006/relationships/image" Target="../media/image68.png"/><Relationship Id="rId1429" Type="http://schemas.openxmlformats.org/officeDocument/2006/relationships/image" Target="../media/image1429.png"/><Relationship Id="rId1636" Type="http://schemas.openxmlformats.org/officeDocument/2006/relationships/image" Target="../media/image1636.png"/><Relationship Id="rId1703" Type="http://schemas.openxmlformats.org/officeDocument/2006/relationships/image" Target="../media/image1703.png"/><Relationship Id="rId284" Type="http://schemas.openxmlformats.org/officeDocument/2006/relationships/image" Target="../media/image284.png"/><Relationship Id="rId491" Type="http://schemas.openxmlformats.org/officeDocument/2006/relationships/image" Target="../media/image491.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1286" Type="http://schemas.openxmlformats.org/officeDocument/2006/relationships/image" Target="../media/image1286.png"/><Relationship Id="rId1493" Type="http://schemas.openxmlformats.org/officeDocument/2006/relationships/image" Target="../media/image1493.png"/><Relationship Id="rId211" Type="http://schemas.openxmlformats.org/officeDocument/2006/relationships/image" Target="../media/image211.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1798" Type="http://schemas.openxmlformats.org/officeDocument/2006/relationships/image" Target="../media/image1798.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353" Type="http://schemas.openxmlformats.org/officeDocument/2006/relationships/image" Target="../media/image1353.png"/><Relationship Id="rId1560" Type="http://schemas.openxmlformats.org/officeDocument/2006/relationships/image" Target="../media/image1560.png"/><Relationship Id="rId1658" Type="http://schemas.openxmlformats.org/officeDocument/2006/relationships/image" Target="../media/image1658.png"/><Relationship Id="rId1213" Type="http://schemas.openxmlformats.org/officeDocument/2006/relationships/image" Target="../media/image1213.png"/><Relationship Id="rId1420" Type="http://schemas.openxmlformats.org/officeDocument/2006/relationships/image" Target="../media/image1420.png"/><Relationship Id="rId1518" Type="http://schemas.openxmlformats.org/officeDocument/2006/relationships/image" Target="../media/image1518.png"/><Relationship Id="rId1725" Type="http://schemas.openxmlformats.org/officeDocument/2006/relationships/image" Target="../media/image1725.png"/><Relationship Id="rId17" Type="http://schemas.openxmlformats.org/officeDocument/2006/relationships/image" Target="../media/image17.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1375" Type="http://schemas.openxmlformats.org/officeDocument/2006/relationships/image" Target="../media/image1375.png"/><Relationship Id="rId1582" Type="http://schemas.openxmlformats.org/officeDocument/2006/relationships/image" Target="../media/image1582.png"/><Relationship Id="rId81" Type="http://schemas.openxmlformats.org/officeDocument/2006/relationships/image" Target="../media/image8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1235" Type="http://schemas.openxmlformats.org/officeDocument/2006/relationships/image" Target="../media/image1235.png"/><Relationship Id="rId1442" Type="http://schemas.openxmlformats.org/officeDocument/2006/relationships/image" Target="../media/image1442.png"/><Relationship Id="rId1302" Type="http://schemas.openxmlformats.org/officeDocument/2006/relationships/image" Target="../media/image1302.png"/><Relationship Id="rId1747" Type="http://schemas.openxmlformats.org/officeDocument/2006/relationships/image" Target="../media/image1747.png"/><Relationship Id="rId39" Type="http://schemas.openxmlformats.org/officeDocument/2006/relationships/image" Target="../media/image39.png"/><Relationship Id="rId1607" Type="http://schemas.openxmlformats.org/officeDocument/2006/relationships/image" Target="../media/image1607.png"/><Relationship Id="rId188" Type="http://schemas.openxmlformats.org/officeDocument/2006/relationships/image" Target="../media/image188.png"/><Relationship Id="rId395" Type="http://schemas.openxmlformats.org/officeDocument/2006/relationships/image" Target="../media/image395.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397" Type="http://schemas.openxmlformats.org/officeDocument/2006/relationships/image" Target="../media/image1397.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627" Type="http://schemas.openxmlformats.org/officeDocument/2006/relationships/image" Target="../media/image627.png"/><Relationship Id="rId834" Type="http://schemas.openxmlformats.org/officeDocument/2006/relationships/image" Target="../media/image834.png"/><Relationship Id="rId1257" Type="http://schemas.openxmlformats.org/officeDocument/2006/relationships/image" Target="../media/image1257.png"/><Relationship Id="rId1464" Type="http://schemas.openxmlformats.org/officeDocument/2006/relationships/image" Target="../media/image1464.png"/><Relationship Id="rId1671" Type="http://schemas.openxmlformats.org/officeDocument/2006/relationships/image" Target="../media/image1671.png"/><Relationship Id="rId901" Type="http://schemas.openxmlformats.org/officeDocument/2006/relationships/image" Target="../media/image901.png"/><Relationship Id="rId1117" Type="http://schemas.openxmlformats.org/officeDocument/2006/relationships/image" Target="../media/image1117.png"/><Relationship Id="rId1324" Type="http://schemas.openxmlformats.org/officeDocument/2006/relationships/image" Target="../media/image1324.png"/><Relationship Id="rId1531" Type="http://schemas.openxmlformats.org/officeDocument/2006/relationships/image" Target="../media/image1531.png"/><Relationship Id="rId1769" Type="http://schemas.openxmlformats.org/officeDocument/2006/relationships/image" Target="../media/image1769.png"/><Relationship Id="rId30" Type="http://schemas.openxmlformats.org/officeDocument/2006/relationships/image" Target="../media/image30.png"/><Relationship Id="rId1629" Type="http://schemas.openxmlformats.org/officeDocument/2006/relationships/image" Target="../media/image1629.png"/><Relationship Id="rId277" Type="http://schemas.openxmlformats.org/officeDocument/2006/relationships/image" Target="../media/image277.png"/><Relationship Id="rId484" Type="http://schemas.openxmlformats.org/officeDocument/2006/relationships/image" Target="../media/image484.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96" Type="http://schemas.openxmlformats.org/officeDocument/2006/relationships/image" Target="../media/image996.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279" Type="http://schemas.openxmlformats.org/officeDocument/2006/relationships/image" Target="../media/image1279.png"/><Relationship Id="rId1486" Type="http://schemas.openxmlformats.org/officeDocument/2006/relationships/image" Target="../media/image1486.png"/><Relationship Id="rId204" Type="http://schemas.openxmlformats.org/officeDocument/2006/relationships/image" Target="../media/image204.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1346" Type="http://schemas.openxmlformats.org/officeDocument/2006/relationships/image" Target="../media/image1346.png"/><Relationship Id="rId1693" Type="http://schemas.openxmlformats.org/officeDocument/2006/relationships/image" Target="../media/image1693.png"/><Relationship Id="rId716" Type="http://schemas.openxmlformats.org/officeDocument/2006/relationships/image" Target="../media/image716.png"/><Relationship Id="rId923" Type="http://schemas.openxmlformats.org/officeDocument/2006/relationships/image" Target="../media/image923.png"/><Relationship Id="rId1553" Type="http://schemas.openxmlformats.org/officeDocument/2006/relationships/image" Target="../media/image1553.png"/><Relationship Id="rId1760" Type="http://schemas.openxmlformats.org/officeDocument/2006/relationships/image" Target="../media/image1760.png"/><Relationship Id="rId52" Type="http://schemas.openxmlformats.org/officeDocument/2006/relationships/image" Target="../media/image52.png"/><Relationship Id="rId1206" Type="http://schemas.openxmlformats.org/officeDocument/2006/relationships/image" Target="../media/image1206.png"/><Relationship Id="rId1413" Type="http://schemas.openxmlformats.org/officeDocument/2006/relationships/image" Target="../media/image1413.png"/><Relationship Id="rId1620" Type="http://schemas.openxmlformats.org/officeDocument/2006/relationships/image" Target="../media/image1620.png"/><Relationship Id="rId1718" Type="http://schemas.openxmlformats.org/officeDocument/2006/relationships/image" Target="../media/image1718.png"/><Relationship Id="rId299" Type="http://schemas.openxmlformats.org/officeDocument/2006/relationships/image" Target="../media/image299.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1270" Type="http://schemas.openxmlformats.org/officeDocument/2006/relationships/image" Target="../media/image1270.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1368" Type="http://schemas.openxmlformats.org/officeDocument/2006/relationships/image" Target="../media/image1368.png"/><Relationship Id="rId1575" Type="http://schemas.openxmlformats.org/officeDocument/2006/relationships/image" Target="../media/image1575.png"/><Relationship Id="rId1782" Type="http://schemas.openxmlformats.org/officeDocument/2006/relationships/image" Target="../media/image1782.png"/><Relationship Id="rId74" Type="http://schemas.openxmlformats.org/officeDocument/2006/relationships/image" Target="../media/image74.png"/><Relationship Id="rId500" Type="http://schemas.openxmlformats.org/officeDocument/2006/relationships/image" Target="../media/image500.png"/><Relationship Id="rId805" Type="http://schemas.openxmlformats.org/officeDocument/2006/relationships/image" Target="../media/image805.png"/><Relationship Id="rId1130" Type="http://schemas.openxmlformats.org/officeDocument/2006/relationships/image" Target="../media/image1130.png"/><Relationship Id="rId1228" Type="http://schemas.openxmlformats.org/officeDocument/2006/relationships/image" Target="../media/image1228.png"/><Relationship Id="rId1435" Type="http://schemas.openxmlformats.org/officeDocument/2006/relationships/image" Target="../media/image1435.png"/><Relationship Id="rId1642" Type="http://schemas.openxmlformats.org/officeDocument/2006/relationships/image" Target="../media/image1642.png"/><Relationship Id="rId1502" Type="http://schemas.openxmlformats.org/officeDocument/2006/relationships/image" Target="../media/image1502.png"/><Relationship Id="rId1807" Type="http://schemas.openxmlformats.org/officeDocument/2006/relationships/image" Target="../media/image1807.png"/><Relationship Id="rId290" Type="http://schemas.openxmlformats.org/officeDocument/2006/relationships/image" Target="../media/image290.png"/><Relationship Id="rId388" Type="http://schemas.openxmlformats.org/officeDocument/2006/relationships/image" Target="../media/image388.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92" Type="http://schemas.openxmlformats.org/officeDocument/2006/relationships/image" Target="../media/image129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1597" Type="http://schemas.openxmlformats.org/officeDocument/2006/relationships/image" Target="../media/image1597.png"/><Relationship Id="rId96" Type="http://schemas.openxmlformats.org/officeDocument/2006/relationships/image" Target="../media/image96.png"/><Relationship Id="rId827" Type="http://schemas.openxmlformats.org/officeDocument/2006/relationships/image" Target="../media/image827.png"/><Relationship Id="rId1012" Type="http://schemas.openxmlformats.org/officeDocument/2006/relationships/image" Target="../media/image1012.png"/><Relationship Id="rId1457" Type="http://schemas.openxmlformats.org/officeDocument/2006/relationships/image" Target="../media/image1457.png"/><Relationship Id="rId1664" Type="http://schemas.openxmlformats.org/officeDocument/2006/relationships/image" Target="../media/image1664.png"/><Relationship Id="rId1317" Type="http://schemas.openxmlformats.org/officeDocument/2006/relationships/image" Target="../media/image1317.png"/><Relationship Id="rId1524" Type="http://schemas.openxmlformats.org/officeDocument/2006/relationships/image" Target="../media/image1524.png"/><Relationship Id="rId1731" Type="http://schemas.openxmlformats.org/officeDocument/2006/relationships/image" Target="../media/image1731.png"/><Relationship Id="rId23" Type="http://schemas.openxmlformats.org/officeDocument/2006/relationships/image" Target="../media/image23.png"/><Relationship Id="rId172" Type="http://schemas.openxmlformats.org/officeDocument/2006/relationships/image" Target="../media/image172.png"/><Relationship Id="rId477" Type="http://schemas.openxmlformats.org/officeDocument/2006/relationships/image" Target="../media/image477.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89" Type="http://schemas.openxmlformats.org/officeDocument/2006/relationships/image" Target="../media/image989.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381" Type="http://schemas.openxmlformats.org/officeDocument/2006/relationships/image" Target="../media/image1381.png"/><Relationship Id="rId1479" Type="http://schemas.openxmlformats.org/officeDocument/2006/relationships/image" Target="../media/image1479.png"/><Relationship Id="rId1686" Type="http://schemas.openxmlformats.org/officeDocument/2006/relationships/image" Target="../media/image1686.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1241" Type="http://schemas.openxmlformats.org/officeDocument/2006/relationships/image" Target="../media/image1241.png"/><Relationship Id="rId1339" Type="http://schemas.openxmlformats.org/officeDocument/2006/relationships/image" Target="../media/image1339.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1546" Type="http://schemas.openxmlformats.org/officeDocument/2006/relationships/image" Target="../media/image1546.png"/><Relationship Id="rId1753" Type="http://schemas.openxmlformats.org/officeDocument/2006/relationships/image" Target="../media/image1753.png"/><Relationship Id="rId45" Type="http://schemas.openxmlformats.org/officeDocument/2006/relationships/image" Target="../media/image45.png"/><Relationship Id="rId1406" Type="http://schemas.openxmlformats.org/officeDocument/2006/relationships/image" Target="../media/image1406.png"/><Relationship Id="rId1613" Type="http://schemas.openxmlformats.org/officeDocument/2006/relationships/image" Target="../media/image1613.png"/><Relationship Id="rId194" Type="http://schemas.openxmlformats.org/officeDocument/2006/relationships/image" Target="../media/image194.png"/><Relationship Id="rId261" Type="http://schemas.openxmlformats.org/officeDocument/2006/relationships/image" Target="../media/image261.png"/><Relationship Id="rId499" Type="http://schemas.openxmlformats.org/officeDocument/2006/relationships/image" Target="../media/image499.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1263" Type="http://schemas.openxmlformats.org/officeDocument/2006/relationships/image" Target="../media/image1263.png"/><Relationship Id="rId840" Type="http://schemas.openxmlformats.org/officeDocument/2006/relationships/image" Target="../media/image840.png"/><Relationship Id="rId938" Type="http://schemas.openxmlformats.org/officeDocument/2006/relationships/image" Target="../media/image938.png"/><Relationship Id="rId1470" Type="http://schemas.openxmlformats.org/officeDocument/2006/relationships/image" Target="../media/image1470.png"/><Relationship Id="rId1568" Type="http://schemas.openxmlformats.org/officeDocument/2006/relationships/image" Target="../media/image1568.png"/><Relationship Id="rId1775" Type="http://schemas.openxmlformats.org/officeDocument/2006/relationships/image" Target="../media/image1775.png"/><Relationship Id="rId67" Type="http://schemas.openxmlformats.org/officeDocument/2006/relationships/image" Target="../media/image67.png"/><Relationship Id="rId700" Type="http://schemas.openxmlformats.org/officeDocument/2006/relationships/image" Target="../media/image700.png"/><Relationship Id="rId1123" Type="http://schemas.openxmlformats.org/officeDocument/2006/relationships/image" Target="../media/image1123.png"/><Relationship Id="rId1330" Type="http://schemas.openxmlformats.org/officeDocument/2006/relationships/image" Target="../media/image1330.png"/><Relationship Id="rId1428" Type="http://schemas.openxmlformats.org/officeDocument/2006/relationships/image" Target="../media/image1428.png"/><Relationship Id="rId1635" Type="http://schemas.openxmlformats.org/officeDocument/2006/relationships/image" Target="../media/image1635.png"/><Relationship Id="rId1702" Type="http://schemas.openxmlformats.org/officeDocument/2006/relationships/image" Target="../media/image1702.png"/><Relationship Id="rId283" Type="http://schemas.openxmlformats.org/officeDocument/2006/relationships/image" Target="../media/image283.png"/><Relationship Id="rId490" Type="http://schemas.openxmlformats.org/officeDocument/2006/relationships/image" Target="../media/image490.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1285" Type="http://schemas.openxmlformats.org/officeDocument/2006/relationships/image" Target="../media/image1285.png"/><Relationship Id="rId1492" Type="http://schemas.openxmlformats.org/officeDocument/2006/relationships/image" Target="../media/image1492.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1352" Type="http://schemas.openxmlformats.org/officeDocument/2006/relationships/image" Target="../media/image1352.png"/><Relationship Id="rId1797" Type="http://schemas.openxmlformats.org/officeDocument/2006/relationships/image" Target="../media/image1797.png"/><Relationship Id="rId89" Type="http://schemas.openxmlformats.org/officeDocument/2006/relationships/image" Target="../media/image89.png"/><Relationship Id="rId1005" Type="http://schemas.openxmlformats.org/officeDocument/2006/relationships/image" Target="../media/image1005.png"/><Relationship Id="rId1212" Type="http://schemas.openxmlformats.org/officeDocument/2006/relationships/image" Target="../media/image1212.png"/><Relationship Id="rId1657" Type="http://schemas.openxmlformats.org/officeDocument/2006/relationships/image" Target="../media/image1657.png"/><Relationship Id="rId1517" Type="http://schemas.openxmlformats.org/officeDocument/2006/relationships/image" Target="../media/image1517.png"/><Relationship Id="rId1724" Type="http://schemas.openxmlformats.org/officeDocument/2006/relationships/image" Target="../media/image1724.png"/><Relationship Id="rId16" Type="http://schemas.openxmlformats.org/officeDocument/2006/relationships/image" Target="../media/image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232" Type="http://schemas.openxmlformats.org/officeDocument/2006/relationships/image" Target="../media/image232.png"/><Relationship Id="rId884" Type="http://schemas.openxmlformats.org/officeDocument/2006/relationships/image" Target="../media/image884.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1374" Type="http://schemas.openxmlformats.org/officeDocument/2006/relationships/image" Target="../media/image1374.png"/><Relationship Id="rId1581" Type="http://schemas.openxmlformats.org/officeDocument/2006/relationships/image" Target="../media/image1581.png"/><Relationship Id="rId1679" Type="http://schemas.openxmlformats.org/officeDocument/2006/relationships/image" Target="../media/image1679.png"/><Relationship Id="rId80" Type="http://schemas.openxmlformats.org/officeDocument/2006/relationships/image" Target="../media/image8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1234" Type="http://schemas.openxmlformats.org/officeDocument/2006/relationships/image" Target="../media/image1234.png"/><Relationship Id="rId1441" Type="http://schemas.openxmlformats.org/officeDocument/2006/relationships/image" Target="../media/image1441.png"/><Relationship Id="rId909" Type="http://schemas.openxmlformats.org/officeDocument/2006/relationships/image" Target="../media/image909.png"/><Relationship Id="rId1301" Type="http://schemas.openxmlformats.org/officeDocument/2006/relationships/image" Target="../media/image1301.png"/><Relationship Id="rId1539" Type="http://schemas.openxmlformats.org/officeDocument/2006/relationships/image" Target="../media/image1539.png"/><Relationship Id="rId1746" Type="http://schemas.openxmlformats.org/officeDocument/2006/relationships/image" Target="../media/image1746.png"/><Relationship Id="rId38" Type="http://schemas.openxmlformats.org/officeDocument/2006/relationships/image" Target="../media/image38.png"/><Relationship Id="rId1606" Type="http://schemas.openxmlformats.org/officeDocument/2006/relationships/image" Target="../media/image1606.png"/><Relationship Id="rId187" Type="http://schemas.openxmlformats.org/officeDocument/2006/relationships/image" Target="../media/image187.png"/><Relationship Id="rId394" Type="http://schemas.openxmlformats.org/officeDocument/2006/relationships/image" Target="../media/image394.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396" Type="http://schemas.openxmlformats.org/officeDocument/2006/relationships/image" Target="../media/image1396.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1256" Type="http://schemas.openxmlformats.org/officeDocument/2006/relationships/image" Target="../media/image1256.png"/><Relationship Id="rId833" Type="http://schemas.openxmlformats.org/officeDocument/2006/relationships/image" Target="../media/image833.png"/><Relationship Id="rId1116" Type="http://schemas.openxmlformats.org/officeDocument/2006/relationships/image" Target="../media/image1116.png"/><Relationship Id="rId1463" Type="http://schemas.openxmlformats.org/officeDocument/2006/relationships/image" Target="../media/image1463.png"/><Relationship Id="rId1670" Type="http://schemas.openxmlformats.org/officeDocument/2006/relationships/image" Target="../media/image1670.png"/><Relationship Id="rId1768" Type="http://schemas.openxmlformats.org/officeDocument/2006/relationships/image" Target="../media/image1768.png"/><Relationship Id="rId900" Type="http://schemas.openxmlformats.org/officeDocument/2006/relationships/image" Target="../media/image900.png"/><Relationship Id="rId1323" Type="http://schemas.openxmlformats.org/officeDocument/2006/relationships/image" Target="../media/image1323.png"/><Relationship Id="rId1530" Type="http://schemas.openxmlformats.org/officeDocument/2006/relationships/image" Target="../media/image1530.png"/><Relationship Id="rId1628" Type="http://schemas.openxmlformats.org/officeDocument/2006/relationships/image" Target="../media/image1628.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1278" Type="http://schemas.openxmlformats.org/officeDocument/2006/relationships/image" Target="../media/image1278.png"/><Relationship Id="rId1485" Type="http://schemas.openxmlformats.org/officeDocument/2006/relationships/image" Target="../media/image1485.png"/><Relationship Id="rId1692" Type="http://schemas.openxmlformats.org/officeDocument/2006/relationships/image" Target="../media/image1692.png"/><Relationship Id="rId410" Type="http://schemas.openxmlformats.org/officeDocument/2006/relationships/image" Target="../media/image410.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345" Type="http://schemas.openxmlformats.org/officeDocument/2006/relationships/image" Target="../media/image1345.png"/><Relationship Id="rId1552" Type="http://schemas.openxmlformats.org/officeDocument/2006/relationships/image" Target="../media/image1552.png"/><Relationship Id="rId1205" Type="http://schemas.openxmlformats.org/officeDocument/2006/relationships/image" Target="../media/image1205.png"/><Relationship Id="rId51" Type="http://schemas.openxmlformats.org/officeDocument/2006/relationships/image" Target="../media/image51.png"/><Relationship Id="rId1412" Type="http://schemas.openxmlformats.org/officeDocument/2006/relationships/image" Target="../media/image1412.png"/><Relationship Id="rId1717" Type="http://schemas.openxmlformats.org/officeDocument/2006/relationships/image" Target="../media/image1717.png"/><Relationship Id="rId298" Type="http://schemas.openxmlformats.org/officeDocument/2006/relationships/image" Target="../media/image298.png"/><Relationship Id="rId158" Type="http://schemas.openxmlformats.org/officeDocument/2006/relationships/image" Target="../media/image158.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1367" Type="http://schemas.openxmlformats.org/officeDocument/2006/relationships/image" Target="../media/image1367.png"/><Relationship Id="rId1574" Type="http://schemas.openxmlformats.org/officeDocument/2006/relationships/image" Target="../media/image1574.png"/><Relationship Id="rId1781" Type="http://schemas.openxmlformats.org/officeDocument/2006/relationships/image" Target="../media/image1781.png"/><Relationship Id="rId73" Type="http://schemas.openxmlformats.org/officeDocument/2006/relationships/image" Target="../media/image73.png"/><Relationship Id="rId804" Type="http://schemas.openxmlformats.org/officeDocument/2006/relationships/image" Target="../media/image804.png"/><Relationship Id="rId1227" Type="http://schemas.openxmlformats.org/officeDocument/2006/relationships/image" Target="../media/image1227.png"/><Relationship Id="rId1434" Type="http://schemas.openxmlformats.org/officeDocument/2006/relationships/image" Target="../media/image1434.png"/><Relationship Id="rId1641" Type="http://schemas.openxmlformats.org/officeDocument/2006/relationships/image" Target="../media/image1641.png"/><Relationship Id="rId1501" Type="http://schemas.openxmlformats.org/officeDocument/2006/relationships/image" Target="../media/image1501.png"/><Relationship Id="rId1739" Type="http://schemas.openxmlformats.org/officeDocument/2006/relationships/image" Target="../media/image1739.png"/><Relationship Id="rId1806" Type="http://schemas.openxmlformats.org/officeDocument/2006/relationships/image" Target="../media/image1806.png"/><Relationship Id="rId387" Type="http://schemas.openxmlformats.org/officeDocument/2006/relationships/image" Target="../media/image387.png"/><Relationship Id="rId594" Type="http://schemas.openxmlformats.org/officeDocument/2006/relationships/image" Target="../media/image594.png"/><Relationship Id="rId247" Type="http://schemas.openxmlformats.org/officeDocument/2006/relationships/image" Target="../media/image247.png"/><Relationship Id="rId899" Type="http://schemas.openxmlformats.org/officeDocument/2006/relationships/image" Target="../media/image899.png"/><Relationship Id="rId1084" Type="http://schemas.openxmlformats.org/officeDocument/2006/relationships/image" Target="../media/image1084.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291" Type="http://schemas.openxmlformats.org/officeDocument/2006/relationships/image" Target="../media/image1291.png"/><Relationship Id="rId1389" Type="http://schemas.openxmlformats.org/officeDocument/2006/relationships/image" Target="../media/image1389.png"/><Relationship Id="rId1596" Type="http://schemas.openxmlformats.org/officeDocument/2006/relationships/image" Target="../media/image1596.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5</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6</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7</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38100</xdr:rowOff>
    </xdr:from>
    <xdr:to>
      <xdr:col>3</xdr:col>
      <xdr:colOff>1552575</xdr:colOff>
      <xdr:row>9</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10</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16</xdr:row>
      <xdr:rowOff>209550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17</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38100</xdr:rowOff>
    </xdr:from>
    <xdr:to>
      <xdr:col>3</xdr:col>
      <xdr:colOff>1552575</xdr:colOff>
      <xdr:row>19</xdr:row>
      <xdr:rowOff>638175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23</xdr:row>
      <xdr:rowOff>209550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27</xdr:row>
      <xdr:rowOff>209550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38100</xdr:rowOff>
    </xdr:from>
    <xdr:to>
      <xdr:col>3</xdr:col>
      <xdr:colOff>1552575</xdr:colOff>
      <xdr:row>29</xdr:row>
      <xdr:rowOff>638175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33</xdr:row>
      <xdr:rowOff>209550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37</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42</xdr:row>
      <xdr:rowOff>333375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50</xdr:row>
      <xdr:rowOff>209550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56</xdr:row>
      <xdr:rowOff>333375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61</xdr:row>
      <xdr:rowOff>333375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66</xdr:row>
      <xdr:rowOff>333375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68</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69</xdr:row>
      <xdr:rowOff>28575</xdr:rowOff>
    </xdr:from>
    <xdr:to>
      <xdr:col>3</xdr:col>
      <xdr:colOff>1552575</xdr:colOff>
      <xdr:row>69</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73</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76</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79</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81</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86</xdr:row>
      <xdr:rowOff>333375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95</xdr:row>
      <xdr:rowOff>133350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104</xdr:row>
      <xdr:rowOff>133350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113</xdr:row>
      <xdr:rowOff>133350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118</xdr:row>
      <xdr:rowOff>333375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123</xdr:row>
      <xdr:rowOff>333375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128</xdr:row>
      <xdr:rowOff>333375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133</xdr:row>
      <xdr:rowOff>333375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138</xdr:row>
      <xdr:rowOff>333375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143</xdr:row>
      <xdr:rowOff>333375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148</xdr:row>
      <xdr:rowOff>333375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153</xdr:row>
      <xdr:rowOff>333375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158</xdr:row>
      <xdr:rowOff>333375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163</xdr:row>
      <xdr:rowOff>333375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168</xdr:row>
      <xdr:rowOff>333375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173</xdr:row>
      <xdr:rowOff>333375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178</xdr:row>
      <xdr:rowOff>333375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179</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180</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183</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184</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185</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186</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187</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188</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28575</xdr:rowOff>
    </xdr:from>
    <xdr:to>
      <xdr:col>3</xdr:col>
      <xdr:colOff>1552575</xdr:colOff>
      <xdr:row>191</xdr:row>
      <xdr:rowOff>1266825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192</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194</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195</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197</xdr:row>
      <xdr:rowOff>1266825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28575</xdr:rowOff>
    </xdr:from>
    <xdr:to>
      <xdr:col>3</xdr:col>
      <xdr:colOff>1552575</xdr:colOff>
      <xdr:row>198</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199</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28575</xdr:rowOff>
    </xdr:from>
    <xdr:to>
      <xdr:col>3</xdr:col>
      <xdr:colOff>1552575</xdr:colOff>
      <xdr:row>200</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201</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202</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203</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204</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208</xdr:row>
      <xdr:rowOff>209550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213</xdr:row>
      <xdr:rowOff>333375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28575</xdr:rowOff>
    </xdr:from>
    <xdr:to>
      <xdr:col>3</xdr:col>
      <xdr:colOff>1552575</xdr:colOff>
      <xdr:row>214</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217</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218</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223</xdr:row>
      <xdr:rowOff>333375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38100</xdr:rowOff>
    </xdr:from>
    <xdr:to>
      <xdr:col>3</xdr:col>
      <xdr:colOff>1552575</xdr:colOff>
      <xdr:row>225</xdr:row>
      <xdr:rowOff>638175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228</xdr:row>
      <xdr:rowOff>419100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233</xdr:row>
      <xdr:rowOff>333375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239</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240</xdr:row>
      <xdr:rowOff>38100</xdr:rowOff>
    </xdr:from>
    <xdr:to>
      <xdr:col>3</xdr:col>
      <xdr:colOff>1552575</xdr:colOff>
      <xdr:row>241</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38100</xdr:rowOff>
    </xdr:from>
    <xdr:to>
      <xdr:col>3</xdr:col>
      <xdr:colOff>1552575</xdr:colOff>
      <xdr:row>243</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244</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38100</xdr:rowOff>
    </xdr:from>
    <xdr:to>
      <xdr:col>3</xdr:col>
      <xdr:colOff>1552575</xdr:colOff>
      <xdr:row>246</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247</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249</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38100</xdr:rowOff>
    </xdr:from>
    <xdr:to>
      <xdr:col>3</xdr:col>
      <xdr:colOff>1552575</xdr:colOff>
      <xdr:row>251</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252</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258</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262</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267</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28575</xdr:rowOff>
    </xdr:from>
    <xdr:to>
      <xdr:col>3</xdr:col>
      <xdr:colOff>1552575</xdr:colOff>
      <xdr:row>268</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272</xdr:row>
      <xdr:rowOff>209550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38100</xdr:rowOff>
    </xdr:from>
    <xdr:to>
      <xdr:col>3</xdr:col>
      <xdr:colOff>1552575</xdr:colOff>
      <xdr:row>274</xdr:row>
      <xdr:rowOff>638175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279</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280</xdr:row>
      <xdr:rowOff>28575</xdr:rowOff>
    </xdr:from>
    <xdr:to>
      <xdr:col>3</xdr:col>
      <xdr:colOff>1552575</xdr:colOff>
      <xdr:row>280</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289</xdr:row>
      <xdr:rowOff>133350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299</xdr:row>
      <xdr:rowOff>133350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312</xdr:row>
      <xdr:rowOff>152400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313</xdr:row>
      <xdr:rowOff>28575</xdr:rowOff>
    </xdr:from>
    <xdr:to>
      <xdr:col>3</xdr:col>
      <xdr:colOff>1552575</xdr:colOff>
      <xdr:row>319</xdr:row>
      <xdr:rowOff>171450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38100</xdr:rowOff>
    </xdr:from>
    <xdr:to>
      <xdr:col>3</xdr:col>
      <xdr:colOff>1552575</xdr:colOff>
      <xdr:row>321</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38100</xdr:rowOff>
    </xdr:from>
    <xdr:to>
      <xdr:col>3</xdr:col>
      <xdr:colOff>1552575</xdr:colOff>
      <xdr:row>323</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324</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38100</xdr:rowOff>
    </xdr:from>
    <xdr:to>
      <xdr:col>3</xdr:col>
      <xdr:colOff>1552575</xdr:colOff>
      <xdr:row>326</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330</xdr:row>
      <xdr:rowOff>209550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38100</xdr:rowOff>
    </xdr:from>
    <xdr:to>
      <xdr:col>3</xdr:col>
      <xdr:colOff>1552575</xdr:colOff>
      <xdr:row>332</xdr:row>
      <xdr:rowOff>638175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38100</xdr:rowOff>
    </xdr:from>
    <xdr:to>
      <xdr:col>3</xdr:col>
      <xdr:colOff>1552575</xdr:colOff>
      <xdr:row>334</xdr:row>
      <xdr:rowOff>638175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335</xdr:row>
      <xdr:rowOff>28575</xdr:rowOff>
    </xdr:from>
    <xdr:to>
      <xdr:col>3</xdr:col>
      <xdr:colOff>1552575</xdr:colOff>
      <xdr:row>337</xdr:row>
      <xdr:rowOff>419100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338</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38100</xdr:rowOff>
    </xdr:from>
    <xdr:to>
      <xdr:col>3</xdr:col>
      <xdr:colOff>1552575</xdr:colOff>
      <xdr:row>340</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341</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342</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38100</xdr:rowOff>
    </xdr:from>
    <xdr:to>
      <xdr:col>3</xdr:col>
      <xdr:colOff>1552575</xdr:colOff>
      <xdr:row>344</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38100</xdr:rowOff>
    </xdr:from>
    <xdr:to>
      <xdr:col>3</xdr:col>
      <xdr:colOff>1552575</xdr:colOff>
      <xdr:row>346</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38100</xdr:rowOff>
    </xdr:from>
    <xdr:to>
      <xdr:col>3</xdr:col>
      <xdr:colOff>1552575</xdr:colOff>
      <xdr:row>348</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350</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38100</xdr:rowOff>
    </xdr:from>
    <xdr:to>
      <xdr:col>3</xdr:col>
      <xdr:colOff>1552575</xdr:colOff>
      <xdr:row>352</xdr:row>
      <xdr:rowOff>638175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353</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38100</xdr:rowOff>
    </xdr:from>
    <xdr:to>
      <xdr:col>3</xdr:col>
      <xdr:colOff>1552575</xdr:colOff>
      <xdr:row>355</xdr:row>
      <xdr:rowOff>638175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361</xdr:row>
      <xdr:rowOff>209550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366</xdr:row>
      <xdr:rowOff>333375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367</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38100</xdr:rowOff>
    </xdr:from>
    <xdr:to>
      <xdr:col>3</xdr:col>
      <xdr:colOff>1552575</xdr:colOff>
      <xdr:row>369</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28575</xdr:rowOff>
    </xdr:from>
    <xdr:to>
      <xdr:col>3</xdr:col>
      <xdr:colOff>1552575</xdr:colOff>
      <xdr:row>370</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38100</xdr:rowOff>
    </xdr:from>
    <xdr:to>
      <xdr:col>3</xdr:col>
      <xdr:colOff>1552575</xdr:colOff>
      <xdr:row>372</xdr:row>
      <xdr:rowOff>638175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376</xdr:row>
      <xdr:rowOff>209550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379</xdr:row>
      <xdr:rowOff>419100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384</xdr:row>
      <xdr:rowOff>333375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389</xdr:row>
      <xdr:rowOff>333375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394</xdr:row>
      <xdr:rowOff>333375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395</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403</xdr:row>
      <xdr:rowOff>152400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28575</xdr:rowOff>
    </xdr:from>
    <xdr:to>
      <xdr:col>3</xdr:col>
      <xdr:colOff>1552575</xdr:colOff>
      <xdr:row>406</xdr:row>
      <xdr:rowOff>419100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409</xdr:row>
      <xdr:rowOff>419100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412</xdr:row>
      <xdr:rowOff>419100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414</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417</xdr:row>
      <xdr:rowOff>419100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38100</xdr:rowOff>
    </xdr:from>
    <xdr:to>
      <xdr:col>3</xdr:col>
      <xdr:colOff>1552575</xdr:colOff>
      <xdr:row>419</xdr:row>
      <xdr:rowOff>638175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38100</xdr:rowOff>
    </xdr:from>
    <xdr:to>
      <xdr:col>3</xdr:col>
      <xdr:colOff>1552575</xdr:colOff>
      <xdr:row>421</xdr:row>
      <xdr:rowOff>638175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422</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426</xdr:row>
      <xdr:rowOff>209550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427</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38100</xdr:rowOff>
    </xdr:from>
    <xdr:to>
      <xdr:col>3</xdr:col>
      <xdr:colOff>1552575</xdr:colOff>
      <xdr:row>429</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434</xdr:row>
      <xdr:rowOff>333375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439</xdr:row>
      <xdr:rowOff>333375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28575</xdr:rowOff>
    </xdr:from>
    <xdr:to>
      <xdr:col>3</xdr:col>
      <xdr:colOff>1552575</xdr:colOff>
      <xdr:row>440</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445</xdr:row>
      <xdr:rowOff>333375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446</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38100</xdr:rowOff>
    </xdr:from>
    <xdr:to>
      <xdr:col>3</xdr:col>
      <xdr:colOff>1552575</xdr:colOff>
      <xdr:row>448</xdr:row>
      <xdr:rowOff>638175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449</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450</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38100</xdr:rowOff>
    </xdr:from>
    <xdr:to>
      <xdr:col>3</xdr:col>
      <xdr:colOff>1552575</xdr:colOff>
      <xdr:row>452</xdr:row>
      <xdr:rowOff>638175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455</xdr:row>
      <xdr:rowOff>419100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28575</xdr:rowOff>
    </xdr:from>
    <xdr:to>
      <xdr:col>3</xdr:col>
      <xdr:colOff>1552575</xdr:colOff>
      <xdr:row>460</xdr:row>
      <xdr:rowOff>333375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463</xdr:row>
      <xdr:rowOff>419100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28575</xdr:rowOff>
    </xdr:from>
    <xdr:to>
      <xdr:col>3</xdr:col>
      <xdr:colOff>1552575</xdr:colOff>
      <xdr:row>466</xdr:row>
      <xdr:rowOff>419100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467</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468</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471</xdr:row>
      <xdr:rowOff>419100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474</xdr:row>
      <xdr:rowOff>419100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38100</xdr:rowOff>
    </xdr:from>
    <xdr:to>
      <xdr:col>3</xdr:col>
      <xdr:colOff>1552575</xdr:colOff>
      <xdr:row>476</xdr:row>
      <xdr:rowOff>638175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38100</xdr:rowOff>
    </xdr:from>
    <xdr:to>
      <xdr:col>3</xdr:col>
      <xdr:colOff>1552575</xdr:colOff>
      <xdr:row>478</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482</xdr:row>
      <xdr:rowOff>209550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38100</xdr:rowOff>
    </xdr:from>
    <xdr:to>
      <xdr:col>3</xdr:col>
      <xdr:colOff>1552575</xdr:colOff>
      <xdr:row>484</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485</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38100</xdr:rowOff>
    </xdr:from>
    <xdr:to>
      <xdr:col>3</xdr:col>
      <xdr:colOff>1552575</xdr:colOff>
      <xdr:row>487</xdr:row>
      <xdr:rowOff>638175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28575</xdr:rowOff>
    </xdr:from>
    <xdr:to>
      <xdr:col>3</xdr:col>
      <xdr:colOff>1552575</xdr:colOff>
      <xdr:row>492</xdr:row>
      <xdr:rowOff>333375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498</xdr:row>
      <xdr:rowOff>209550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499</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503</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507</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38100</xdr:rowOff>
    </xdr:from>
    <xdr:to>
      <xdr:col>3</xdr:col>
      <xdr:colOff>1552575</xdr:colOff>
      <xdr:row>509</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28575</xdr:rowOff>
    </xdr:from>
    <xdr:to>
      <xdr:col>3</xdr:col>
      <xdr:colOff>1552575</xdr:colOff>
      <xdr:row>514</xdr:row>
      <xdr:rowOff>333375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518</xdr:row>
      <xdr:rowOff>419100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38100</xdr:rowOff>
    </xdr:from>
    <xdr:to>
      <xdr:col>3</xdr:col>
      <xdr:colOff>1552575</xdr:colOff>
      <xdr:row>520</xdr:row>
      <xdr:rowOff>638175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38100</xdr:rowOff>
    </xdr:from>
    <xdr:to>
      <xdr:col>3</xdr:col>
      <xdr:colOff>1552575</xdr:colOff>
      <xdr:row>522</xdr:row>
      <xdr:rowOff>638175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523</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524</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525</xdr:row>
      <xdr:rowOff>28575</xdr:rowOff>
    </xdr:from>
    <xdr:to>
      <xdr:col>3</xdr:col>
      <xdr:colOff>1552575</xdr:colOff>
      <xdr:row>527</xdr:row>
      <xdr:rowOff>419100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535</xdr:row>
      <xdr:rowOff>152400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38100</xdr:rowOff>
    </xdr:from>
    <xdr:to>
      <xdr:col>3</xdr:col>
      <xdr:colOff>1552575</xdr:colOff>
      <xdr:row>537</xdr:row>
      <xdr:rowOff>638175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542</xdr:row>
      <xdr:rowOff>333375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28575</xdr:rowOff>
    </xdr:from>
    <xdr:to>
      <xdr:col>3</xdr:col>
      <xdr:colOff>1552575</xdr:colOff>
      <xdr:row>547</xdr:row>
      <xdr:rowOff>333375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28575</xdr:rowOff>
    </xdr:from>
    <xdr:to>
      <xdr:col>3</xdr:col>
      <xdr:colOff>1552575</xdr:colOff>
      <xdr:row>550</xdr:row>
      <xdr:rowOff>419100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38100</xdr:rowOff>
    </xdr:from>
    <xdr:to>
      <xdr:col>3</xdr:col>
      <xdr:colOff>1552575</xdr:colOff>
      <xdr:row>552</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553</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556</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562</xdr:row>
      <xdr:rowOff>209550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567</xdr:row>
      <xdr:rowOff>333375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570</xdr:row>
      <xdr:rowOff>419100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575</xdr:row>
      <xdr:rowOff>333375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28575</xdr:rowOff>
    </xdr:from>
    <xdr:to>
      <xdr:col>3</xdr:col>
      <xdr:colOff>1552575</xdr:colOff>
      <xdr:row>576</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38100</xdr:rowOff>
    </xdr:from>
    <xdr:to>
      <xdr:col>3</xdr:col>
      <xdr:colOff>1552575</xdr:colOff>
      <xdr:row>578</xdr:row>
      <xdr:rowOff>638175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28575</xdr:rowOff>
    </xdr:from>
    <xdr:to>
      <xdr:col>3</xdr:col>
      <xdr:colOff>1552575</xdr:colOff>
      <xdr:row>582</xdr:row>
      <xdr:rowOff>209550</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583</xdr:row>
      <xdr:rowOff>38100</xdr:rowOff>
    </xdr:from>
    <xdr:to>
      <xdr:col>3</xdr:col>
      <xdr:colOff>1552575</xdr:colOff>
      <xdr:row>584</xdr:row>
      <xdr:rowOff>638175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28575</xdr:rowOff>
    </xdr:from>
    <xdr:to>
      <xdr:col>3</xdr:col>
      <xdr:colOff>1552575</xdr:colOff>
      <xdr:row>589</xdr:row>
      <xdr:rowOff>333375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593</xdr:row>
      <xdr:rowOff>209550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38100</xdr:rowOff>
    </xdr:from>
    <xdr:to>
      <xdr:col>3</xdr:col>
      <xdr:colOff>1552575</xdr:colOff>
      <xdr:row>595</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600</xdr:row>
      <xdr:rowOff>333375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603</xdr:row>
      <xdr:rowOff>419100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604</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38100</xdr:rowOff>
    </xdr:from>
    <xdr:to>
      <xdr:col>3</xdr:col>
      <xdr:colOff>1552575</xdr:colOff>
      <xdr:row>606</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611</xdr:row>
      <xdr:rowOff>333375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615</xdr:row>
      <xdr:rowOff>209550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38100</xdr:rowOff>
    </xdr:from>
    <xdr:to>
      <xdr:col>3</xdr:col>
      <xdr:colOff>1552575</xdr:colOff>
      <xdr:row>617</xdr:row>
      <xdr:rowOff>638175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38100</xdr:rowOff>
    </xdr:from>
    <xdr:to>
      <xdr:col>3</xdr:col>
      <xdr:colOff>1552575</xdr:colOff>
      <xdr:row>619</xdr:row>
      <xdr:rowOff>638175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620</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623</xdr:row>
      <xdr:rowOff>419100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627</xdr:row>
      <xdr:rowOff>209550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632</xdr:row>
      <xdr:rowOff>333375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636</xdr:row>
      <xdr:rowOff>209550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642</xdr:row>
      <xdr:rowOff>209550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646</xdr:row>
      <xdr:rowOff>209550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649</xdr:row>
      <xdr:rowOff>419100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652</xdr:row>
      <xdr:rowOff>419100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656</xdr:row>
      <xdr:rowOff>209550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659</xdr:row>
      <xdr:rowOff>419100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664</xdr:row>
      <xdr:rowOff>333375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665</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669</xdr:row>
      <xdr:rowOff>209550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673</xdr:row>
      <xdr:rowOff>209550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678</xdr:row>
      <xdr:rowOff>333375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683</xdr:row>
      <xdr:rowOff>333375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686</xdr:row>
      <xdr:rowOff>419100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38100</xdr:rowOff>
    </xdr:from>
    <xdr:to>
      <xdr:col>3</xdr:col>
      <xdr:colOff>1552575</xdr:colOff>
      <xdr:row>689</xdr:row>
      <xdr:rowOff>638175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38100</xdr:rowOff>
    </xdr:from>
    <xdr:to>
      <xdr:col>3</xdr:col>
      <xdr:colOff>1552575</xdr:colOff>
      <xdr:row>691</xdr:row>
      <xdr:rowOff>638175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700</xdr:row>
      <xdr:rowOff>133350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702</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710</xdr:row>
      <xdr:rowOff>152400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711</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712</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28575</xdr:rowOff>
    </xdr:from>
    <xdr:to>
      <xdr:col>3</xdr:col>
      <xdr:colOff>1552575</xdr:colOff>
      <xdr:row>713</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28575</xdr:rowOff>
    </xdr:from>
    <xdr:to>
      <xdr:col>3</xdr:col>
      <xdr:colOff>1552575</xdr:colOff>
      <xdr:row>714</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715</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716</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717</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28575</xdr:rowOff>
    </xdr:from>
    <xdr:to>
      <xdr:col>3</xdr:col>
      <xdr:colOff>1552575</xdr:colOff>
      <xdr:row>718</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719</xdr:row>
      <xdr:rowOff>28575</xdr:rowOff>
    </xdr:from>
    <xdr:to>
      <xdr:col>3</xdr:col>
      <xdr:colOff>1552575</xdr:colOff>
      <xdr:row>719</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720</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721</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722</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723</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28575</xdr:rowOff>
    </xdr:from>
    <xdr:to>
      <xdr:col>3</xdr:col>
      <xdr:colOff>1552575</xdr:colOff>
      <xdr:row>724</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725</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726</xdr:row>
      <xdr:rowOff>1266825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727</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728</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729</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730</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731</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732</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28575</xdr:rowOff>
    </xdr:from>
    <xdr:to>
      <xdr:col>3</xdr:col>
      <xdr:colOff>1552575</xdr:colOff>
      <xdr:row>736</xdr:row>
      <xdr:rowOff>209550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737</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738</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739</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740</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741</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742</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28575</xdr:rowOff>
    </xdr:from>
    <xdr:to>
      <xdr:col>3</xdr:col>
      <xdr:colOff>1552575</xdr:colOff>
      <xdr:row>743</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744</xdr:row>
      <xdr:rowOff>28575</xdr:rowOff>
    </xdr:from>
    <xdr:to>
      <xdr:col>3</xdr:col>
      <xdr:colOff>1552575</xdr:colOff>
      <xdr:row>744</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38100</xdr:rowOff>
    </xdr:from>
    <xdr:to>
      <xdr:col>3</xdr:col>
      <xdr:colOff>1552575</xdr:colOff>
      <xdr:row>746</xdr:row>
      <xdr:rowOff>638175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38100</xdr:rowOff>
    </xdr:from>
    <xdr:to>
      <xdr:col>3</xdr:col>
      <xdr:colOff>1552575</xdr:colOff>
      <xdr:row>748</xdr:row>
      <xdr:rowOff>638175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751</xdr:row>
      <xdr:rowOff>419100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38100</xdr:rowOff>
    </xdr:from>
    <xdr:to>
      <xdr:col>3</xdr:col>
      <xdr:colOff>1552575</xdr:colOff>
      <xdr:row>753</xdr:row>
      <xdr:rowOff>638175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756</xdr:row>
      <xdr:rowOff>419100</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761</xdr:row>
      <xdr:rowOff>333375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38100</xdr:rowOff>
    </xdr:from>
    <xdr:to>
      <xdr:col>3</xdr:col>
      <xdr:colOff>1552575</xdr:colOff>
      <xdr:row>763</xdr:row>
      <xdr:rowOff>638175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767</xdr:row>
      <xdr:rowOff>209550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38100</xdr:rowOff>
    </xdr:from>
    <xdr:to>
      <xdr:col>3</xdr:col>
      <xdr:colOff>1552575</xdr:colOff>
      <xdr:row>769</xdr:row>
      <xdr:rowOff>638175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28575</xdr:rowOff>
    </xdr:from>
    <xdr:to>
      <xdr:col>3</xdr:col>
      <xdr:colOff>1552575</xdr:colOff>
      <xdr:row>773</xdr:row>
      <xdr:rowOff>209550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778</xdr:row>
      <xdr:rowOff>333375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779</xdr:row>
      <xdr:rowOff>28575</xdr:rowOff>
    </xdr:from>
    <xdr:to>
      <xdr:col>3</xdr:col>
      <xdr:colOff>1552575</xdr:colOff>
      <xdr:row>781</xdr:row>
      <xdr:rowOff>419100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786</xdr:row>
      <xdr:rowOff>333375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38100</xdr:rowOff>
    </xdr:from>
    <xdr:to>
      <xdr:col>3</xdr:col>
      <xdr:colOff>1552575</xdr:colOff>
      <xdr:row>788</xdr:row>
      <xdr:rowOff>638175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791</xdr:row>
      <xdr:rowOff>419100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792</xdr:row>
      <xdr:rowOff>28575</xdr:rowOff>
    </xdr:from>
    <xdr:to>
      <xdr:col>3</xdr:col>
      <xdr:colOff>1552575</xdr:colOff>
      <xdr:row>795</xdr:row>
      <xdr:rowOff>209550</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796</xdr:row>
      <xdr:rowOff>28575</xdr:rowOff>
    </xdr:from>
    <xdr:to>
      <xdr:col>3</xdr:col>
      <xdr:colOff>1552575</xdr:colOff>
      <xdr:row>796</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28575</xdr:rowOff>
    </xdr:from>
    <xdr:to>
      <xdr:col>3</xdr:col>
      <xdr:colOff>1552575</xdr:colOff>
      <xdr:row>797</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798</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800</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801</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802</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803</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804</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808</xdr:row>
      <xdr:rowOff>209550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809</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38100</xdr:rowOff>
    </xdr:from>
    <xdr:to>
      <xdr:col>3</xdr:col>
      <xdr:colOff>1552575</xdr:colOff>
      <xdr:row>811</xdr:row>
      <xdr:rowOff>638175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38100</xdr:rowOff>
    </xdr:from>
    <xdr:to>
      <xdr:col>3</xdr:col>
      <xdr:colOff>1552575</xdr:colOff>
      <xdr:row>813</xdr:row>
      <xdr:rowOff>638175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816</xdr:row>
      <xdr:rowOff>419100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38100</xdr:rowOff>
    </xdr:from>
    <xdr:to>
      <xdr:col>3</xdr:col>
      <xdr:colOff>1552575</xdr:colOff>
      <xdr:row>818</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819</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820</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38100</xdr:rowOff>
    </xdr:from>
    <xdr:to>
      <xdr:col>3</xdr:col>
      <xdr:colOff>1552575</xdr:colOff>
      <xdr:row>822</xdr:row>
      <xdr:rowOff>638175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823</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38100</xdr:rowOff>
    </xdr:from>
    <xdr:to>
      <xdr:col>3</xdr:col>
      <xdr:colOff>1552575</xdr:colOff>
      <xdr:row>825</xdr:row>
      <xdr:rowOff>638175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826</xdr:row>
      <xdr:rowOff>1266825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38100</xdr:rowOff>
    </xdr:from>
    <xdr:to>
      <xdr:col>3</xdr:col>
      <xdr:colOff>1552575</xdr:colOff>
      <xdr:row>828</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833</xdr:row>
      <xdr:rowOff>333375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838</xdr:row>
      <xdr:rowOff>333375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38100</xdr:rowOff>
    </xdr:from>
    <xdr:to>
      <xdr:col>3</xdr:col>
      <xdr:colOff>1552575</xdr:colOff>
      <xdr:row>840</xdr:row>
      <xdr:rowOff>638175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843</xdr:row>
      <xdr:rowOff>419100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847</xdr:row>
      <xdr:rowOff>209550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38100</xdr:rowOff>
    </xdr:from>
    <xdr:to>
      <xdr:col>3</xdr:col>
      <xdr:colOff>1552575</xdr:colOff>
      <xdr:row>849</xdr:row>
      <xdr:rowOff>638175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854</xdr:row>
      <xdr:rowOff>333375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38100</xdr:rowOff>
    </xdr:from>
    <xdr:to>
      <xdr:col>3</xdr:col>
      <xdr:colOff>1552575</xdr:colOff>
      <xdr:row>856</xdr:row>
      <xdr:rowOff>638175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38100</xdr:rowOff>
    </xdr:from>
    <xdr:to>
      <xdr:col>3</xdr:col>
      <xdr:colOff>1552575</xdr:colOff>
      <xdr:row>858</xdr:row>
      <xdr:rowOff>638175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864</xdr:row>
      <xdr:rowOff>209550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870</xdr:row>
      <xdr:rowOff>333375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875</xdr:row>
      <xdr:rowOff>333375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880</xdr:row>
      <xdr:rowOff>333375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881</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885</xdr:row>
      <xdr:rowOff>209550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890</xdr:row>
      <xdr:rowOff>333375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894</xdr:row>
      <xdr:rowOff>209550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899</xdr:row>
      <xdr:rowOff>333375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28575</xdr:rowOff>
    </xdr:from>
    <xdr:to>
      <xdr:col>3</xdr:col>
      <xdr:colOff>1552575</xdr:colOff>
      <xdr:row>904</xdr:row>
      <xdr:rowOff>333375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905</xdr:row>
      <xdr:rowOff>28575</xdr:rowOff>
    </xdr:from>
    <xdr:to>
      <xdr:col>3</xdr:col>
      <xdr:colOff>1552575</xdr:colOff>
      <xdr:row>908</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38100</xdr:rowOff>
    </xdr:from>
    <xdr:to>
      <xdr:col>3</xdr:col>
      <xdr:colOff>1552575</xdr:colOff>
      <xdr:row>910</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914</xdr:row>
      <xdr:rowOff>209550</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28575</xdr:rowOff>
    </xdr:from>
    <xdr:to>
      <xdr:col>3</xdr:col>
      <xdr:colOff>1552575</xdr:colOff>
      <xdr:row>920</xdr:row>
      <xdr:rowOff>209550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925</xdr:row>
      <xdr:rowOff>333375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28575</xdr:rowOff>
    </xdr:from>
    <xdr:to>
      <xdr:col>3</xdr:col>
      <xdr:colOff>1552575</xdr:colOff>
      <xdr:row>930</xdr:row>
      <xdr:rowOff>333375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935</xdr:row>
      <xdr:rowOff>333375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940</xdr:row>
      <xdr:rowOff>333375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28575</xdr:rowOff>
    </xdr:from>
    <xdr:to>
      <xdr:col>3</xdr:col>
      <xdr:colOff>1552575</xdr:colOff>
      <xdr:row>946</xdr:row>
      <xdr:rowOff>209550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947</xdr:row>
      <xdr:rowOff>38100</xdr:rowOff>
    </xdr:from>
    <xdr:to>
      <xdr:col>3</xdr:col>
      <xdr:colOff>1552575</xdr:colOff>
      <xdr:row>948</xdr:row>
      <xdr:rowOff>638175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952</xdr:row>
      <xdr:rowOff>209550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957</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963</xdr:row>
      <xdr:rowOff>209550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969</xdr:row>
      <xdr:rowOff>209550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38100</xdr:rowOff>
    </xdr:from>
    <xdr:to>
      <xdr:col>3</xdr:col>
      <xdr:colOff>1552575</xdr:colOff>
      <xdr:row>971</xdr:row>
      <xdr:rowOff>638175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977</xdr:row>
      <xdr:rowOff>209550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978</xdr:row>
      <xdr:rowOff>28575</xdr:rowOff>
    </xdr:from>
    <xdr:to>
      <xdr:col>3</xdr:col>
      <xdr:colOff>1552575</xdr:colOff>
      <xdr:row>983</xdr:row>
      <xdr:rowOff>209550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984</xdr:row>
      <xdr:rowOff>28575</xdr:rowOff>
    </xdr:from>
    <xdr:to>
      <xdr:col>3</xdr:col>
      <xdr:colOff>1552575</xdr:colOff>
      <xdr:row>988</xdr:row>
      <xdr:rowOff>333375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994</xdr:row>
      <xdr:rowOff>209550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995</xdr:row>
      <xdr:rowOff>28575</xdr:rowOff>
    </xdr:from>
    <xdr:to>
      <xdr:col>3</xdr:col>
      <xdr:colOff>1552575</xdr:colOff>
      <xdr:row>995</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996</xdr:row>
      <xdr:rowOff>28575</xdr:rowOff>
    </xdr:from>
    <xdr:to>
      <xdr:col>3</xdr:col>
      <xdr:colOff>1552575</xdr:colOff>
      <xdr:row>999</xdr:row>
      <xdr:rowOff>209550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1004</xdr:row>
      <xdr:rowOff>333375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1009</xdr:row>
      <xdr:rowOff>333375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1010</xdr:row>
      <xdr:rowOff>28575</xdr:rowOff>
    </xdr:from>
    <xdr:to>
      <xdr:col>3</xdr:col>
      <xdr:colOff>1552575</xdr:colOff>
      <xdr:row>1014</xdr:row>
      <xdr:rowOff>333375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1015</xdr:row>
      <xdr:rowOff>28575</xdr:rowOff>
    </xdr:from>
    <xdr:to>
      <xdr:col>3</xdr:col>
      <xdr:colOff>1552575</xdr:colOff>
      <xdr:row>1020</xdr:row>
      <xdr:rowOff>209550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1021</xdr:row>
      <xdr:rowOff>28575</xdr:rowOff>
    </xdr:from>
    <xdr:to>
      <xdr:col>3</xdr:col>
      <xdr:colOff>1552575</xdr:colOff>
      <xdr:row>1024</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1030</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1031</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1032</xdr:row>
      <xdr:rowOff>28575</xdr:rowOff>
    </xdr:from>
    <xdr:to>
      <xdr:col>3</xdr:col>
      <xdr:colOff>1552575</xdr:colOff>
      <xdr:row>1032</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1033</xdr:row>
      <xdr:rowOff>28575</xdr:rowOff>
    </xdr:from>
    <xdr:to>
      <xdr:col>3</xdr:col>
      <xdr:colOff>1552575</xdr:colOff>
      <xdr:row>1033</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1034</xdr:row>
      <xdr:rowOff>28575</xdr:rowOff>
    </xdr:from>
    <xdr:to>
      <xdr:col>3</xdr:col>
      <xdr:colOff>1552575</xdr:colOff>
      <xdr:row>1034</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28575</xdr:rowOff>
    </xdr:from>
    <xdr:to>
      <xdr:col>3</xdr:col>
      <xdr:colOff>1552575</xdr:colOff>
      <xdr:row>1039</xdr:row>
      <xdr:rowOff>333375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28575</xdr:rowOff>
    </xdr:from>
    <xdr:to>
      <xdr:col>3</xdr:col>
      <xdr:colOff>1552575</xdr:colOff>
      <xdr:row>1040</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28575</xdr:rowOff>
    </xdr:from>
    <xdr:to>
      <xdr:col>3</xdr:col>
      <xdr:colOff>1552575</xdr:colOff>
      <xdr:row>1044</xdr:row>
      <xdr:rowOff>209550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1048</xdr:row>
      <xdr:rowOff>209550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1049</xdr:row>
      <xdr:rowOff>28575</xdr:rowOff>
    </xdr:from>
    <xdr:to>
      <xdr:col>3</xdr:col>
      <xdr:colOff>1552575</xdr:colOff>
      <xdr:row>1053</xdr:row>
      <xdr:rowOff>333375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1054</xdr:row>
      <xdr:rowOff>28575</xdr:rowOff>
    </xdr:from>
    <xdr:to>
      <xdr:col>3</xdr:col>
      <xdr:colOff>1552575</xdr:colOff>
      <xdr:row>1058</xdr:row>
      <xdr:rowOff>333375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1061</xdr:row>
      <xdr:rowOff>419100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28575</xdr:rowOff>
    </xdr:from>
    <xdr:to>
      <xdr:col>3</xdr:col>
      <xdr:colOff>1552575</xdr:colOff>
      <xdr:row>1064</xdr:row>
      <xdr:rowOff>419100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1067</xdr:row>
      <xdr:rowOff>419100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1070</xdr:row>
      <xdr:rowOff>419100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1071</xdr:row>
      <xdr:rowOff>28575</xdr:rowOff>
    </xdr:from>
    <xdr:to>
      <xdr:col>3</xdr:col>
      <xdr:colOff>1552575</xdr:colOff>
      <xdr:row>1073</xdr:row>
      <xdr:rowOff>419100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1074</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28575</xdr:rowOff>
    </xdr:from>
    <xdr:to>
      <xdr:col>3</xdr:col>
      <xdr:colOff>1552575</xdr:colOff>
      <xdr:row>1075</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28575</xdr:rowOff>
    </xdr:from>
    <xdr:to>
      <xdr:col>3</xdr:col>
      <xdr:colOff>1552575</xdr:colOff>
      <xdr:row>1076</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1077</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1078</xdr:row>
      <xdr:rowOff>38100</xdr:rowOff>
    </xdr:from>
    <xdr:to>
      <xdr:col>3</xdr:col>
      <xdr:colOff>1552575</xdr:colOff>
      <xdr:row>1079</xdr:row>
      <xdr:rowOff>638175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1080</xdr:row>
      <xdr:rowOff>28575</xdr:rowOff>
    </xdr:from>
    <xdr:to>
      <xdr:col>3</xdr:col>
      <xdr:colOff>1552575</xdr:colOff>
      <xdr:row>1082</xdr:row>
      <xdr:rowOff>419100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1085</xdr:row>
      <xdr:rowOff>419100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1086</xdr:row>
      <xdr:rowOff>38100</xdr:rowOff>
    </xdr:from>
    <xdr:to>
      <xdr:col>3</xdr:col>
      <xdr:colOff>1552575</xdr:colOff>
      <xdr:row>1087</xdr:row>
      <xdr:rowOff>638175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1088</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1089</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1092</xdr:row>
      <xdr:rowOff>419100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1093</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1094</xdr:row>
      <xdr:rowOff>28575</xdr:rowOff>
    </xdr:from>
    <xdr:to>
      <xdr:col>3</xdr:col>
      <xdr:colOff>1552575</xdr:colOff>
      <xdr:row>1094</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1095</xdr:row>
      <xdr:rowOff>28575</xdr:rowOff>
    </xdr:from>
    <xdr:to>
      <xdr:col>3</xdr:col>
      <xdr:colOff>1552575</xdr:colOff>
      <xdr:row>1095</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1096</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1097</xdr:row>
      <xdr:rowOff>28575</xdr:rowOff>
    </xdr:from>
    <xdr:to>
      <xdr:col>3</xdr:col>
      <xdr:colOff>1552575</xdr:colOff>
      <xdr:row>1097</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28575</xdr:rowOff>
    </xdr:from>
    <xdr:to>
      <xdr:col>3</xdr:col>
      <xdr:colOff>1552575</xdr:colOff>
      <xdr:row>1098</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1099</xdr:row>
      <xdr:rowOff>28575</xdr:rowOff>
    </xdr:from>
    <xdr:to>
      <xdr:col>3</xdr:col>
      <xdr:colOff>1552575</xdr:colOff>
      <xdr:row>1099</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1100</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1104</xdr:row>
      <xdr:rowOff>209550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1105</xdr:row>
      <xdr:rowOff>28575</xdr:rowOff>
    </xdr:from>
    <xdr:to>
      <xdr:col>3</xdr:col>
      <xdr:colOff>1552575</xdr:colOff>
      <xdr:row>1107</xdr:row>
      <xdr:rowOff>419100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1108</xdr:row>
      <xdr:rowOff>28575</xdr:rowOff>
    </xdr:from>
    <xdr:to>
      <xdr:col>3</xdr:col>
      <xdr:colOff>1552575</xdr:colOff>
      <xdr:row>1112</xdr:row>
      <xdr:rowOff>333375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1113</xdr:row>
      <xdr:rowOff>28575</xdr:rowOff>
    </xdr:from>
    <xdr:to>
      <xdr:col>3</xdr:col>
      <xdr:colOff>1552575</xdr:colOff>
      <xdr:row>1119</xdr:row>
      <xdr:rowOff>171450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28575</xdr:rowOff>
    </xdr:from>
    <xdr:to>
      <xdr:col>3</xdr:col>
      <xdr:colOff>1552575</xdr:colOff>
      <xdr:row>1123</xdr:row>
      <xdr:rowOff>209550</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1124</xdr:row>
      <xdr:rowOff>28575</xdr:rowOff>
    </xdr:from>
    <xdr:to>
      <xdr:col>3</xdr:col>
      <xdr:colOff>1552575</xdr:colOff>
      <xdr:row>1126</xdr:row>
      <xdr:rowOff>419100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1130</xdr:row>
      <xdr:rowOff>209550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28575</xdr:rowOff>
    </xdr:from>
    <xdr:to>
      <xdr:col>3</xdr:col>
      <xdr:colOff>1552575</xdr:colOff>
      <xdr:row>1133</xdr:row>
      <xdr:rowOff>419100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38100</xdr:rowOff>
    </xdr:from>
    <xdr:to>
      <xdr:col>3</xdr:col>
      <xdr:colOff>1552575</xdr:colOff>
      <xdr:row>1135</xdr:row>
      <xdr:rowOff>638175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28575</xdr:rowOff>
    </xdr:from>
    <xdr:to>
      <xdr:col>3</xdr:col>
      <xdr:colOff>1552575</xdr:colOff>
      <xdr:row>1136</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1137</xdr:row>
      <xdr:rowOff>28575</xdr:rowOff>
    </xdr:from>
    <xdr:to>
      <xdr:col>3</xdr:col>
      <xdr:colOff>1552575</xdr:colOff>
      <xdr:row>1142</xdr:row>
      <xdr:rowOff>209550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1143</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1144</xdr:row>
      <xdr:rowOff>28575</xdr:rowOff>
    </xdr:from>
    <xdr:to>
      <xdr:col>3</xdr:col>
      <xdr:colOff>1552575</xdr:colOff>
      <xdr:row>1150</xdr:row>
      <xdr:rowOff>171450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28575</xdr:rowOff>
    </xdr:from>
    <xdr:to>
      <xdr:col>3</xdr:col>
      <xdr:colOff>1552575</xdr:colOff>
      <xdr:row>1156</xdr:row>
      <xdr:rowOff>209550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1160</xdr:row>
      <xdr:rowOff>209550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1161</xdr:row>
      <xdr:rowOff>28575</xdr:rowOff>
    </xdr:from>
    <xdr:to>
      <xdr:col>3</xdr:col>
      <xdr:colOff>1552575</xdr:colOff>
      <xdr:row>1165</xdr:row>
      <xdr:rowOff>333375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1166</xdr:row>
      <xdr:rowOff>28575</xdr:rowOff>
    </xdr:from>
    <xdr:to>
      <xdr:col>3</xdr:col>
      <xdr:colOff>1552575</xdr:colOff>
      <xdr:row>1169</xdr:row>
      <xdr:rowOff>209550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1170</xdr:row>
      <xdr:rowOff>28575</xdr:rowOff>
    </xdr:from>
    <xdr:to>
      <xdr:col>3</xdr:col>
      <xdr:colOff>1552575</xdr:colOff>
      <xdr:row>1173</xdr:row>
      <xdr:rowOff>209550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28575</xdr:rowOff>
    </xdr:from>
    <xdr:to>
      <xdr:col>3</xdr:col>
      <xdr:colOff>1552575</xdr:colOff>
      <xdr:row>1177</xdr:row>
      <xdr:rowOff>209550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1178</xdr:row>
      <xdr:rowOff>28575</xdr:rowOff>
    </xdr:from>
    <xdr:to>
      <xdr:col>3</xdr:col>
      <xdr:colOff>1552575</xdr:colOff>
      <xdr:row>1183</xdr:row>
      <xdr:rowOff>209550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38100</xdr:rowOff>
    </xdr:from>
    <xdr:to>
      <xdr:col>3</xdr:col>
      <xdr:colOff>1552575</xdr:colOff>
      <xdr:row>1185</xdr:row>
      <xdr:rowOff>638175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1186</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1187</xdr:row>
      <xdr:rowOff>38100</xdr:rowOff>
    </xdr:from>
    <xdr:to>
      <xdr:col>3</xdr:col>
      <xdr:colOff>1552575</xdr:colOff>
      <xdr:row>1188</xdr:row>
      <xdr:rowOff>638175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28575</xdr:rowOff>
    </xdr:from>
    <xdr:to>
      <xdr:col>3</xdr:col>
      <xdr:colOff>1552575</xdr:colOff>
      <xdr:row>1189</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1190</xdr:row>
      <xdr:rowOff>28575</xdr:rowOff>
    </xdr:from>
    <xdr:to>
      <xdr:col>3</xdr:col>
      <xdr:colOff>1552575</xdr:colOff>
      <xdr:row>1194</xdr:row>
      <xdr:rowOff>333375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28575</xdr:rowOff>
    </xdr:from>
    <xdr:to>
      <xdr:col>3</xdr:col>
      <xdr:colOff>1552575</xdr:colOff>
      <xdr:row>1200</xdr:row>
      <xdr:rowOff>209550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1201</xdr:row>
      <xdr:rowOff>28575</xdr:rowOff>
    </xdr:from>
    <xdr:to>
      <xdr:col>3</xdr:col>
      <xdr:colOff>1552575</xdr:colOff>
      <xdr:row>1203</xdr:row>
      <xdr:rowOff>419100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28575</xdr:rowOff>
    </xdr:from>
    <xdr:to>
      <xdr:col>3</xdr:col>
      <xdr:colOff>1552575</xdr:colOff>
      <xdr:row>1206</xdr:row>
      <xdr:rowOff>419100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1213</xdr:row>
      <xdr:rowOff>171450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28575</xdr:rowOff>
    </xdr:from>
    <xdr:to>
      <xdr:col>3</xdr:col>
      <xdr:colOff>1552575</xdr:colOff>
      <xdr:row>1219</xdr:row>
      <xdr:rowOff>209550</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38100</xdr:rowOff>
    </xdr:from>
    <xdr:to>
      <xdr:col>3</xdr:col>
      <xdr:colOff>1552575</xdr:colOff>
      <xdr:row>1221</xdr:row>
      <xdr:rowOff>638175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1226</xdr:row>
      <xdr:rowOff>333375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1227</xdr:row>
      <xdr:rowOff>28575</xdr:rowOff>
    </xdr:from>
    <xdr:to>
      <xdr:col>3</xdr:col>
      <xdr:colOff>1552575</xdr:colOff>
      <xdr:row>1235</xdr:row>
      <xdr:rowOff>133350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1236</xdr:row>
      <xdr:rowOff>28575</xdr:rowOff>
    </xdr:from>
    <xdr:to>
      <xdr:col>3</xdr:col>
      <xdr:colOff>1552575</xdr:colOff>
      <xdr:row>1238</xdr:row>
      <xdr:rowOff>419100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1239</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1240</xdr:row>
      <xdr:rowOff>28575</xdr:rowOff>
    </xdr:from>
    <xdr:to>
      <xdr:col>3</xdr:col>
      <xdr:colOff>1552575</xdr:colOff>
      <xdr:row>1243</xdr:row>
      <xdr:rowOff>209550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1244</xdr:row>
      <xdr:rowOff>38100</xdr:rowOff>
    </xdr:from>
    <xdr:to>
      <xdr:col>3</xdr:col>
      <xdr:colOff>1552575</xdr:colOff>
      <xdr:row>1245</xdr:row>
      <xdr:rowOff>638175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1249</xdr:row>
      <xdr:rowOff>209550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1250</xdr:row>
      <xdr:rowOff>28575</xdr:rowOff>
    </xdr:from>
    <xdr:to>
      <xdr:col>3</xdr:col>
      <xdr:colOff>1552575</xdr:colOff>
      <xdr:row>1258</xdr:row>
      <xdr:rowOff>133350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1264</xdr:row>
      <xdr:rowOff>209550</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1271</xdr:row>
      <xdr:rowOff>171450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1278</xdr:row>
      <xdr:rowOff>171450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1279</xdr:row>
      <xdr:rowOff>28575</xdr:rowOff>
    </xdr:from>
    <xdr:to>
      <xdr:col>3</xdr:col>
      <xdr:colOff>1552575</xdr:colOff>
      <xdr:row>1283</xdr:row>
      <xdr:rowOff>333375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28575</xdr:rowOff>
    </xdr:from>
    <xdr:to>
      <xdr:col>3</xdr:col>
      <xdr:colOff>1552575</xdr:colOff>
      <xdr:row>1287</xdr:row>
      <xdr:rowOff>419100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1288</xdr:row>
      <xdr:rowOff>28575</xdr:rowOff>
    </xdr:from>
    <xdr:to>
      <xdr:col>3</xdr:col>
      <xdr:colOff>1552575</xdr:colOff>
      <xdr:row>1291</xdr:row>
      <xdr:rowOff>209550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1295</xdr:row>
      <xdr:rowOff>209550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1299</xdr:row>
      <xdr:rowOff>209550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38100</xdr:rowOff>
    </xdr:from>
    <xdr:to>
      <xdr:col>3</xdr:col>
      <xdr:colOff>1552575</xdr:colOff>
      <xdr:row>1301</xdr:row>
      <xdr:rowOff>638175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1304</xdr:row>
      <xdr:rowOff>419100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1310</xdr:row>
      <xdr:rowOff>209550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1317</xdr:row>
      <xdr:rowOff>171450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38100</xdr:rowOff>
    </xdr:from>
    <xdr:to>
      <xdr:col>3</xdr:col>
      <xdr:colOff>1552575</xdr:colOff>
      <xdr:row>1319</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1324</xdr:row>
      <xdr:rowOff>333375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1328</xdr:row>
      <xdr:rowOff>209550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1329</xdr:row>
      <xdr:rowOff>28575</xdr:rowOff>
    </xdr:from>
    <xdr:to>
      <xdr:col>3</xdr:col>
      <xdr:colOff>1552575</xdr:colOff>
      <xdr:row>1329</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1333</xdr:row>
      <xdr:rowOff>209550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1338</xdr:row>
      <xdr:rowOff>333375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1339</xdr:row>
      <xdr:rowOff>28575</xdr:rowOff>
    </xdr:from>
    <xdr:to>
      <xdr:col>3</xdr:col>
      <xdr:colOff>1552575</xdr:colOff>
      <xdr:row>1341</xdr:row>
      <xdr:rowOff>419100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28575</xdr:rowOff>
    </xdr:from>
    <xdr:to>
      <xdr:col>3</xdr:col>
      <xdr:colOff>1552575</xdr:colOff>
      <xdr:row>1346</xdr:row>
      <xdr:rowOff>333375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1350</xdr:row>
      <xdr:rowOff>209550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1351</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28575</xdr:rowOff>
    </xdr:from>
    <xdr:to>
      <xdr:col>3</xdr:col>
      <xdr:colOff>1552575</xdr:colOff>
      <xdr:row>1352</xdr:row>
      <xdr:rowOff>1266825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1353</xdr:row>
      <xdr:rowOff>28575</xdr:rowOff>
    </xdr:from>
    <xdr:to>
      <xdr:col>3</xdr:col>
      <xdr:colOff>1552575</xdr:colOff>
      <xdr:row>1353</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1356</xdr:row>
      <xdr:rowOff>419100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1357</xdr:row>
      <xdr:rowOff>1266825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28575</xdr:rowOff>
    </xdr:from>
    <xdr:to>
      <xdr:col>3</xdr:col>
      <xdr:colOff>1552575</xdr:colOff>
      <xdr:row>1363</xdr:row>
      <xdr:rowOff>209550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1366</xdr:row>
      <xdr:rowOff>419100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1370</xdr:row>
      <xdr:rowOff>209550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1373</xdr:row>
      <xdr:rowOff>419100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1377</xdr:row>
      <xdr:rowOff>209550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1378</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1386</xdr:row>
      <xdr:rowOff>152400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1395</xdr:row>
      <xdr:rowOff>133350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1398</xdr:row>
      <xdr:rowOff>419100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1402</xdr:row>
      <xdr:rowOff>209550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28575</xdr:rowOff>
    </xdr:from>
    <xdr:to>
      <xdr:col>3</xdr:col>
      <xdr:colOff>1552575</xdr:colOff>
      <xdr:row>1409</xdr:row>
      <xdr:rowOff>171450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1418</xdr:row>
      <xdr:rowOff>133350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1425</xdr:row>
      <xdr:rowOff>333375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1430</xdr:row>
      <xdr:rowOff>333375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1431</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1432</xdr:row>
      <xdr:rowOff>38100</xdr:rowOff>
    </xdr:from>
    <xdr:to>
      <xdr:col>3</xdr:col>
      <xdr:colOff>1552575</xdr:colOff>
      <xdr:row>1433</xdr:row>
      <xdr:rowOff>638175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1434</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1435</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1436</xdr:row>
      <xdr:rowOff>28575</xdr:rowOff>
    </xdr:from>
    <xdr:to>
      <xdr:col>3</xdr:col>
      <xdr:colOff>1552575</xdr:colOff>
      <xdr:row>1436</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1437</xdr:row>
      <xdr:rowOff>1266825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1438</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38100</xdr:rowOff>
    </xdr:from>
    <xdr:to>
      <xdr:col>3</xdr:col>
      <xdr:colOff>1552575</xdr:colOff>
      <xdr:row>1440</xdr:row>
      <xdr:rowOff>638175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38100</xdr:rowOff>
    </xdr:from>
    <xdr:to>
      <xdr:col>3</xdr:col>
      <xdr:colOff>1552575</xdr:colOff>
      <xdr:row>1442</xdr:row>
      <xdr:rowOff>638175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28575</xdr:rowOff>
    </xdr:from>
    <xdr:to>
      <xdr:col>3</xdr:col>
      <xdr:colOff>1552575</xdr:colOff>
      <xdr:row>1447</xdr:row>
      <xdr:rowOff>333375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1448</xdr:row>
      <xdr:rowOff>28575</xdr:rowOff>
    </xdr:from>
    <xdr:to>
      <xdr:col>3</xdr:col>
      <xdr:colOff>1552575</xdr:colOff>
      <xdr:row>1452</xdr:row>
      <xdr:rowOff>333375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1458</xdr:row>
      <xdr:rowOff>209550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1464</xdr:row>
      <xdr:rowOff>209550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1470</xdr:row>
      <xdr:rowOff>209550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1471</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28575</xdr:rowOff>
    </xdr:from>
    <xdr:to>
      <xdr:col>3</xdr:col>
      <xdr:colOff>1552575</xdr:colOff>
      <xdr:row>1472</xdr:row>
      <xdr:rowOff>1266825</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1478</xdr:row>
      <xdr:rowOff>209550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1484</xdr:row>
      <xdr:rowOff>209550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1489</xdr:row>
      <xdr:rowOff>333375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38100</xdr:rowOff>
    </xdr:from>
    <xdr:to>
      <xdr:col>3</xdr:col>
      <xdr:colOff>1552575</xdr:colOff>
      <xdr:row>1491</xdr:row>
      <xdr:rowOff>638175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1497</xdr:row>
      <xdr:rowOff>209550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1503</xdr:row>
      <xdr:rowOff>209550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1504</xdr:row>
      <xdr:rowOff>28575</xdr:rowOff>
    </xdr:from>
    <xdr:to>
      <xdr:col>3</xdr:col>
      <xdr:colOff>1552575</xdr:colOff>
      <xdr:row>1510</xdr:row>
      <xdr:rowOff>171450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1518</xdr:row>
      <xdr:rowOff>152400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1525</xdr:row>
      <xdr:rowOff>171450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1526</xdr:row>
      <xdr:rowOff>28575</xdr:rowOff>
    </xdr:from>
    <xdr:to>
      <xdr:col>3</xdr:col>
      <xdr:colOff>1552575</xdr:colOff>
      <xdr:row>1531</xdr:row>
      <xdr:rowOff>209550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28575</xdr:rowOff>
    </xdr:from>
    <xdr:to>
      <xdr:col>3</xdr:col>
      <xdr:colOff>1552575</xdr:colOff>
      <xdr:row>1537</xdr:row>
      <xdr:rowOff>209550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28575</xdr:rowOff>
    </xdr:from>
    <xdr:to>
      <xdr:col>3</xdr:col>
      <xdr:colOff>1552575</xdr:colOff>
      <xdr:row>1543</xdr:row>
      <xdr:rowOff>209550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1549</xdr:row>
      <xdr:rowOff>209550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1550</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1551</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1552</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28575</xdr:rowOff>
    </xdr:from>
    <xdr:to>
      <xdr:col>3</xdr:col>
      <xdr:colOff>1552575</xdr:colOff>
      <xdr:row>1553</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1554</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1555</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28575</xdr:rowOff>
    </xdr:from>
    <xdr:to>
      <xdr:col>3</xdr:col>
      <xdr:colOff>1552575</xdr:colOff>
      <xdr:row>1556</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1557</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1558</xdr:row>
      <xdr:rowOff>28575</xdr:rowOff>
    </xdr:from>
    <xdr:to>
      <xdr:col>3</xdr:col>
      <xdr:colOff>1552575</xdr:colOff>
      <xdr:row>1558</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1559</xdr:row>
      <xdr:rowOff>28575</xdr:rowOff>
    </xdr:from>
    <xdr:to>
      <xdr:col>3</xdr:col>
      <xdr:colOff>1552575</xdr:colOff>
      <xdr:row>1561</xdr:row>
      <xdr:rowOff>419100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1564</xdr:row>
      <xdr:rowOff>419100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1565</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1568</xdr:row>
      <xdr:rowOff>419100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28575</xdr:rowOff>
    </xdr:from>
    <xdr:to>
      <xdr:col>3</xdr:col>
      <xdr:colOff>1552575</xdr:colOff>
      <xdr:row>1569</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1570</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1571</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1572</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1573</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28575</xdr:rowOff>
    </xdr:from>
    <xdr:to>
      <xdr:col>3</xdr:col>
      <xdr:colOff>1552575</xdr:colOff>
      <xdr:row>1574</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38100</xdr:rowOff>
    </xdr:from>
    <xdr:to>
      <xdr:col>3</xdr:col>
      <xdr:colOff>1552575</xdr:colOff>
      <xdr:row>1577</xdr:row>
      <xdr:rowOff>638175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1578</xdr:row>
      <xdr:rowOff>38100</xdr:rowOff>
    </xdr:from>
    <xdr:to>
      <xdr:col>3</xdr:col>
      <xdr:colOff>1552575</xdr:colOff>
      <xdr:row>1579</xdr:row>
      <xdr:rowOff>638175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38100</xdr:rowOff>
    </xdr:from>
    <xdr:to>
      <xdr:col>3</xdr:col>
      <xdr:colOff>1552575</xdr:colOff>
      <xdr:row>1581</xdr:row>
      <xdr:rowOff>638175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1582</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1583</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38100</xdr:rowOff>
    </xdr:from>
    <xdr:to>
      <xdr:col>3</xdr:col>
      <xdr:colOff>1552575</xdr:colOff>
      <xdr:row>1585</xdr:row>
      <xdr:rowOff>638175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1586</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1587</xdr:row>
      <xdr:rowOff>28575</xdr:rowOff>
    </xdr:from>
    <xdr:to>
      <xdr:col>3</xdr:col>
      <xdr:colOff>1552575</xdr:colOff>
      <xdr:row>1587</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1590</xdr:row>
      <xdr:rowOff>419100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1591</xdr:row>
      <xdr:rowOff>28575</xdr:rowOff>
    </xdr:from>
    <xdr:to>
      <xdr:col>3</xdr:col>
      <xdr:colOff>1552575</xdr:colOff>
      <xdr:row>1591</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28575</xdr:rowOff>
    </xdr:from>
    <xdr:to>
      <xdr:col>3</xdr:col>
      <xdr:colOff>1552575</xdr:colOff>
      <xdr:row>1592</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1593</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1594</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1595</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28575</xdr:rowOff>
    </xdr:from>
    <xdr:to>
      <xdr:col>3</xdr:col>
      <xdr:colOff>1552575</xdr:colOff>
      <xdr:row>1596</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1597</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1598</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1599</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1600</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1601</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1602</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28575</xdr:rowOff>
    </xdr:from>
    <xdr:to>
      <xdr:col>3</xdr:col>
      <xdr:colOff>1552575</xdr:colOff>
      <xdr:row>1603</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1604</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1605</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28575</xdr:rowOff>
    </xdr:from>
    <xdr:to>
      <xdr:col>3</xdr:col>
      <xdr:colOff>1552575</xdr:colOff>
      <xdr:row>1606</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28575</xdr:rowOff>
    </xdr:from>
    <xdr:to>
      <xdr:col>3</xdr:col>
      <xdr:colOff>1552575</xdr:colOff>
      <xdr:row>1607</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38100</xdr:rowOff>
    </xdr:from>
    <xdr:to>
      <xdr:col>3</xdr:col>
      <xdr:colOff>1552575</xdr:colOff>
      <xdr:row>1609</xdr:row>
      <xdr:rowOff>638175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1610</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1611</xdr:row>
      <xdr:rowOff>28575</xdr:rowOff>
    </xdr:from>
    <xdr:to>
      <xdr:col>3</xdr:col>
      <xdr:colOff>1552575</xdr:colOff>
      <xdr:row>1611</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28575</xdr:rowOff>
    </xdr:from>
    <xdr:to>
      <xdr:col>3</xdr:col>
      <xdr:colOff>1552575</xdr:colOff>
      <xdr:row>1612</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38100</xdr:rowOff>
    </xdr:from>
    <xdr:to>
      <xdr:col>3</xdr:col>
      <xdr:colOff>1552575</xdr:colOff>
      <xdr:row>1614</xdr:row>
      <xdr:rowOff>638175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38100</xdr:rowOff>
    </xdr:from>
    <xdr:to>
      <xdr:col>3</xdr:col>
      <xdr:colOff>1552575</xdr:colOff>
      <xdr:row>1616</xdr:row>
      <xdr:rowOff>638175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1617</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1618</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38100</xdr:rowOff>
    </xdr:from>
    <xdr:to>
      <xdr:col>3</xdr:col>
      <xdr:colOff>1552575</xdr:colOff>
      <xdr:row>1620</xdr:row>
      <xdr:rowOff>638175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1621</xdr:row>
      <xdr:rowOff>28575</xdr:rowOff>
    </xdr:from>
    <xdr:to>
      <xdr:col>3</xdr:col>
      <xdr:colOff>1552575</xdr:colOff>
      <xdr:row>1621</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1622</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1623</xdr:row>
      <xdr:rowOff>28575</xdr:rowOff>
    </xdr:from>
    <xdr:to>
      <xdr:col>3</xdr:col>
      <xdr:colOff>1552575</xdr:colOff>
      <xdr:row>1623</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1626</xdr:row>
      <xdr:rowOff>419100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38100</xdr:rowOff>
    </xdr:from>
    <xdr:to>
      <xdr:col>3</xdr:col>
      <xdr:colOff>1552575</xdr:colOff>
      <xdr:row>1628</xdr:row>
      <xdr:rowOff>638175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28575</xdr:rowOff>
    </xdr:from>
    <xdr:to>
      <xdr:col>3</xdr:col>
      <xdr:colOff>1552575</xdr:colOff>
      <xdr:row>1629</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38100</xdr:rowOff>
    </xdr:from>
    <xdr:to>
      <xdr:col>3</xdr:col>
      <xdr:colOff>1552575</xdr:colOff>
      <xdr:row>1631</xdr:row>
      <xdr:rowOff>638175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1632</xdr:row>
      <xdr:rowOff>28575</xdr:rowOff>
    </xdr:from>
    <xdr:to>
      <xdr:col>3</xdr:col>
      <xdr:colOff>1552575</xdr:colOff>
      <xdr:row>1632</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1633</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28575</xdr:rowOff>
    </xdr:from>
    <xdr:to>
      <xdr:col>3</xdr:col>
      <xdr:colOff>1552575</xdr:colOff>
      <xdr:row>1634</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38100</xdr:rowOff>
    </xdr:from>
    <xdr:to>
      <xdr:col>3</xdr:col>
      <xdr:colOff>1552575</xdr:colOff>
      <xdr:row>1636</xdr:row>
      <xdr:rowOff>638175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1637</xdr:row>
      <xdr:rowOff>38100</xdr:rowOff>
    </xdr:from>
    <xdr:to>
      <xdr:col>3</xdr:col>
      <xdr:colOff>1552575</xdr:colOff>
      <xdr:row>1638</xdr:row>
      <xdr:rowOff>638175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1639</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1640</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1641</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1642</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1643</xdr:row>
      <xdr:rowOff>38100</xdr:rowOff>
    </xdr:from>
    <xdr:to>
      <xdr:col>3</xdr:col>
      <xdr:colOff>1552575</xdr:colOff>
      <xdr:row>1644</xdr:row>
      <xdr:rowOff>638175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1645</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1646</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1647</xdr:row>
      <xdr:rowOff>28575</xdr:rowOff>
    </xdr:from>
    <xdr:to>
      <xdr:col>3</xdr:col>
      <xdr:colOff>1552575</xdr:colOff>
      <xdr:row>1647</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1650</xdr:row>
      <xdr:rowOff>419100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28575</xdr:rowOff>
    </xdr:from>
    <xdr:to>
      <xdr:col>3</xdr:col>
      <xdr:colOff>1552575</xdr:colOff>
      <xdr:row>1651</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1652</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28575</xdr:rowOff>
    </xdr:from>
    <xdr:to>
      <xdr:col>3</xdr:col>
      <xdr:colOff>1552575</xdr:colOff>
      <xdr:row>1653</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1654</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1655</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1656</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1657</xdr:row>
      <xdr:rowOff>28575</xdr:rowOff>
    </xdr:from>
    <xdr:to>
      <xdr:col>3</xdr:col>
      <xdr:colOff>1552575</xdr:colOff>
      <xdr:row>1657</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1658</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38100</xdr:rowOff>
    </xdr:from>
    <xdr:to>
      <xdr:col>3</xdr:col>
      <xdr:colOff>1552575</xdr:colOff>
      <xdr:row>1660</xdr:row>
      <xdr:rowOff>638175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1661</xdr:row>
      <xdr:rowOff>28575</xdr:rowOff>
    </xdr:from>
    <xdr:to>
      <xdr:col>3</xdr:col>
      <xdr:colOff>1552575</xdr:colOff>
      <xdr:row>1661</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1662</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28575</xdr:rowOff>
    </xdr:from>
    <xdr:to>
      <xdr:col>3</xdr:col>
      <xdr:colOff>1552575</xdr:colOff>
      <xdr:row>1663</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28575</xdr:rowOff>
    </xdr:from>
    <xdr:to>
      <xdr:col>3</xdr:col>
      <xdr:colOff>1552575</xdr:colOff>
      <xdr:row>1664</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1665</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1666</xdr:row>
      <xdr:rowOff>28575</xdr:rowOff>
    </xdr:from>
    <xdr:to>
      <xdr:col>3</xdr:col>
      <xdr:colOff>1552575</xdr:colOff>
      <xdr:row>1666</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1667</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1668</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1669</xdr:row>
      <xdr:rowOff>28575</xdr:rowOff>
    </xdr:from>
    <xdr:to>
      <xdr:col>3</xdr:col>
      <xdr:colOff>1552575</xdr:colOff>
      <xdr:row>1669</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1670</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38100</xdr:rowOff>
    </xdr:from>
    <xdr:to>
      <xdr:col>3</xdr:col>
      <xdr:colOff>1552575</xdr:colOff>
      <xdr:row>1672</xdr:row>
      <xdr:rowOff>638175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28575</xdr:rowOff>
    </xdr:from>
    <xdr:to>
      <xdr:col>3</xdr:col>
      <xdr:colOff>1552575</xdr:colOff>
      <xdr:row>1673</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1674</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28575</xdr:rowOff>
    </xdr:from>
    <xdr:to>
      <xdr:col>3</xdr:col>
      <xdr:colOff>1552575</xdr:colOff>
      <xdr:row>1680</xdr:row>
      <xdr:rowOff>209550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38100</xdr:rowOff>
    </xdr:from>
    <xdr:to>
      <xdr:col>3</xdr:col>
      <xdr:colOff>1552575</xdr:colOff>
      <xdr:row>1682</xdr:row>
      <xdr:rowOff>638175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1683</xdr:row>
      <xdr:rowOff>28575</xdr:rowOff>
    </xdr:from>
    <xdr:to>
      <xdr:col>3</xdr:col>
      <xdr:colOff>1552575</xdr:colOff>
      <xdr:row>1687</xdr:row>
      <xdr:rowOff>333375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1688</xdr:row>
      <xdr:rowOff>38100</xdr:rowOff>
    </xdr:from>
    <xdr:to>
      <xdr:col>3</xdr:col>
      <xdr:colOff>1552575</xdr:colOff>
      <xdr:row>1689</xdr:row>
      <xdr:rowOff>638175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1690</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28575</xdr:rowOff>
    </xdr:from>
    <xdr:to>
      <xdr:col>3</xdr:col>
      <xdr:colOff>1552575</xdr:colOff>
      <xdr:row>1691</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1692</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1693</xdr:row>
      <xdr:rowOff>28575</xdr:rowOff>
    </xdr:from>
    <xdr:to>
      <xdr:col>3</xdr:col>
      <xdr:colOff>1552575</xdr:colOff>
      <xdr:row>1693</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1694</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1695</xdr:row>
      <xdr:rowOff>28575</xdr:rowOff>
    </xdr:from>
    <xdr:to>
      <xdr:col>3</xdr:col>
      <xdr:colOff>1552575</xdr:colOff>
      <xdr:row>1695</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1696</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1697</xdr:row>
      <xdr:rowOff>28575</xdr:rowOff>
    </xdr:from>
    <xdr:to>
      <xdr:col>3</xdr:col>
      <xdr:colOff>1552575</xdr:colOff>
      <xdr:row>1701</xdr:row>
      <xdr:rowOff>333375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38100</xdr:rowOff>
    </xdr:from>
    <xdr:to>
      <xdr:col>3</xdr:col>
      <xdr:colOff>1552575</xdr:colOff>
      <xdr:row>1703</xdr:row>
      <xdr:rowOff>638175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28575</xdr:rowOff>
    </xdr:from>
    <xdr:to>
      <xdr:col>3</xdr:col>
      <xdr:colOff>1552575</xdr:colOff>
      <xdr:row>1709</xdr:row>
      <xdr:rowOff>209550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28575</xdr:rowOff>
    </xdr:from>
    <xdr:to>
      <xdr:col>3</xdr:col>
      <xdr:colOff>1552575</xdr:colOff>
      <xdr:row>1713</xdr:row>
      <xdr:rowOff>209550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1722</xdr:row>
      <xdr:rowOff>133350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28575</xdr:rowOff>
    </xdr:from>
    <xdr:to>
      <xdr:col>3</xdr:col>
      <xdr:colOff>1552575</xdr:colOff>
      <xdr:row>1730</xdr:row>
      <xdr:rowOff>333375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1734</xdr:row>
      <xdr:rowOff>209550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38100</xdr:rowOff>
    </xdr:from>
    <xdr:to>
      <xdr:col>3</xdr:col>
      <xdr:colOff>1552575</xdr:colOff>
      <xdr:row>1736</xdr:row>
      <xdr:rowOff>638175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28575</xdr:rowOff>
    </xdr:from>
    <xdr:to>
      <xdr:col>3</xdr:col>
      <xdr:colOff>1552575</xdr:colOff>
      <xdr:row>1737</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28575</xdr:rowOff>
    </xdr:from>
    <xdr:to>
      <xdr:col>3</xdr:col>
      <xdr:colOff>1552575</xdr:colOff>
      <xdr:row>1742</xdr:row>
      <xdr:rowOff>333375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1743</xdr:row>
      <xdr:rowOff>28575</xdr:rowOff>
    </xdr:from>
    <xdr:to>
      <xdr:col>3</xdr:col>
      <xdr:colOff>1552575</xdr:colOff>
      <xdr:row>1745</xdr:row>
      <xdr:rowOff>419100</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1750</xdr:row>
      <xdr:rowOff>333375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38100</xdr:rowOff>
    </xdr:from>
    <xdr:to>
      <xdr:col>3</xdr:col>
      <xdr:colOff>1552575</xdr:colOff>
      <xdr:row>1752</xdr:row>
      <xdr:rowOff>638175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1753</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1758</xdr:row>
      <xdr:rowOff>333375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1762</xdr:row>
      <xdr:rowOff>209550</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28575</xdr:rowOff>
    </xdr:from>
    <xdr:to>
      <xdr:col>3</xdr:col>
      <xdr:colOff>1552575</xdr:colOff>
      <xdr:row>1766</xdr:row>
      <xdr:rowOff>209550</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38100</xdr:rowOff>
    </xdr:from>
    <xdr:to>
      <xdr:col>3</xdr:col>
      <xdr:colOff>1552575</xdr:colOff>
      <xdr:row>1768</xdr:row>
      <xdr:rowOff>638175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1772</xdr:row>
      <xdr:rowOff>209550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38100</xdr:rowOff>
    </xdr:from>
    <xdr:to>
      <xdr:col>3</xdr:col>
      <xdr:colOff>1552575</xdr:colOff>
      <xdr:row>1774</xdr:row>
      <xdr:rowOff>638175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1775</xdr:row>
      <xdr:rowOff>28575</xdr:rowOff>
    </xdr:from>
    <xdr:to>
      <xdr:col>3</xdr:col>
      <xdr:colOff>1552575</xdr:colOff>
      <xdr:row>1782</xdr:row>
      <xdr:rowOff>152400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1783</xdr:row>
      <xdr:rowOff>28575</xdr:rowOff>
    </xdr:from>
    <xdr:to>
      <xdr:col>3</xdr:col>
      <xdr:colOff>1552575</xdr:colOff>
      <xdr:row>1785</xdr:row>
      <xdr:rowOff>419100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1786</xdr:row>
      <xdr:rowOff>28575</xdr:rowOff>
    </xdr:from>
    <xdr:to>
      <xdr:col>3</xdr:col>
      <xdr:colOff>1552575</xdr:colOff>
      <xdr:row>1790</xdr:row>
      <xdr:rowOff>333375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1791</xdr:row>
      <xdr:rowOff>28575</xdr:rowOff>
    </xdr:from>
    <xdr:to>
      <xdr:col>3</xdr:col>
      <xdr:colOff>1552575</xdr:colOff>
      <xdr:row>1794</xdr:row>
      <xdr:rowOff>209550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1799</xdr:row>
      <xdr:rowOff>333375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1800</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1801</xdr:row>
      <xdr:rowOff>28575</xdr:rowOff>
    </xdr:from>
    <xdr:to>
      <xdr:col>3</xdr:col>
      <xdr:colOff>1552575</xdr:colOff>
      <xdr:row>1803</xdr:row>
      <xdr:rowOff>419100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1804</xdr:row>
      <xdr:rowOff>28575</xdr:rowOff>
    </xdr:from>
    <xdr:to>
      <xdr:col>3</xdr:col>
      <xdr:colOff>1552575</xdr:colOff>
      <xdr:row>1806</xdr:row>
      <xdr:rowOff>419100</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1807</xdr:row>
      <xdr:rowOff>28575</xdr:rowOff>
    </xdr:from>
    <xdr:to>
      <xdr:col>3</xdr:col>
      <xdr:colOff>1552575</xdr:colOff>
      <xdr:row>1807</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1810</xdr:row>
      <xdr:rowOff>419100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1814</xdr:row>
      <xdr:rowOff>209550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1815</xdr:row>
      <xdr:rowOff>28575</xdr:rowOff>
    </xdr:from>
    <xdr:to>
      <xdr:col>3</xdr:col>
      <xdr:colOff>1552575</xdr:colOff>
      <xdr:row>1819</xdr:row>
      <xdr:rowOff>333375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38100</xdr:rowOff>
    </xdr:from>
    <xdr:to>
      <xdr:col>3</xdr:col>
      <xdr:colOff>1552575</xdr:colOff>
      <xdr:row>1821</xdr:row>
      <xdr:rowOff>638175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1822</xdr:row>
      <xdr:rowOff>28575</xdr:rowOff>
    </xdr:from>
    <xdr:to>
      <xdr:col>3</xdr:col>
      <xdr:colOff>1552575</xdr:colOff>
      <xdr:row>1824</xdr:row>
      <xdr:rowOff>419100</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28575</xdr:rowOff>
    </xdr:from>
    <xdr:to>
      <xdr:col>3</xdr:col>
      <xdr:colOff>1552575</xdr:colOff>
      <xdr:row>1827</xdr:row>
      <xdr:rowOff>419100</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28575</xdr:rowOff>
    </xdr:from>
    <xdr:to>
      <xdr:col>3</xdr:col>
      <xdr:colOff>1552575</xdr:colOff>
      <xdr:row>1832</xdr:row>
      <xdr:rowOff>333375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1833</xdr:row>
      <xdr:rowOff>28575</xdr:rowOff>
    </xdr:from>
    <xdr:to>
      <xdr:col>3</xdr:col>
      <xdr:colOff>1552575</xdr:colOff>
      <xdr:row>1838</xdr:row>
      <xdr:rowOff>209550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1839</xdr:row>
      <xdr:rowOff>28575</xdr:rowOff>
    </xdr:from>
    <xdr:to>
      <xdr:col>3</xdr:col>
      <xdr:colOff>1552575</xdr:colOff>
      <xdr:row>1841</xdr:row>
      <xdr:rowOff>419100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28575</xdr:rowOff>
    </xdr:from>
    <xdr:to>
      <xdr:col>3</xdr:col>
      <xdr:colOff>1552575</xdr:colOff>
      <xdr:row>1842</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1843</xdr:row>
      <xdr:rowOff>38100</xdr:rowOff>
    </xdr:from>
    <xdr:to>
      <xdr:col>3</xdr:col>
      <xdr:colOff>1552575</xdr:colOff>
      <xdr:row>1844</xdr:row>
      <xdr:rowOff>638175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1845</xdr:row>
      <xdr:rowOff>28575</xdr:rowOff>
    </xdr:from>
    <xdr:to>
      <xdr:col>3</xdr:col>
      <xdr:colOff>1552575</xdr:colOff>
      <xdr:row>1850</xdr:row>
      <xdr:rowOff>209550</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1854</xdr:row>
      <xdr:rowOff>209550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1855</xdr:row>
      <xdr:rowOff>28575</xdr:rowOff>
    </xdr:from>
    <xdr:to>
      <xdr:col>3</xdr:col>
      <xdr:colOff>1552575</xdr:colOff>
      <xdr:row>1860</xdr:row>
      <xdr:rowOff>209550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1864</xdr:row>
      <xdr:rowOff>209550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1867</xdr:row>
      <xdr:rowOff>419100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1868</xdr:row>
      <xdr:rowOff>28575</xdr:rowOff>
    </xdr:from>
    <xdr:to>
      <xdr:col>3</xdr:col>
      <xdr:colOff>1552575</xdr:colOff>
      <xdr:row>1868</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1869</xdr:row>
      <xdr:rowOff>38100</xdr:rowOff>
    </xdr:from>
    <xdr:to>
      <xdr:col>3</xdr:col>
      <xdr:colOff>1552575</xdr:colOff>
      <xdr:row>1870</xdr:row>
      <xdr:rowOff>638175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38100</xdr:rowOff>
    </xdr:from>
    <xdr:to>
      <xdr:col>3</xdr:col>
      <xdr:colOff>1552575</xdr:colOff>
      <xdr:row>1872</xdr:row>
      <xdr:rowOff>638175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38100</xdr:rowOff>
    </xdr:from>
    <xdr:to>
      <xdr:col>3</xdr:col>
      <xdr:colOff>1552575</xdr:colOff>
      <xdr:row>1874</xdr:row>
      <xdr:rowOff>638175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28575</xdr:rowOff>
    </xdr:from>
    <xdr:to>
      <xdr:col>3</xdr:col>
      <xdr:colOff>1552575</xdr:colOff>
      <xdr:row>1877</xdr:row>
      <xdr:rowOff>419100</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28575</xdr:rowOff>
    </xdr:from>
    <xdr:to>
      <xdr:col>3</xdr:col>
      <xdr:colOff>1552575</xdr:colOff>
      <xdr:row>1881</xdr:row>
      <xdr:rowOff>209550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1882</xdr:row>
      <xdr:rowOff>28575</xdr:rowOff>
    </xdr:from>
    <xdr:to>
      <xdr:col>3</xdr:col>
      <xdr:colOff>1552575</xdr:colOff>
      <xdr:row>1882</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1883</xdr:row>
      <xdr:rowOff>28575</xdr:rowOff>
    </xdr:from>
    <xdr:to>
      <xdr:col>3</xdr:col>
      <xdr:colOff>1552575</xdr:colOff>
      <xdr:row>1883</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28575</xdr:rowOff>
    </xdr:from>
    <xdr:to>
      <xdr:col>3</xdr:col>
      <xdr:colOff>1552575</xdr:colOff>
      <xdr:row>1890</xdr:row>
      <xdr:rowOff>171450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38100</xdr:rowOff>
    </xdr:from>
    <xdr:to>
      <xdr:col>3</xdr:col>
      <xdr:colOff>1552575</xdr:colOff>
      <xdr:row>1892</xdr:row>
      <xdr:rowOff>638175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1893</xdr:row>
      <xdr:rowOff>28575</xdr:rowOff>
    </xdr:from>
    <xdr:to>
      <xdr:col>3</xdr:col>
      <xdr:colOff>1552575</xdr:colOff>
      <xdr:row>1896</xdr:row>
      <xdr:rowOff>209550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1901</xdr:row>
      <xdr:rowOff>333375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28575</xdr:rowOff>
    </xdr:from>
    <xdr:to>
      <xdr:col>3</xdr:col>
      <xdr:colOff>1552575</xdr:colOff>
      <xdr:row>1905</xdr:row>
      <xdr:rowOff>209550</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1908</xdr:row>
      <xdr:rowOff>419100</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1909</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1913</xdr:row>
      <xdr:rowOff>209550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1920</xdr:row>
      <xdr:rowOff>171450</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1926</xdr:row>
      <xdr:rowOff>209550</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1927</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38100</xdr:rowOff>
    </xdr:from>
    <xdr:to>
      <xdr:col>3</xdr:col>
      <xdr:colOff>1552575</xdr:colOff>
      <xdr:row>1929</xdr:row>
      <xdr:rowOff>638175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28575</xdr:rowOff>
    </xdr:from>
    <xdr:to>
      <xdr:col>3</xdr:col>
      <xdr:colOff>1552575</xdr:colOff>
      <xdr:row>1930</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38100</xdr:rowOff>
    </xdr:from>
    <xdr:to>
      <xdr:col>3</xdr:col>
      <xdr:colOff>1552575</xdr:colOff>
      <xdr:row>1932</xdr:row>
      <xdr:rowOff>638175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38100</xdr:rowOff>
    </xdr:from>
    <xdr:to>
      <xdr:col>3</xdr:col>
      <xdr:colOff>1552575</xdr:colOff>
      <xdr:row>1934</xdr:row>
      <xdr:rowOff>638175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38100</xdr:rowOff>
    </xdr:from>
    <xdr:to>
      <xdr:col>3</xdr:col>
      <xdr:colOff>1552575</xdr:colOff>
      <xdr:row>1936</xdr:row>
      <xdr:rowOff>638175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38100</xdr:rowOff>
    </xdr:from>
    <xdr:to>
      <xdr:col>3</xdr:col>
      <xdr:colOff>1552575</xdr:colOff>
      <xdr:row>1938</xdr:row>
      <xdr:rowOff>638175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1939</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1940</xdr:row>
      <xdr:rowOff>38100</xdr:rowOff>
    </xdr:from>
    <xdr:to>
      <xdr:col>3</xdr:col>
      <xdr:colOff>1552575</xdr:colOff>
      <xdr:row>1941</xdr:row>
      <xdr:rowOff>638175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1942</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38100</xdr:rowOff>
    </xdr:from>
    <xdr:to>
      <xdr:col>3</xdr:col>
      <xdr:colOff>1552575</xdr:colOff>
      <xdr:row>1944</xdr:row>
      <xdr:rowOff>638175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1949</xdr:row>
      <xdr:rowOff>333375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1952</xdr:row>
      <xdr:rowOff>419100</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1955</xdr:row>
      <xdr:rowOff>419100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1959</xdr:row>
      <xdr:rowOff>209550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1966</xdr:row>
      <xdr:rowOff>171450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28575</xdr:rowOff>
    </xdr:from>
    <xdr:to>
      <xdr:col>3</xdr:col>
      <xdr:colOff>1552575</xdr:colOff>
      <xdr:row>1969</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1970</xdr:row>
      <xdr:rowOff>28575</xdr:rowOff>
    </xdr:from>
    <xdr:to>
      <xdr:col>3</xdr:col>
      <xdr:colOff>1552575</xdr:colOff>
      <xdr:row>1973</xdr:row>
      <xdr:rowOff>209550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1977</xdr:row>
      <xdr:rowOff>209550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1978</xdr:row>
      <xdr:rowOff>28575</xdr:rowOff>
    </xdr:from>
    <xdr:to>
      <xdr:col>3</xdr:col>
      <xdr:colOff>1552575</xdr:colOff>
      <xdr:row>1981</xdr:row>
      <xdr:rowOff>209550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38100</xdr:rowOff>
    </xdr:from>
    <xdr:to>
      <xdr:col>3</xdr:col>
      <xdr:colOff>1552575</xdr:colOff>
      <xdr:row>1983</xdr:row>
      <xdr:rowOff>638175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1984</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28575</xdr:rowOff>
    </xdr:from>
    <xdr:to>
      <xdr:col>3</xdr:col>
      <xdr:colOff>1552575</xdr:colOff>
      <xdr:row>1985</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28575</xdr:rowOff>
    </xdr:from>
    <xdr:to>
      <xdr:col>3</xdr:col>
      <xdr:colOff>1552575</xdr:colOff>
      <xdr:row>1986</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1987</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1991</xdr:row>
      <xdr:rowOff>209550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1992</xdr:row>
      <xdr:rowOff>28575</xdr:rowOff>
    </xdr:from>
    <xdr:to>
      <xdr:col>3</xdr:col>
      <xdr:colOff>1552575</xdr:colOff>
      <xdr:row>1992</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28575</xdr:rowOff>
    </xdr:from>
    <xdr:to>
      <xdr:col>3</xdr:col>
      <xdr:colOff>1552575</xdr:colOff>
      <xdr:row>1993</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2002</xdr:row>
      <xdr:rowOff>133350</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28575</xdr:rowOff>
    </xdr:from>
    <xdr:to>
      <xdr:col>3</xdr:col>
      <xdr:colOff>1552575</xdr:colOff>
      <xdr:row>2007</xdr:row>
      <xdr:rowOff>333375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28575</xdr:rowOff>
    </xdr:from>
    <xdr:to>
      <xdr:col>3</xdr:col>
      <xdr:colOff>1552575</xdr:colOff>
      <xdr:row>2010</xdr:row>
      <xdr:rowOff>419100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2019</xdr:row>
      <xdr:rowOff>133350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2028</xdr:row>
      <xdr:rowOff>152400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2029</xdr:row>
      <xdr:rowOff>28575</xdr:rowOff>
    </xdr:from>
    <xdr:to>
      <xdr:col>3</xdr:col>
      <xdr:colOff>1552575</xdr:colOff>
      <xdr:row>2032</xdr:row>
      <xdr:rowOff>209550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28575</xdr:rowOff>
    </xdr:from>
    <xdr:to>
      <xdr:col>3</xdr:col>
      <xdr:colOff>1552575</xdr:colOff>
      <xdr:row>2033</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2034</xdr:row>
      <xdr:rowOff>28575</xdr:rowOff>
    </xdr:from>
    <xdr:to>
      <xdr:col>3</xdr:col>
      <xdr:colOff>1552575</xdr:colOff>
      <xdr:row>2038</xdr:row>
      <xdr:rowOff>333375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2039</xdr:row>
      <xdr:rowOff>28575</xdr:rowOff>
    </xdr:from>
    <xdr:to>
      <xdr:col>3</xdr:col>
      <xdr:colOff>1552575</xdr:colOff>
      <xdr:row>2039</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2040</xdr:row>
      <xdr:rowOff>28575</xdr:rowOff>
    </xdr:from>
    <xdr:to>
      <xdr:col>3</xdr:col>
      <xdr:colOff>1552575</xdr:colOff>
      <xdr:row>2044</xdr:row>
      <xdr:rowOff>333375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38100</xdr:rowOff>
    </xdr:from>
    <xdr:to>
      <xdr:col>3</xdr:col>
      <xdr:colOff>1552575</xdr:colOff>
      <xdr:row>2046</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2047</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38100</xdr:rowOff>
    </xdr:from>
    <xdr:to>
      <xdr:col>3</xdr:col>
      <xdr:colOff>1552575</xdr:colOff>
      <xdr:row>2049</xdr:row>
      <xdr:rowOff>638175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2053</xdr:row>
      <xdr:rowOff>209550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38100</xdr:rowOff>
    </xdr:from>
    <xdr:to>
      <xdr:col>3</xdr:col>
      <xdr:colOff>1552575</xdr:colOff>
      <xdr:row>2055</xdr:row>
      <xdr:rowOff>638175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2056</xdr:row>
      <xdr:rowOff>28575</xdr:rowOff>
    </xdr:from>
    <xdr:to>
      <xdr:col>3</xdr:col>
      <xdr:colOff>1552575</xdr:colOff>
      <xdr:row>2058</xdr:row>
      <xdr:rowOff>419100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2063</xdr:row>
      <xdr:rowOff>333375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2064</xdr:row>
      <xdr:rowOff>38100</xdr:rowOff>
    </xdr:from>
    <xdr:to>
      <xdr:col>3</xdr:col>
      <xdr:colOff>1552575</xdr:colOff>
      <xdr:row>2065</xdr:row>
      <xdr:rowOff>638175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28575</xdr:rowOff>
    </xdr:from>
    <xdr:to>
      <xdr:col>3</xdr:col>
      <xdr:colOff>1552575</xdr:colOff>
      <xdr:row>2066</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2067</xdr:row>
      <xdr:rowOff>28575</xdr:rowOff>
    </xdr:from>
    <xdr:to>
      <xdr:col>3</xdr:col>
      <xdr:colOff>1552575</xdr:colOff>
      <xdr:row>2071</xdr:row>
      <xdr:rowOff>333375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2079</xdr:row>
      <xdr:rowOff>152400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38100</xdr:rowOff>
    </xdr:from>
    <xdr:to>
      <xdr:col>3</xdr:col>
      <xdr:colOff>1552575</xdr:colOff>
      <xdr:row>2081</xdr:row>
      <xdr:rowOff>638175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2084</xdr:row>
      <xdr:rowOff>419100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2087</xdr:row>
      <xdr:rowOff>419100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2095</xdr:row>
      <xdr:rowOff>152400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28575</xdr:rowOff>
    </xdr:from>
    <xdr:to>
      <xdr:col>3</xdr:col>
      <xdr:colOff>1552575</xdr:colOff>
      <xdr:row>2098</xdr:row>
      <xdr:rowOff>419100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2099</xdr:row>
      <xdr:rowOff>28575</xdr:rowOff>
    </xdr:from>
    <xdr:to>
      <xdr:col>3</xdr:col>
      <xdr:colOff>1552575</xdr:colOff>
      <xdr:row>2101</xdr:row>
      <xdr:rowOff>419100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2102</xdr:row>
      <xdr:rowOff>28575</xdr:rowOff>
    </xdr:from>
    <xdr:to>
      <xdr:col>3</xdr:col>
      <xdr:colOff>1552575</xdr:colOff>
      <xdr:row>2108</xdr:row>
      <xdr:rowOff>171450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28575</xdr:rowOff>
    </xdr:from>
    <xdr:to>
      <xdr:col>3</xdr:col>
      <xdr:colOff>1552575</xdr:colOff>
      <xdr:row>2114</xdr:row>
      <xdr:rowOff>209550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38100</xdr:rowOff>
    </xdr:from>
    <xdr:to>
      <xdr:col>3</xdr:col>
      <xdr:colOff>1552575</xdr:colOff>
      <xdr:row>2116</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2120</xdr:row>
      <xdr:rowOff>209550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2126</xdr:row>
      <xdr:rowOff>209550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28575</xdr:rowOff>
    </xdr:from>
    <xdr:to>
      <xdr:col>3</xdr:col>
      <xdr:colOff>1552575</xdr:colOff>
      <xdr:row>2132</xdr:row>
      <xdr:rowOff>209550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28575</xdr:rowOff>
    </xdr:from>
    <xdr:to>
      <xdr:col>3</xdr:col>
      <xdr:colOff>1552575</xdr:colOff>
      <xdr:row>2133</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2134</xdr:row>
      <xdr:rowOff>38100</xdr:rowOff>
    </xdr:from>
    <xdr:to>
      <xdr:col>3</xdr:col>
      <xdr:colOff>1552575</xdr:colOff>
      <xdr:row>2135</xdr:row>
      <xdr:rowOff>638175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2136</xdr:row>
      <xdr:rowOff>38100</xdr:rowOff>
    </xdr:from>
    <xdr:to>
      <xdr:col>3</xdr:col>
      <xdr:colOff>1552575</xdr:colOff>
      <xdr:row>2137</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2138</xdr:row>
      <xdr:rowOff>38100</xdr:rowOff>
    </xdr:from>
    <xdr:to>
      <xdr:col>3</xdr:col>
      <xdr:colOff>1552575</xdr:colOff>
      <xdr:row>2139</xdr:row>
      <xdr:rowOff>638175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2142</xdr:row>
      <xdr:rowOff>419100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2143</xdr:row>
      <xdr:rowOff>28575</xdr:rowOff>
    </xdr:from>
    <xdr:to>
      <xdr:col>3</xdr:col>
      <xdr:colOff>1552575</xdr:colOff>
      <xdr:row>2143</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2146</xdr:row>
      <xdr:rowOff>419100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2147</xdr:row>
      <xdr:rowOff>38100</xdr:rowOff>
    </xdr:from>
    <xdr:to>
      <xdr:col>3</xdr:col>
      <xdr:colOff>1552575</xdr:colOff>
      <xdr:row>2148</xdr:row>
      <xdr:rowOff>638175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2152</xdr:row>
      <xdr:rowOff>209550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28575</xdr:rowOff>
    </xdr:from>
    <xdr:to>
      <xdr:col>3</xdr:col>
      <xdr:colOff>1552575</xdr:colOff>
      <xdr:row>2153</xdr:row>
      <xdr:rowOff>1266825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2154</xdr:row>
      <xdr:rowOff>28575</xdr:rowOff>
    </xdr:from>
    <xdr:to>
      <xdr:col>3</xdr:col>
      <xdr:colOff>1552575</xdr:colOff>
      <xdr:row>2161</xdr:row>
      <xdr:rowOff>152400</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2162</xdr:row>
      <xdr:rowOff>28575</xdr:rowOff>
    </xdr:from>
    <xdr:to>
      <xdr:col>3</xdr:col>
      <xdr:colOff>1552575</xdr:colOff>
      <xdr:row>2170</xdr:row>
      <xdr:rowOff>133350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2173</xdr:row>
      <xdr:rowOff>28575</xdr:rowOff>
    </xdr:from>
    <xdr:to>
      <xdr:col>3</xdr:col>
      <xdr:colOff>1552575</xdr:colOff>
      <xdr:row>2180</xdr:row>
      <xdr:rowOff>152400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2189</xdr:row>
      <xdr:rowOff>133350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28575</xdr:rowOff>
    </xdr:from>
    <xdr:to>
      <xdr:col>3</xdr:col>
      <xdr:colOff>1552575</xdr:colOff>
      <xdr:row>2200</xdr:row>
      <xdr:rowOff>133350</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2202</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28575</xdr:rowOff>
    </xdr:from>
    <xdr:to>
      <xdr:col>3</xdr:col>
      <xdr:colOff>1552575</xdr:colOff>
      <xdr:row>2203</xdr:row>
      <xdr:rowOff>1266825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2204</xdr:row>
      <xdr:rowOff>28575</xdr:rowOff>
    </xdr:from>
    <xdr:to>
      <xdr:col>3</xdr:col>
      <xdr:colOff>1552575</xdr:colOff>
      <xdr:row>2208</xdr:row>
      <xdr:rowOff>333375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2209</xdr:row>
      <xdr:rowOff>28575</xdr:rowOff>
    </xdr:from>
    <xdr:to>
      <xdr:col>3</xdr:col>
      <xdr:colOff>1552575</xdr:colOff>
      <xdr:row>2212</xdr:row>
      <xdr:rowOff>209550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2216</xdr:row>
      <xdr:rowOff>209550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2217</xdr:row>
      <xdr:rowOff>38100</xdr:rowOff>
    </xdr:from>
    <xdr:to>
      <xdr:col>3</xdr:col>
      <xdr:colOff>1552575</xdr:colOff>
      <xdr:row>2218</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38100</xdr:rowOff>
    </xdr:from>
    <xdr:to>
      <xdr:col>3</xdr:col>
      <xdr:colOff>1552575</xdr:colOff>
      <xdr:row>2220</xdr:row>
      <xdr:rowOff>638175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2221</xdr:row>
      <xdr:rowOff>28575</xdr:rowOff>
    </xdr:from>
    <xdr:to>
      <xdr:col>3</xdr:col>
      <xdr:colOff>1552575</xdr:colOff>
      <xdr:row>2221</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2225</xdr:row>
      <xdr:rowOff>209550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2226</xdr:row>
      <xdr:rowOff>28575</xdr:rowOff>
    </xdr:from>
    <xdr:to>
      <xdr:col>3</xdr:col>
      <xdr:colOff>1552575</xdr:colOff>
      <xdr:row>2226</xdr:row>
      <xdr:rowOff>1266825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38100</xdr:rowOff>
    </xdr:from>
    <xdr:to>
      <xdr:col>3</xdr:col>
      <xdr:colOff>1552575</xdr:colOff>
      <xdr:row>2228</xdr:row>
      <xdr:rowOff>638175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2229</xdr:row>
      <xdr:rowOff>28575</xdr:rowOff>
    </xdr:from>
    <xdr:to>
      <xdr:col>3</xdr:col>
      <xdr:colOff>1552575</xdr:colOff>
      <xdr:row>2232</xdr:row>
      <xdr:rowOff>209550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2236</xdr:row>
      <xdr:rowOff>209550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2237</xdr:row>
      <xdr:rowOff>28575</xdr:rowOff>
    </xdr:from>
    <xdr:to>
      <xdr:col>3</xdr:col>
      <xdr:colOff>1552575</xdr:colOff>
      <xdr:row>2237</xdr:row>
      <xdr:rowOff>1266825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2238</xdr:row>
      <xdr:rowOff>28575</xdr:rowOff>
    </xdr:from>
    <xdr:to>
      <xdr:col>3</xdr:col>
      <xdr:colOff>1552575</xdr:colOff>
      <xdr:row>2243</xdr:row>
      <xdr:rowOff>209550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2244</xdr:row>
      <xdr:rowOff>28575</xdr:rowOff>
    </xdr:from>
    <xdr:to>
      <xdr:col>3</xdr:col>
      <xdr:colOff>1552575</xdr:colOff>
      <xdr:row>2247</xdr:row>
      <xdr:rowOff>209550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2248</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2249</xdr:row>
      <xdr:rowOff>28575</xdr:rowOff>
    </xdr:from>
    <xdr:to>
      <xdr:col>3</xdr:col>
      <xdr:colOff>1552575</xdr:colOff>
      <xdr:row>2257</xdr:row>
      <xdr:rowOff>133350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2258</xdr:row>
      <xdr:rowOff>28575</xdr:rowOff>
    </xdr:from>
    <xdr:to>
      <xdr:col>3</xdr:col>
      <xdr:colOff>1552575</xdr:colOff>
      <xdr:row>2261</xdr:row>
      <xdr:rowOff>209550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2262</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2263</xdr:row>
      <xdr:rowOff>28575</xdr:rowOff>
    </xdr:from>
    <xdr:to>
      <xdr:col>3</xdr:col>
      <xdr:colOff>1552575</xdr:colOff>
      <xdr:row>2263</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38100</xdr:rowOff>
    </xdr:from>
    <xdr:to>
      <xdr:col>3</xdr:col>
      <xdr:colOff>1552575</xdr:colOff>
      <xdr:row>2265</xdr:row>
      <xdr:rowOff>638175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38100</xdr:rowOff>
    </xdr:from>
    <xdr:to>
      <xdr:col>3</xdr:col>
      <xdr:colOff>1552575</xdr:colOff>
      <xdr:row>2267</xdr:row>
      <xdr:rowOff>638175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38100</xdr:rowOff>
    </xdr:from>
    <xdr:to>
      <xdr:col>3</xdr:col>
      <xdr:colOff>1552575</xdr:colOff>
      <xdr:row>2269</xdr:row>
      <xdr:rowOff>638175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2270</xdr:row>
      <xdr:rowOff>28575</xdr:rowOff>
    </xdr:from>
    <xdr:to>
      <xdr:col>3</xdr:col>
      <xdr:colOff>1552575</xdr:colOff>
      <xdr:row>2273</xdr:row>
      <xdr:rowOff>209550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2274</xdr:row>
      <xdr:rowOff>28575</xdr:rowOff>
    </xdr:from>
    <xdr:to>
      <xdr:col>3</xdr:col>
      <xdr:colOff>1552575</xdr:colOff>
      <xdr:row>2279</xdr:row>
      <xdr:rowOff>209550</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2280</xdr:row>
      <xdr:rowOff>28575</xdr:rowOff>
    </xdr:from>
    <xdr:to>
      <xdr:col>3</xdr:col>
      <xdr:colOff>1552575</xdr:colOff>
      <xdr:row>2287</xdr:row>
      <xdr:rowOff>152400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2288</xdr:row>
      <xdr:rowOff>28575</xdr:rowOff>
    </xdr:from>
    <xdr:to>
      <xdr:col>3</xdr:col>
      <xdr:colOff>1552575</xdr:colOff>
      <xdr:row>2294</xdr:row>
      <xdr:rowOff>171450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28575</xdr:rowOff>
    </xdr:from>
    <xdr:to>
      <xdr:col>3</xdr:col>
      <xdr:colOff>1552575</xdr:colOff>
      <xdr:row>2298</xdr:row>
      <xdr:rowOff>209550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2299</xdr:row>
      <xdr:rowOff>38100</xdr:rowOff>
    </xdr:from>
    <xdr:to>
      <xdr:col>3</xdr:col>
      <xdr:colOff>1552575</xdr:colOff>
      <xdr:row>2300</xdr:row>
      <xdr:rowOff>638175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2301</xdr:row>
      <xdr:rowOff>28575</xdr:rowOff>
    </xdr:from>
    <xdr:to>
      <xdr:col>3</xdr:col>
      <xdr:colOff>1552575</xdr:colOff>
      <xdr:row>2303</xdr:row>
      <xdr:rowOff>419100</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38100</xdr:rowOff>
    </xdr:from>
    <xdr:to>
      <xdr:col>3</xdr:col>
      <xdr:colOff>1552575</xdr:colOff>
      <xdr:row>2305</xdr:row>
      <xdr:rowOff>638175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28575</xdr:rowOff>
    </xdr:from>
    <xdr:to>
      <xdr:col>3</xdr:col>
      <xdr:colOff>1552575</xdr:colOff>
      <xdr:row>2306</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2312</xdr:row>
      <xdr:rowOff>209550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2313</xdr:row>
      <xdr:rowOff>38100</xdr:rowOff>
    </xdr:from>
    <xdr:to>
      <xdr:col>3</xdr:col>
      <xdr:colOff>1552575</xdr:colOff>
      <xdr:row>2314</xdr:row>
      <xdr:rowOff>638175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2315</xdr:row>
      <xdr:rowOff>28575</xdr:rowOff>
    </xdr:from>
    <xdr:to>
      <xdr:col>3</xdr:col>
      <xdr:colOff>1552575</xdr:colOff>
      <xdr:row>2317</xdr:row>
      <xdr:rowOff>419100</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38100</xdr:rowOff>
    </xdr:from>
    <xdr:to>
      <xdr:col>3</xdr:col>
      <xdr:colOff>1552575</xdr:colOff>
      <xdr:row>2319</xdr:row>
      <xdr:rowOff>638175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28575</xdr:rowOff>
    </xdr:from>
    <xdr:to>
      <xdr:col>3</xdr:col>
      <xdr:colOff>1552575</xdr:colOff>
      <xdr:row>2323</xdr:row>
      <xdr:rowOff>209550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28575</xdr:rowOff>
    </xdr:from>
    <xdr:to>
      <xdr:col>3</xdr:col>
      <xdr:colOff>1552575</xdr:colOff>
      <xdr:row>2330</xdr:row>
      <xdr:rowOff>171450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2333</xdr:row>
      <xdr:rowOff>419100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2336</xdr:row>
      <xdr:rowOff>419100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28575</xdr:rowOff>
    </xdr:from>
    <xdr:to>
      <xdr:col>3</xdr:col>
      <xdr:colOff>1552575</xdr:colOff>
      <xdr:row>2343</xdr:row>
      <xdr:rowOff>171450</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2344</xdr:row>
      <xdr:rowOff>28575</xdr:rowOff>
    </xdr:from>
    <xdr:to>
      <xdr:col>3</xdr:col>
      <xdr:colOff>1552575</xdr:colOff>
      <xdr:row>2346</xdr:row>
      <xdr:rowOff>419100</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38100</xdr:rowOff>
    </xdr:from>
    <xdr:to>
      <xdr:col>3</xdr:col>
      <xdr:colOff>1552575</xdr:colOff>
      <xdr:row>2348</xdr:row>
      <xdr:rowOff>638175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2349</xdr:row>
      <xdr:rowOff>38100</xdr:rowOff>
    </xdr:from>
    <xdr:to>
      <xdr:col>3</xdr:col>
      <xdr:colOff>1552575</xdr:colOff>
      <xdr:row>2350</xdr:row>
      <xdr:rowOff>638175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2351</xdr:row>
      <xdr:rowOff>28575</xdr:rowOff>
    </xdr:from>
    <xdr:to>
      <xdr:col>3</xdr:col>
      <xdr:colOff>1552575</xdr:colOff>
      <xdr:row>2353</xdr:row>
      <xdr:rowOff>419100</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2354</xdr:row>
      <xdr:rowOff>28575</xdr:rowOff>
    </xdr:from>
    <xdr:to>
      <xdr:col>3</xdr:col>
      <xdr:colOff>1552575</xdr:colOff>
      <xdr:row>2354</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2355</xdr:row>
      <xdr:rowOff>38100</xdr:rowOff>
    </xdr:from>
    <xdr:to>
      <xdr:col>3</xdr:col>
      <xdr:colOff>1552575</xdr:colOff>
      <xdr:row>2356</xdr:row>
      <xdr:rowOff>638175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2357</xdr:row>
      <xdr:rowOff>28575</xdr:rowOff>
    </xdr:from>
    <xdr:to>
      <xdr:col>3</xdr:col>
      <xdr:colOff>1552575</xdr:colOff>
      <xdr:row>2359</xdr:row>
      <xdr:rowOff>419100</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2360</xdr:row>
      <xdr:rowOff>28575</xdr:rowOff>
    </xdr:from>
    <xdr:to>
      <xdr:col>3</xdr:col>
      <xdr:colOff>1552575</xdr:colOff>
      <xdr:row>2368</xdr:row>
      <xdr:rowOff>133350</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2377</xdr:row>
      <xdr:rowOff>133350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2379</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28575</xdr:rowOff>
    </xdr:from>
    <xdr:to>
      <xdr:col>3</xdr:col>
      <xdr:colOff>1552575</xdr:colOff>
      <xdr:row>2382</xdr:row>
      <xdr:rowOff>419100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2383</xdr:row>
      <xdr:rowOff>38100</xdr:rowOff>
    </xdr:from>
    <xdr:to>
      <xdr:col>3</xdr:col>
      <xdr:colOff>1552575</xdr:colOff>
      <xdr:row>2384</xdr:row>
      <xdr:rowOff>638175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2385</xdr:row>
      <xdr:rowOff>28575</xdr:rowOff>
    </xdr:from>
    <xdr:to>
      <xdr:col>3</xdr:col>
      <xdr:colOff>1552575</xdr:colOff>
      <xdr:row>2387</xdr:row>
      <xdr:rowOff>419100</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28575</xdr:rowOff>
    </xdr:from>
    <xdr:to>
      <xdr:col>3</xdr:col>
      <xdr:colOff>1552575</xdr:colOff>
      <xdr:row>2390</xdr:row>
      <xdr:rowOff>419100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2391</xdr:row>
      <xdr:rowOff>28575</xdr:rowOff>
    </xdr:from>
    <xdr:to>
      <xdr:col>3</xdr:col>
      <xdr:colOff>1552575</xdr:colOff>
      <xdr:row>2395</xdr:row>
      <xdr:rowOff>333375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2396</xdr:row>
      <xdr:rowOff>28575</xdr:rowOff>
    </xdr:from>
    <xdr:to>
      <xdr:col>3</xdr:col>
      <xdr:colOff>1552575</xdr:colOff>
      <xdr:row>2402</xdr:row>
      <xdr:rowOff>171450</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2403</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2404</xdr:row>
      <xdr:rowOff>28575</xdr:rowOff>
    </xdr:from>
    <xdr:to>
      <xdr:col>3</xdr:col>
      <xdr:colOff>1552575</xdr:colOff>
      <xdr:row>2408</xdr:row>
      <xdr:rowOff>333375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28575</xdr:rowOff>
    </xdr:from>
    <xdr:to>
      <xdr:col>3</xdr:col>
      <xdr:colOff>1552575</xdr:colOff>
      <xdr:row>2415</xdr:row>
      <xdr:rowOff>171450</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2422</xdr:row>
      <xdr:rowOff>171450</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2423</xdr:row>
      <xdr:rowOff>28575</xdr:rowOff>
    </xdr:from>
    <xdr:to>
      <xdr:col>3</xdr:col>
      <xdr:colOff>1552575</xdr:colOff>
      <xdr:row>2429</xdr:row>
      <xdr:rowOff>171450</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28575</xdr:rowOff>
    </xdr:from>
    <xdr:to>
      <xdr:col>3</xdr:col>
      <xdr:colOff>1552575</xdr:colOff>
      <xdr:row>2433</xdr:row>
      <xdr:rowOff>209550</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2434</xdr:row>
      <xdr:rowOff>28575</xdr:rowOff>
    </xdr:from>
    <xdr:to>
      <xdr:col>3</xdr:col>
      <xdr:colOff>1552575</xdr:colOff>
      <xdr:row>2437</xdr:row>
      <xdr:rowOff>209550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2438</xdr:row>
      <xdr:rowOff>38100</xdr:rowOff>
    </xdr:from>
    <xdr:to>
      <xdr:col>3</xdr:col>
      <xdr:colOff>1552575</xdr:colOff>
      <xdr:row>2439</xdr:row>
      <xdr:rowOff>638175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2440</xdr:row>
      <xdr:rowOff>28575</xdr:rowOff>
    </xdr:from>
    <xdr:to>
      <xdr:col>3</xdr:col>
      <xdr:colOff>1552575</xdr:colOff>
      <xdr:row>2443</xdr:row>
      <xdr:rowOff>209550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2444</xdr:row>
      <xdr:rowOff>28575</xdr:rowOff>
    </xdr:from>
    <xdr:to>
      <xdr:col>3</xdr:col>
      <xdr:colOff>1552575</xdr:colOff>
      <xdr:row>2446</xdr:row>
      <xdr:rowOff>419100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38100</xdr:rowOff>
    </xdr:from>
    <xdr:to>
      <xdr:col>3</xdr:col>
      <xdr:colOff>1552575</xdr:colOff>
      <xdr:row>2448</xdr:row>
      <xdr:rowOff>638175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2449</xdr:row>
      <xdr:rowOff>28575</xdr:rowOff>
    </xdr:from>
    <xdr:to>
      <xdr:col>3</xdr:col>
      <xdr:colOff>1552575</xdr:colOff>
      <xdr:row>2449</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2450</xdr:row>
      <xdr:rowOff>28575</xdr:rowOff>
    </xdr:from>
    <xdr:to>
      <xdr:col>3</xdr:col>
      <xdr:colOff>1552575</xdr:colOff>
      <xdr:row>2456</xdr:row>
      <xdr:rowOff>171450</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2457</xdr:row>
      <xdr:rowOff>28575</xdr:rowOff>
    </xdr:from>
    <xdr:to>
      <xdr:col>3</xdr:col>
      <xdr:colOff>1552575</xdr:colOff>
      <xdr:row>2465</xdr:row>
      <xdr:rowOff>133350</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2469</xdr:row>
      <xdr:rowOff>28575</xdr:rowOff>
    </xdr:from>
    <xdr:to>
      <xdr:col>3</xdr:col>
      <xdr:colOff>1552575</xdr:colOff>
      <xdr:row>2469</xdr:row>
      <xdr:rowOff>1266825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2472</xdr:row>
      <xdr:rowOff>419100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28575</xdr:rowOff>
    </xdr:from>
    <xdr:to>
      <xdr:col>3</xdr:col>
      <xdr:colOff>1552575</xdr:colOff>
      <xdr:row>2478</xdr:row>
      <xdr:rowOff>209550</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2479</xdr:row>
      <xdr:rowOff>28575</xdr:rowOff>
    </xdr:from>
    <xdr:to>
      <xdr:col>3</xdr:col>
      <xdr:colOff>1552575</xdr:colOff>
      <xdr:row>2485</xdr:row>
      <xdr:rowOff>171450</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2486</xdr:row>
      <xdr:rowOff>28575</xdr:rowOff>
    </xdr:from>
    <xdr:to>
      <xdr:col>3</xdr:col>
      <xdr:colOff>1552575</xdr:colOff>
      <xdr:row>2493</xdr:row>
      <xdr:rowOff>152400</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2496</xdr:row>
      <xdr:rowOff>419100</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28575</xdr:rowOff>
    </xdr:from>
    <xdr:to>
      <xdr:col>3</xdr:col>
      <xdr:colOff>1552575</xdr:colOff>
      <xdr:row>2503</xdr:row>
      <xdr:rowOff>171450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2504</xdr:row>
      <xdr:rowOff>28575</xdr:rowOff>
    </xdr:from>
    <xdr:to>
      <xdr:col>3</xdr:col>
      <xdr:colOff>1552575</xdr:colOff>
      <xdr:row>2507</xdr:row>
      <xdr:rowOff>209550</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2508</xdr:row>
      <xdr:rowOff>38100</xdr:rowOff>
    </xdr:from>
    <xdr:to>
      <xdr:col>3</xdr:col>
      <xdr:colOff>1552575</xdr:colOff>
      <xdr:row>2509</xdr:row>
      <xdr:rowOff>638175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2510</xdr:row>
      <xdr:rowOff>28575</xdr:rowOff>
    </xdr:from>
    <xdr:to>
      <xdr:col>3</xdr:col>
      <xdr:colOff>1552575</xdr:colOff>
      <xdr:row>2517</xdr:row>
      <xdr:rowOff>152400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2518</xdr:row>
      <xdr:rowOff>28575</xdr:rowOff>
    </xdr:from>
    <xdr:to>
      <xdr:col>3</xdr:col>
      <xdr:colOff>1552575</xdr:colOff>
      <xdr:row>2521</xdr:row>
      <xdr:rowOff>209550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2530</xdr:row>
      <xdr:rowOff>133350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2533</xdr:row>
      <xdr:rowOff>28575</xdr:rowOff>
    </xdr:from>
    <xdr:to>
      <xdr:col>3</xdr:col>
      <xdr:colOff>1552575</xdr:colOff>
      <xdr:row>2541</xdr:row>
      <xdr:rowOff>133350</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2543</xdr:row>
      <xdr:rowOff>28575</xdr:rowOff>
    </xdr:from>
    <xdr:to>
      <xdr:col>3</xdr:col>
      <xdr:colOff>1552575</xdr:colOff>
      <xdr:row>2551</xdr:row>
      <xdr:rowOff>133350</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2554</xdr:row>
      <xdr:rowOff>28575</xdr:rowOff>
    </xdr:from>
    <xdr:to>
      <xdr:col>3</xdr:col>
      <xdr:colOff>1552575</xdr:colOff>
      <xdr:row>2562</xdr:row>
      <xdr:rowOff>133350</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2571</xdr:row>
      <xdr:rowOff>133350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2574</xdr:row>
      <xdr:rowOff>28575</xdr:rowOff>
    </xdr:from>
    <xdr:to>
      <xdr:col>3</xdr:col>
      <xdr:colOff>1552575</xdr:colOff>
      <xdr:row>2582</xdr:row>
      <xdr:rowOff>133350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28575</xdr:rowOff>
    </xdr:from>
    <xdr:to>
      <xdr:col>3</xdr:col>
      <xdr:colOff>1552575</xdr:colOff>
      <xdr:row>2596</xdr:row>
      <xdr:rowOff>133350</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28575</xdr:rowOff>
    </xdr:from>
    <xdr:to>
      <xdr:col>3</xdr:col>
      <xdr:colOff>1552575</xdr:colOff>
      <xdr:row>2605</xdr:row>
      <xdr:rowOff>152400</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28575</xdr:rowOff>
    </xdr:from>
    <xdr:to>
      <xdr:col>3</xdr:col>
      <xdr:colOff>1552575</xdr:colOff>
      <xdr:row>2613</xdr:row>
      <xdr:rowOff>152400</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2614</xdr:row>
      <xdr:rowOff>38100</xdr:rowOff>
    </xdr:from>
    <xdr:to>
      <xdr:col>3</xdr:col>
      <xdr:colOff>1552575</xdr:colOff>
      <xdr:row>2615</xdr:row>
      <xdr:rowOff>638175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2616</xdr:row>
      <xdr:rowOff>28575</xdr:rowOff>
    </xdr:from>
    <xdr:to>
      <xdr:col>3</xdr:col>
      <xdr:colOff>1552575</xdr:colOff>
      <xdr:row>2624</xdr:row>
      <xdr:rowOff>133350</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2629</xdr:row>
      <xdr:rowOff>28575</xdr:rowOff>
    </xdr:from>
    <xdr:to>
      <xdr:col>3</xdr:col>
      <xdr:colOff>1552575</xdr:colOff>
      <xdr:row>2637</xdr:row>
      <xdr:rowOff>133350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2641</xdr:row>
      <xdr:rowOff>28575</xdr:rowOff>
    </xdr:from>
    <xdr:to>
      <xdr:col>3</xdr:col>
      <xdr:colOff>1552575</xdr:colOff>
      <xdr:row>2648</xdr:row>
      <xdr:rowOff>152400</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2649</xdr:row>
      <xdr:rowOff>28575</xdr:rowOff>
    </xdr:from>
    <xdr:to>
      <xdr:col>3</xdr:col>
      <xdr:colOff>1552575</xdr:colOff>
      <xdr:row>2655</xdr:row>
      <xdr:rowOff>171450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2656</xdr:row>
      <xdr:rowOff>28575</xdr:rowOff>
    </xdr:from>
    <xdr:to>
      <xdr:col>3</xdr:col>
      <xdr:colOff>1552575</xdr:colOff>
      <xdr:row>2656</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2657</xdr:row>
      <xdr:rowOff>28575</xdr:rowOff>
    </xdr:from>
    <xdr:to>
      <xdr:col>3</xdr:col>
      <xdr:colOff>1552575</xdr:colOff>
      <xdr:row>2660</xdr:row>
      <xdr:rowOff>209550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2661</xdr:row>
      <xdr:rowOff>28575</xdr:rowOff>
    </xdr:from>
    <xdr:to>
      <xdr:col>3</xdr:col>
      <xdr:colOff>1552575</xdr:colOff>
      <xdr:row>2664</xdr:row>
      <xdr:rowOff>209550</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2665</xdr:row>
      <xdr:rowOff>28575</xdr:rowOff>
    </xdr:from>
    <xdr:to>
      <xdr:col>3</xdr:col>
      <xdr:colOff>1552575</xdr:colOff>
      <xdr:row>2669</xdr:row>
      <xdr:rowOff>333375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2670</xdr:row>
      <xdr:rowOff>28575</xdr:rowOff>
    </xdr:from>
    <xdr:to>
      <xdr:col>3</xdr:col>
      <xdr:colOff>1552575</xdr:colOff>
      <xdr:row>2672</xdr:row>
      <xdr:rowOff>419100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2673</xdr:row>
      <xdr:rowOff>28575</xdr:rowOff>
    </xdr:from>
    <xdr:to>
      <xdr:col>3</xdr:col>
      <xdr:colOff>1552575</xdr:colOff>
      <xdr:row>2681</xdr:row>
      <xdr:rowOff>133350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28575</xdr:rowOff>
    </xdr:from>
    <xdr:to>
      <xdr:col>3</xdr:col>
      <xdr:colOff>1552575</xdr:colOff>
      <xdr:row>2692</xdr:row>
      <xdr:rowOff>133350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28575</xdr:rowOff>
    </xdr:from>
    <xdr:to>
      <xdr:col>3</xdr:col>
      <xdr:colOff>1552575</xdr:colOff>
      <xdr:row>2702</xdr:row>
      <xdr:rowOff>152400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2703</xdr:row>
      <xdr:rowOff>28575</xdr:rowOff>
    </xdr:from>
    <xdr:to>
      <xdr:col>3</xdr:col>
      <xdr:colOff>1552575</xdr:colOff>
      <xdr:row>2708</xdr:row>
      <xdr:rowOff>209550</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2709</xdr:row>
      <xdr:rowOff>38100</xdr:rowOff>
    </xdr:from>
    <xdr:to>
      <xdr:col>3</xdr:col>
      <xdr:colOff>1552575</xdr:colOff>
      <xdr:row>2710</xdr:row>
      <xdr:rowOff>638175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2711</xdr:row>
      <xdr:rowOff>28575</xdr:rowOff>
    </xdr:from>
    <xdr:to>
      <xdr:col>3</xdr:col>
      <xdr:colOff>1552575</xdr:colOff>
      <xdr:row>2717</xdr:row>
      <xdr:rowOff>171450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2718</xdr:row>
      <xdr:rowOff>28575</xdr:rowOff>
    </xdr:from>
    <xdr:to>
      <xdr:col>3</xdr:col>
      <xdr:colOff>1552575</xdr:colOff>
      <xdr:row>2722</xdr:row>
      <xdr:rowOff>333375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2723</xdr:row>
      <xdr:rowOff>28575</xdr:rowOff>
    </xdr:from>
    <xdr:to>
      <xdr:col>3</xdr:col>
      <xdr:colOff>1552575</xdr:colOff>
      <xdr:row>2725</xdr:row>
      <xdr:rowOff>419100</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2726</xdr:row>
      <xdr:rowOff>28575</xdr:rowOff>
    </xdr:from>
    <xdr:to>
      <xdr:col>3</xdr:col>
      <xdr:colOff>1552575</xdr:colOff>
      <xdr:row>2729</xdr:row>
      <xdr:rowOff>209550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2730</xdr:row>
      <xdr:rowOff>38100</xdr:rowOff>
    </xdr:from>
    <xdr:to>
      <xdr:col>3</xdr:col>
      <xdr:colOff>1552575</xdr:colOff>
      <xdr:row>2731</xdr:row>
      <xdr:rowOff>638175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2732</xdr:row>
      <xdr:rowOff>38100</xdr:rowOff>
    </xdr:from>
    <xdr:to>
      <xdr:col>3</xdr:col>
      <xdr:colOff>1552575</xdr:colOff>
      <xdr:row>2733</xdr:row>
      <xdr:rowOff>638175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2734</xdr:row>
      <xdr:rowOff>28575</xdr:rowOff>
    </xdr:from>
    <xdr:to>
      <xdr:col>3</xdr:col>
      <xdr:colOff>1552575</xdr:colOff>
      <xdr:row>2734</xdr:row>
      <xdr:rowOff>1266825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2735</xdr:row>
      <xdr:rowOff>38100</xdr:rowOff>
    </xdr:from>
    <xdr:to>
      <xdr:col>3</xdr:col>
      <xdr:colOff>1552575</xdr:colOff>
      <xdr:row>2736</xdr:row>
      <xdr:rowOff>638175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2737</xdr:row>
      <xdr:rowOff>28575</xdr:rowOff>
    </xdr:from>
    <xdr:to>
      <xdr:col>3</xdr:col>
      <xdr:colOff>1552575</xdr:colOff>
      <xdr:row>2743</xdr:row>
      <xdr:rowOff>171450</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2744</xdr:row>
      <xdr:rowOff>28575</xdr:rowOff>
    </xdr:from>
    <xdr:to>
      <xdr:col>3</xdr:col>
      <xdr:colOff>1552575</xdr:colOff>
      <xdr:row>2744</xdr:row>
      <xdr:rowOff>1266825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2745</xdr:row>
      <xdr:rowOff>28575</xdr:rowOff>
    </xdr:from>
    <xdr:to>
      <xdr:col>3</xdr:col>
      <xdr:colOff>1552575</xdr:colOff>
      <xdr:row>2751</xdr:row>
      <xdr:rowOff>171450</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2752</xdr:row>
      <xdr:rowOff>38100</xdr:rowOff>
    </xdr:from>
    <xdr:to>
      <xdr:col>3</xdr:col>
      <xdr:colOff>1552575</xdr:colOff>
      <xdr:row>2753</xdr:row>
      <xdr:rowOff>638175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2754</xdr:row>
      <xdr:rowOff>28575</xdr:rowOff>
    </xdr:from>
    <xdr:to>
      <xdr:col>3</xdr:col>
      <xdr:colOff>1552575</xdr:colOff>
      <xdr:row>2756</xdr:row>
      <xdr:rowOff>419100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2757</xdr:row>
      <xdr:rowOff>38100</xdr:rowOff>
    </xdr:from>
    <xdr:to>
      <xdr:col>3</xdr:col>
      <xdr:colOff>1552575</xdr:colOff>
      <xdr:row>2758</xdr:row>
      <xdr:rowOff>638175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2759</xdr:row>
      <xdr:rowOff>28575</xdr:rowOff>
    </xdr:from>
    <xdr:to>
      <xdr:col>3</xdr:col>
      <xdr:colOff>1552575</xdr:colOff>
      <xdr:row>2759</xdr:row>
      <xdr:rowOff>1266825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2760</xdr:row>
      <xdr:rowOff>28575</xdr:rowOff>
    </xdr:from>
    <xdr:to>
      <xdr:col>3</xdr:col>
      <xdr:colOff>1552575</xdr:colOff>
      <xdr:row>2760</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2761</xdr:row>
      <xdr:rowOff>28575</xdr:rowOff>
    </xdr:from>
    <xdr:to>
      <xdr:col>3</xdr:col>
      <xdr:colOff>1552575</xdr:colOff>
      <xdr:row>2761</xdr:row>
      <xdr:rowOff>1266825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2762</xdr:row>
      <xdr:rowOff>28575</xdr:rowOff>
    </xdr:from>
    <xdr:to>
      <xdr:col>3</xdr:col>
      <xdr:colOff>1552575</xdr:colOff>
      <xdr:row>2769</xdr:row>
      <xdr:rowOff>152400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2770</xdr:row>
      <xdr:rowOff>28575</xdr:rowOff>
    </xdr:from>
    <xdr:to>
      <xdr:col>3</xdr:col>
      <xdr:colOff>1552575</xdr:colOff>
      <xdr:row>2773</xdr:row>
      <xdr:rowOff>209550</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2774</xdr:row>
      <xdr:rowOff>28575</xdr:rowOff>
    </xdr:from>
    <xdr:to>
      <xdr:col>3</xdr:col>
      <xdr:colOff>1552575</xdr:colOff>
      <xdr:row>2778</xdr:row>
      <xdr:rowOff>333375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2779</xdr:row>
      <xdr:rowOff>28575</xdr:rowOff>
    </xdr:from>
    <xdr:to>
      <xdr:col>3</xdr:col>
      <xdr:colOff>1552575</xdr:colOff>
      <xdr:row>2779</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2780</xdr:row>
      <xdr:rowOff>28575</xdr:rowOff>
    </xdr:from>
    <xdr:to>
      <xdr:col>3</xdr:col>
      <xdr:colOff>1552575</xdr:colOff>
      <xdr:row>2780</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2781</xdr:row>
      <xdr:rowOff>28575</xdr:rowOff>
    </xdr:from>
    <xdr:to>
      <xdr:col>3</xdr:col>
      <xdr:colOff>1552575</xdr:colOff>
      <xdr:row>2781</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2782</xdr:row>
      <xdr:rowOff>28575</xdr:rowOff>
    </xdr:from>
    <xdr:to>
      <xdr:col>3</xdr:col>
      <xdr:colOff>1552575</xdr:colOff>
      <xdr:row>2782</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2783</xdr:row>
      <xdr:rowOff>28575</xdr:rowOff>
    </xdr:from>
    <xdr:to>
      <xdr:col>3</xdr:col>
      <xdr:colOff>1552575</xdr:colOff>
      <xdr:row>2783</xdr:row>
      <xdr:rowOff>1266825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2784</xdr:row>
      <xdr:rowOff>28575</xdr:rowOff>
    </xdr:from>
    <xdr:to>
      <xdr:col>3</xdr:col>
      <xdr:colOff>1552575</xdr:colOff>
      <xdr:row>2784</xdr:row>
      <xdr:rowOff>1266825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2785</xdr:row>
      <xdr:rowOff>28575</xdr:rowOff>
    </xdr:from>
    <xdr:to>
      <xdr:col>3</xdr:col>
      <xdr:colOff>1552575</xdr:colOff>
      <xdr:row>2785</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2786</xdr:row>
      <xdr:rowOff>28575</xdr:rowOff>
    </xdr:from>
    <xdr:to>
      <xdr:col>3</xdr:col>
      <xdr:colOff>1552575</xdr:colOff>
      <xdr:row>2786</xdr:row>
      <xdr:rowOff>1266825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2787</xdr:row>
      <xdr:rowOff>28575</xdr:rowOff>
    </xdr:from>
    <xdr:to>
      <xdr:col>3</xdr:col>
      <xdr:colOff>1552575</xdr:colOff>
      <xdr:row>2787</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2788</xdr:row>
      <xdr:rowOff>28575</xdr:rowOff>
    </xdr:from>
    <xdr:to>
      <xdr:col>3</xdr:col>
      <xdr:colOff>1552575</xdr:colOff>
      <xdr:row>2788</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2789</xdr:row>
      <xdr:rowOff>28575</xdr:rowOff>
    </xdr:from>
    <xdr:to>
      <xdr:col>3</xdr:col>
      <xdr:colOff>1552575</xdr:colOff>
      <xdr:row>2789</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2790</xdr:row>
      <xdr:rowOff>28575</xdr:rowOff>
    </xdr:from>
    <xdr:to>
      <xdr:col>3</xdr:col>
      <xdr:colOff>1552575</xdr:colOff>
      <xdr:row>2790</xdr:row>
      <xdr:rowOff>1266825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2791</xdr:row>
      <xdr:rowOff>38100</xdr:rowOff>
    </xdr:from>
    <xdr:to>
      <xdr:col>3</xdr:col>
      <xdr:colOff>1552575</xdr:colOff>
      <xdr:row>2792</xdr:row>
      <xdr:rowOff>638175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2793</xdr:row>
      <xdr:rowOff>28575</xdr:rowOff>
    </xdr:from>
    <xdr:to>
      <xdr:col>3</xdr:col>
      <xdr:colOff>1552575</xdr:colOff>
      <xdr:row>2793</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2794</xdr:row>
      <xdr:rowOff>28575</xdr:rowOff>
    </xdr:from>
    <xdr:to>
      <xdr:col>3</xdr:col>
      <xdr:colOff>1552575</xdr:colOff>
      <xdr:row>2794</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2795</xdr:row>
      <xdr:rowOff>38100</xdr:rowOff>
    </xdr:from>
    <xdr:to>
      <xdr:col>3</xdr:col>
      <xdr:colOff>1552575</xdr:colOff>
      <xdr:row>2796</xdr:row>
      <xdr:rowOff>638175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2797</xdr:row>
      <xdr:rowOff>28575</xdr:rowOff>
    </xdr:from>
    <xdr:to>
      <xdr:col>3</xdr:col>
      <xdr:colOff>1552575</xdr:colOff>
      <xdr:row>2797</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2798</xdr:row>
      <xdr:rowOff>28575</xdr:rowOff>
    </xdr:from>
    <xdr:to>
      <xdr:col>3</xdr:col>
      <xdr:colOff>1552575</xdr:colOff>
      <xdr:row>2801</xdr:row>
      <xdr:rowOff>209550</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2802</xdr:row>
      <xdr:rowOff>28575</xdr:rowOff>
    </xdr:from>
    <xdr:to>
      <xdr:col>3</xdr:col>
      <xdr:colOff>1552575</xdr:colOff>
      <xdr:row>2802</xdr:row>
      <xdr:rowOff>1266825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2803</xdr:row>
      <xdr:rowOff>28575</xdr:rowOff>
    </xdr:from>
    <xdr:to>
      <xdr:col>3</xdr:col>
      <xdr:colOff>1552575</xdr:colOff>
      <xdr:row>2805</xdr:row>
      <xdr:rowOff>419100</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2806</xdr:row>
      <xdr:rowOff>28575</xdr:rowOff>
    </xdr:from>
    <xdr:to>
      <xdr:col>3</xdr:col>
      <xdr:colOff>1552575</xdr:colOff>
      <xdr:row>2812</xdr:row>
      <xdr:rowOff>171450</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2813</xdr:row>
      <xdr:rowOff>28575</xdr:rowOff>
    </xdr:from>
    <xdr:to>
      <xdr:col>3</xdr:col>
      <xdr:colOff>1552575</xdr:colOff>
      <xdr:row>2813</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2814</xdr:row>
      <xdr:rowOff>28575</xdr:rowOff>
    </xdr:from>
    <xdr:to>
      <xdr:col>3</xdr:col>
      <xdr:colOff>1552575</xdr:colOff>
      <xdr:row>2814</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2815</xdr:row>
      <xdr:rowOff>28575</xdr:rowOff>
    </xdr:from>
    <xdr:to>
      <xdr:col>3</xdr:col>
      <xdr:colOff>1552575</xdr:colOff>
      <xdr:row>2823</xdr:row>
      <xdr:rowOff>133350</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2830</xdr:row>
      <xdr:rowOff>38100</xdr:rowOff>
    </xdr:from>
    <xdr:to>
      <xdr:col>3</xdr:col>
      <xdr:colOff>1552575</xdr:colOff>
      <xdr:row>2831</xdr:row>
      <xdr:rowOff>638175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2832</xdr:row>
      <xdr:rowOff>28575</xdr:rowOff>
    </xdr:from>
    <xdr:to>
      <xdr:col>3</xdr:col>
      <xdr:colOff>1552575</xdr:colOff>
      <xdr:row>2832</xdr:row>
      <xdr:rowOff>1266825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2833</xdr:row>
      <xdr:rowOff>28575</xdr:rowOff>
    </xdr:from>
    <xdr:to>
      <xdr:col>3</xdr:col>
      <xdr:colOff>1552575</xdr:colOff>
      <xdr:row>2836</xdr:row>
      <xdr:rowOff>209550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2837</xdr:row>
      <xdr:rowOff>28575</xdr:rowOff>
    </xdr:from>
    <xdr:to>
      <xdr:col>3</xdr:col>
      <xdr:colOff>1552575</xdr:colOff>
      <xdr:row>2837</xdr:row>
      <xdr:rowOff>1266825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2838</xdr:row>
      <xdr:rowOff>28575</xdr:rowOff>
    </xdr:from>
    <xdr:to>
      <xdr:col>3</xdr:col>
      <xdr:colOff>1552575</xdr:colOff>
      <xdr:row>2838</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2839</xdr:row>
      <xdr:rowOff>28575</xdr:rowOff>
    </xdr:from>
    <xdr:to>
      <xdr:col>3</xdr:col>
      <xdr:colOff>1552575</xdr:colOff>
      <xdr:row>2842</xdr:row>
      <xdr:rowOff>209550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2843</xdr:row>
      <xdr:rowOff>38100</xdr:rowOff>
    </xdr:from>
    <xdr:to>
      <xdr:col>3</xdr:col>
      <xdr:colOff>1552575</xdr:colOff>
      <xdr:row>2844</xdr:row>
      <xdr:rowOff>638175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2845</xdr:row>
      <xdr:rowOff>28575</xdr:rowOff>
    </xdr:from>
    <xdr:to>
      <xdr:col>3</xdr:col>
      <xdr:colOff>1552575</xdr:colOff>
      <xdr:row>2852</xdr:row>
      <xdr:rowOff>152400</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2853</xdr:row>
      <xdr:rowOff>28575</xdr:rowOff>
    </xdr:from>
    <xdr:to>
      <xdr:col>3</xdr:col>
      <xdr:colOff>1552575</xdr:colOff>
      <xdr:row>2861</xdr:row>
      <xdr:rowOff>133350</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2865</xdr:row>
      <xdr:rowOff>28575</xdr:rowOff>
    </xdr:from>
    <xdr:to>
      <xdr:col>3</xdr:col>
      <xdr:colOff>1552575</xdr:colOff>
      <xdr:row>2872</xdr:row>
      <xdr:rowOff>152400</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2873</xdr:row>
      <xdr:rowOff>28575</xdr:rowOff>
    </xdr:from>
    <xdr:to>
      <xdr:col>3</xdr:col>
      <xdr:colOff>1552575</xdr:colOff>
      <xdr:row>2875</xdr:row>
      <xdr:rowOff>419100</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2876</xdr:row>
      <xdr:rowOff>28575</xdr:rowOff>
    </xdr:from>
    <xdr:to>
      <xdr:col>3</xdr:col>
      <xdr:colOff>1552575</xdr:colOff>
      <xdr:row>2881</xdr:row>
      <xdr:rowOff>209550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2882</xdr:row>
      <xdr:rowOff>28575</xdr:rowOff>
    </xdr:from>
    <xdr:to>
      <xdr:col>3</xdr:col>
      <xdr:colOff>1552575</xdr:colOff>
      <xdr:row>2889</xdr:row>
      <xdr:rowOff>152400</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2890</xdr:row>
      <xdr:rowOff>28575</xdr:rowOff>
    </xdr:from>
    <xdr:to>
      <xdr:col>3</xdr:col>
      <xdr:colOff>1552575</xdr:colOff>
      <xdr:row>2898</xdr:row>
      <xdr:rowOff>133350</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2900</xdr:row>
      <xdr:rowOff>28575</xdr:rowOff>
    </xdr:from>
    <xdr:to>
      <xdr:col>3</xdr:col>
      <xdr:colOff>1552575</xdr:colOff>
      <xdr:row>2908</xdr:row>
      <xdr:rowOff>133350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2913</xdr:row>
      <xdr:rowOff>28575</xdr:rowOff>
    </xdr:from>
    <xdr:to>
      <xdr:col>3</xdr:col>
      <xdr:colOff>1552575</xdr:colOff>
      <xdr:row>2913</xdr:row>
      <xdr:rowOff>1266825</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2914</xdr:row>
      <xdr:rowOff>28575</xdr:rowOff>
    </xdr:from>
    <xdr:to>
      <xdr:col>3</xdr:col>
      <xdr:colOff>1552575</xdr:colOff>
      <xdr:row>2914</xdr:row>
      <xdr:rowOff>1266825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2915</xdr:row>
      <xdr:rowOff>28575</xdr:rowOff>
    </xdr:from>
    <xdr:to>
      <xdr:col>3</xdr:col>
      <xdr:colOff>1552575</xdr:colOff>
      <xdr:row>2923</xdr:row>
      <xdr:rowOff>133350</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2926</xdr:row>
      <xdr:rowOff>28575</xdr:rowOff>
    </xdr:from>
    <xdr:to>
      <xdr:col>3</xdr:col>
      <xdr:colOff>1552575</xdr:colOff>
      <xdr:row>2934</xdr:row>
      <xdr:rowOff>133350</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2937</xdr:row>
      <xdr:rowOff>28575</xdr:rowOff>
    </xdr:from>
    <xdr:to>
      <xdr:col>3</xdr:col>
      <xdr:colOff>1552575</xdr:colOff>
      <xdr:row>2945</xdr:row>
      <xdr:rowOff>133350</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2946</xdr:row>
      <xdr:rowOff>28575</xdr:rowOff>
    </xdr:from>
    <xdr:to>
      <xdr:col>3</xdr:col>
      <xdr:colOff>1552575</xdr:colOff>
      <xdr:row>2954</xdr:row>
      <xdr:rowOff>133350</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2958</xdr:row>
      <xdr:rowOff>28575</xdr:rowOff>
    </xdr:from>
    <xdr:to>
      <xdr:col>3</xdr:col>
      <xdr:colOff>1552575</xdr:colOff>
      <xdr:row>2966</xdr:row>
      <xdr:rowOff>133350</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2967</xdr:row>
      <xdr:rowOff>28575</xdr:rowOff>
    </xdr:from>
    <xdr:to>
      <xdr:col>3</xdr:col>
      <xdr:colOff>1552575</xdr:colOff>
      <xdr:row>2974</xdr:row>
      <xdr:rowOff>152400</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2975</xdr:row>
      <xdr:rowOff>28575</xdr:rowOff>
    </xdr:from>
    <xdr:to>
      <xdr:col>3</xdr:col>
      <xdr:colOff>1552575</xdr:colOff>
      <xdr:row>2981</xdr:row>
      <xdr:rowOff>171450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2982</xdr:row>
      <xdr:rowOff>28575</xdr:rowOff>
    </xdr:from>
    <xdr:to>
      <xdr:col>3</xdr:col>
      <xdr:colOff>1552575</xdr:colOff>
      <xdr:row>2988</xdr:row>
      <xdr:rowOff>171450</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2989</xdr:row>
      <xdr:rowOff>28575</xdr:rowOff>
    </xdr:from>
    <xdr:to>
      <xdr:col>3</xdr:col>
      <xdr:colOff>1552575</xdr:colOff>
      <xdr:row>2989</xdr:row>
      <xdr:rowOff>1266825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2990</xdr:row>
      <xdr:rowOff>28575</xdr:rowOff>
    </xdr:from>
    <xdr:to>
      <xdr:col>3</xdr:col>
      <xdr:colOff>1552575</xdr:colOff>
      <xdr:row>2998</xdr:row>
      <xdr:rowOff>133350</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2999</xdr:row>
      <xdr:rowOff>28575</xdr:rowOff>
    </xdr:from>
    <xdr:to>
      <xdr:col>3</xdr:col>
      <xdr:colOff>1552575</xdr:colOff>
      <xdr:row>3006</xdr:row>
      <xdr:rowOff>152400</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3007</xdr:row>
      <xdr:rowOff>28575</xdr:rowOff>
    </xdr:from>
    <xdr:to>
      <xdr:col>3</xdr:col>
      <xdr:colOff>1552575</xdr:colOff>
      <xdr:row>3010</xdr:row>
      <xdr:rowOff>209550</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3011</xdr:row>
      <xdr:rowOff>28575</xdr:rowOff>
    </xdr:from>
    <xdr:to>
      <xdr:col>3</xdr:col>
      <xdr:colOff>1552575</xdr:colOff>
      <xdr:row>3019</xdr:row>
      <xdr:rowOff>133350</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3021</xdr:row>
      <xdr:rowOff>28575</xdr:rowOff>
    </xdr:from>
    <xdr:to>
      <xdr:col>3</xdr:col>
      <xdr:colOff>1552575</xdr:colOff>
      <xdr:row>3023</xdr:row>
      <xdr:rowOff>419100</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3024</xdr:row>
      <xdr:rowOff>38100</xdr:rowOff>
    </xdr:from>
    <xdr:to>
      <xdr:col>3</xdr:col>
      <xdr:colOff>1552575</xdr:colOff>
      <xdr:row>3025</xdr:row>
      <xdr:rowOff>638175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3026</xdr:row>
      <xdr:rowOff>28575</xdr:rowOff>
    </xdr:from>
    <xdr:to>
      <xdr:col>3</xdr:col>
      <xdr:colOff>1552575</xdr:colOff>
      <xdr:row>3029</xdr:row>
      <xdr:rowOff>209550</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3030</xdr:row>
      <xdr:rowOff>38100</xdr:rowOff>
    </xdr:from>
    <xdr:to>
      <xdr:col>3</xdr:col>
      <xdr:colOff>1552575</xdr:colOff>
      <xdr:row>3031</xdr:row>
      <xdr:rowOff>638175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3032</xdr:row>
      <xdr:rowOff>28575</xdr:rowOff>
    </xdr:from>
    <xdr:to>
      <xdr:col>3</xdr:col>
      <xdr:colOff>1552575</xdr:colOff>
      <xdr:row>3032</xdr:row>
      <xdr:rowOff>1266825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3033</xdr:row>
      <xdr:rowOff>28575</xdr:rowOff>
    </xdr:from>
    <xdr:to>
      <xdr:col>3</xdr:col>
      <xdr:colOff>1552575</xdr:colOff>
      <xdr:row>3033</xdr:row>
      <xdr:rowOff>1266825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3034</xdr:row>
      <xdr:rowOff>28575</xdr:rowOff>
    </xdr:from>
    <xdr:to>
      <xdr:col>3</xdr:col>
      <xdr:colOff>1552575</xdr:colOff>
      <xdr:row>3034</xdr:row>
      <xdr:rowOff>1266825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3035</xdr:row>
      <xdr:rowOff>28575</xdr:rowOff>
    </xdr:from>
    <xdr:to>
      <xdr:col>3</xdr:col>
      <xdr:colOff>1552575</xdr:colOff>
      <xdr:row>3037</xdr:row>
      <xdr:rowOff>419100</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3038</xdr:row>
      <xdr:rowOff>28575</xdr:rowOff>
    </xdr:from>
    <xdr:to>
      <xdr:col>3</xdr:col>
      <xdr:colOff>1552575</xdr:colOff>
      <xdr:row>3038</xdr:row>
      <xdr:rowOff>1266825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3039</xdr:row>
      <xdr:rowOff>38100</xdr:rowOff>
    </xdr:from>
    <xdr:to>
      <xdr:col>3</xdr:col>
      <xdr:colOff>1552575</xdr:colOff>
      <xdr:row>3040</xdr:row>
      <xdr:rowOff>638175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3041</xdr:row>
      <xdr:rowOff>28575</xdr:rowOff>
    </xdr:from>
    <xdr:to>
      <xdr:col>3</xdr:col>
      <xdr:colOff>1552575</xdr:colOff>
      <xdr:row>3045</xdr:row>
      <xdr:rowOff>333375</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3046</xdr:row>
      <xdr:rowOff>28575</xdr:rowOff>
    </xdr:from>
    <xdr:to>
      <xdr:col>3</xdr:col>
      <xdr:colOff>1552575</xdr:colOff>
      <xdr:row>3046</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3047</xdr:row>
      <xdr:rowOff>28575</xdr:rowOff>
    </xdr:from>
    <xdr:to>
      <xdr:col>3</xdr:col>
      <xdr:colOff>1552575</xdr:colOff>
      <xdr:row>3047</xdr:row>
      <xdr:rowOff>1266825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3048</xdr:row>
      <xdr:rowOff>28575</xdr:rowOff>
    </xdr:from>
    <xdr:to>
      <xdr:col>3</xdr:col>
      <xdr:colOff>1552575</xdr:colOff>
      <xdr:row>3048</xdr:row>
      <xdr:rowOff>1266825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3049</xdr:row>
      <xdr:rowOff>28575</xdr:rowOff>
    </xdr:from>
    <xdr:to>
      <xdr:col>3</xdr:col>
      <xdr:colOff>1552575</xdr:colOff>
      <xdr:row>3049</xdr:row>
      <xdr:rowOff>1266825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3050</xdr:row>
      <xdr:rowOff>28575</xdr:rowOff>
    </xdr:from>
    <xdr:to>
      <xdr:col>3</xdr:col>
      <xdr:colOff>1552575</xdr:colOff>
      <xdr:row>3050</xdr:row>
      <xdr:rowOff>1266825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3051</xdr:row>
      <xdr:rowOff>28575</xdr:rowOff>
    </xdr:from>
    <xdr:to>
      <xdr:col>3</xdr:col>
      <xdr:colOff>1552575</xdr:colOff>
      <xdr:row>3051</xdr:row>
      <xdr:rowOff>1266825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3052</xdr:row>
      <xdr:rowOff>28575</xdr:rowOff>
    </xdr:from>
    <xdr:to>
      <xdr:col>3</xdr:col>
      <xdr:colOff>1552575</xdr:colOff>
      <xdr:row>3052</xdr:row>
      <xdr:rowOff>1266825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3053</xdr:row>
      <xdr:rowOff>28575</xdr:rowOff>
    </xdr:from>
    <xdr:to>
      <xdr:col>3</xdr:col>
      <xdr:colOff>1552575</xdr:colOff>
      <xdr:row>3053</xdr:row>
      <xdr:rowOff>1266825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3054</xdr:row>
      <xdr:rowOff>28575</xdr:rowOff>
    </xdr:from>
    <xdr:to>
      <xdr:col>3</xdr:col>
      <xdr:colOff>1552575</xdr:colOff>
      <xdr:row>3054</xdr:row>
      <xdr:rowOff>1266825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3055</xdr:row>
      <xdr:rowOff>28575</xdr:rowOff>
    </xdr:from>
    <xdr:to>
      <xdr:col>3</xdr:col>
      <xdr:colOff>1552575</xdr:colOff>
      <xdr:row>3055</xdr:row>
      <xdr:rowOff>1266825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3056</xdr:row>
      <xdr:rowOff>28575</xdr:rowOff>
    </xdr:from>
    <xdr:to>
      <xdr:col>3</xdr:col>
      <xdr:colOff>1552575</xdr:colOff>
      <xdr:row>3056</xdr:row>
      <xdr:rowOff>1266825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3057</xdr:row>
      <xdr:rowOff>28575</xdr:rowOff>
    </xdr:from>
    <xdr:to>
      <xdr:col>3</xdr:col>
      <xdr:colOff>1552575</xdr:colOff>
      <xdr:row>3057</xdr:row>
      <xdr:rowOff>1266825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3058</xdr:row>
      <xdr:rowOff>28575</xdr:rowOff>
    </xdr:from>
    <xdr:to>
      <xdr:col>3</xdr:col>
      <xdr:colOff>1552575</xdr:colOff>
      <xdr:row>3058</xdr:row>
      <xdr:rowOff>1266825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3059</xdr:row>
      <xdr:rowOff>28575</xdr:rowOff>
    </xdr:from>
    <xdr:to>
      <xdr:col>3</xdr:col>
      <xdr:colOff>1552575</xdr:colOff>
      <xdr:row>3059</xdr:row>
      <xdr:rowOff>1266825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3060</xdr:row>
      <xdr:rowOff>28575</xdr:rowOff>
    </xdr:from>
    <xdr:to>
      <xdr:col>3</xdr:col>
      <xdr:colOff>1552575</xdr:colOff>
      <xdr:row>3060</xdr:row>
      <xdr:rowOff>1266825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3061</xdr:row>
      <xdr:rowOff>28575</xdr:rowOff>
    </xdr:from>
    <xdr:to>
      <xdr:col>3</xdr:col>
      <xdr:colOff>1552575</xdr:colOff>
      <xdr:row>3061</xdr:row>
      <xdr:rowOff>1266825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3062</xdr:row>
      <xdr:rowOff>28575</xdr:rowOff>
    </xdr:from>
    <xdr:to>
      <xdr:col>3</xdr:col>
      <xdr:colOff>1552575</xdr:colOff>
      <xdr:row>3062</xdr:row>
      <xdr:rowOff>1266825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3063</xdr:row>
      <xdr:rowOff>28575</xdr:rowOff>
    </xdr:from>
    <xdr:to>
      <xdr:col>3</xdr:col>
      <xdr:colOff>1552575</xdr:colOff>
      <xdr:row>3063</xdr:row>
      <xdr:rowOff>1266825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3064</xdr:row>
      <xdr:rowOff>28575</xdr:rowOff>
    </xdr:from>
    <xdr:to>
      <xdr:col>3</xdr:col>
      <xdr:colOff>1552575</xdr:colOff>
      <xdr:row>3064</xdr:row>
      <xdr:rowOff>1266825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3065</xdr:row>
      <xdr:rowOff>28575</xdr:rowOff>
    </xdr:from>
    <xdr:to>
      <xdr:col>3</xdr:col>
      <xdr:colOff>1552575</xdr:colOff>
      <xdr:row>3065</xdr:row>
      <xdr:rowOff>1266825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3066</xdr:row>
      <xdr:rowOff>28575</xdr:rowOff>
    </xdr:from>
    <xdr:to>
      <xdr:col>3</xdr:col>
      <xdr:colOff>1552575</xdr:colOff>
      <xdr:row>3066</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3067</xdr:row>
      <xdr:rowOff>28575</xdr:rowOff>
    </xdr:from>
    <xdr:to>
      <xdr:col>3</xdr:col>
      <xdr:colOff>1552575</xdr:colOff>
      <xdr:row>3067</xdr:row>
      <xdr:rowOff>1266825</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3068</xdr:row>
      <xdr:rowOff>28575</xdr:rowOff>
    </xdr:from>
    <xdr:to>
      <xdr:col>3</xdr:col>
      <xdr:colOff>1552575</xdr:colOff>
      <xdr:row>3068</xdr:row>
      <xdr:rowOff>1266825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3069</xdr:row>
      <xdr:rowOff>28575</xdr:rowOff>
    </xdr:from>
    <xdr:to>
      <xdr:col>3</xdr:col>
      <xdr:colOff>1552575</xdr:colOff>
      <xdr:row>3069</xdr:row>
      <xdr:rowOff>1266825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3070</xdr:row>
      <xdr:rowOff>28575</xdr:rowOff>
    </xdr:from>
    <xdr:to>
      <xdr:col>3</xdr:col>
      <xdr:colOff>1552575</xdr:colOff>
      <xdr:row>3070</xdr:row>
      <xdr:rowOff>1266825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3071</xdr:row>
      <xdr:rowOff>28575</xdr:rowOff>
    </xdr:from>
    <xdr:to>
      <xdr:col>3</xdr:col>
      <xdr:colOff>1552575</xdr:colOff>
      <xdr:row>3071</xdr:row>
      <xdr:rowOff>1266825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3072</xdr:row>
      <xdr:rowOff>28575</xdr:rowOff>
    </xdr:from>
    <xdr:to>
      <xdr:col>3</xdr:col>
      <xdr:colOff>1552575</xdr:colOff>
      <xdr:row>3072</xdr:row>
      <xdr:rowOff>1266825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3073</xdr:row>
      <xdr:rowOff>28575</xdr:rowOff>
    </xdr:from>
    <xdr:to>
      <xdr:col>3</xdr:col>
      <xdr:colOff>1552575</xdr:colOff>
      <xdr:row>3073</xdr:row>
      <xdr:rowOff>1266825</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3074</xdr:row>
      <xdr:rowOff>28575</xdr:rowOff>
    </xdr:from>
    <xdr:to>
      <xdr:col>3</xdr:col>
      <xdr:colOff>1552575</xdr:colOff>
      <xdr:row>3074</xdr:row>
      <xdr:rowOff>1266825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3075</xdr:row>
      <xdr:rowOff>28575</xdr:rowOff>
    </xdr:from>
    <xdr:to>
      <xdr:col>3</xdr:col>
      <xdr:colOff>1552575</xdr:colOff>
      <xdr:row>3075</xdr:row>
      <xdr:rowOff>1266825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3076</xdr:row>
      <xdr:rowOff>38100</xdr:rowOff>
    </xdr:from>
    <xdr:to>
      <xdr:col>3</xdr:col>
      <xdr:colOff>1552575</xdr:colOff>
      <xdr:row>3077</xdr:row>
      <xdr:rowOff>638175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3078</xdr:row>
      <xdr:rowOff>38100</xdr:rowOff>
    </xdr:from>
    <xdr:to>
      <xdr:col>3</xdr:col>
      <xdr:colOff>1552575</xdr:colOff>
      <xdr:row>3079</xdr:row>
      <xdr:rowOff>638175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3080</xdr:row>
      <xdr:rowOff>28575</xdr:rowOff>
    </xdr:from>
    <xdr:to>
      <xdr:col>3</xdr:col>
      <xdr:colOff>1552575</xdr:colOff>
      <xdr:row>3080</xdr:row>
      <xdr:rowOff>1266825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3081</xdr:row>
      <xdr:rowOff>28575</xdr:rowOff>
    </xdr:from>
    <xdr:to>
      <xdr:col>3</xdr:col>
      <xdr:colOff>1552575</xdr:colOff>
      <xdr:row>3083</xdr:row>
      <xdr:rowOff>419100</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3084</xdr:row>
      <xdr:rowOff>28575</xdr:rowOff>
    </xdr:from>
    <xdr:to>
      <xdr:col>3</xdr:col>
      <xdr:colOff>1552575</xdr:colOff>
      <xdr:row>3087</xdr:row>
      <xdr:rowOff>209550</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3088</xdr:row>
      <xdr:rowOff>28575</xdr:rowOff>
    </xdr:from>
    <xdr:to>
      <xdr:col>3</xdr:col>
      <xdr:colOff>1552575</xdr:colOff>
      <xdr:row>3088</xdr:row>
      <xdr:rowOff>1266825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3089</xdr:row>
      <xdr:rowOff>28575</xdr:rowOff>
    </xdr:from>
    <xdr:to>
      <xdr:col>3</xdr:col>
      <xdr:colOff>1552575</xdr:colOff>
      <xdr:row>3089</xdr:row>
      <xdr:rowOff>1266825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3090</xdr:row>
      <xdr:rowOff>28575</xdr:rowOff>
    </xdr:from>
    <xdr:to>
      <xdr:col>3</xdr:col>
      <xdr:colOff>1552575</xdr:colOff>
      <xdr:row>3090</xdr:row>
      <xdr:rowOff>1266825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3091</xdr:row>
      <xdr:rowOff>28575</xdr:rowOff>
    </xdr:from>
    <xdr:to>
      <xdr:col>3</xdr:col>
      <xdr:colOff>1552575</xdr:colOff>
      <xdr:row>3093</xdr:row>
      <xdr:rowOff>419100</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3094</xdr:row>
      <xdr:rowOff>28575</xdr:rowOff>
    </xdr:from>
    <xdr:to>
      <xdr:col>3</xdr:col>
      <xdr:colOff>1552575</xdr:colOff>
      <xdr:row>3094</xdr:row>
      <xdr:rowOff>1266825</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3095</xdr:row>
      <xdr:rowOff>38100</xdr:rowOff>
    </xdr:from>
    <xdr:to>
      <xdr:col>3</xdr:col>
      <xdr:colOff>1552575</xdr:colOff>
      <xdr:row>3096</xdr:row>
      <xdr:rowOff>638175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3097</xdr:row>
      <xdr:rowOff>28575</xdr:rowOff>
    </xdr:from>
    <xdr:to>
      <xdr:col>3</xdr:col>
      <xdr:colOff>1552575</xdr:colOff>
      <xdr:row>3099</xdr:row>
      <xdr:rowOff>419100</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3100</xdr:row>
      <xdr:rowOff>28575</xdr:rowOff>
    </xdr:from>
    <xdr:to>
      <xdr:col>3</xdr:col>
      <xdr:colOff>1552575</xdr:colOff>
      <xdr:row>3100</xdr:row>
      <xdr:rowOff>1266825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3101</xdr:row>
      <xdr:rowOff>38100</xdr:rowOff>
    </xdr:from>
    <xdr:to>
      <xdr:col>3</xdr:col>
      <xdr:colOff>1552575</xdr:colOff>
      <xdr:row>3102</xdr:row>
      <xdr:rowOff>638175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3103</xdr:row>
      <xdr:rowOff>28575</xdr:rowOff>
    </xdr:from>
    <xdr:to>
      <xdr:col>3</xdr:col>
      <xdr:colOff>1552575</xdr:colOff>
      <xdr:row>3106</xdr:row>
      <xdr:rowOff>209550</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3107</xdr:row>
      <xdr:rowOff>28575</xdr:rowOff>
    </xdr:from>
    <xdr:to>
      <xdr:col>3</xdr:col>
      <xdr:colOff>1552575</xdr:colOff>
      <xdr:row>3107</xdr:row>
      <xdr:rowOff>1266825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3108</xdr:row>
      <xdr:rowOff>28575</xdr:rowOff>
    </xdr:from>
    <xdr:to>
      <xdr:col>3</xdr:col>
      <xdr:colOff>1552575</xdr:colOff>
      <xdr:row>3110</xdr:row>
      <xdr:rowOff>419100</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3111</xdr:row>
      <xdr:rowOff>28575</xdr:rowOff>
    </xdr:from>
    <xdr:to>
      <xdr:col>3</xdr:col>
      <xdr:colOff>1552575</xdr:colOff>
      <xdr:row>3111</xdr:row>
      <xdr:rowOff>1266825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3112</xdr:row>
      <xdr:rowOff>38100</xdr:rowOff>
    </xdr:from>
    <xdr:to>
      <xdr:col>3</xdr:col>
      <xdr:colOff>1552575</xdr:colOff>
      <xdr:row>3113</xdr:row>
      <xdr:rowOff>638175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3114</xdr:row>
      <xdr:rowOff>28575</xdr:rowOff>
    </xdr:from>
    <xdr:to>
      <xdr:col>3</xdr:col>
      <xdr:colOff>1552575</xdr:colOff>
      <xdr:row>3114</xdr:row>
      <xdr:rowOff>1266825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3115</xdr:row>
      <xdr:rowOff>28575</xdr:rowOff>
    </xdr:from>
    <xdr:to>
      <xdr:col>3</xdr:col>
      <xdr:colOff>1552575</xdr:colOff>
      <xdr:row>3118</xdr:row>
      <xdr:rowOff>209550</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3119</xdr:row>
      <xdr:rowOff>28575</xdr:rowOff>
    </xdr:from>
    <xdr:to>
      <xdr:col>3</xdr:col>
      <xdr:colOff>1552575</xdr:colOff>
      <xdr:row>3121</xdr:row>
      <xdr:rowOff>419100</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3122</xdr:row>
      <xdr:rowOff>28575</xdr:rowOff>
    </xdr:from>
    <xdr:to>
      <xdr:col>3</xdr:col>
      <xdr:colOff>1552575</xdr:colOff>
      <xdr:row>3122</xdr:row>
      <xdr:rowOff>1266825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3123</xdr:row>
      <xdr:rowOff>38100</xdr:rowOff>
    </xdr:from>
    <xdr:to>
      <xdr:col>3</xdr:col>
      <xdr:colOff>1552575</xdr:colOff>
      <xdr:row>3124</xdr:row>
      <xdr:rowOff>638175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3125</xdr:row>
      <xdr:rowOff>28575</xdr:rowOff>
    </xdr:from>
    <xdr:to>
      <xdr:col>3</xdr:col>
      <xdr:colOff>1552575</xdr:colOff>
      <xdr:row>3131</xdr:row>
      <xdr:rowOff>171450</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3132</xdr:row>
      <xdr:rowOff>28575</xdr:rowOff>
    </xdr:from>
    <xdr:to>
      <xdr:col>3</xdr:col>
      <xdr:colOff>1552575</xdr:colOff>
      <xdr:row>3132</xdr:row>
      <xdr:rowOff>1266825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3133</xdr:row>
      <xdr:rowOff>28575</xdr:rowOff>
    </xdr:from>
    <xdr:to>
      <xdr:col>3</xdr:col>
      <xdr:colOff>1552575</xdr:colOff>
      <xdr:row>3135</xdr:row>
      <xdr:rowOff>419100</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3136</xdr:row>
      <xdr:rowOff>38100</xdr:rowOff>
    </xdr:from>
    <xdr:to>
      <xdr:col>3</xdr:col>
      <xdr:colOff>1552575</xdr:colOff>
      <xdr:row>3137</xdr:row>
      <xdr:rowOff>638175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3138</xdr:row>
      <xdr:rowOff>28575</xdr:rowOff>
    </xdr:from>
    <xdr:to>
      <xdr:col>3</xdr:col>
      <xdr:colOff>1552575</xdr:colOff>
      <xdr:row>3138</xdr:row>
      <xdr:rowOff>1266825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3139</xdr:row>
      <xdr:rowOff>28575</xdr:rowOff>
    </xdr:from>
    <xdr:to>
      <xdr:col>3</xdr:col>
      <xdr:colOff>1552575</xdr:colOff>
      <xdr:row>3139</xdr:row>
      <xdr:rowOff>1266825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3140</xdr:row>
      <xdr:rowOff>28575</xdr:rowOff>
    </xdr:from>
    <xdr:to>
      <xdr:col>3</xdr:col>
      <xdr:colOff>1552575</xdr:colOff>
      <xdr:row>3144</xdr:row>
      <xdr:rowOff>333375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3145</xdr:row>
      <xdr:rowOff>28575</xdr:rowOff>
    </xdr:from>
    <xdr:to>
      <xdr:col>3</xdr:col>
      <xdr:colOff>1552575</xdr:colOff>
      <xdr:row>3149</xdr:row>
      <xdr:rowOff>333375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3150</xdr:row>
      <xdr:rowOff>28575</xdr:rowOff>
    </xdr:from>
    <xdr:to>
      <xdr:col>3</xdr:col>
      <xdr:colOff>1552575</xdr:colOff>
      <xdr:row>3154</xdr:row>
      <xdr:rowOff>333375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3155</xdr:row>
      <xdr:rowOff>38100</xdr:rowOff>
    </xdr:from>
    <xdr:to>
      <xdr:col>3</xdr:col>
      <xdr:colOff>1552575</xdr:colOff>
      <xdr:row>3156</xdr:row>
      <xdr:rowOff>638175</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3157</xdr:row>
      <xdr:rowOff>28575</xdr:rowOff>
    </xdr:from>
    <xdr:to>
      <xdr:col>3</xdr:col>
      <xdr:colOff>1552575</xdr:colOff>
      <xdr:row>3159</xdr:row>
      <xdr:rowOff>419100</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3160</xdr:row>
      <xdr:rowOff>38100</xdr:rowOff>
    </xdr:from>
    <xdr:to>
      <xdr:col>3</xdr:col>
      <xdr:colOff>1552575</xdr:colOff>
      <xdr:row>3161</xdr:row>
      <xdr:rowOff>638175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3162</xdr:row>
      <xdr:rowOff>28575</xdr:rowOff>
    </xdr:from>
    <xdr:to>
      <xdr:col>3</xdr:col>
      <xdr:colOff>1552575</xdr:colOff>
      <xdr:row>3166</xdr:row>
      <xdr:rowOff>333375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3167</xdr:row>
      <xdr:rowOff>28575</xdr:rowOff>
    </xdr:from>
    <xdr:to>
      <xdr:col>3</xdr:col>
      <xdr:colOff>1552575</xdr:colOff>
      <xdr:row>3167</xdr:row>
      <xdr:rowOff>1266825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3168</xdr:row>
      <xdr:rowOff>28575</xdr:rowOff>
    </xdr:from>
    <xdr:to>
      <xdr:col>3</xdr:col>
      <xdr:colOff>1552575</xdr:colOff>
      <xdr:row>3171</xdr:row>
      <xdr:rowOff>209550</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3172</xdr:row>
      <xdr:rowOff>28575</xdr:rowOff>
    </xdr:from>
    <xdr:to>
      <xdr:col>3</xdr:col>
      <xdr:colOff>1552575</xdr:colOff>
      <xdr:row>3172</xdr:row>
      <xdr:rowOff>1266825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3173</xdr:row>
      <xdr:rowOff>28575</xdr:rowOff>
    </xdr:from>
    <xdr:to>
      <xdr:col>3</xdr:col>
      <xdr:colOff>1552575</xdr:colOff>
      <xdr:row>3175</xdr:row>
      <xdr:rowOff>419100</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3176</xdr:row>
      <xdr:rowOff>28575</xdr:rowOff>
    </xdr:from>
    <xdr:to>
      <xdr:col>3</xdr:col>
      <xdr:colOff>1552575</xdr:colOff>
      <xdr:row>3178</xdr:row>
      <xdr:rowOff>419100</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3179</xdr:row>
      <xdr:rowOff>28575</xdr:rowOff>
    </xdr:from>
    <xdr:to>
      <xdr:col>3</xdr:col>
      <xdr:colOff>1552575</xdr:colOff>
      <xdr:row>3179</xdr:row>
      <xdr:rowOff>1266825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3180</xdr:row>
      <xdr:rowOff>28575</xdr:rowOff>
    </xdr:from>
    <xdr:to>
      <xdr:col>3</xdr:col>
      <xdr:colOff>1552575</xdr:colOff>
      <xdr:row>3180</xdr:row>
      <xdr:rowOff>1266825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3181</xdr:row>
      <xdr:rowOff>28575</xdr:rowOff>
    </xdr:from>
    <xdr:to>
      <xdr:col>3</xdr:col>
      <xdr:colOff>1552575</xdr:colOff>
      <xdr:row>3184</xdr:row>
      <xdr:rowOff>209550</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3185</xdr:row>
      <xdr:rowOff>38100</xdr:rowOff>
    </xdr:from>
    <xdr:to>
      <xdr:col>3</xdr:col>
      <xdr:colOff>1552575</xdr:colOff>
      <xdr:row>3186</xdr:row>
      <xdr:rowOff>638175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3187</xdr:row>
      <xdr:rowOff>38100</xdr:rowOff>
    </xdr:from>
    <xdr:to>
      <xdr:col>3</xdr:col>
      <xdr:colOff>1552575</xdr:colOff>
      <xdr:row>3188</xdr:row>
      <xdr:rowOff>638175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3189</xdr:row>
      <xdr:rowOff>28575</xdr:rowOff>
    </xdr:from>
    <xdr:to>
      <xdr:col>3</xdr:col>
      <xdr:colOff>1552575</xdr:colOff>
      <xdr:row>3191</xdr:row>
      <xdr:rowOff>419100</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3192</xdr:row>
      <xdr:rowOff>38100</xdr:rowOff>
    </xdr:from>
    <xdr:to>
      <xdr:col>3</xdr:col>
      <xdr:colOff>1552575</xdr:colOff>
      <xdr:row>3193</xdr:row>
      <xdr:rowOff>638175</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3194</xdr:row>
      <xdr:rowOff>28575</xdr:rowOff>
    </xdr:from>
    <xdr:to>
      <xdr:col>3</xdr:col>
      <xdr:colOff>1552575</xdr:colOff>
      <xdr:row>3196</xdr:row>
      <xdr:rowOff>419100</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3197</xdr:row>
      <xdr:rowOff>28575</xdr:rowOff>
    </xdr:from>
    <xdr:to>
      <xdr:col>3</xdr:col>
      <xdr:colOff>1552575</xdr:colOff>
      <xdr:row>3200</xdr:row>
      <xdr:rowOff>209550</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3201</xdr:row>
      <xdr:rowOff>28575</xdr:rowOff>
    </xdr:from>
    <xdr:to>
      <xdr:col>3</xdr:col>
      <xdr:colOff>1552575</xdr:colOff>
      <xdr:row>3205</xdr:row>
      <xdr:rowOff>333375</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3206</xdr:row>
      <xdr:rowOff>28575</xdr:rowOff>
    </xdr:from>
    <xdr:to>
      <xdr:col>3</xdr:col>
      <xdr:colOff>1552575</xdr:colOff>
      <xdr:row>3206</xdr:row>
      <xdr:rowOff>1266825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3207</xdr:row>
      <xdr:rowOff>28575</xdr:rowOff>
    </xdr:from>
    <xdr:to>
      <xdr:col>3</xdr:col>
      <xdr:colOff>1552575</xdr:colOff>
      <xdr:row>3207</xdr:row>
      <xdr:rowOff>1266825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3208</xdr:row>
      <xdr:rowOff>28575</xdr:rowOff>
    </xdr:from>
    <xdr:to>
      <xdr:col>3</xdr:col>
      <xdr:colOff>1552575</xdr:colOff>
      <xdr:row>3208</xdr:row>
      <xdr:rowOff>1266825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3209</xdr:row>
      <xdr:rowOff>28575</xdr:rowOff>
    </xdr:from>
    <xdr:to>
      <xdr:col>3</xdr:col>
      <xdr:colOff>1552575</xdr:colOff>
      <xdr:row>3209</xdr:row>
      <xdr:rowOff>1266825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3210</xdr:row>
      <xdr:rowOff>28575</xdr:rowOff>
    </xdr:from>
    <xdr:to>
      <xdr:col>3</xdr:col>
      <xdr:colOff>1552575</xdr:colOff>
      <xdr:row>3210</xdr:row>
      <xdr:rowOff>1266825</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3211</xdr:row>
      <xdr:rowOff>28575</xdr:rowOff>
    </xdr:from>
    <xdr:to>
      <xdr:col>3</xdr:col>
      <xdr:colOff>1552575</xdr:colOff>
      <xdr:row>3211</xdr:row>
      <xdr:rowOff>1266825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3212</xdr:row>
      <xdr:rowOff>28575</xdr:rowOff>
    </xdr:from>
    <xdr:to>
      <xdr:col>3</xdr:col>
      <xdr:colOff>1552575</xdr:colOff>
      <xdr:row>3212</xdr:row>
      <xdr:rowOff>1266825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3213</xdr:row>
      <xdr:rowOff>28575</xdr:rowOff>
    </xdr:from>
    <xdr:to>
      <xdr:col>3</xdr:col>
      <xdr:colOff>1552575</xdr:colOff>
      <xdr:row>3213</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3214</xdr:row>
      <xdr:rowOff>28575</xdr:rowOff>
    </xdr:from>
    <xdr:to>
      <xdr:col>3</xdr:col>
      <xdr:colOff>1552575</xdr:colOff>
      <xdr:row>3214</xdr:row>
      <xdr:rowOff>1266825</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3215</xdr:row>
      <xdr:rowOff>28575</xdr:rowOff>
    </xdr:from>
    <xdr:to>
      <xdr:col>3</xdr:col>
      <xdr:colOff>1552575</xdr:colOff>
      <xdr:row>3215</xdr:row>
      <xdr:rowOff>1266825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3216</xdr:row>
      <xdr:rowOff>1266825</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3217</xdr:row>
      <xdr:rowOff>28575</xdr:rowOff>
    </xdr:from>
    <xdr:to>
      <xdr:col>3</xdr:col>
      <xdr:colOff>1552575</xdr:colOff>
      <xdr:row>3217</xdr:row>
      <xdr:rowOff>1266825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3218</xdr:row>
      <xdr:rowOff>28575</xdr:rowOff>
    </xdr:from>
    <xdr:to>
      <xdr:col>3</xdr:col>
      <xdr:colOff>1552575</xdr:colOff>
      <xdr:row>3218</xdr:row>
      <xdr:rowOff>1266825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3219</xdr:row>
      <xdr:rowOff>28575</xdr:rowOff>
    </xdr:from>
    <xdr:to>
      <xdr:col>3</xdr:col>
      <xdr:colOff>1552575</xdr:colOff>
      <xdr:row>3219</xdr:row>
      <xdr:rowOff>1266825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3220</xdr:row>
      <xdr:rowOff>28575</xdr:rowOff>
    </xdr:from>
    <xdr:to>
      <xdr:col>3</xdr:col>
      <xdr:colOff>1552575</xdr:colOff>
      <xdr:row>3220</xdr:row>
      <xdr:rowOff>1266825</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3221</xdr:row>
      <xdr:rowOff>28575</xdr:rowOff>
    </xdr:from>
    <xdr:to>
      <xdr:col>3</xdr:col>
      <xdr:colOff>1552575</xdr:colOff>
      <xdr:row>3221</xdr:row>
      <xdr:rowOff>1266825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3222</xdr:row>
      <xdr:rowOff>28575</xdr:rowOff>
    </xdr:from>
    <xdr:to>
      <xdr:col>3</xdr:col>
      <xdr:colOff>1552575</xdr:colOff>
      <xdr:row>3226</xdr:row>
      <xdr:rowOff>333375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3227</xdr:row>
      <xdr:rowOff>28575</xdr:rowOff>
    </xdr:from>
    <xdr:to>
      <xdr:col>3</xdr:col>
      <xdr:colOff>1552575</xdr:colOff>
      <xdr:row>3227</xdr:row>
      <xdr:rowOff>1266825</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3228</xdr:row>
      <xdr:rowOff>28575</xdr:rowOff>
    </xdr:from>
    <xdr:to>
      <xdr:col>3</xdr:col>
      <xdr:colOff>1552575</xdr:colOff>
      <xdr:row>3231</xdr:row>
      <xdr:rowOff>209550</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3232</xdr:row>
      <xdr:rowOff>28575</xdr:rowOff>
    </xdr:from>
    <xdr:to>
      <xdr:col>3</xdr:col>
      <xdr:colOff>1552575</xdr:colOff>
      <xdr:row>3232</xdr:row>
      <xdr:rowOff>1266825</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3233</xdr:row>
      <xdr:rowOff>28575</xdr:rowOff>
    </xdr:from>
    <xdr:to>
      <xdr:col>3</xdr:col>
      <xdr:colOff>1552575</xdr:colOff>
      <xdr:row>3233</xdr:row>
      <xdr:rowOff>1266825</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3234</xdr:row>
      <xdr:rowOff>28575</xdr:rowOff>
    </xdr:from>
    <xdr:to>
      <xdr:col>3</xdr:col>
      <xdr:colOff>1552575</xdr:colOff>
      <xdr:row>3234</xdr:row>
      <xdr:rowOff>1266825</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3235</xdr:row>
      <xdr:rowOff>28575</xdr:rowOff>
    </xdr:from>
    <xdr:to>
      <xdr:col>3</xdr:col>
      <xdr:colOff>1552575</xdr:colOff>
      <xdr:row>3235</xdr:row>
      <xdr:rowOff>1266825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3236</xdr:row>
      <xdr:rowOff>28575</xdr:rowOff>
    </xdr:from>
    <xdr:to>
      <xdr:col>3</xdr:col>
      <xdr:colOff>1552575</xdr:colOff>
      <xdr:row>3236</xdr:row>
      <xdr:rowOff>1266825</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3237</xdr:row>
      <xdr:rowOff>38100</xdr:rowOff>
    </xdr:from>
    <xdr:to>
      <xdr:col>3</xdr:col>
      <xdr:colOff>1552575</xdr:colOff>
      <xdr:row>3238</xdr:row>
      <xdr:rowOff>638175</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3239</xdr:row>
      <xdr:rowOff>28575</xdr:rowOff>
    </xdr:from>
    <xdr:to>
      <xdr:col>3</xdr:col>
      <xdr:colOff>1552575</xdr:colOff>
      <xdr:row>3239</xdr:row>
      <xdr:rowOff>1266825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3240</xdr:row>
      <xdr:rowOff>28575</xdr:rowOff>
    </xdr:from>
    <xdr:to>
      <xdr:col>3</xdr:col>
      <xdr:colOff>1552575</xdr:colOff>
      <xdr:row>3240</xdr:row>
      <xdr:rowOff>1266825</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3241</xdr:row>
      <xdr:rowOff>28575</xdr:rowOff>
    </xdr:from>
    <xdr:to>
      <xdr:col>3</xdr:col>
      <xdr:colOff>1552575</xdr:colOff>
      <xdr:row>3241</xdr:row>
      <xdr:rowOff>1266825</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3242</xdr:row>
      <xdr:rowOff>38100</xdr:rowOff>
    </xdr:from>
    <xdr:to>
      <xdr:col>3</xdr:col>
      <xdr:colOff>1552575</xdr:colOff>
      <xdr:row>3243</xdr:row>
      <xdr:rowOff>638175</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3244</xdr:row>
      <xdr:rowOff>28575</xdr:rowOff>
    </xdr:from>
    <xdr:to>
      <xdr:col>3</xdr:col>
      <xdr:colOff>1552575</xdr:colOff>
      <xdr:row>3246</xdr:row>
      <xdr:rowOff>419100</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3247</xdr:row>
      <xdr:rowOff>38100</xdr:rowOff>
    </xdr:from>
    <xdr:to>
      <xdr:col>3</xdr:col>
      <xdr:colOff>1552575</xdr:colOff>
      <xdr:row>3248</xdr:row>
      <xdr:rowOff>638175</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3249</xdr:row>
      <xdr:rowOff>38100</xdr:rowOff>
    </xdr:from>
    <xdr:to>
      <xdr:col>3</xdr:col>
      <xdr:colOff>1552575</xdr:colOff>
      <xdr:row>3250</xdr:row>
      <xdr:rowOff>638175</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3251</xdr:row>
      <xdr:rowOff>38100</xdr:rowOff>
    </xdr:from>
    <xdr:to>
      <xdr:col>3</xdr:col>
      <xdr:colOff>1552575</xdr:colOff>
      <xdr:row>3252</xdr:row>
      <xdr:rowOff>638175</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3253</xdr:row>
      <xdr:rowOff>28575</xdr:rowOff>
    </xdr:from>
    <xdr:to>
      <xdr:col>3</xdr:col>
      <xdr:colOff>1552575</xdr:colOff>
      <xdr:row>3253</xdr:row>
      <xdr:rowOff>1266825</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3254</xdr:row>
      <xdr:rowOff>28575</xdr:rowOff>
    </xdr:from>
    <xdr:to>
      <xdr:col>3</xdr:col>
      <xdr:colOff>1552575</xdr:colOff>
      <xdr:row>3257</xdr:row>
      <xdr:rowOff>209550</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3258</xdr:row>
      <xdr:rowOff>38100</xdr:rowOff>
    </xdr:from>
    <xdr:to>
      <xdr:col>3</xdr:col>
      <xdr:colOff>1552575</xdr:colOff>
      <xdr:row>3259</xdr:row>
      <xdr:rowOff>638175</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3260</xdr:row>
      <xdr:rowOff>28575</xdr:rowOff>
    </xdr:from>
    <xdr:to>
      <xdr:col>3</xdr:col>
      <xdr:colOff>1552575</xdr:colOff>
      <xdr:row>3263</xdr:row>
      <xdr:rowOff>209550</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3264</xdr:row>
      <xdr:rowOff>28575</xdr:rowOff>
    </xdr:from>
    <xdr:to>
      <xdr:col>3</xdr:col>
      <xdr:colOff>1552575</xdr:colOff>
      <xdr:row>3264</xdr:row>
      <xdr:rowOff>1266825</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3265</xdr:row>
      <xdr:rowOff>38100</xdr:rowOff>
    </xdr:from>
    <xdr:to>
      <xdr:col>3</xdr:col>
      <xdr:colOff>1552575</xdr:colOff>
      <xdr:row>3266</xdr:row>
      <xdr:rowOff>638175</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3267</xdr:row>
      <xdr:rowOff>38100</xdr:rowOff>
    </xdr:from>
    <xdr:to>
      <xdr:col>3</xdr:col>
      <xdr:colOff>1552575</xdr:colOff>
      <xdr:row>3268</xdr:row>
      <xdr:rowOff>638175</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3269</xdr:row>
      <xdr:rowOff>28575</xdr:rowOff>
    </xdr:from>
    <xdr:to>
      <xdr:col>3</xdr:col>
      <xdr:colOff>1552575</xdr:colOff>
      <xdr:row>3269</xdr:row>
      <xdr:rowOff>1266825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3270</xdr:row>
      <xdr:rowOff>28575</xdr:rowOff>
    </xdr:from>
    <xdr:to>
      <xdr:col>3</xdr:col>
      <xdr:colOff>1552575</xdr:colOff>
      <xdr:row>3270</xdr:row>
      <xdr:rowOff>1266825</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3271</xdr:row>
      <xdr:rowOff>28575</xdr:rowOff>
    </xdr:from>
    <xdr:to>
      <xdr:col>3</xdr:col>
      <xdr:colOff>1552575</xdr:colOff>
      <xdr:row>3273</xdr:row>
      <xdr:rowOff>419100</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3274</xdr:row>
      <xdr:rowOff>28575</xdr:rowOff>
    </xdr:from>
    <xdr:to>
      <xdr:col>3</xdr:col>
      <xdr:colOff>1552575</xdr:colOff>
      <xdr:row>3274</xdr:row>
      <xdr:rowOff>1266825</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3275</xdr:row>
      <xdr:rowOff>28575</xdr:rowOff>
    </xdr:from>
    <xdr:to>
      <xdr:col>3</xdr:col>
      <xdr:colOff>1552575</xdr:colOff>
      <xdr:row>3279</xdr:row>
      <xdr:rowOff>333375</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3280</xdr:row>
      <xdr:rowOff>38100</xdr:rowOff>
    </xdr:from>
    <xdr:to>
      <xdr:col>3</xdr:col>
      <xdr:colOff>1552575</xdr:colOff>
      <xdr:row>3281</xdr:row>
      <xdr:rowOff>638175</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3282</xdr:row>
      <xdr:rowOff>28575</xdr:rowOff>
    </xdr:from>
    <xdr:to>
      <xdr:col>3</xdr:col>
      <xdr:colOff>1552575</xdr:colOff>
      <xdr:row>3284</xdr:row>
      <xdr:rowOff>419100</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3285</xdr:row>
      <xdr:rowOff>38100</xdr:rowOff>
    </xdr:from>
    <xdr:to>
      <xdr:col>3</xdr:col>
      <xdr:colOff>1552575</xdr:colOff>
      <xdr:row>3286</xdr:row>
      <xdr:rowOff>638175</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3287</xdr:row>
      <xdr:rowOff>28575</xdr:rowOff>
    </xdr:from>
    <xdr:to>
      <xdr:col>3</xdr:col>
      <xdr:colOff>1552575</xdr:colOff>
      <xdr:row>3289</xdr:row>
      <xdr:rowOff>419100</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3290</xdr:row>
      <xdr:rowOff>28575</xdr:rowOff>
    </xdr:from>
    <xdr:to>
      <xdr:col>3</xdr:col>
      <xdr:colOff>1552575</xdr:colOff>
      <xdr:row>3294</xdr:row>
      <xdr:rowOff>333375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3295</xdr:row>
      <xdr:rowOff>38100</xdr:rowOff>
    </xdr:from>
    <xdr:to>
      <xdr:col>3</xdr:col>
      <xdr:colOff>1552575</xdr:colOff>
      <xdr:row>3296</xdr:row>
      <xdr:rowOff>638175</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3297</xdr:row>
      <xdr:rowOff>28575</xdr:rowOff>
    </xdr:from>
    <xdr:to>
      <xdr:col>3</xdr:col>
      <xdr:colOff>1552575</xdr:colOff>
      <xdr:row>3300</xdr:row>
      <xdr:rowOff>209550</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3301</xdr:row>
      <xdr:rowOff>28575</xdr:rowOff>
    </xdr:from>
    <xdr:to>
      <xdr:col>3</xdr:col>
      <xdr:colOff>1552575</xdr:colOff>
      <xdr:row>3303</xdr:row>
      <xdr:rowOff>419100</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3304</xdr:row>
      <xdr:rowOff>38100</xdr:rowOff>
    </xdr:from>
    <xdr:to>
      <xdr:col>3</xdr:col>
      <xdr:colOff>1552575</xdr:colOff>
      <xdr:row>3305</xdr:row>
      <xdr:rowOff>638175</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3306</xdr:row>
      <xdr:rowOff>28575</xdr:rowOff>
    </xdr:from>
    <xdr:to>
      <xdr:col>3</xdr:col>
      <xdr:colOff>1552575</xdr:colOff>
      <xdr:row>3309</xdr:row>
      <xdr:rowOff>209550</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3310</xdr:row>
      <xdr:rowOff>28575</xdr:rowOff>
    </xdr:from>
    <xdr:to>
      <xdr:col>3</xdr:col>
      <xdr:colOff>1552575</xdr:colOff>
      <xdr:row>3314</xdr:row>
      <xdr:rowOff>333375</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3315</xdr:row>
      <xdr:rowOff>28575</xdr:rowOff>
    </xdr:from>
    <xdr:to>
      <xdr:col>3</xdr:col>
      <xdr:colOff>1552575</xdr:colOff>
      <xdr:row>3317</xdr:row>
      <xdr:rowOff>419100</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3318</xdr:row>
      <xdr:rowOff>28575</xdr:rowOff>
    </xdr:from>
    <xdr:to>
      <xdr:col>3</xdr:col>
      <xdr:colOff>1552575</xdr:colOff>
      <xdr:row>3318</xdr:row>
      <xdr:rowOff>1266825</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3319</xdr:row>
      <xdr:rowOff>28575</xdr:rowOff>
    </xdr:from>
    <xdr:to>
      <xdr:col>3</xdr:col>
      <xdr:colOff>1552575</xdr:colOff>
      <xdr:row>3322</xdr:row>
      <xdr:rowOff>209550</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3323</xdr:row>
      <xdr:rowOff>38100</xdr:rowOff>
    </xdr:from>
    <xdr:to>
      <xdr:col>3</xdr:col>
      <xdr:colOff>1552575</xdr:colOff>
      <xdr:row>3324</xdr:row>
      <xdr:rowOff>638175</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3325</xdr:row>
      <xdr:rowOff>38100</xdr:rowOff>
    </xdr:from>
    <xdr:to>
      <xdr:col>3</xdr:col>
      <xdr:colOff>1552575</xdr:colOff>
      <xdr:row>3326</xdr:row>
      <xdr:rowOff>638175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3327</xdr:row>
      <xdr:rowOff>28575</xdr:rowOff>
    </xdr:from>
    <xdr:to>
      <xdr:col>3</xdr:col>
      <xdr:colOff>1552575</xdr:colOff>
      <xdr:row>3327</xdr:row>
      <xdr:rowOff>1266825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3328</xdr:row>
      <xdr:rowOff>28575</xdr:rowOff>
    </xdr:from>
    <xdr:to>
      <xdr:col>3</xdr:col>
      <xdr:colOff>1552575</xdr:colOff>
      <xdr:row>3332</xdr:row>
      <xdr:rowOff>333375</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3333</xdr:row>
      <xdr:rowOff>38100</xdr:rowOff>
    </xdr:from>
    <xdr:to>
      <xdr:col>3</xdr:col>
      <xdr:colOff>1552575</xdr:colOff>
      <xdr:row>3334</xdr:row>
      <xdr:rowOff>638175</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3335</xdr:row>
      <xdr:rowOff>38100</xdr:rowOff>
    </xdr:from>
    <xdr:to>
      <xdr:col>3</xdr:col>
      <xdr:colOff>1552575</xdr:colOff>
      <xdr:row>3336</xdr:row>
      <xdr:rowOff>638175</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3337</xdr:row>
      <xdr:rowOff>28575</xdr:rowOff>
    </xdr:from>
    <xdr:to>
      <xdr:col>3</xdr:col>
      <xdr:colOff>1552575</xdr:colOff>
      <xdr:row>3340</xdr:row>
      <xdr:rowOff>209550</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3341</xdr:row>
      <xdr:rowOff>28575</xdr:rowOff>
    </xdr:from>
    <xdr:to>
      <xdr:col>3</xdr:col>
      <xdr:colOff>1552575</xdr:colOff>
      <xdr:row>3344</xdr:row>
      <xdr:rowOff>209550</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3345</xdr:row>
      <xdr:rowOff>28575</xdr:rowOff>
    </xdr:from>
    <xdr:to>
      <xdr:col>3</xdr:col>
      <xdr:colOff>1552575</xdr:colOff>
      <xdr:row>3347</xdr:row>
      <xdr:rowOff>419100</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3348</xdr:row>
      <xdr:rowOff>38100</xdr:rowOff>
    </xdr:from>
    <xdr:to>
      <xdr:col>3</xdr:col>
      <xdr:colOff>1552575</xdr:colOff>
      <xdr:row>3349</xdr:row>
      <xdr:rowOff>638175</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3350</xdr:row>
      <xdr:rowOff>28575</xdr:rowOff>
    </xdr:from>
    <xdr:to>
      <xdr:col>3</xdr:col>
      <xdr:colOff>1552575</xdr:colOff>
      <xdr:row>3354</xdr:row>
      <xdr:rowOff>333375</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3355</xdr:row>
      <xdr:rowOff>28575</xdr:rowOff>
    </xdr:from>
    <xdr:to>
      <xdr:col>3</xdr:col>
      <xdr:colOff>1552575</xdr:colOff>
      <xdr:row>3359</xdr:row>
      <xdr:rowOff>333375</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3360</xdr:row>
      <xdr:rowOff>38100</xdr:rowOff>
    </xdr:from>
    <xdr:to>
      <xdr:col>3</xdr:col>
      <xdr:colOff>1552575</xdr:colOff>
      <xdr:row>3361</xdr:row>
      <xdr:rowOff>638175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3362</xdr:row>
      <xdr:rowOff>28575</xdr:rowOff>
    </xdr:from>
    <xdr:to>
      <xdr:col>3</xdr:col>
      <xdr:colOff>1552575</xdr:colOff>
      <xdr:row>3364</xdr:row>
      <xdr:rowOff>419100</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3365</xdr:row>
      <xdr:rowOff>28575</xdr:rowOff>
    </xdr:from>
    <xdr:to>
      <xdr:col>3</xdr:col>
      <xdr:colOff>1552575</xdr:colOff>
      <xdr:row>3367</xdr:row>
      <xdr:rowOff>419100</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3368</xdr:row>
      <xdr:rowOff>28575</xdr:rowOff>
    </xdr:from>
    <xdr:to>
      <xdr:col>3</xdr:col>
      <xdr:colOff>1552575</xdr:colOff>
      <xdr:row>3370</xdr:row>
      <xdr:rowOff>419100</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3371</xdr:row>
      <xdr:rowOff>38100</xdr:rowOff>
    </xdr:from>
    <xdr:to>
      <xdr:col>3</xdr:col>
      <xdr:colOff>1552575</xdr:colOff>
      <xdr:row>3372</xdr:row>
      <xdr:rowOff>638175</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3373</xdr:row>
      <xdr:rowOff>28575</xdr:rowOff>
    </xdr:from>
    <xdr:to>
      <xdr:col>3</xdr:col>
      <xdr:colOff>1552575</xdr:colOff>
      <xdr:row>3373</xdr:row>
      <xdr:rowOff>1266825</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3374</xdr:row>
      <xdr:rowOff>28575</xdr:rowOff>
    </xdr:from>
    <xdr:to>
      <xdr:col>3</xdr:col>
      <xdr:colOff>1552575</xdr:colOff>
      <xdr:row>3374</xdr:row>
      <xdr:rowOff>1266825</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3375</xdr:row>
      <xdr:rowOff>28575</xdr:rowOff>
    </xdr:from>
    <xdr:to>
      <xdr:col>3</xdr:col>
      <xdr:colOff>1552575</xdr:colOff>
      <xdr:row>3375</xdr:row>
      <xdr:rowOff>1266825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3376</xdr:row>
      <xdr:rowOff>28575</xdr:rowOff>
    </xdr:from>
    <xdr:to>
      <xdr:col>3</xdr:col>
      <xdr:colOff>1552575</xdr:colOff>
      <xdr:row>3379</xdr:row>
      <xdr:rowOff>209550</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3380</xdr:row>
      <xdr:rowOff>28575</xdr:rowOff>
    </xdr:from>
    <xdr:to>
      <xdr:col>3</xdr:col>
      <xdr:colOff>1552575</xdr:colOff>
      <xdr:row>3384</xdr:row>
      <xdr:rowOff>333375</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3385</xdr:row>
      <xdr:rowOff>28575</xdr:rowOff>
    </xdr:from>
    <xdr:to>
      <xdr:col>3</xdr:col>
      <xdr:colOff>1552575</xdr:colOff>
      <xdr:row>3389</xdr:row>
      <xdr:rowOff>333375</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3390</xdr:row>
      <xdr:rowOff>28575</xdr:rowOff>
    </xdr:from>
    <xdr:to>
      <xdr:col>3</xdr:col>
      <xdr:colOff>1552575</xdr:colOff>
      <xdr:row>3393</xdr:row>
      <xdr:rowOff>209550</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3394</xdr:row>
      <xdr:rowOff>28575</xdr:rowOff>
    </xdr:from>
    <xdr:to>
      <xdr:col>3</xdr:col>
      <xdr:colOff>1552575</xdr:colOff>
      <xdr:row>3396</xdr:row>
      <xdr:rowOff>419100</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3397</xdr:row>
      <xdr:rowOff>28575</xdr:rowOff>
    </xdr:from>
    <xdr:to>
      <xdr:col>3</xdr:col>
      <xdr:colOff>1552575</xdr:colOff>
      <xdr:row>3400</xdr:row>
      <xdr:rowOff>209550</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3401</xdr:row>
      <xdr:rowOff>28575</xdr:rowOff>
    </xdr:from>
    <xdr:to>
      <xdr:col>3</xdr:col>
      <xdr:colOff>1552575</xdr:colOff>
      <xdr:row>3405</xdr:row>
      <xdr:rowOff>333375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3406</xdr:row>
      <xdr:rowOff>28575</xdr:rowOff>
    </xdr:from>
    <xdr:to>
      <xdr:col>3</xdr:col>
      <xdr:colOff>1552575</xdr:colOff>
      <xdr:row>3410</xdr:row>
      <xdr:rowOff>333375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3411</xdr:row>
      <xdr:rowOff>28575</xdr:rowOff>
    </xdr:from>
    <xdr:to>
      <xdr:col>3</xdr:col>
      <xdr:colOff>1552575</xdr:colOff>
      <xdr:row>3415</xdr:row>
      <xdr:rowOff>333375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3416</xdr:row>
      <xdr:rowOff>28575</xdr:rowOff>
    </xdr:from>
    <xdr:to>
      <xdr:col>3</xdr:col>
      <xdr:colOff>1552575</xdr:colOff>
      <xdr:row>3416</xdr:row>
      <xdr:rowOff>1266825</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3417</xdr:row>
      <xdr:rowOff>28575</xdr:rowOff>
    </xdr:from>
    <xdr:to>
      <xdr:col>3</xdr:col>
      <xdr:colOff>1552575</xdr:colOff>
      <xdr:row>3417</xdr:row>
      <xdr:rowOff>1266825</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3418</xdr:row>
      <xdr:rowOff>28575</xdr:rowOff>
    </xdr:from>
    <xdr:to>
      <xdr:col>3</xdr:col>
      <xdr:colOff>1552575</xdr:colOff>
      <xdr:row>3418</xdr:row>
      <xdr:rowOff>1266825</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3419</xdr:row>
      <xdr:rowOff>28575</xdr:rowOff>
    </xdr:from>
    <xdr:to>
      <xdr:col>3</xdr:col>
      <xdr:colOff>1552575</xdr:colOff>
      <xdr:row>3419</xdr:row>
      <xdr:rowOff>1266825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3420</xdr:row>
      <xdr:rowOff>28575</xdr:rowOff>
    </xdr:from>
    <xdr:to>
      <xdr:col>3</xdr:col>
      <xdr:colOff>1552575</xdr:colOff>
      <xdr:row>3420</xdr:row>
      <xdr:rowOff>1266825</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3421</xdr:row>
      <xdr:rowOff>28575</xdr:rowOff>
    </xdr:from>
    <xdr:to>
      <xdr:col>3</xdr:col>
      <xdr:colOff>1552575</xdr:colOff>
      <xdr:row>3421</xdr:row>
      <xdr:rowOff>1266825</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3422</xdr:row>
      <xdr:rowOff>28575</xdr:rowOff>
    </xdr:from>
    <xdr:to>
      <xdr:col>3</xdr:col>
      <xdr:colOff>1552575</xdr:colOff>
      <xdr:row>3422</xdr:row>
      <xdr:rowOff>1266825</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3423</xdr:row>
      <xdr:rowOff>28575</xdr:rowOff>
    </xdr:from>
    <xdr:to>
      <xdr:col>3</xdr:col>
      <xdr:colOff>1552575</xdr:colOff>
      <xdr:row>3423</xdr:row>
      <xdr:rowOff>1266825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3424</xdr:row>
      <xdr:rowOff>28575</xdr:rowOff>
    </xdr:from>
    <xdr:to>
      <xdr:col>3</xdr:col>
      <xdr:colOff>1552575</xdr:colOff>
      <xdr:row>3424</xdr:row>
      <xdr:rowOff>1266825</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3425</xdr:row>
      <xdr:rowOff>28575</xdr:rowOff>
    </xdr:from>
    <xdr:to>
      <xdr:col>3</xdr:col>
      <xdr:colOff>1552575</xdr:colOff>
      <xdr:row>3425</xdr:row>
      <xdr:rowOff>1266825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3426</xdr:row>
      <xdr:rowOff>28575</xdr:rowOff>
    </xdr:from>
    <xdr:to>
      <xdr:col>3</xdr:col>
      <xdr:colOff>1552575</xdr:colOff>
      <xdr:row>3426</xdr:row>
      <xdr:rowOff>1266825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3427</xdr:row>
      <xdr:rowOff>28575</xdr:rowOff>
    </xdr:from>
    <xdr:to>
      <xdr:col>3</xdr:col>
      <xdr:colOff>1552575</xdr:colOff>
      <xdr:row>3427</xdr:row>
      <xdr:rowOff>1266825</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3428</xdr:row>
      <xdr:rowOff>28575</xdr:rowOff>
    </xdr:from>
    <xdr:to>
      <xdr:col>3</xdr:col>
      <xdr:colOff>1552575</xdr:colOff>
      <xdr:row>3428</xdr:row>
      <xdr:rowOff>1266825</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3429</xdr:row>
      <xdr:rowOff>28575</xdr:rowOff>
    </xdr:from>
    <xdr:to>
      <xdr:col>3</xdr:col>
      <xdr:colOff>1552575</xdr:colOff>
      <xdr:row>3429</xdr:row>
      <xdr:rowOff>1266825</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3430</xdr:row>
      <xdr:rowOff>28575</xdr:rowOff>
    </xdr:from>
    <xdr:to>
      <xdr:col>3</xdr:col>
      <xdr:colOff>1552575</xdr:colOff>
      <xdr:row>3430</xdr:row>
      <xdr:rowOff>1266825</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3431</xdr:row>
      <xdr:rowOff>28575</xdr:rowOff>
    </xdr:from>
    <xdr:to>
      <xdr:col>3</xdr:col>
      <xdr:colOff>1552575</xdr:colOff>
      <xdr:row>3431</xdr:row>
      <xdr:rowOff>1266825</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3432</xdr:row>
      <xdr:rowOff>28575</xdr:rowOff>
    </xdr:from>
    <xdr:to>
      <xdr:col>3</xdr:col>
      <xdr:colOff>1552575</xdr:colOff>
      <xdr:row>3432</xdr:row>
      <xdr:rowOff>1266825</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3433</xdr:row>
      <xdr:rowOff>28575</xdr:rowOff>
    </xdr:from>
    <xdr:to>
      <xdr:col>3</xdr:col>
      <xdr:colOff>1552575</xdr:colOff>
      <xdr:row>3433</xdr:row>
      <xdr:rowOff>1266825</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3434</xdr:row>
      <xdr:rowOff>28575</xdr:rowOff>
    </xdr:from>
    <xdr:to>
      <xdr:col>3</xdr:col>
      <xdr:colOff>1552575</xdr:colOff>
      <xdr:row>3434</xdr:row>
      <xdr:rowOff>1266825</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3435</xdr:row>
      <xdr:rowOff>38100</xdr:rowOff>
    </xdr:from>
    <xdr:to>
      <xdr:col>3</xdr:col>
      <xdr:colOff>1552575</xdr:colOff>
      <xdr:row>3436</xdr:row>
      <xdr:rowOff>638175</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3437</xdr:row>
      <xdr:rowOff>28575</xdr:rowOff>
    </xdr:from>
    <xdr:to>
      <xdr:col>3</xdr:col>
      <xdr:colOff>1552575</xdr:colOff>
      <xdr:row>3437</xdr:row>
      <xdr:rowOff>1266825</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3438</xdr:row>
      <xdr:rowOff>28575</xdr:rowOff>
    </xdr:from>
    <xdr:to>
      <xdr:col>3</xdr:col>
      <xdr:colOff>1552575</xdr:colOff>
      <xdr:row>3438</xdr:row>
      <xdr:rowOff>1266825</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3439</xdr:row>
      <xdr:rowOff>28575</xdr:rowOff>
    </xdr:from>
    <xdr:to>
      <xdr:col>3</xdr:col>
      <xdr:colOff>1552575</xdr:colOff>
      <xdr:row>3439</xdr:row>
      <xdr:rowOff>1266825</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3440</xdr:row>
      <xdr:rowOff>28575</xdr:rowOff>
    </xdr:from>
    <xdr:to>
      <xdr:col>3</xdr:col>
      <xdr:colOff>1552575</xdr:colOff>
      <xdr:row>3440</xdr:row>
      <xdr:rowOff>1266825</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3441</xdr:row>
      <xdr:rowOff>38100</xdr:rowOff>
    </xdr:from>
    <xdr:to>
      <xdr:col>3</xdr:col>
      <xdr:colOff>1552575</xdr:colOff>
      <xdr:row>3442</xdr:row>
      <xdr:rowOff>638175</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3443</xdr:row>
      <xdr:rowOff>28575</xdr:rowOff>
    </xdr:from>
    <xdr:to>
      <xdr:col>3</xdr:col>
      <xdr:colOff>1552575</xdr:colOff>
      <xdr:row>3443</xdr:row>
      <xdr:rowOff>1266825</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3444</xdr:row>
      <xdr:rowOff>28575</xdr:rowOff>
    </xdr:from>
    <xdr:to>
      <xdr:col>3</xdr:col>
      <xdr:colOff>1552575</xdr:colOff>
      <xdr:row>3444</xdr:row>
      <xdr:rowOff>1266825</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3445</xdr:row>
      <xdr:rowOff>28575</xdr:rowOff>
    </xdr:from>
    <xdr:to>
      <xdr:col>3</xdr:col>
      <xdr:colOff>1552575</xdr:colOff>
      <xdr:row>3445</xdr:row>
      <xdr:rowOff>1266825</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3446</xdr:row>
      <xdr:rowOff>28575</xdr:rowOff>
    </xdr:from>
    <xdr:to>
      <xdr:col>3</xdr:col>
      <xdr:colOff>1552575</xdr:colOff>
      <xdr:row>3446</xdr:row>
      <xdr:rowOff>1266825</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3447</xdr:row>
      <xdr:rowOff>28575</xdr:rowOff>
    </xdr:from>
    <xdr:to>
      <xdr:col>3</xdr:col>
      <xdr:colOff>1552575</xdr:colOff>
      <xdr:row>3447</xdr:row>
      <xdr:rowOff>1266825</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3448</xdr:row>
      <xdr:rowOff>28575</xdr:rowOff>
    </xdr:from>
    <xdr:to>
      <xdr:col>3</xdr:col>
      <xdr:colOff>1552575</xdr:colOff>
      <xdr:row>3448</xdr:row>
      <xdr:rowOff>1266825</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3449</xdr:row>
      <xdr:rowOff>28575</xdr:rowOff>
    </xdr:from>
    <xdr:to>
      <xdr:col>3</xdr:col>
      <xdr:colOff>1552575</xdr:colOff>
      <xdr:row>3449</xdr:row>
      <xdr:rowOff>1266825</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3450</xdr:row>
      <xdr:rowOff>28575</xdr:rowOff>
    </xdr:from>
    <xdr:to>
      <xdr:col>3</xdr:col>
      <xdr:colOff>1552575</xdr:colOff>
      <xdr:row>3450</xdr:row>
      <xdr:rowOff>1266825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3451</xdr:row>
      <xdr:rowOff>28575</xdr:rowOff>
    </xdr:from>
    <xdr:to>
      <xdr:col>3</xdr:col>
      <xdr:colOff>1552575</xdr:colOff>
      <xdr:row>3451</xdr:row>
      <xdr:rowOff>1266825</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3452</xdr:row>
      <xdr:rowOff>28575</xdr:rowOff>
    </xdr:from>
    <xdr:to>
      <xdr:col>3</xdr:col>
      <xdr:colOff>1552575</xdr:colOff>
      <xdr:row>3452</xdr:row>
      <xdr:rowOff>1266825</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3453</xdr:row>
      <xdr:rowOff>28575</xdr:rowOff>
    </xdr:from>
    <xdr:to>
      <xdr:col>3</xdr:col>
      <xdr:colOff>1552575</xdr:colOff>
      <xdr:row>3453</xdr:row>
      <xdr:rowOff>1266825</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3454</xdr:row>
      <xdr:rowOff>28575</xdr:rowOff>
    </xdr:from>
    <xdr:to>
      <xdr:col>3</xdr:col>
      <xdr:colOff>1552575</xdr:colOff>
      <xdr:row>3454</xdr:row>
      <xdr:rowOff>1266825</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3455</xdr:row>
      <xdr:rowOff>28575</xdr:rowOff>
    </xdr:from>
    <xdr:to>
      <xdr:col>3</xdr:col>
      <xdr:colOff>1552575</xdr:colOff>
      <xdr:row>3455</xdr:row>
      <xdr:rowOff>1266825</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3456</xdr:row>
      <xdr:rowOff>28575</xdr:rowOff>
    </xdr:from>
    <xdr:to>
      <xdr:col>3</xdr:col>
      <xdr:colOff>1552575</xdr:colOff>
      <xdr:row>3456</xdr:row>
      <xdr:rowOff>1266825</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3457</xdr:row>
      <xdr:rowOff>28575</xdr:rowOff>
    </xdr:from>
    <xdr:to>
      <xdr:col>3</xdr:col>
      <xdr:colOff>1552575</xdr:colOff>
      <xdr:row>3457</xdr:row>
      <xdr:rowOff>1266825</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3458</xdr:row>
      <xdr:rowOff>28575</xdr:rowOff>
    </xdr:from>
    <xdr:to>
      <xdr:col>3</xdr:col>
      <xdr:colOff>1552575</xdr:colOff>
      <xdr:row>3458</xdr:row>
      <xdr:rowOff>1266825</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3459</xdr:row>
      <xdr:rowOff>38100</xdr:rowOff>
    </xdr:from>
    <xdr:to>
      <xdr:col>3</xdr:col>
      <xdr:colOff>1552575</xdr:colOff>
      <xdr:row>3460</xdr:row>
      <xdr:rowOff>638175</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3461</xdr:row>
      <xdr:rowOff>28575</xdr:rowOff>
    </xdr:from>
    <xdr:to>
      <xdr:col>3</xdr:col>
      <xdr:colOff>1552575</xdr:colOff>
      <xdr:row>3463</xdr:row>
      <xdr:rowOff>419100</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3464</xdr:row>
      <xdr:rowOff>28575</xdr:rowOff>
    </xdr:from>
    <xdr:to>
      <xdr:col>3</xdr:col>
      <xdr:colOff>1552575</xdr:colOff>
      <xdr:row>3464</xdr:row>
      <xdr:rowOff>1266825</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3465</xdr:row>
      <xdr:rowOff>28575</xdr:rowOff>
    </xdr:from>
    <xdr:to>
      <xdr:col>3</xdr:col>
      <xdr:colOff>1552575</xdr:colOff>
      <xdr:row>3468</xdr:row>
      <xdr:rowOff>209550</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3469</xdr:row>
      <xdr:rowOff>38100</xdr:rowOff>
    </xdr:from>
    <xdr:to>
      <xdr:col>3</xdr:col>
      <xdr:colOff>1552575</xdr:colOff>
      <xdr:row>3470</xdr:row>
      <xdr:rowOff>638175</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3471</xdr:row>
      <xdr:rowOff>28575</xdr:rowOff>
    </xdr:from>
    <xdr:to>
      <xdr:col>3</xdr:col>
      <xdr:colOff>1552575</xdr:colOff>
      <xdr:row>3474</xdr:row>
      <xdr:rowOff>209550</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3475</xdr:row>
      <xdr:rowOff>28575</xdr:rowOff>
    </xdr:from>
    <xdr:to>
      <xdr:col>3</xdr:col>
      <xdr:colOff>1552575</xdr:colOff>
      <xdr:row>3475</xdr:row>
      <xdr:rowOff>1266825</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3476</xdr:row>
      <xdr:rowOff>28575</xdr:rowOff>
    </xdr:from>
    <xdr:to>
      <xdr:col>3</xdr:col>
      <xdr:colOff>1552575</xdr:colOff>
      <xdr:row>3480</xdr:row>
      <xdr:rowOff>333375</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3481</xdr:row>
      <xdr:rowOff>28575</xdr:rowOff>
    </xdr:from>
    <xdr:to>
      <xdr:col>3</xdr:col>
      <xdr:colOff>1552575</xdr:colOff>
      <xdr:row>3485</xdr:row>
      <xdr:rowOff>333375</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3486</xdr:row>
      <xdr:rowOff>28575</xdr:rowOff>
    </xdr:from>
    <xdr:to>
      <xdr:col>3</xdr:col>
      <xdr:colOff>1552575</xdr:colOff>
      <xdr:row>3490</xdr:row>
      <xdr:rowOff>333375</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3491</xdr:row>
      <xdr:rowOff>38100</xdr:rowOff>
    </xdr:from>
    <xdr:to>
      <xdr:col>3</xdr:col>
      <xdr:colOff>1552575</xdr:colOff>
      <xdr:row>3492</xdr:row>
      <xdr:rowOff>638175</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3493</xdr:row>
      <xdr:rowOff>28575</xdr:rowOff>
    </xdr:from>
    <xdr:to>
      <xdr:col>3</xdr:col>
      <xdr:colOff>1552575</xdr:colOff>
      <xdr:row>3493</xdr:row>
      <xdr:rowOff>1266825</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3494</xdr:row>
      <xdr:rowOff>28575</xdr:rowOff>
    </xdr:from>
    <xdr:to>
      <xdr:col>3</xdr:col>
      <xdr:colOff>1552575</xdr:colOff>
      <xdr:row>3496</xdr:row>
      <xdr:rowOff>419100</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3497</xdr:row>
      <xdr:rowOff>28575</xdr:rowOff>
    </xdr:from>
    <xdr:to>
      <xdr:col>3</xdr:col>
      <xdr:colOff>1552575</xdr:colOff>
      <xdr:row>3500</xdr:row>
      <xdr:rowOff>209550</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3501</xdr:row>
      <xdr:rowOff>28575</xdr:rowOff>
    </xdr:from>
    <xdr:to>
      <xdr:col>3</xdr:col>
      <xdr:colOff>1552575</xdr:colOff>
      <xdr:row>3505</xdr:row>
      <xdr:rowOff>333375</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3506</xdr:row>
      <xdr:rowOff>28575</xdr:rowOff>
    </xdr:from>
    <xdr:to>
      <xdr:col>3</xdr:col>
      <xdr:colOff>1552575</xdr:colOff>
      <xdr:row>3509</xdr:row>
      <xdr:rowOff>209550</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3510</xdr:row>
      <xdr:rowOff>28575</xdr:rowOff>
    </xdr:from>
    <xdr:to>
      <xdr:col>3</xdr:col>
      <xdr:colOff>1552575</xdr:colOff>
      <xdr:row>3510</xdr:row>
      <xdr:rowOff>1266825</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3511</xdr:row>
      <xdr:rowOff>38100</xdr:rowOff>
    </xdr:from>
    <xdr:to>
      <xdr:col>3</xdr:col>
      <xdr:colOff>1552575</xdr:colOff>
      <xdr:row>3512</xdr:row>
      <xdr:rowOff>638175</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3513</xdr:row>
      <xdr:rowOff>28575</xdr:rowOff>
    </xdr:from>
    <xdr:to>
      <xdr:col>3</xdr:col>
      <xdr:colOff>1552575</xdr:colOff>
      <xdr:row>3513</xdr:row>
      <xdr:rowOff>1266825</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3514</xdr:row>
      <xdr:rowOff>28575</xdr:rowOff>
    </xdr:from>
    <xdr:to>
      <xdr:col>3</xdr:col>
      <xdr:colOff>1552575</xdr:colOff>
      <xdr:row>3514</xdr:row>
      <xdr:rowOff>1266825</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3515</xdr:row>
      <xdr:rowOff>38100</xdr:rowOff>
    </xdr:from>
    <xdr:to>
      <xdr:col>3</xdr:col>
      <xdr:colOff>1552575</xdr:colOff>
      <xdr:row>3516</xdr:row>
      <xdr:rowOff>638175</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3517</xdr:row>
      <xdr:rowOff>28575</xdr:rowOff>
    </xdr:from>
    <xdr:to>
      <xdr:col>3</xdr:col>
      <xdr:colOff>1552575</xdr:colOff>
      <xdr:row>3517</xdr:row>
      <xdr:rowOff>1266825</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3518</xdr:row>
      <xdr:rowOff>28575</xdr:rowOff>
    </xdr:from>
    <xdr:to>
      <xdr:col>3</xdr:col>
      <xdr:colOff>1552575</xdr:colOff>
      <xdr:row>3518</xdr:row>
      <xdr:rowOff>1266825</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3519</xdr:row>
      <xdr:rowOff>28575</xdr:rowOff>
    </xdr:from>
    <xdr:to>
      <xdr:col>3</xdr:col>
      <xdr:colOff>1552575</xdr:colOff>
      <xdr:row>3519</xdr:row>
      <xdr:rowOff>1266825</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3520</xdr:row>
      <xdr:rowOff>28575</xdr:rowOff>
    </xdr:from>
    <xdr:to>
      <xdr:col>3</xdr:col>
      <xdr:colOff>1552575</xdr:colOff>
      <xdr:row>3522</xdr:row>
      <xdr:rowOff>419100</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3523</xdr:row>
      <xdr:rowOff>28575</xdr:rowOff>
    </xdr:from>
    <xdr:to>
      <xdr:col>3</xdr:col>
      <xdr:colOff>1552575</xdr:colOff>
      <xdr:row>3523</xdr:row>
      <xdr:rowOff>1266825</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3524</xdr:row>
      <xdr:rowOff>38100</xdr:rowOff>
    </xdr:from>
    <xdr:to>
      <xdr:col>3</xdr:col>
      <xdr:colOff>1552575</xdr:colOff>
      <xdr:row>3525</xdr:row>
      <xdr:rowOff>638175</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3526</xdr:row>
      <xdr:rowOff>28575</xdr:rowOff>
    </xdr:from>
    <xdr:to>
      <xdr:col>3</xdr:col>
      <xdr:colOff>1552575</xdr:colOff>
      <xdr:row>3526</xdr:row>
      <xdr:rowOff>1266825</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3527</xdr:row>
      <xdr:rowOff>28575</xdr:rowOff>
    </xdr:from>
    <xdr:to>
      <xdr:col>3</xdr:col>
      <xdr:colOff>1552575</xdr:colOff>
      <xdr:row>3527</xdr:row>
      <xdr:rowOff>1266825</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3528</xdr:row>
      <xdr:rowOff>28575</xdr:rowOff>
    </xdr:from>
    <xdr:to>
      <xdr:col>3</xdr:col>
      <xdr:colOff>1552575</xdr:colOff>
      <xdr:row>3528</xdr:row>
      <xdr:rowOff>1266825</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3529</xdr:row>
      <xdr:rowOff>38100</xdr:rowOff>
    </xdr:from>
    <xdr:to>
      <xdr:col>3</xdr:col>
      <xdr:colOff>1552575</xdr:colOff>
      <xdr:row>3530</xdr:row>
      <xdr:rowOff>638175</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3531</xdr:row>
      <xdr:rowOff>38100</xdr:rowOff>
    </xdr:from>
    <xdr:to>
      <xdr:col>3</xdr:col>
      <xdr:colOff>1552575</xdr:colOff>
      <xdr:row>3532</xdr:row>
      <xdr:rowOff>638175</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3533</xdr:row>
      <xdr:rowOff>28575</xdr:rowOff>
    </xdr:from>
    <xdr:to>
      <xdr:col>3</xdr:col>
      <xdr:colOff>1552575</xdr:colOff>
      <xdr:row>3533</xdr:row>
      <xdr:rowOff>1266825</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3534</xdr:row>
      <xdr:rowOff>28575</xdr:rowOff>
    </xdr:from>
    <xdr:to>
      <xdr:col>3</xdr:col>
      <xdr:colOff>1552575</xdr:colOff>
      <xdr:row>3534</xdr:row>
      <xdr:rowOff>1266825</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3535</xdr:row>
      <xdr:rowOff>28575</xdr:rowOff>
    </xdr:from>
    <xdr:to>
      <xdr:col>3</xdr:col>
      <xdr:colOff>1552575</xdr:colOff>
      <xdr:row>3537</xdr:row>
      <xdr:rowOff>419100</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3538</xdr:row>
      <xdr:rowOff>28575</xdr:rowOff>
    </xdr:from>
    <xdr:to>
      <xdr:col>3</xdr:col>
      <xdr:colOff>1552575</xdr:colOff>
      <xdr:row>3542</xdr:row>
      <xdr:rowOff>333375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3543</xdr:row>
      <xdr:rowOff>28575</xdr:rowOff>
    </xdr:from>
    <xdr:to>
      <xdr:col>3</xdr:col>
      <xdr:colOff>1552575</xdr:colOff>
      <xdr:row>3545</xdr:row>
      <xdr:rowOff>419100</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3546</xdr:row>
      <xdr:rowOff>38100</xdr:rowOff>
    </xdr:from>
    <xdr:to>
      <xdr:col>3</xdr:col>
      <xdr:colOff>1552575</xdr:colOff>
      <xdr:row>3547</xdr:row>
      <xdr:rowOff>638175</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3548</xdr:row>
      <xdr:rowOff>28575</xdr:rowOff>
    </xdr:from>
    <xdr:to>
      <xdr:col>3</xdr:col>
      <xdr:colOff>1552575</xdr:colOff>
      <xdr:row>3551</xdr:row>
      <xdr:rowOff>209550</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3552</xdr:row>
      <xdr:rowOff>28575</xdr:rowOff>
    </xdr:from>
    <xdr:to>
      <xdr:col>3</xdr:col>
      <xdr:colOff>1552575</xdr:colOff>
      <xdr:row>3556</xdr:row>
      <xdr:rowOff>333375</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3557</xdr:row>
      <xdr:rowOff>28575</xdr:rowOff>
    </xdr:from>
    <xdr:to>
      <xdr:col>3</xdr:col>
      <xdr:colOff>1552575</xdr:colOff>
      <xdr:row>3557</xdr:row>
      <xdr:rowOff>1266825</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3558</xdr:row>
      <xdr:rowOff>28575</xdr:rowOff>
    </xdr:from>
    <xdr:to>
      <xdr:col>3</xdr:col>
      <xdr:colOff>1552575</xdr:colOff>
      <xdr:row>3558</xdr:row>
      <xdr:rowOff>1266825</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3559</xdr:row>
      <xdr:rowOff>28575</xdr:rowOff>
    </xdr:from>
    <xdr:to>
      <xdr:col>3</xdr:col>
      <xdr:colOff>1552575</xdr:colOff>
      <xdr:row>3559</xdr:row>
      <xdr:rowOff>1266825</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3560</xdr:row>
      <xdr:rowOff>28575</xdr:rowOff>
    </xdr:from>
    <xdr:to>
      <xdr:col>3</xdr:col>
      <xdr:colOff>1552575</xdr:colOff>
      <xdr:row>3564</xdr:row>
      <xdr:rowOff>333375</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3565</xdr:row>
      <xdr:rowOff>28575</xdr:rowOff>
    </xdr:from>
    <xdr:to>
      <xdr:col>3</xdr:col>
      <xdr:colOff>1552575</xdr:colOff>
      <xdr:row>3571</xdr:row>
      <xdr:rowOff>171450</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3572</xdr:row>
      <xdr:rowOff>28575</xdr:rowOff>
    </xdr:from>
    <xdr:to>
      <xdr:col>3</xdr:col>
      <xdr:colOff>1552575</xdr:colOff>
      <xdr:row>3576</xdr:row>
      <xdr:rowOff>333375</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3577</xdr:row>
      <xdr:rowOff>28575</xdr:rowOff>
    </xdr:from>
    <xdr:to>
      <xdr:col>3</xdr:col>
      <xdr:colOff>1552575</xdr:colOff>
      <xdr:row>3581</xdr:row>
      <xdr:rowOff>333375</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3582</xdr:row>
      <xdr:rowOff>28575</xdr:rowOff>
    </xdr:from>
    <xdr:to>
      <xdr:col>3</xdr:col>
      <xdr:colOff>1552575</xdr:colOff>
      <xdr:row>3585</xdr:row>
      <xdr:rowOff>209550</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3586</xdr:row>
      <xdr:rowOff>28575</xdr:rowOff>
    </xdr:from>
    <xdr:to>
      <xdr:col>3</xdr:col>
      <xdr:colOff>1552575</xdr:colOff>
      <xdr:row>3588</xdr:row>
      <xdr:rowOff>419100</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3589</xdr:row>
      <xdr:rowOff>28575</xdr:rowOff>
    </xdr:from>
    <xdr:to>
      <xdr:col>3</xdr:col>
      <xdr:colOff>1552575</xdr:colOff>
      <xdr:row>3593</xdr:row>
      <xdr:rowOff>333375</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3594</xdr:row>
      <xdr:rowOff>28575</xdr:rowOff>
    </xdr:from>
    <xdr:to>
      <xdr:col>3</xdr:col>
      <xdr:colOff>1552575</xdr:colOff>
      <xdr:row>3596</xdr:row>
      <xdr:rowOff>419100</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3597</xdr:row>
      <xdr:rowOff>28575</xdr:rowOff>
    </xdr:from>
    <xdr:to>
      <xdr:col>3</xdr:col>
      <xdr:colOff>1552575</xdr:colOff>
      <xdr:row>3599</xdr:row>
      <xdr:rowOff>419100</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3600</xdr:row>
      <xdr:rowOff>28575</xdr:rowOff>
    </xdr:from>
    <xdr:to>
      <xdr:col>3</xdr:col>
      <xdr:colOff>1552575</xdr:colOff>
      <xdr:row>3602</xdr:row>
      <xdr:rowOff>419100</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3603</xdr:row>
      <xdr:rowOff>28575</xdr:rowOff>
    </xdr:from>
    <xdr:to>
      <xdr:col>3</xdr:col>
      <xdr:colOff>1552575</xdr:colOff>
      <xdr:row>3609</xdr:row>
      <xdr:rowOff>171450</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3610</xdr:row>
      <xdr:rowOff>38100</xdr:rowOff>
    </xdr:from>
    <xdr:to>
      <xdr:col>3</xdr:col>
      <xdr:colOff>1552575</xdr:colOff>
      <xdr:row>3611</xdr:row>
      <xdr:rowOff>638175</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3612</xdr:row>
      <xdr:rowOff>28575</xdr:rowOff>
    </xdr:from>
    <xdr:to>
      <xdr:col>3</xdr:col>
      <xdr:colOff>1552575</xdr:colOff>
      <xdr:row>3616</xdr:row>
      <xdr:rowOff>333375</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3617</xdr:row>
      <xdr:rowOff>28575</xdr:rowOff>
    </xdr:from>
    <xdr:to>
      <xdr:col>3</xdr:col>
      <xdr:colOff>1552575</xdr:colOff>
      <xdr:row>3622</xdr:row>
      <xdr:rowOff>209550</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3623</xdr:row>
      <xdr:rowOff>28575</xdr:rowOff>
    </xdr:from>
    <xdr:to>
      <xdr:col>3</xdr:col>
      <xdr:colOff>1552575</xdr:colOff>
      <xdr:row>3625</xdr:row>
      <xdr:rowOff>419100</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3626</xdr:row>
      <xdr:rowOff>28575</xdr:rowOff>
    </xdr:from>
    <xdr:to>
      <xdr:col>3</xdr:col>
      <xdr:colOff>1552575</xdr:colOff>
      <xdr:row>3626</xdr:row>
      <xdr:rowOff>1266825</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3627</xdr:row>
      <xdr:rowOff>28575</xdr:rowOff>
    </xdr:from>
    <xdr:to>
      <xdr:col>3</xdr:col>
      <xdr:colOff>1552575</xdr:colOff>
      <xdr:row>3627</xdr:row>
      <xdr:rowOff>1266825</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twoCellAnchor>
    <xdr:from>
      <xdr:col>3</xdr:col>
      <xdr:colOff>114300</xdr:colOff>
      <xdr:row>3628</xdr:row>
      <xdr:rowOff>28575</xdr:rowOff>
    </xdr:from>
    <xdr:to>
      <xdr:col>3</xdr:col>
      <xdr:colOff>1552575</xdr:colOff>
      <xdr:row>3628</xdr:row>
      <xdr:rowOff>1266825</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217"/>
        <a:stretch>
          <a:fillRect/>
        </a:stretch>
      </xdr:blipFill>
      <xdr:spPr>
        <a:prstGeom prst="rect">
          <a:avLst/>
        </a:prstGeom>
        <a:ln w="9525">
          <a:solidFill>
            <a:srgbClr val="000000"/>
          </a:solidFill>
          <a:prstDash val="solid"/>
        </a:ln>
      </xdr:spPr>
    </xdr:pic>
    <xdr:clientData/>
  </xdr:twoCellAnchor>
  <xdr:twoCellAnchor>
    <xdr:from>
      <xdr:col>3</xdr:col>
      <xdr:colOff>114300</xdr:colOff>
      <xdr:row>3629</xdr:row>
      <xdr:rowOff>28575</xdr:rowOff>
    </xdr:from>
    <xdr:to>
      <xdr:col>3</xdr:col>
      <xdr:colOff>1552575</xdr:colOff>
      <xdr:row>3629</xdr:row>
      <xdr:rowOff>1266825</xdr:rowOff>
    </xdr:to>
    <xdr:pic>
      <xdr:nvPicPr>
        <xdr:cNvPr id="1219" name="Имя " descr="Descr ">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1218"/>
        <a:stretch>
          <a:fillRect/>
        </a:stretch>
      </xdr:blipFill>
      <xdr:spPr>
        <a:prstGeom prst="rect">
          <a:avLst/>
        </a:prstGeom>
        <a:ln w="9525">
          <a:solidFill>
            <a:srgbClr val="000000"/>
          </a:solidFill>
          <a:prstDash val="solid"/>
        </a:ln>
      </xdr:spPr>
    </xdr:pic>
    <xdr:clientData/>
  </xdr:twoCellAnchor>
  <xdr:twoCellAnchor>
    <xdr:from>
      <xdr:col>3</xdr:col>
      <xdr:colOff>114300</xdr:colOff>
      <xdr:row>3630</xdr:row>
      <xdr:rowOff>28575</xdr:rowOff>
    </xdr:from>
    <xdr:to>
      <xdr:col>3</xdr:col>
      <xdr:colOff>1552575</xdr:colOff>
      <xdr:row>3630</xdr:row>
      <xdr:rowOff>1266825</xdr:rowOff>
    </xdr:to>
    <xdr:pic>
      <xdr:nvPicPr>
        <xdr:cNvPr id="1220" name="Имя " descr="Descr ">
          <a:extLst>
            <a:ext uri="{FF2B5EF4-FFF2-40B4-BE49-F238E27FC236}">
              <a16:creationId xmlns:a16="http://schemas.microsoft.com/office/drawing/2014/main" id="{00000000-0008-0000-0000-0000C4040000}"/>
            </a:ext>
          </a:extLst>
        </xdr:cNvPr>
        <xdr:cNvPicPr>
          <a:picLocks noChangeAspect="1"/>
        </xdr:cNvPicPr>
      </xdr:nvPicPr>
      <xdr:blipFill>
        <a:blip xmlns:r="http://schemas.openxmlformats.org/officeDocument/2006/relationships" r:embed="rId1219"/>
        <a:stretch>
          <a:fillRect/>
        </a:stretch>
      </xdr:blipFill>
      <xdr:spPr>
        <a:prstGeom prst="rect">
          <a:avLst/>
        </a:prstGeom>
        <a:ln w="9525">
          <a:solidFill>
            <a:srgbClr val="000000"/>
          </a:solidFill>
          <a:prstDash val="solid"/>
        </a:ln>
      </xdr:spPr>
    </xdr:pic>
    <xdr:clientData/>
  </xdr:twoCellAnchor>
  <xdr:twoCellAnchor>
    <xdr:from>
      <xdr:col>3</xdr:col>
      <xdr:colOff>114300</xdr:colOff>
      <xdr:row>3631</xdr:row>
      <xdr:rowOff>28575</xdr:rowOff>
    </xdr:from>
    <xdr:to>
      <xdr:col>3</xdr:col>
      <xdr:colOff>1552575</xdr:colOff>
      <xdr:row>3631</xdr:row>
      <xdr:rowOff>1266825</xdr:rowOff>
    </xdr:to>
    <xdr:pic>
      <xdr:nvPicPr>
        <xdr:cNvPr id="1221" name="Имя " descr="Descr ">
          <a:extLst>
            <a:ext uri="{FF2B5EF4-FFF2-40B4-BE49-F238E27FC236}">
              <a16:creationId xmlns:a16="http://schemas.microsoft.com/office/drawing/2014/main" id="{00000000-0008-0000-0000-0000C5040000}"/>
            </a:ext>
          </a:extLst>
        </xdr:cNvPr>
        <xdr:cNvPicPr>
          <a:picLocks noChangeAspect="1"/>
        </xdr:cNvPicPr>
      </xdr:nvPicPr>
      <xdr:blipFill>
        <a:blip xmlns:r="http://schemas.openxmlformats.org/officeDocument/2006/relationships" r:embed="rId1220"/>
        <a:stretch>
          <a:fillRect/>
        </a:stretch>
      </xdr:blipFill>
      <xdr:spPr>
        <a:prstGeom prst="rect">
          <a:avLst/>
        </a:prstGeom>
        <a:ln w="9525">
          <a:solidFill>
            <a:srgbClr val="000000"/>
          </a:solidFill>
          <a:prstDash val="solid"/>
        </a:ln>
      </xdr:spPr>
    </xdr:pic>
    <xdr:clientData/>
  </xdr:twoCellAnchor>
  <xdr:twoCellAnchor>
    <xdr:from>
      <xdr:col>3</xdr:col>
      <xdr:colOff>114300</xdr:colOff>
      <xdr:row>3632</xdr:row>
      <xdr:rowOff>38100</xdr:rowOff>
    </xdr:from>
    <xdr:to>
      <xdr:col>3</xdr:col>
      <xdr:colOff>1552575</xdr:colOff>
      <xdr:row>3633</xdr:row>
      <xdr:rowOff>638175</xdr:rowOff>
    </xdr:to>
    <xdr:pic>
      <xdr:nvPicPr>
        <xdr:cNvPr id="1222" name="Имя " descr="Descr ">
          <a:extLst>
            <a:ext uri="{FF2B5EF4-FFF2-40B4-BE49-F238E27FC236}">
              <a16:creationId xmlns:a16="http://schemas.microsoft.com/office/drawing/2014/main" id="{00000000-0008-0000-0000-0000C6040000}"/>
            </a:ext>
          </a:extLst>
        </xdr:cNvPr>
        <xdr:cNvPicPr>
          <a:picLocks noChangeAspect="1"/>
        </xdr:cNvPicPr>
      </xdr:nvPicPr>
      <xdr:blipFill>
        <a:blip xmlns:r="http://schemas.openxmlformats.org/officeDocument/2006/relationships" r:embed="rId1221"/>
        <a:stretch>
          <a:fillRect/>
        </a:stretch>
      </xdr:blipFill>
      <xdr:spPr>
        <a:prstGeom prst="rect">
          <a:avLst/>
        </a:prstGeom>
        <a:ln w="9525">
          <a:solidFill>
            <a:srgbClr val="000000"/>
          </a:solidFill>
          <a:prstDash val="solid"/>
        </a:ln>
      </xdr:spPr>
    </xdr:pic>
    <xdr:clientData/>
  </xdr:twoCellAnchor>
  <xdr:twoCellAnchor>
    <xdr:from>
      <xdr:col>3</xdr:col>
      <xdr:colOff>114300</xdr:colOff>
      <xdr:row>3634</xdr:row>
      <xdr:rowOff>28575</xdr:rowOff>
    </xdr:from>
    <xdr:to>
      <xdr:col>3</xdr:col>
      <xdr:colOff>1552575</xdr:colOff>
      <xdr:row>3634</xdr:row>
      <xdr:rowOff>1266825</xdr:rowOff>
    </xdr:to>
    <xdr:pic>
      <xdr:nvPicPr>
        <xdr:cNvPr id="1223" name="Имя " descr="Descr ">
          <a:extLst>
            <a:ext uri="{FF2B5EF4-FFF2-40B4-BE49-F238E27FC236}">
              <a16:creationId xmlns:a16="http://schemas.microsoft.com/office/drawing/2014/main" id="{00000000-0008-0000-0000-0000C7040000}"/>
            </a:ext>
          </a:extLst>
        </xdr:cNvPr>
        <xdr:cNvPicPr>
          <a:picLocks noChangeAspect="1"/>
        </xdr:cNvPicPr>
      </xdr:nvPicPr>
      <xdr:blipFill>
        <a:blip xmlns:r="http://schemas.openxmlformats.org/officeDocument/2006/relationships" r:embed="rId1222"/>
        <a:stretch>
          <a:fillRect/>
        </a:stretch>
      </xdr:blipFill>
      <xdr:spPr>
        <a:prstGeom prst="rect">
          <a:avLst/>
        </a:prstGeom>
        <a:ln w="9525">
          <a:solidFill>
            <a:srgbClr val="000000"/>
          </a:solidFill>
          <a:prstDash val="solid"/>
        </a:ln>
      </xdr:spPr>
    </xdr:pic>
    <xdr:clientData/>
  </xdr:twoCellAnchor>
  <xdr:twoCellAnchor>
    <xdr:from>
      <xdr:col>3</xdr:col>
      <xdr:colOff>114300</xdr:colOff>
      <xdr:row>3635</xdr:row>
      <xdr:rowOff>28575</xdr:rowOff>
    </xdr:from>
    <xdr:to>
      <xdr:col>3</xdr:col>
      <xdr:colOff>1552575</xdr:colOff>
      <xdr:row>3635</xdr:row>
      <xdr:rowOff>1266825</xdr:rowOff>
    </xdr:to>
    <xdr:pic>
      <xdr:nvPicPr>
        <xdr:cNvPr id="1224" name="Имя " descr="Descr ">
          <a:extLst>
            <a:ext uri="{FF2B5EF4-FFF2-40B4-BE49-F238E27FC236}">
              <a16:creationId xmlns:a16="http://schemas.microsoft.com/office/drawing/2014/main" id="{00000000-0008-0000-0000-0000C8040000}"/>
            </a:ext>
          </a:extLst>
        </xdr:cNvPr>
        <xdr:cNvPicPr>
          <a:picLocks noChangeAspect="1"/>
        </xdr:cNvPicPr>
      </xdr:nvPicPr>
      <xdr:blipFill>
        <a:blip xmlns:r="http://schemas.openxmlformats.org/officeDocument/2006/relationships" r:embed="rId1223"/>
        <a:stretch>
          <a:fillRect/>
        </a:stretch>
      </xdr:blipFill>
      <xdr:spPr>
        <a:prstGeom prst="rect">
          <a:avLst/>
        </a:prstGeom>
        <a:ln w="9525">
          <a:solidFill>
            <a:srgbClr val="000000"/>
          </a:solidFill>
          <a:prstDash val="solid"/>
        </a:ln>
      </xdr:spPr>
    </xdr:pic>
    <xdr:clientData/>
  </xdr:twoCellAnchor>
  <xdr:twoCellAnchor>
    <xdr:from>
      <xdr:col>3</xdr:col>
      <xdr:colOff>114300</xdr:colOff>
      <xdr:row>3636</xdr:row>
      <xdr:rowOff>28575</xdr:rowOff>
    </xdr:from>
    <xdr:to>
      <xdr:col>3</xdr:col>
      <xdr:colOff>1552575</xdr:colOff>
      <xdr:row>3636</xdr:row>
      <xdr:rowOff>1266825</xdr:rowOff>
    </xdr:to>
    <xdr:pic>
      <xdr:nvPicPr>
        <xdr:cNvPr id="1225" name="Имя " descr="Descr ">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224"/>
        <a:stretch>
          <a:fillRect/>
        </a:stretch>
      </xdr:blipFill>
      <xdr:spPr>
        <a:prstGeom prst="rect">
          <a:avLst/>
        </a:prstGeom>
        <a:ln w="9525">
          <a:solidFill>
            <a:srgbClr val="000000"/>
          </a:solidFill>
          <a:prstDash val="solid"/>
        </a:ln>
      </xdr:spPr>
    </xdr:pic>
    <xdr:clientData/>
  </xdr:twoCellAnchor>
  <xdr:twoCellAnchor>
    <xdr:from>
      <xdr:col>3</xdr:col>
      <xdr:colOff>114300</xdr:colOff>
      <xdr:row>3637</xdr:row>
      <xdr:rowOff>28575</xdr:rowOff>
    </xdr:from>
    <xdr:to>
      <xdr:col>3</xdr:col>
      <xdr:colOff>1552575</xdr:colOff>
      <xdr:row>3640</xdr:row>
      <xdr:rowOff>209550</xdr:rowOff>
    </xdr:to>
    <xdr:pic>
      <xdr:nvPicPr>
        <xdr:cNvPr id="1226" name="Имя " descr="Descr ">
          <a:extLst>
            <a:ext uri="{FF2B5EF4-FFF2-40B4-BE49-F238E27FC236}">
              <a16:creationId xmlns:a16="http://schemas.microsoft.com/office/drawing/2014/main" id="{00000000-0008-0000-0000-0000CA040000}"/>
            </a:ext>
          </a:extLst>
        </xdr:cNvPr>
        <xdr:cNvPicPr>
          <a:picLocks noChangeAspect="1"/>
        </xdr:cNvPicPr>
      </xdr:nvPicPr>
      <xdr:blipFill>
        <a:blip xmlns:r="http://schemas.openxmlformats.org/officeDocument/2006/relationships" r:embed="rId1225"/>
        <a:stretch>
          <a:fillRect/>
        </a:stretch>
      </xdr:blipFill>
      <xdr:spPr>
        <a:prstGeom prst="rect">
          <a:avLst/>
        </a:prstGeom>
        <a:ln w="9525">
          <a:solidFill>
            <a:srgbClr val="000000"/>
          </a:solidFill>
          <a:prstDash val="solid"/>
        </a:ln>
      </xdr:spPr>
    </xdr:pic>
    <xdr:clientData/>
  </xdr:twoCellAnchor>
  <xdr:twoCellAnchor>
    <xdr:from>
      <xdr:col>3</xdr:col>
      <xdr:colOff>114300</xdr:colOff>
      <xdr:row>3641</xdr:row>
      <xdr:rowOff>28575</xdr:rowOff>
    </xdr:from>
    <xdr:to>
      <xdr:col>3</xdr:col>
      <xdr:colOff>1552575</xdr:colOff>
      <xdr:row>3645</xdr:row>
      <xdr:rowOff>333375</xdr:rowOff>
    </xdr:to>
    <xdr:pic>
      <xdr:nvPicPr>
        <xdr:cNvPr id="1227" name="Имя " descr="Descr ">
          <a:extLst>
            <a:ext uri="{FF2B5EF4-FFF2-40B4-BE49-F238E27FC236}">
              <a16:creationId xmlns:a16="http://schemas.microsoft.com/office/drawing/2014/main" id="{00000000-0008-0000-0000-0000CB040000}"/>
            </a:ext>
          </a:extLst>
        </xdr:cNvPr>
        <xdr:cNvPicPr>
          <a:picLocks noChangeAspect="1"/>
        </xdr:cNvPicPr>
      </xdr:nvPicPr>
      <xdr:blipFill>
        <a:blip xmlns:r="http://schemas.openxmlformats.org/officeDocument/2006/relationships" r:embed="rId1226"/>
        <a:stretch>
          <a:fillRect/>
        </a:stretch>
      </xdr:blipFill>
      <xdr:spPr>
        <a:prstGeom prst="rect">
          <a:avLst/>
        </a:prstGeom>
        <a:ln w="9525">
          <a:solidFill>
            <a:srgbClr val="000000"/>
          </a:solidFill>
          <a:prstDash val="solid"/>
        </a:ln>
      </xdr:spPr>
    </xdr:pic>
    <xdr:clientData/>
  </xdr:twoCellAnchor>
  <xdr:twoCellAnchor>
    <xdr:from>
      <xdr:col>3</xdr:col>
      <xdr:colOff>114300</xdr:colOff>
      <xdr:row>3646</xdr:row>
      <xdr:rowOff>28575</xdr:rowOff>
    </xdr:from>
    <xdr:to>
      <xdr:col>3</xdr:col>
      <xdr:colOff>1552575</xdr:colOff>
      <xdr:row>3646</xdr:row>
      <xdr:rowOff>1266825</xdr:rowOff>
    </xdr:to>
    <xdr:pic>
      <xdr:nvPicPr>
        <xdr:cNvPr id="1228" name="Имя " descr="Descr ">
          <a:extLst>
            <a:ext uri="{FF2B5EF4-FFF2-40B4-BE49-F238E27FC236}">
              <a16:creationId xmlns:a16="http://schemas.microsoft.com/office/drawing/2014/main" id="{00000000-0008-0000-0000-0000CC040000}"/>
            </a:ext>
          </a:extLst>
        </xdr:cNvPr>
        <xdr:cNvPicPr>
          <a:picLocks noChangeAspect="1"/>
        </xdr:cNvPicPr>
      </xdr:nvPicPr>
      <xdr:blipFill>
        <a:blip xmlns:r="http://schemas.openxmlformats.org/officeDocument/2006/relationships" r:embed="rId1227"/>
        <a:stretch>
          <a:fillRect/>
        </a:stretch>
      </xdr:blipFill>
      <xdr:spPr>
        <a:prstGeom prst="rect">
          <a:avLst/>
        </a:prstGeom>
        <a:ln w="9525">
          <a:solidFill>
            <a:srgbClr val="000000"/>
          </a:solidFill>
          <a:prstDash val="solid"/>
        </a:ln>
      </xdr:spPr>
    </xdr:pic>
    <xdr:clientData/>
  </xdr:twoCellAnchor>
  <xdr:twoCellAnchor>
    <xdr:from>
      <xdr:col>3</xdr:col>
      <xdr:colOff>114300</xdr:colOff>
      <xdr:row>3647</xdr:row>
      <xdr:rowOff>28575</xdr:rowOff>
    </xdr:from>
    <xdr:to>
      <xdr:col>3</xdr:col>
      <xdr:colOff>1552575</xdr:colOff>
      <xdr:row>3650</xdr:row>
      <xdr:rowOff>209550</xdr:rowOff>
    </xdr:to>
    <xdr:pic>
      <xdr:nvPicPr>
        <xdr:cNvPr id="1229" name="Имя " descr="Descr ">
          <a:extLst>
            <a:ext uri="{FF2B5EF4-FFF2-40B4-BE49-F238E27FC236}">
              <a16:creationId xmlns:a16="http://schemas.microsoft.com/office/drawing/2014/main" id="{00000000-0008-0000-0000-0000CD040000}"/>
            </a:ext>
          </a:extLst>
        </xdr:cNvPr>
        <xdr:cNvPicPr>
          <a:picLocks noChangeAspect="1"/>
        </xdr:cNvPicPr>
      </xdr:nvPicPr>
      <xdr:blipFill>
        <a:blip xmlns:r="http://schemas.openxmlformats.org/officeDocument/2006/relationships" r:embed="rId1228"/>
        <a:stretch>
          <a:fillRect/>
        </a:stretch>
      </xdr:blipFill>
      <xdr:spPr>
        <a:prstGeom prst="rect">
          <a:avLst/>
        </a:prstGeom>
        <a:ln w="9525">
          <a:solidFill>
            <a:srgbClr val="000000"/>
          </a:solidFill>
          <a:prstDash val="solid"/>
        </a:ln>
      </xdr:spPr>
    </xdr:pic>
    <xdr:clientData/>
  </xdr:twoCellAnchor>
  <xdr:twoCellAnchor>
    <xdr:from>
      <xdr:col>3</xdr:col>
      <xdr:colOff>114300</xdr:colOff>
      <xdr:row>3651</xdr:row>
      <xdr:rowOff>28575</xdr:rowOff>
    </xdr:from>
    <xdr:to>
      <xdr:col>3</xdr:col>
      <xdr:colOff>1552575</xdr:colOff>
      <xdr:row>3654</xdr:row>
      <xdr:rowOff>209550</xdr:rowOff>
    </xdr:to>
    <xdr:pic>
      <xdr:nvPicPr>
        <xdr:cNvPr id="1230" name="Имя " descr="Descr ">
          <a:extLst>
            <a:ext uri="{FF2B5EF4-FFF2-40B4-BE49-F238E27FC236}">
              <a16:creationId xmlns:a16="http://schemas.microsoft.com/office/drawing/2014/main" id="{00000000-0008-0000-0000-0000CE040000}"/>
            </a:ext>
          </a:extLst>
        </xdr:cNvPr>
        <xdr:cNvPicPr>
          <a:picLocks noChangeAspect="1"/>
        </xdr:cNvPicPr>
      </xdr:nvPicPr>
      <xdr:blipFill>
        <a:blip xmlns:r="http://schemas.openxmlformats.org/officeDocument/2006/relationships" r:embed="rId1229"/>
        <a:stretch>
          <a:fillRect/>
        </a:stretch>
      </xdr:blipFill>
      <xdr:spPr>
        <a:prstGeom prst="rect">
          <a:avLst/>
        </a:prstGeom>
        <a:ln w="9525">
          <a:solidFill>
            <a:srgbClr val="000000"/>
          </a:solidFill>
          <a:prstDash val="solid"/>
        </a:ln>
      </xdr:spPr>
    </xdr:pic>
    <xdr:clientData/>
  </xdr:twoCellAnchor>
  <xdr:twoCellAnchor>
    <xdr:from>
      <xdr:col>3</xdr:col>
      <xdr:colOff>114300</xdr:colOff>
      <xdr:row>3655</xdr:row>
      <xdr:rowOff>28575</xdr:rowOff>
    </xdr:from>
    <xdr:to>
      <xdr:col>3</xdr:col>
      <xdr:colOff>1552575</xdr:colOff>
      <xdr:row>3655</xdr:row>
      <xdr:rowOff>1266825</xdr:rowOff>
    </xdr:to>
    <xdr:pic>
      <xdr:nvPicPr>
        <xdr:cNvPr id="1231" name="Имя " descr="Descr ">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1230"/>
        <a:stretch>
          <a:fillRect/>
        </a:stretch>
      </xdr:blipFill>
      <xdr:spPr>
        <a:prstGeom prst="rect">
          <a:avLst/>
        </a:prstGeom>
        <a:ln w="9525">
          <a:solidFill>
            <a:srgbClr val="000000"/>
          </a:solidFill>
          <a:prstDash val="solid"/>
        </a:ln>
      </xdr:spPr>
    </xdr:pic>
    <xdr:clientData/>
  </xdr:twoCellAnchor>
  <xdr:twoCellAnchor>
    <xdr:from>
      <xdr:col>3</xdr:col>
      <xdr:colOff>114300</xdr:colOff>
      <xdr:row>3656</xdr:row>
      <xdr:rowOff>28575</xdr:rowOff>
    </xdr:from>
    <xdr:to>
      <xdr:col>3</xdr:col>
      <xdr:colOff>1552575</xdr:colOff>
      <xdr:row>3656</xdr:row>
      <xdr:rowOff>1266825</xdr:rowOff>
    </xdr:to>
    <xdr:pic>
      <xdr:nvPicPr>
        <xdr:cNvPr id="1232" name="Имя " descr="Descr ">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1231"/>
        <a:stretch>
          <a:fillRect/>
        </a:stretch>
      </xdr:blipFill>
      <xdr:spPr>
        <a:prstGeom prst="rect">
          <a:avLst/>
        </a:prstGeom>
        <a:ln w="9525">
          <a:solidFill>
            <a:srgbClr val="000000"/>
          </a:solidFill>
          <a:prstDash val="solid"/>
        </a:ln>
      </xdr:spPr>
    </xdr:pic>
    <xdr:clientData/>
  </xdr:twoCellAnchor>
  <xdr:twoCellAnchor>
    <xdr:from>
      <xdr:col>3</xdr:col>
      <xdr:colOff>114300</xdr:colOff>
      <xdr:row>3657</xdr:row>
      <xdr:rowOff>28575</xdr:rowOff>
    </xdr:from>
    <xdr:to>
      <xdr:col>3</xdr:col>
      <xdr:colOff>1552575</xdr:colOff>
      <xdr:row>3659</xdr:row>
      <xdr:rowOff>419100</xdr:rowOff>
    </xdr:to>
    <xdr:pic>
      <xdr:nvPicPr>
        <xdr:cNvPr id="1233" name="Имя " descr="Descr ">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1232"/>
        <a:stretch>
          <a:fillRect/>
        </a:stretch>
      </xdr:blipFill>
      <xdr:spPr>
        <a:prstGeom prst="rect">
          <a:avLst/>
        </a:prstGeom>
        <a:ln w="9525">
          <a:solidFill>
            <a:srgbClr val="000000"/>
          </a:solidFill>
          <a:prstDash val="solid"/>
        </a:ln>
      </xdr:spPr>
    </xdr:pic>
    <xdr:clientData/>
  </xdr:twoCellAnchor>
  <xdr:twoCellAnchor>
    <xdr:from>
      <xdr:col>3</xdr:col>
      <xdr:colOff>114300</xdr:colOff>
      <xdr:row>3660</xdr:row>
      <xdr:rowOff>28575</xdr:rowOff>
    </xdr:from>
    <xdr:to>
      <xdr:col>3</xdr:col>
      <xdr:colOff>1552575</xdr:colOff>
      <xdr:row>3664</xdr:row>
      <xdr:rowOff>333375</xdr:rowOff>
    </xdr:to>
    <xdr:pic>
      <xdr:nvPicPr>
        <xdr:cNvPr id="1234" name="Имя " descr="Descr ">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1233"/>
        <a:stretch>
          <a:fillRect/>
        </a:stretch>
      </xdr:blipFill>
      <xdr:spPr>
        <a:prstGeom prst="rect">
          <a:avLst/>
        </a:prstGeom>
        <a:ln w="9525">
          <a:solidFill>
            <a:srgbClr val="000000"/>
          </a:solidFill>
          <a:prstDash val="solid"/>
        </a:ln>
      </xdr:spPr>
    </xdr:pic>
    <xdr:clientData/>
  </xdr:twoCellAnchor>
  <xdr:twoCellAnchor>
    <xdr:from>
      <xdr:col>3</xdr:col>
      <xdr:colOff>114300</xdr:colOff>
      <xdr:row>3665</xdr:row>
      <xdr:rowOff>28575</xdr:rowOff>
    </xdr:from>
    <xdr:to>
      <xdr:col>3</xdr:col>
      <xdr:colOff>1552575</xdr:colOff>
      <xdr:row>3667</xdr:row>
      <xdr:rowOff>419100</xdr:rowOff>
    </xdr:to>
    <xdr:pic>
      <xdr:nvPicPr>
        <xdr:cNvPr id="1235" name="Имя " descr="Descr ">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1234"/>
        <a:stretch>
          <a:fillRect/>
        </a:stretch>
      </xdr:blipFill>
      <xdr:spPr>
        <a:prstGeom prst="rect">
          <a:avLst/>
        </a:prstGeom>
        <a:ln w="9525">
          <a:solidFill>
            <a:srgbClr val="000000"/>
          </a:solidFill>
          <a:prstDash val="solid"/>
        </a:ln>
      </xdr:spPr>
    </xdr:pic>
    <xdr:clientData/>
  </xdr:twoCellAnchor>
  <xdr:twoCellAnchor>
    <xdr:from>
      <xdr:col>3</xdr:col>
      <xdr:colOff>114300</xdr:colOff>
      <xdr:row>3668</xdr:row>
      <xdr:rowOff>28575</xdr:rowOff>
    </xdr:from>
    <xdr:to>
      <xdr:col>3</xdr:col>
      <xdr:colOff>1552575</xdr:colOff>
      <xdr:row>3672</xdr:row>
      <xdr:rowOff>333375</xdr:rowOff>
    </xdr:to>
    <xdr:pic>
      <xdr:nvPicPr>
        <xdr:cNvPr id="1236" name="Имя " descr="Descr ">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1235"/>
        <a:stretch>
          <a:fillRect/>
        </a:stretch>
      </xdr:blipFill>
      <xdr:spPr>
        <a:prstGeom prst="rect">
          <a:avLst/>
        </a:prstGeom>
        <a:ln w="9525">
          <a:solidFill>
            <a:srgbClr val="000000"/>
          </a:solidFill>
          <a:prstDash val="solid"/>
        </a:ln>
      </xdr:spPr>
    </xdr:pic>
    <xdr:clientData/>
  </xdr:twoCellAnchor>
  <xdr:twoCellAnchor>
    <xdr:from>
      <xdr:col>3</xdr:col>
      <xdr:colOff>114300</xdr:colOff>
      <xdr:row>3673</xdr:row>
      <xdr:rowOff>28575</xdr:rowOff>
    </xdr:from>
    <xdr:to>
      <xdr:col>3</xdr:col>
      <xdr:colOff>1552575</xdr:colOff>
      <xdr:row>3673</xdr:row>
      <xdr:rowOff>1266825</xdr:rowOff>
    </xdr:to>
    <xdr:pic>
      <xdr:nvPicPr>
        <xdr:cNvPr id="1237" name="Имя " descr="Descr ">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1236"/>
        <a:stretch>
          <a:fillRect/>
        </a:stretch>
      </xdr:blipFill>
      <xdr:spPr>
        <a:prstGeom prst="rect">
          <a:avLst/>
        </a:prstGeom>
        <a:ln w="9525">
          <a:solidFill>
            <a:srgbClr val="000000"/>
          </a:solidFill>
          <a:prstDash val="solid"/>
        </a:ln>
      </xdr:spPr>
    </xdr:pic>
    <xdr:clientData/>
  </xdr:twoCellAnchor>
  <xdr:twoCellAnchor>
    <xdr:from>
      <xdr:col>3</xdr:col>
      <xdr:colOff>114300</xdr:colOff>
      <xdr:row>3674</xdr:row>
      <xdr:rowOff>28575</xdr:rowOff>
    </xdr:from>
    <xdr:to>
      <xdr:col>3</xdr:col>
      <xdr:colOff>1552575</xdr:colOff>
      <xdr:row>3677</xdr:row>
      <xdr:rowOff>209550</xdr:rowOff>
    </xdr:to>
    <xdr:pic>
      <xdr:nvPicPr>
        <xdr:cNvPr id="1238" name="Имя " descr="Descr ">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1237"/>
        <a:stretch>
          <a:fillRect/>
        </a:stretch>
      </xdr:blipFill>
      <xdr:spPr>
        <a:prstGeom prst="rect">
          <a:avLst/>
        </a:prstGeom>
        <a:ln w="9525">
          <a:solidFill>
            <a:srgbClr val="000000"/>
          </a:solidFill>
          <a:prstDash val="solid"/>
        </a:ln>
      </xdr:spPr>
    </xdr:pic>
    <xdr:clientData/>
  </xdr:twoCellAnchor>
  <xdr:twoCellAnchor>
    <xdr:from>
      <xdr:col>3</xdr:col>
      <xdr:colOff>114300</xdr:colOff>
      <xdr:row>3678</xdr:row>
      <xdr:rowOff>38100</xdr:rowOff>
    </xdr:from>
    <xdr:to>
      <xdr:col>3</xdr:col>
      <xdr:colOff>1552575</xdr:colOff>
      <xdr:row>3679</xdr:row>
      <xdr:rowOff>638175</xdr:rowOff>
    </xdr:to>
    <xdr:pic>
      <xdr:nvPicPr>
        <xdr:cNvPr id="1239" name="Имя " descr="Descr ">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1238"/>
        <a:stretch>
          <a:fillRect/>
        </a:stretch>
      </xdr:blipFill>
      <xdr:spPr>
        <a:prstGeom prst="rect">
          <a:avLst/>
        </a:prstGeom>
        <a:ln w="9525">
          <a:solidFill>
            <a:srgbClr val="000000"/>
          </a:solidFill>
          <a:prstDash val="solid"/>
        </a:ln>
      </xdr:spPr>
    </xdr:pic>
    <xdr:clientData/>
  </xdr:twoCellAnchor>
  <xdr:twoCellAnchor>
    <xdr:from>
      <xdr:col>3</xdr:col>
      <xdr:colOff>114300</xdr:colOff>
      <xdr:row>3680</xdr:row>
      <xdr:rowOff>28575</xdr:rowOff>
    </xdr:from>
    <xdr:to>
      <xdr:col>3</xdr:col>
      <xdr:colOff>1552575</xdr:colOff>
      <xdr:row>3680</xdr:row>
      <xdr:rowOff>1266825</xdr:rowOff>
    </xdr:to>
    <xdr:pic>
      <xdr:nvPicPr>
        <xdr:cNvPr id="1240" name="Имя " descr="Descr ">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1239"/>
        <a:stretch>
          <a:fillRect/>
        </a:stretch>
      </xdr:blipFill>
      <xdr:spPr>
        <a:prstGeom prst="rect">
          <a:avLst/>
        </a:prstGeom>
        <a:ln w="9525">
          <a:solidFill>
            <a:srgbClr val="000000"/>
          </a:solidFill>
          <a:prstDash val="solid"/>
        </a:ln>
      </xdr:spPr>
    </xdr:pic>
    <xdr:clientData/>
  </xdr:twoCellAnchor>
  <xdr:twoCellAnchor>
    <xdr:from>
      <xdr:col>3</xdr:col>
      <xdr:colOff>114300</xdr:colOff>
      <xdr:row>3681</xdr:row>
      <xdr:rowOff>28575</xdr:rowOff>
    </xdr:from>
    <xdr:to>
      <xdr:col>3</xdr:col>
      <xdr:colOff>1552575</xdr:colOff>
      <xdr:row>3684</xdr:row>
      <xdr:rowOff>209550</xdr:rowOff>
    </xdr:to>
    <xdr:pic>
      <xdr:nvPicPr>
        <xdr:cNvPr id="1241" name="Имя " descr="Descr ">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1240"/>
        <a:stretch>
          <a:fillRect/>
        </a:stretch>
      </xdr:blipFill>
      <xdr:spPr>
        <a:prstGeom prst="rect">
          <a:avLst/>
        </a:prstGeom>
        <a:ln w="9525">
          <a:solidFill>
            <a:srgbClr val="000000"/>
          </a:solidFill>
          <a:prstDash val="solid"/>
        </a:ln>
      </xdr:spPr>
    </xdr:pic>
    <xdr:clientData/>
  </xdr:twoCellAnchor>
  <xdr:twoCellAnchor>
    <xdr:from>
      <xdr:col>3</xdr:col>
      <xdr:colOff>114300</xdr:colOff>
      <xdr:row>3685</xdr:row>
      <xdr:rowOff>28575</xdr:rowOff>
    </xdr:from>
    <xdr:to>
      <xdr:col>3</xdr:col>
      <xdr:colOff>1552575</xdr:colOff>
      <xdr:row>3689</xdr:row>
      <xdr:rowOff>333375</xdr:rowOff>
    </xdr:to>
    <xdr:pic>
      <xdr:nvPicPr>
        <xdr:cNvPr id="1242" name="Имя " descr="Descr ">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1241"/>
        <a:stretch>
          <a:fillRect/>
        </a:stretch>
      </xdr:blipFill>
      <xdr:spPr>
        <a:prstGeom prst="rect">
          <a:avLst/>
        </a:prstGeom>
        <a:ln w="9525">
          <a:solidFill>
            <a:srgbClr val="000000"/>
          </a:solidFill>
          <a:prstDash val="solid"/>
        </a:ln>
      </xdr:spPr>
    </xdr:pic>
    <xdr:clientData/>
  </xdr:twoCellAnchor>
  <xdr:twoCellAnchor>
    <xdr:from>
      <xdr:col>3</xdr:col>
      <xdr:colOff>114300</xdr:colOff>
      <xdr:row>3690</xdr:row>
      <xdr:rowOff>28575</xdr:rowOff>
    </xdr:from>
    <xdr:to>
      <xdr:col>3</xdr:col>
      <xdr:colOff>1552575</xdr:colOff>
      <xdr:row>3694</xdr:row>
      <xdr:rowOff>333375</xdr:rowOff>
    </xdr:to>
    <xdr:pic>
      <xdr:nvPicPr>
        <xdr:cNvPr id="1243" name="Имя " descr="Descr ">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1242"/>
        <a:stretch>
          <a:fillRect/>
        </a:stretch>
      </xdr:blipFill>
      <xdr:spPr>
        <a:prstGeom prst="rect">
          <a:avLst/>
        </a:prstGeom>
        <a:ln w="9525">
          <a:solidFill>
            <a:srgbClr val="000000"/>
          </a:solidFill>
          <a:prstDash val="solid"/>
        </a:ln>
      </xdr:spPr>
    </xdr:pic>
    <xdr:clientData/>
  </xdr:twoCellAnchor>
  <xdr:twoCellAnchor>
    <xdr:from>
      <xdr:col>3</xdr:col>
      <xdr:colOff>114300</xdr:colOff>
      <xdr:row>3695</xdr:row>
      <xdr:rowOff>28575</xdr:rowOff>
    </xdr:from>
    <xdr:to>
      <xdr:col>3</xdr:col>
      <xdr:colOff>1552575</xdr:colOff>
      <xdr:row>3697</xdr:row>
      <xdr:rowOff>419100</xdr:rowOff>
    </xdr:to>
    <xdr:pic>
      <xdr:nvPicPr>
        <xdr:cNvPr id="1244" name="Имя " descr="Descr ">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1243"/>
        <a:stretch>
          <a:fillRect/>
        </a:stretch>
      </xdr:blipFill>
      <xdr:spPr>
        <a:prstGeom prst="rect">
          <a:avLst/>
        </a:prstGeom>
        <a:ln w="9525">
          <a:solidFill>
            <a:srgbClr val="000000"/>
          </a:solidFill>
          <a:prstDash val="solid"/>
        </a:ln>
      </xdr:spPr>
    </xdr:pic>
    <xdr:clientData/>
  </xdr:twoCellAnchor>
  <xdr:twoCellAnchor>
    <xdr:from>
      <xdr:col>3</xdr:col>
      <xdr:colOff>114300</xdr:colOff>
      <xdr:row>3698</xdr:row>
      <xdr:rowOff>28575</xdr:rowOff>
    </xdr:from>
    <xdr:to>
      <xdr:col>3</xdr:col>
      <xdr:colOff>1552575</xdr:colOff>
      <xdr:row>3702</xdr:row>
      <xdr:rowOff>333375</xdr:rowOff>
    </xdr:to>
    <xdr:pic>
      <xdr:nvPicPr>
        <xdr:cNvPr id="1245" name="Имя " descr="Descr ">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1244"/>
        <a:stretch>
          <a:fillRect/>
        </a:stretch>
      </xdr:blipFill>
      <xdr:spPr>
        <a:prstGeom prst="rect">
          <a:avLst/>
        </a:prstGeom>
        <a:ln w="9525">
          <a:solidFill>
            <a:srgbClr val="000000"/>
          </a:solidFill>
          <a:prstDash val="solid"/>
        </a:ln>
      </xdr:spPr>
    </xdr:pic>
    <xdr:clientData/>
  </xdr:twoCellAnchor>
  <xdr:twoCellAnchor>
    <xdr:from>
      <xdr:col>3</xdr:col>
      <xdr:colOff>114300</xdr:colOff>
      <xdr:row>3703</xdr:row>
      <xdr:rowOff>28575</xdr:rowOff>
    </xdr:from>
    <xdr:to>
      <xdr:col>3</xdr:col>
      <xdr:colOff>1552575</xdr:colOff>
      <xdr:row>3703</xdr:row>
      <xdr:rowOff>1266825</xdr:rowOff>
    </xdr:to>
    <xdr:pic>
      <xdr:nvPicPr>
        <xdr:cNvPr id="1246" name="Имя " descr="Descr ">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1245"/>
        <a:stretch>
          <a:fillRect/>
        </a:stretch>
      </xdr:blipFill>
      <xdr:spPr>
        <a:prstGeom prst="rect">
          <a:avLst/>
        </a:prstGeom>
        <a:ln w="9525">
          <a:solidFill>
            <a:srgbClr val="000000"/>
          </a:solidFill>
          <a:prstDash val="solid"/>
        </a:ln>
      </xdr:spPr>
    </xdr:pic>
    <xdr:clientData/>
  </xdr:twoCellAnchor>
  <xdr:twoCellAnchor>
    <xdr:from>
      <xdr:col>3</xdr:col>
      <xdr:colOff>114300</xdr:colOff>
      <xdr:row>3704</xdr:row>
      <xdr:rowOff>28575</xdr:rowOff>
    </xdr:from>
    <xdr:to>
      <xdr:col>3</xdr:col>
      <xdr:colOff>1552575</xdr:colOff>
      <xdr:row>3708</xdr:row>
      <xdr:rowOff>333375</xdr:rowOff>
    </xdr:to>
    <xdr:pic>
      <xdr:nvPicPr>
        <xdr:cNvPr id="1247" name="Имя " descr="Descr ">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1246"/>
        <a:stretch>
          <a:fillRect/>
        </a:stretch>
      </xdr:blipFill>
      <xdr:spPr>
        <a:prstGeom prst="rect">
          <a:avLst/>
        </a:prstGeom>
        <a:ln w="9525">
          <a:solidFill>
            <a:srgbClr val="000000"/>
          </a:solidFill>
          <a:prstDash val="solid"/>
        </a:ln>
      </xdr:spPr>
    </xdr:pic>
    <xdr:clientData/>
  </xdr:twoCellAnchor>
  <xdr:twoCellAnchor>
    <xdr:from>
      <xdr:col>3</xdr:col>
      <xdr:colOff>114300</xdr:colOff>
      <xdr:row>3709</xdr:row>
      <xdr:rowOff>28575</xdr:rowOff>
    </xdr:from>
    <xdr:to>
      <xdr:col>3</xdr:col>
      <xdr:colOff>1552575</xdr:colOff>
      <xdr:row>3709</xdr:row>
      <xdr:rowOff>1266825</xdr:rowOff>
    </xdr:to>
    <xdr:pic>
      <xdr:nvPicPr>
        <xdr:cNvPr id="1248" name="Имя " descr="Descr ">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1247"/>
        <a:stretch>
          <a:fillRect/>
        </a:stretch>
      </xdr:blipFill>
      <xdr:spPr>
        <a:prstGeom prst="rect">
          <a:avLst/>
        </a:prstGeom>
        <a:ln w="9525">
          <a:solidFill>
            <a:srgbClr val="000000"/>
          </a:solidFill>
          <a:prstDash val="solid"/>
        </a:ln>
      </xdr:spPr>
    </xdr:pic>
    <xdr:clientData/>
  </xdr:twoCellAnchor>
  <xdr:twoCellAnchor>
    <xdr:from>
      <xdr:col>3</xdr:col>
      <xdr:colOff>114300</xdr:colOff>
      <xdr:row>3710</xdr:row>
      <xdr:rowOff>28575</xdr:rowOff>
    </xdr:from>
    <xdr:to>
      <xdr:col>3</xdr:col>
      <xdr:colOff>1552575</xdr:colOff>
      <xdr:row>3710</xdr:row>
      <xdr:rowOff>1266825</xdr:rowOff>
    </xdr:to>
    <xdr:pic>
      <xdr:nvPicPr>
        <xdr:cNvPr id="1249" name="Имя " descr="Descr ">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1248"/>
        <a:stretch>
          <a:fillRect/>
        </a:stretch>
      </xdr:blipFill>
      <xdr:spPr>
        <a:prstGeom prst="rect">
          <a:avLst/>
        </a:prstGeom>
        <a:ln w="9525">
          <a:solidFill>
            <a:srgbClr val="000000"/>
          </a:solidFill>
          <a:prstDash val="solid"/>
        </a:ln>
      </xdr:spPr>
    </xdr:pic>
    <xdr:clientData/>
  </xdr:twoCellAnchor>
  <xdr:twoCellAnchor>
    <xdr:from>
      <xdr:col>3</xdr:col>
      <xdr:colOff>114300</xdr:colOff>
      <xdr:row>3711</xdr:row>
      <xdr:rowOff>28575</xdr:rowOff>
    </xdr:from>
    <xdr:to>
      <xdr:col>3</xdr:col>
      <xdr:colOff>1552575</xdr:colOff>
      <xdr:row>3715</xdr:row>
      <xdr:rowOff>333375</xdr:rowOff>
    </xdr:to>
    <xdr:pic>
      <xdr:nvPicPr>
        <xdr:cNvPr id="1250" name="Имя " descr="Descr ">
          <a:extLst>
            <a:ext uri="{FF2B5EF4-FFF2-40B4-BE49-F238E27FC236}">
              <a16:creationId xmlns:a16="http://schemas.microsoft.com/office/drawing/2014/main" id="{00000000-0008-0000-0000-0000E2040000}"/>
            </a:ext>
          </a:extLst>
        </xdr:cNvPr>
        <xdr:cNvPicPr>
          <a:picLocks noChangeAspect="1"/>
        </xdr:cNvPicPr>
      </xdr:nvPicPr>
      <xdr:blipFill>
        <a:blip xmlns:r="http://schemas.openxmlformats.org/officeDocument/2006/relationships" r:embed="rId1249"/>
        <a:stretch>
          <a:fillRect/>
        </a:stretch>
      </xdr:blipFill>
      <xdr:spPr>
        <a:prstGeom prst="rect">
          <a:avLst/>
        </a:prstGeom>
        <a:ln w="9525">
          <a:solidFill>
            <a:srgbClr val="000000"/>
          </a:solidFill>
          <a:prstDash val="solid"/>
        </a:ln>
      </xdr:spPr>
    </xdr:pic>
    <xdr:clientData/>
  </xdr:twoCellAnchor>
  <xdr:twoCellAnchor>
    <xdr:from>
      <xdr:col>3</xdr:col>
      <xdr:colOff>114300</xdr:colOff>
      <xdr:row>3716</xdr:row>
      <xdr:rowOff>28575</xdr:rowOff>
    </xdr:from>
    <xdr:to>
      <xdr:col>3</xdr:col>
      <xdr:colOff>1552575</xdr:colOff>
      <xdr:row>3718</xdr:row>
      <xdr:rowOff>419100</xdr:rowOff>
    </xdr:to>
    <xdr:pic>
      <xdr:nvPicPr>
        <xdr:cNvPr id="1251" name="Имя " descr="Descr ">
          <a:extLst>
            <a:ext uri="{FF2B5EF4-FFF2-40B4-BE49-F238E27FC236}">
              <a16:creationId xmlns:a16="http://schemas.microsoft.com/office/drawing/2014/main" id="{00000000-0008-0000-0000-0000E3040000}"/>
            </a:ext>
          </a:extLst>
        </xdr:cNvPr>
        <xdr:cNvPicPr>
          <a:picLocks noChangeAspect="1"/>
        </xdr:cNvPicPr>
      </xdr:nvPicPr>
      <xdr:blipFill>
        <a:blip xmlns:r="http://schemas.openxmlformats.org/officeDocument/2006/relationships" r:embed="rId1250"/>
        <a:stretch>
          <a:fillRect/>
        </a:stretch>
      </xdr:blipFill>
      <xdr:spPr>
        <a:prstGeom prst="rect">
          <a:avLst/>
        </a:prstGeom>
        <a:ln w="9525">
          <a:solidFill>
            <a:srgbClr val="000000"/>
          </a:solidFill>
          <a:prstDash val="solid"/>
        </a:ln>
      </xdr:spPr>
    </xdr:pic>
    <xdr:clientData/>
  </xdr:twoCellAnchor>
  <xdr:twoCellAnchor>
    <xdr:from>
      <xdr:col>3</xdr:col>
      <xdr:colOff>114300</xdr:colOff>
      <xdr:row>3719</xdr:row>
      <xdr:rowOff>28575</xdr:rowOff>
    </xdr:from>
    <xdr:to>
      <xdr:col>3</xdr:col>
      <xdr:colOff>1552575</xdr:colOff>
      <xdr:row>3723</xdr:row>
      <xdr:rowOff>333375</xdr:rowOff>
    </xdr:to>
    <xdr:pic>
      <xdr:nvPicPr>
        <xdr:cNvPr id="1252" name="Имя " descr="Descr ">
          <a:extLst>
            <a:ext uri="{FF2B5EF4-FFF2-40B4-BE49-F238E27FC236}">
              <a16:creationId xmlns:a16="http://schemas.microsoft.com/office/drawing/2014/main" id="{00000000-0008-0000-0000-0000E4040000}"/>
            </a:ext>
          </a:extLst>
        </xdr:cNvPr>
        <xdr:cNvPicPr>
          <a:picLocks noChangeAspect="1"/>
        </xdr:cNvPicPr>
      </xdr:nvPicPr>
      <xdr:blipFill>
        <a:blip xmlns:r="http://schemas.openxmlformats.org/officeDocument/2006/relationships" r:embed="rId1251"/>
        <a:stretch>
          <a:fillRect/>
        </a:stretch>
      </xdr:blipFill>
      <xdr:spPr>
        <a:prstGeom prst="rect">
          <a:avLst/>
        </a:prstGeom>
        <a:ln w="9525">
          <a:solidFill>
            <a:srgbClr val="000000"/>
          </a:solidFill>
          <a:prstDash val="solid"/>
        </a:ln>
      </xdr:spPr>
    </xdr:pic>
    <xdr:clientData/>
  </xdr:twoCellAnchor>
  <xdr:twoCellAnchor>
    <xdr:from>
      <xdr:col>3</xdr:col>
      <xdr:colOff>114300</xdr:colOff>
      <xdr:row>3724</xdr:row>
      <xdr:rowOff>38100</xdr:rowOff>
    </xdr:from>
    <xdr:to>
      <xdr:col>3</xdr:col>
      <xdr:colOff>1552575</xdr:colOff>
      <xdr:row>3725</xdr:row>
      <xdr:rowOff>638175</xdr:rowOff>
    </xdr:to>
    <xdr:pic>
      <xdr:nvPicPr>
        <xdr:cNvPr id="1253" name="Имя " descr="Descr ">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252"/>
        <a:stretch>
          <a:fillRect/>
        </a:stretch>
      </xdr:blipFill>
      <xdr:spPr>
        <a:prstGeom prst="rect">
          <a:avLst/>
        </a:prstGeom>
        <a:ln w="9525">
          <a:solidFill>
            <a:srgbClr val="000000"/>
          </a:solidFill>
          <a:prstDash val="solid"/>
        </a:ln>
      </xdr:spPr>
    </xdr:pic>
    <xdr:clientData/>
  </xdr:twoCellAnchor>
  <xdr:twoCellAnchor>
    <xdr:from>
      <xdr:col>3</xdr:col>
      <xdr:colOff>114300</xdr:colOff>
      <xdr:row>3726</xdr:row>
      <xdr:rowOff>38100</xdr:rowOff>
    </xdr:from>
    <xdr:to>
      <xdr:col>3</xdr:col>
      <xdr:colOff>1552575</xdr:colOff>
      <xdr:row>3727</xdr:row>
      <xdr:rowOff>638175</xdr:rowOff>
    </xdr:to>
    <xdr:pic>
      <xdr:nvPicPr>
        <xdr:cNvPr id="1254" name="Имя " descr="Descr ">
          <a:extLst>
            <a:ext uri="{FF2B5EF4-FFF2-40B4-BE49-F238E27FC236}">
              <a16:creationId xmlns:a16="http://schemas.microsoft.com/office/drawing/2014/main" id="{00000000-0008-0000-0000-0000E6040000}"/>
            </a:ext>
          </a:extLst>
        </xdr:cNvPr>
        <xdr:cNvPicPr>
          <a:picLocks noChangeAspect="1"/>
        </xdr:cNvPicPr>
      </xdr:nvPicPr>
      <xdr:blipFill>
        <a:blip xmlns:r="http://schemas.openxmlformats.org/officeDocument/2006/relationships" r:embed="rId1253"/>
        <a:stretch>
          <a:fillRect/>
        </a:stretch>
      </xdr:blipFill>
      <xdr:spPr>
        <a:prstGeom prst="rect">
          <a:avLst/>
        </a:prstGeom>
        <a:ln w="9525">
          <a:solidFill>
            <a:srgbClr val="000000"/>
          </a:solidFill>
          <a:prstDash val="solid"/>
        </a:ln>
      </xdr:spPr>
    </xdr:pic>
    <xdr:clientData/>
  </xdr:twoCellAnchor>
  <xdr:twoCellAnchor>
    <xdr:from>
      <xdr:col>3</xdr:col>
      <xdr:colOff>114300</xdr:colOff>
      <xdr:row>3728</xdr:row>
      <xdr:rowOff>28575</xdr:rowOff>
    </xdr:from>
    <xdr:to>
      <xdr:col>3</xdr:col>
      <xdr:colOff>1552575</xdr:colOff>
      <xdr:row>3732</xdr:row>
      <xdr:rowOff>333375</xdr:rowOff>
    </xdr:to>
    <xdr:pic>
      <xdr:nvPicPr>
        <xdr:cNvPr id="1255" name="Имя " descr="Descr ">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254"/>
        <a:stretch>
          <a:fillRect/>
        </a:stretch>
      </xdr:blipFill>
      <xdr:spPr>
        <a:prstGeom prst="rect">
          <a:avLst/>
        </a:prstGeom>
        <a:ln w="9525">
          <a:solidFill>
            <a:srgbClr val="000000"/>
          </a:solidFill>
          <a:prstDash val="solid"/>
        </a:ln>
      </xdr:spPr>
    </xdr:pic>
    <xdr:clientData/>
  </xdr:twoCellAnchor>
  <xdr:twoCellAnchor>
    <xdr:from>
      <xdr:col>3</xdr:col>
      <xdr:colOff>114300</xdr:colOff>
      <xdr:row>3733</xdr:row>
      <xdr:rowOff>28575</xdr:rowOff>
    </xdr:from>
    <xdr:to>
      <xdr:col>3</xdr:col>
      <xdr:colOff>1552575</xdr:colOff>
      <xdr:row>3735</xdr:row>
      <xdr:rowOff>419100</xdr:rowOff>
    </xdr:to>
    <xdr:pic>
      <xdr:nvPicPr>
        <xdr:cNvPr id="1256" name="Имя " descr="Descr ">
          <a:extLst>
            <a:ext uri="{FF2B5EF4-FFF2-40B4-BE49-F238E27FC236}">
              <a16:creationId xmlns:a16="http://schemas.microsoft.com/office/drawing/2014/main" id="{00000000-0008-0000-0000-0000E8040000}"/>
            </a:ext>
          </a:extLst>
        </xdr:cNvPr>
        <xdr:cNvPicPr>
          <a:picLocks noChangeAspect="1"/>
        </xdr:cNvPicPr>
      </xdr:nvPicPr>
      <xdr:blipFill>
        <a:blip xmlns:r="http://schemas.openxmlformats.org/officeDocument/2006/relationships" r:embed="rId1255"/>
        <a:stretch>
          <a:fillRect/>
        </a:stretch>
      </xdr:blipFill>
      <xdr:spPr>
        <a:prstGeom prst="rect">
          <a:avLst/>
        </a:prstGeom>
        <a:ln w="9525">
          <a:solidFill>
            <a:srgbClr val="000000"/>
          </a:solidFill>
          <a:prstDash val="solid"/>
        </a:ln>
      </xdr:spPr>
    </xdr:pic>
    <xdr:clientData/>
  </xdr:twoCellAnchor>
  <xdr:twoCellAnchor>
    <xdr:from>
      <xdr:col>3</xdr:col>
      <xdr:colOff>114300</xdr:colOff>
      <xdr:row>3736</xdr:row>
      <xdr:rowOff>28575</xdr:rowOff>
    </xdr:from>
    <xdr:to>
      <xdr:col>3</xdr:col>
      <xdr:colOff>1552575</xdr:colOff>
      <xdr:row>3736</xdr:row>
      <xdr:rowOff>1266825</xdr:rowOff>
    </xdr:to>
    <xdr:pic>
      <xdr:nvPicPr>
        <xdr:cNvPr id="1257" name="Имя " descr="Descr ">
          <a:extLst>
            <a:ext uri="{FF2B5EF4-FFF2-40B4-BE49-F238E27FC236}">
              <a16:creationId xmlns:a16="http://schemas.microsoft.com/office/drawing/2014/main" id="{00000000-0008-0000-0000-0000E9040000}"/>
            </a:ext>
          </a:extLst>
        </xdr:cNvPr>
        <xdr:cNvPicPr>
          <a:picLocks noChangeAspect="1"/>
        </xdr:cNvPicPr>
      </xdr:nvPicPr>
      <xdr:blipFill>
        <a:blip xmlns:r="http://schemas.openxmlformats.org/officeDocument/2006/relationships" r:embed="rId1256"/>
        <a:stretch>
          <a:fillRect/>
        </a:stretch>
      </xdr:blipFill>
      <xdr:spPr>
        <a:prstGeom prst="rect">
          <a:avLst/>
        </a:prstGeom>
        <a:ln w="9525">
          <a:solidFill>
            <a:srgbClr val="000000"/>
          </a:solidFill>
          <a:prstDash val="solid"/>
        </a:ln>
      </xdr:spPr>
    </xdr:pic>
    <xdr:clientData/>
  </xdr:twoCellAnchor>
  <xdr:twoCellAnchor>
    <xdr:from>
      <xdr:col>3</xdr:col>
      <xdr:colOff>114300</xdr:colOff>
      <xdr:row>3737</xdr:row>
      <xdr:rowOff>38100</xdr:rowOff>
    </xdr:from>
    <xdr:to>
      <xdr:col>3</xdr:col>
      <xdr:colOff>1552575</xdr:colOff>
      <xdr:row>3738</xdr:row>
      <xdr:rowOff>638175</xdr:rowOff>
    </xdr:to>
    <xdr:pic>
      <xdr:nvPicPr>
        <xdr:cNvPr id="1258" name="Имя " descr="Descr ">
          <a:extLst>
            <a:ext uri="{FF2B5EF4-FFF2-40B4-BE49-F238E27FC236}">
              <a16:creationId xmlns:a16="http://schemas.microsoft.com/office/drawing/2014/main" id="{00000000-0008-0000-0000-0000EA040000}"/>
            </a:ext>
          </a:extLst>
        </xdr:cNvPr>
        <xdr:cNvPicPr>
          <a:picLocks noChangeAspect="1"/>
        </xdr:cNvPicPr>
      </xdr:nvPicPr>
      <xdr:blipFill>
        <a:blip xmlns:r="http://schemas.openxmlformats.org/officeDocument/2006/relationships" r:embed="rId1257"/>
        <a:stretch>
          <a:fillRect/>
        </a:stretch>
      </xdr:blipFill>
      <xdr:spPr>
        <a:prstGeom prst="rect">
          <a:avLst/>
        </a:prstGeom>
        <a:ln w="9525">
          <a:solidFill>
            <a:srgbClr val="000000"/>
          </a:solidFill>
          <a:prstDash val="solid"/>
        </a:ln>
      </xdr:spPr>
    </xdr:pic>
    <xdr:clientData/>
  </xdr:twoCellAnchor>
  <xdr:twoCellAnchor>
    <xdr:from>
      <xdr:col>3</xdr:col>
      <xdr:colOff>114300</xdr:colOff>
      <xdr:row>3739</xdr:row>
      <xdr:rowOff>28575</xdr:rowOff>
    </xdr:from>
    <xdr:to>
      <xdr:col>3</xdr:col>
      <xdr:colOff>1552575</xdr:colOff>
      <xdr:row>3743</xdr:row>
      <xdr:rowOff>333375</xdr:rowOff>
    </xdr:to>
    <xdr:pic>
      <xdr:nvPicPr>
        <xdr:cNvPr id="1259" name="Имя " descr="Descr ">
          <a:extLst>
            <a:ext uri="{FF2B5EF4-FFF2-40B4-BE49-F238E27FC236}">
              <a16:creationId xmlns:a16="http://schemas.microsoft.com/office/drawing/2014/main" id="{00000000-0008-0000-0000-0000EB040000}"/>
            </a:ext>
          </a:extLst>
        </xdr:cNvPr>
        <xdr:cNvPicPr>
          <a:picLocks noChangeAspect="1"/>
        </xdr:cNvPicPr>
      </xdr:nvPicPr>
      <xdr:blipFill>
        <a:blip xmlns:r="http://schemas.openxmlformats.org/officeDocument/2006/relationships" r:embed="rId1258"/>
        <a:stretch>
          <a:fillRect/>
        </a:stretch>
      </xdr:blipFill>
      <xdr:spPr>
        <a:prstGeom prst="rect">
          <a:avLst/>
        </a:prstGeom>
        <a:ln w="9525">
          <a:solidFill>
            <a:srgbClr val="000000"/>
          </a:solidFill>
          <a:prstDash val="solid"/>
        </a:ln>
      </xdr:spPr>
    </xdr:pic>
    <xdr:clientData/>
  </xdr:twoCellAnchor>
  <xdr:twoCellAnchor>
    <xdr:from>
      <xdr:col>3</xdr:col>
      <xdr:colOff>114300</xdr:colOff>
      <xdr:row>3744</xdr:row>
      <xdr:rowOff>28575</xdr:rowOff>
    </xdr:from>
    <xdr:to>
      <xdr:col>3</xdr:col>
      <xdr:colOff>1552575</xdr:colOff>
      <xdr:row>3746</xdr:row>
      <xdr:rowOff>419100</xdr:rowOff>
    </xdr:to>
    <xdr:pic>
      <xdr:nvPicPr>
        <xdr:cNvPr id="1260" name="Имя " descr="Descr ">
          <a:extLst>
            <a:ext uri="{FF2B5EF4-FFF2-40B4-BE49-F238E27FC236}">
              <a16:creationId xmlns:a16="http://schemas.microsoft.com/office/drawing/2014/main" id="{00000000-0008-0000-0000-0000EC040000}"/>
            </a:ext>
          </a:extLst>
        </xdr:cNvPr>
        <xdr:cNvPicPr>
          <a:picLocks noChangeAspect="1"/>
        </xdr:cNvPicPr>
      </xdr:nvPicPr>
      <xdr:blipFill>
        <a:blip xmlns:r="http://schemas.openxmlformats.org/officeDocument/2006/relationships" r:embed="rId1259"/>
        <a:stretch>
          <a:fillRect/>
        </a:stretch>
      </xdr:blipFill>
      <xdr:spPr>
        <a:prstGeom prst="rect">
          <a:avLst/>
        </a:prstGeom>
        <a:ln w="9525">
          <a:solidFill>
            <a:srgbClr val="000000"/>
          </a:solidFill>
          <a:prstDash val="solid"/>
        </a:ln>
      </xdr:spPr>
    </xdr:pic>
    <xdr:clientData/>
  </xdr:twoCellAnchor>
  <xdr:twoCellAnchor>
    <xdr:from>
      <xdr:col>3</xdr:col>
      <xdr:colOff>114300</xdr:colOff>
      <xdr:row>3747</xdr:row>
      <xdr:rowOff>28575</xdr:rowOff>
    </xdr:from>
    <xdr:to>
      <xdr:col>3</xdr:col>
      <xdr:colOff>1552575</xdr:colOff>
      <xdr:row>3750</xdr:row>
      <xdr:rowOff>209550</xdr:rowOff>
    </xdr:to>
    <xdr:pic>
      <xdr:nvPicPr>
        <xdr:cNvPr id="1261" name="Имя " descr="Descr ">
          <a:extLst>
            <a:ext uri="{FF2B5EF4-FFF2-40B4-BE49-F238E27FC236}">
              <a16:creationId xmlns:a16="http://schemas.microsoft.com/office/drawing/2014/main" id="{00000000-0008-0000-0000-0000ED040000}"/>
            </a:ext>
          </a:extLst>
        </xdr:cNvPr>
        <xdr:cNvPicPr>
          <a:picLocks noChangeAspect="1"/>
        </xdr:cNvPicPr>
      </xdr:nvPicPr>
      <xdr:blipFill>
        <a:blip xmlns:r="http://schemas.openxmlformats.org/officeDocument/2006/relationships" r:embed="rId1260"/>
        <a:stretch>
          <a:fillRect/>
        </a:stretch>
      </xdr:blipFill>
      <xdr:spPr>
        <a:prstGeom prst="rect">
          <a:avLst/>
        </a:prstGeom>
        <a:ln w="9525">
          <a:solidFill>
            <a:srgbClr val="000000"/>
          </a:solidFill>
          <a:prstDash val="solid"/>
        </a:ln>
      </xdr:spPr>
    </xdr:pic>
    <xdr:clientData/>
  </xdr:twoCellAnchor>
  <xdr:twoCellAnchor>
    <xdr:from>
      <xdr:col>3</xdr:col>
      <xdr:colOff>114300</xdr:colOff>
      <xdr:row>3751</xdr:row>
      <xdr:rowOff>28575</xdr:rowOff>
    </xdr:from>
    <xdr:to>
      <xdr:col>3</xdr:col>
      <xdr:colOff>1552575</xdr:colOff>
      <xdr:row>3755</xdr:row>
      <xdr:rowOff>333375</xdr:rowOff>
    </xdr:to>
    <xdr:pic>
      <xdr:nvPicPr>
        <xdr:cNvPr id="1262" name="Имя " descr="Descr ">
          <a:extLst>
            <a:ext uri="{FF2B5EF4-FFF2-40B4-BE49-F238E27FC236}">
              <a16:creationId xmlns:a16="http://schemas.microsoft.com/office/drawing/2014/main" id="{00000000-0008-0000-0000-0000EE040000}"/>
            </a:ext>
          </a:extLst>
        </xdr:cNvPr>
        <xdr:cNvPicPr>
          <a:picLocks noChangeAspect="1"/>
        </xdr:cNvPicPr>
      </xdr:nvPicPr>
      <xdr:blipFill>
        <a:blip xmlns:r="http://schemas.openxmlformats.org/officeDocument/2006/relationships" r:embed="rId1261"/>
        <a:stretch>
          <a:fillRect/>
        </a:stretch>
      </xdr:blipFill>
      <xdr:spPr>
        <a:prstGeom prst="rect">
          <a:avLst/>
        </a:prstGeom>
        <a:ln w="9525">
          <a:solidFill>
            <a:srgbClr val="000000"/>
          </a:solidFill>
          <a:prstDash val="solid"/>
        </a:ln>
      </xdr:spPr>
    </xdr:pic>
    <xdr:clientData/>
  </xdr:twoCellAnchor>
  <xdr:twoCellAnchor>
    <xdr:from>
      <xdr:col>3</xdr:col>
      <xdr:colOff>114300</xdr:colOff>
      <xdr:row>3756</xdr:row>
      <xdr:rowOff>28575</xdr:rowOff>
    </xdr:from>
    <xdr:to>
      <xdr:col>3</xdr:col>
      <xdr:colOff>1552575</xdr:colOff>
      <xdr:row>3756</xdr:row>
      <xdr:rowOff>1266825</xdr:rowOff>
    </xdr:to>
    <xdr:pic>
      <xdr:nvPicPr>
        <xdr:cNvPr id="1263" name="Имя " descr="Descr ">
          <a:extLst>
            <a:ext uri="{FF2B5EF4-FFF2-40B4-BE49-F238E27FC236}">
              <a16:creationId xmlns:a16="http://schemas.microsoft.com/office/drawing/2014/main" id="{00000000-0008-0000-0000-0000EF040000}"/>
            </a:ext>
          </a:extLst>
        </xdr:cNvPr>
        <xdr:cNvPicPr>
          <a:picLocks noChangeAspect="1"/>
        </xdr:cNvPicPr>
      </xdr:nvPicPr>
      <xdr:blipFill>
        <a:blip xmlns:r="http://schemas.openxmlformats.org/officeDocument/2006/relationships" r:embed="rId1262"/>
        <a:stretch>
          <a:fillRect/>
        </a:stretch>
      </xdr:blipFill>
      <xdr:spPr>
        <a:prstGeom prst="rect">
          <a:avLst/>
        </a:prstGeom>
        <a:ln w="9525">
          <a:solidFill>
            <a:srgbClr val="000000"/>
          </a:solidFill>
          <a:prstDash val="solid"/>
        </a:ln>
      </xdr:spPr>
    </xdr:pic>
    <xdr:clientData/>
  </xdr:twoCellAnchor>
  <xdr:twoCellAnchor>
    <xdr:from>
      <xdr:col>3</xdr:col>
      <xdr:colOff>114300</xdr:colOff>
      <xdr:row>3757</xdr:row>
      <xdr:rowOff>28575</xdr:rowOff>
    </xdr:from>
    <xdr:to>
      <xdr:col>3</xdr:col>
      <xdr:colOff>1552575</xdr:colOff>
      <xdr:row>3761</xdr:row>
      <xdr:rowOff>333375</xdr:rowOff>
    </xdr:to>
    <xdr:pic>
      <xdr:nvPicPr>
        <xdr:cNvPr id="1264" name="Имя " descr="Descr ">
          <a:extLst>
            <a:ext uri="{FF2B5EF4-FFF2-40B4-BE49-F238E27FC236}">
              <a16:creationId xmlns:a16="http://schemas.microsoft.com/office/drawing/2014/main" id="{00000000-0008-0000-0000-0000F0040000}"/>
            </a:ext>
          </a:extLst>
        </xdr:cNvPr>
        <xdr:cNvPicPr>
          <a:picLocks noChangeAspect="1"/>
        </xdr:cNvPicPr>
      </xdr:nvPicPr>
      <xdr:blipFill>
        <a:blip xmlns:r="http://schemas.openxmlformats.org/officeDocument/2006/relationships" r:embed="rId1263"/>
        <a:stretch>
          <a:fillRect/>
        </a:stretch>
      </xdr:blipFill>
      <xdr:spPr>
        <a:prstGeom prst="rect">
          <a:avLst/>
        </a:prstGeom>
        <a:ln w="9525">
          <a:solidFill>
            <a:srgbClr val="000000"/>
          </a:solidFill>
          <a:prstDash val="solid"/>
        </a:ln>
      </xdr:spPr>
    </xdr:pic>
    <xdr:clientData/>
  </xdr:twoCellAnchor>
  <xdr:twoCellAnchor>
    <xdr:from>
      <xdr:col>3</xdr:col>
      <xdr:colOff>114300</xdr:colOff>
      <xdr:row>3762</xdr:row>
      <xdr:rowOff>28575</xdr:rowOff>
    </xdr:from>
    <xdr:to>
      <xdr:col>3</xdr:col>
      <xdr:colOff>1552575</xdr:colOff>
      <xdr:row>3766</xdr:row>
      <xdr:rowOff>333375</xdr:rowOff>
    </xdr:to>
    <xdr:pic>
      <xdr:nvPicPr>
        <xdr:cNvPr id="1265" name="Имя " descr="Descr ">
          <a:extLst>
            <a:ext uri="{FF2B5EF4-FFF2-40B4-BE49-F238E27FC236}">
              <a16:creationId xmlns:a16="http://schemas.microsoft.com/office/drawing/2014/main" id="{00000000-0008-0000-0000-0000F1040000}"/>
            </a:ext>
          </a:extLst>
        </xdr:cNvPr>
        <xdr:cNvPicPr>
          <a:picLocks noChangeAspect="1"/>
        </xdr:cNvPicPr>
      </xdr:nvPicPr>
      <xdr:blipFill>
        <a:blip xmlns:r="http://schemas.openxmlformats.org/officeDocument/2006/relationships" r:embed="rId1264"/>
        <a:stretch>
          <a:fillRect/>
        </a:stretch>
      </xdr:blipFill>
      <xdr:spPr>
        <a:prstGeom prst="rect">
          <a:avLst/>
        </a:prstGeom>
        <a:ln w="9525">
          <a:solidFill>
            <a:srgbClr val="000000"/>
          </a:solidFill>
          <a:prstDash val="solid"/>
        </a:ln>
      </xdr:spPr>
    </xdr:pic>
    <xdr:clientData/>
  </xdr:twoCellAnchor>
  <xdr:twoCellAnchor>
    <xdr:from>
      <xdr:col>3</xdr:col>
      <xdr:colOff>114300</xdr:colOff>
      <xdr:row>3767</xdr:row>
      <xdr:rowOff>38100</xdr:rowOff>
    </xdr:from>
    <xdr:to>
      <xdr:col>3</xdr:col>
      <xdr:colOff>1552575</xdr:colOff>
      <xdr:row>3768</xdr:row>
      <xdr:rowOff>638175</xdr:rowOff>
    </xdr:to>
    <xdr:pic>
      <xdr:nvPicPr>
        <xdr:cNvPr id="1266" name="Имя " descr="Descr ">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1265"/>
        <a:stretch>
          <a:fillRect/>
        </a:stretch>
      </xdr:blipFill>
      <xdr:spPr>
        <a:prstGeom prst="rect">
          <a:avLst/>
        </a:prstGeom>
        <a:ln w="9525">
          <a:solidFill>
            <a:srgbClr val="000000"/>
          </a:solidFill>
          <a:prstDash val="solid"/>
        </a:ln>
      </xdr:spPr>
    </xdr:pic>
    <xdr:clientData/>
  </xdr:twoCellAnchor>
  <xdr:twoCellAnchor>
    <xdr:from>
      <xdr:col>3</xdr:col>
      <xdr:colOff>114300</xdr:colOff>
      <xdr:row>3769</xdr:row>
      <xdr:rowOff>38100</xdr:rowOff>
    </xdr:from>
    <xdr:to>
      <xdr:col>3</xdr:col>
      <xdr:colOff>1552575</xdr:colOff>
      <xdr:row>3770</xdr:row>
      <xdr:rowOff>638175</xdr:rowOff>
    </xdr:to>
    <xdr:pic>
      <xdr:nvPicPr>
        <xdr:cNvPr id="1267" name="Имя " descr="Descr ">
          <a:extLst>
            <a:ext uri="{FF2B5EF4-FFF2-40B4-BE49-F238E27FC236}">
              <a16:creationId xmlns:a16="http://schemas.microsoft.com/office/drawing/2014/main" id="{00000000-0008-0000-0000-0000F3040000}"/>
            </a:ext>
          </a:extLst>
        </xdr:cNvPr>
        <xdr:cNvPicPr>
          <a:picLocks noChangeAspect="1"/>
        </xdr:cNvPicPr>
      </xdr:nvPicPr>
      <xdr:blipFill>
        <a:blip xmlns:r="http://schemas.openxmlformats.org/officeDocument/2006/relationships" r:embed="rId1266"/>
        <a:stretch>
          <a:fillRect/>
        </a:stretch>
      </xdr:blipFill>
      <xdr:spPr>
        <a:prstGeom prst="rect">
          <a:avLst/>
        </a:prstGeom>
        <a:ln w="9525">
          <a:solidFill>
            <a:srgbClr val="000000"/>
          </a:solidFill>
          <a:prstDash val="solid"/>
        </a:ln>
      </xdr:spPr>
    </xdr:pic>
    <xdr:clientData/>
  </xdr:twoCellAnchor>
  <xdr:twoCellAnchor>
    <xdr:from>
      <xdr:col>3</xdr:col>
      <xdr:colOff>114300</xdr:colOff>
      <xdr:row>3771</xdr:row>
      <xdr:rowOff>28575</xdr:rowOff>
    </xdr:from>
    <xdr:to>
      <xdr:col>3</xdr:col>
      <xdr:colOff>1552575</xdr:colOff>
      <xdr:row>3771</xdr:row>
      <xdr:rowOff>1266825</xdr:rowOff>
    </xdr:to>
    <xdr:pic>
      <xdr:nvPicPr>
        <xdr:cNvPr id="1268" name="Имя " descr="Descr ">
          <a:extLst>
            <a:ext uri="{FF2B5EF4-FFF2-40B4-BE49-F238E27FC236}">
              <a16:creationId xmlns:a16="http://schemas.microsoft.com/office/drawing/2014/main" id="{00000000-0008-0000-0000-0000F4040000}"/>
            </a:ext>
          </a:extLst>
        </xdr:cNvPr>
        <xdr:cNvPicPr>
          <a:picLocks noChangeAspect="1"/>
        </xdr:cNvPicPr>
      </xdr:nvPicPr>
      <xdr:blipFill>
        <a:blip xmlns:r="http://schemas.openxmlformats.org/officeDocument/2006/relationships" r:embed="rId1267"/>
        <a:stretch>
          <a:fillRect/>
        </a:stretch>
      </xdr:blipFill>
      <xdr:spPr>
        <a:prstGeom prst="rect">
          <a:avLst/>
        </a:prstGeom>
        <a:ln w="9525">
          <a:solidFill>
            <a:srgbClr val="000000"/>
          </a:solidFill>
          <a:prstDash val="solid"/>
        </a:ln>
      </xdr:spPr>
    </xdr:pic>
    <xdr:clientData/>
  </xdr:twoCellAnchor>
  <xdr:twoCellAnchor>
    <xdr:from>
      <xdr:col>3</xdr:col>
      <xdr:colOff>114300</xdr:colOff>
      <xdr:row>3772</xdr:row>
      <xdr:rowOff>28575</xdr:rowOff>
    </xdr:from>
    <xdr:to>
      <xdr:col>3</xdr:col>
      <xdr:colOff>1552575</xdr:colOff>
      <xdr:row>3774</xdr:row>
      <xdr:rowOff>419100</xdr:rowOff>
    </xdr:to>
    <xdr:pic>
      <xdr:nvPicPr>
        <xdr:cNvPr id="1269" name="Имя " descr="Descr ">
          <a:extLst>
            <a:ext uri="{FF2B5EF4-FFF2-40B4-BE49-F238E27FC236}">
              <a16:creationId xmlns:a16="http://schemas.microsoft.com/office/drawing/2014/main" id="{00000000-0008-0000-0000-0000F5040000}"/>
            </a:ext>
          </a:extLst>
        </xdr:cNvPr>
        <xdr:cNvPicPr>
          <a:picLocks noChangeAspect="1"/>
        </xdr:cNvPicPr>
      </xdr:nvPicPr>
      <xdr:blipFill>
        <a:blip xmlns:r="http://schemas.openxmlformats.org/officeDocument/2006/relationships" r:embed="rId1268"/>
        <a:stretch>
          <a:fillRect/>
        </a:stretch>
      </xdr:blipFill>
      <xdr:spPr>
        <a:prstGeom prst="rect">
          <a:avLst/>
        </a:prstGeom>
        <a:ln w="9525">
          <a:solidFill>
            <a:srgbClr val="000000"/>
          </a:solidFill>
          <a:prstDash val="solid"/>
        </a:ln>
      </xdr:spPr>
    </xdr:pic>
    <xdr:clientData/>
  </xdr:twoCellAnchor>
  <xdr:twoCellAnchor>
    <xdr:from>
      <xdr:col>3</xdr:col>
      <xdr:colOff>114300</xdr:colOff>
      <xdr:row>3775</xdr:row>
      <xdr:rowOff>38100</xdr:rowOff>
    </xdr:from>
    <xdr:to>
      <xdr:col>3</xdr:col>
      <xdr:colOff>1552575</xdr:colOff>
      <xdr:row>3776</xdr:row>
      <xdr:rowOff>638175</xdr:rowOff>
    </xdr:to>
    <xdr:pic>
      <xdr:nvPicPr>
        <xdr:cNvPr id="1270" name="Имя " descr="Descr ">
          <a:extLst>
            <a:ext uri="{FF2B5EF4-FFF2-40B4-BE49-F238E27FC236}">
              <a16:creationId xmlns:a16="http://schemas.microsoft.com/office/drawing/2014/main" id="{00000000-0008-0000-0000-0000F6040000}"/>
            </a:ext>
          </a:extLst>
        </xdr:cNvPr>
        <xdr:cNvPicPr>
          <a:picLocks noChangeAspect="1"/>
        </xdr:cNvPicPr>
      </xdr:nvPicPr>
      <xdr:blipFill>
        <a:blip xmlns:r="http://schemas.openxmlformats.org/officeDocument/2006/relationships" r:embed="rId1269"/>
        <a:stretch>
          <a:fillRect/>
        </a:stretch>
      </xdr:blipFill>
      <xdr:spPr>
        <a:prstGeom prst="rect">
          <a:avLst/>
        </a:prstGeom>
        <a:ln w="9525">
          <a:solidFill>
            <a:srgbClr val="000000"/>
          </a:solidFill>
          <a:prstDash val="solid"/>
        </a:ln>
      </xdr:spPr>
    </xdr:pic>
    <xdr:clientData/>
  </xdr:twoCellAnchor>
  <xdr:twoCellAnchor>
    <xdr:from>
      <xdr:col>3</xdr:col>
      <xdr:colOff>114300</xdr:colOff>
      <xdr:row>3777</xdr:row>
      <xdr:rowOff>38100</xdr:rowOff>
    </xdr:from>
    <xdr:to>
      <xdr:col>3</xdr:col>
      <xdr:colOff>1552575</xdr:colOff>
      <xdr:row>3778</xdr:row>
      <xdr:rowOff>638175</xdr:rowOff>
    </xdr:to>
    <xdr:pic>
      <xdr:nvPicPr>
        <xdr:cNvPr id="1271" name="Имя " descr="Descr ">
          <a:extLst>
            <a:ext uri="{FF2B5EF4-FFF2-40B4-BE49-F238E27FC236}">
              <a16:creationId xmlns:a16="http://schemas.microsoft.com/office/drawing/2014/main" id="{00000000-0008-0000-0000-0000F7040000}"/>
            </a:ext>
          </a:extLst>
        </xdr:cNvPr>
        <xdr:cNvPicPr>
          <a:picLocks noChangeAspect="1"/>
        </xdr:cNvPicPr>
      </xdr:nvPicPr>
      <xdr:blipFill>
        <a:blip xmlns:r="http://schemas.openxmlformats.org/officeDocument/2006/relationships" r:embed="rId1270"/>
        <a:stretch>
          <a:fillRect/>
        </a:stretch>
      </xdr:blipFill>
      <xdr:spPr>
        <a:prstGeom prst="rect">
          <a:avLst/>
        </a:prstGeom>
        <a:ln w="9525">
          <a:solidFill>
            <a:srgbClr val="000000"/>
          </a:solidFill>
          <a:prstDash val="solid"/>
        </a:ln>
      </xdr:spPr>
    </xdr:pic>
    <xdr:clientData/>
  </xdr:twoCellAnchor>
  <xdr:twoCellAnchor>
    <xdr:from>
      <xdr:col>3</xdr:col>
      <xdr:colOff>114300</xdr:colOff>
      <xdr:row>3779</xdr:row>
      <xdr:rowOff>28575</xdr:rowOff>
    </xdr:from>
    <xdr:to>
      <xdr:col>3</xdr:col>
      <xdr:colOff>1552575</xdr:colOff>
      <xdr:row>3779</xdr:row>
      <xdr:rowOff>1266825</xdr:rowOff>
    </xdr:to>
    <xdr:pic>
      <xdr:nvPicPr>
        <xdr:cNvPr id="1272" name="Имя " descr="Descr ">
          <a:extLst>
            <a:ext uri="{FF2B5EF4-FFF2-40B4-BE49-F238E27FC236}">
              <a16:creationId xmlns:a16="http://schemas.microsoft.com/office/drawing/2014/main" id="{00000000-0008-0000-0000-0000F8040000}"/>
            </a:ext>
          </a:extLst>
        </xdr:cNvPr>
        <xdr:cNvPicPr>
          <a:picLocks noChangeAspect="1"/>
        </xdr:cNvPicPr>
      </xdr:nvPicPr>
      <xdr:blipFill>
        <a:blip xmlns:r="http://schemas.openxmlformats.org/officeDocument/2006/relationships" r:embed="rId1271"/>
        <a:stretch>
          <a:fillRect/>
        </a:stretch>
      </xdr:blipFill>
      <xdr:spPr>
        <a:prstGeom prst="rect">
          <a:avLst/>
        </a:prstGeom>
        <a:ln w="9525">
          <a:solidFill>
            <a:srgbClr val="000000"/>
          </a:solidFill>
          <a:prstDash val="solid"/>
        </a:ln>
      </xdr:spPr>
    </xdr:pic>
    <xdr:clientData/>
  </xdr:twoCellAnchor>
  <xdr:twoCellAnchor>
    <xdr:from>
      <xdr:col>3</xdr:col>
      <xdr:colOff>114300</xdr:colOff>
      <xdr:row>3780</xdr:row>
      <xdr:rowOff>38100</xdr:rowOff>
    </xdr:from>
    <xdr:to>
      <xdr:col>3</xdr:col>
      <xdr:colOff>1552575</xdr:colOff>
      <xdr:row>3781</xdr:row>
      <xdr:rowOff>638175</xdr:rowOff>
    </xdr:to>
    <xdr:pic>
      <xdr:nvPicPr>
        <xdr:cNvPr id="1273" name="Имя " descr="Descr ">
          <a:extLst>
            <a:ext uri="{FF2B5EF4-FFF2-40B4-BE49-F238E27FC236}">
              <a16:creationId xmlns:a16="http://schemas.microsoft.com/office/drawing/2014/main" id="{00000000-0008-0000-0000-0000F9040000}"/>
            </a:ext>
          </a:extLst>
        </xdr:cNvPr>
        <xdr:cNvPicPr>
          <a:picLocks noChangeAspect="1"/>
        </xdr:cNvPicPr>
      </xdr:nvPicPr>
      <xdr:blipFill>
        <a:blip xmlns:r="http://schemas.openxmlformats.org/officeDocument/2006/relationships" r:embed="rId1272"/>
        <a:stretch>
          <a:fillRect/>
        </a:stretch>
      </xdr:blipFill>
      <xdr:spPr>
        <a:prstGeom prst="rect">
          <a:avLst/>
        </a:prstGeom>
        <a:ln w="9525">
          <a:solidFill>
            <a:srgbClr val="000000"/>
          </a:solidFill>
          <a:prstDash val="solid"/>
        </a:ln>
      </xdr:spPr>
    </xdr:pic>
    <xdr:clientData/>
  </xdr:twoCellAnchor>
  <xdr:twoCellAnchor>
    <xdr:from>
      <xdr:col>3</xdr:col>
      <xdr:colOff>114300</xdr:colOff>
      <xdr:row>3782</xdr:row>
      <xdr:rowOff>28575</xdr:rowOff>
    </xdr:from>
    <xdr:to>
      <xdr:col>3</xdr:col>
      <xdr:colOff>1552575</xdr:colOff>
      <xdr:row>3786</xdr:row>
      <xdr:rowOff>333375</xdr:rowOff>
    </xdr:to>
    <xdr:pic>
      <xdr:nvPicPr>
        <xdr:cNvPr id="1274" name="Имя " descr="Descr ">
          <a:extLst>
            <a:ext uri="{FF2B5EF4-FFF2-40B4-BE49-F238E27FC236}">
              <a16:creationId xmlns:a16="http://schemas.microsoft.com/office/drawing/2014/main" id="{00000000-0008-0000-0000-0000FA040000}"/>
            </a:ext>
          </a:extLst>
        </xdr:cNvPr>
        <xdr:cNvPicPr>
          <a:picLocks noChangeAspect="1"/>
        </xdr:cNvPicPr>
      </xdr:nvPicPr>
      <xdr:blipFill>
        <a:blip xmlns:r="http://schemas.openxmlformats.org/officeDocument/2006/relationships" r:embed="rId1273"/>
        <a:stretch>
          <a:fillRect/>
        </a:stretch>
      </xdr:blipFill>
      <xdr:spPr>
        <a:prstGeom prst="rect">
          <a:avLst/>
        </a:prstGeom>
        <a:ln w="9525">
          <a:solidFill>
            <a:srgbClr val="000000"/>
          </a:solidFill>
          <a:prstDash val="solid"/>
        </a:ln>
      </xdr:spPr>
    </xdr:pic>
    <xdr:clientData/>
  </xdr:twoCellAnchor>
  <xdr:twoCellAnchor>
    <xdr:from>
      <xdr:col>3</xdr:col>
      <xdr:colOff>114300</xdr:colOff>
      <xdr:row>3787</xdr:row>
      <xdr:rowOff>28575</xdr:rowOff>
    </xdr:from>
    <xdr:to>
      <xdr:col>3</xdr:col>
      <xdr:colOff>1552575</xdr:colOff>
      <xdr:row>3787</xdr:row>
      <xdr:rowOff>1266825</xdr:rowOff>
    </xdr:to>
    <xdr:pic>
      <xdr:nvPicPr>
        <xdr:cNvPr id="1275" name="Имя " descr="Descr ">
          <a:extLst>
            <a:ext uri="{FF2B5EF4-FFF2-40B4-BE49-F238E27FC236}">
              <a16:creationId xmlns:a16="http://schemas.microsoft.com/office/drawing/2014/main" id="{00000000-0008-0000-0000-0000FB040000}"/>
            </a:ext>
          </a:extLst>
        </xdr:cNvPr>
        <xdr:cNvPicPr>
          <a:picLocks noChangeAspect="1"/>
        </xdr:cNvPicPr>
      </xdr:nvPicPr>
      <xdr:blipFill>
        <a:blip xmlns:r="http://schemas.openxmlformats.org/officeDocument/2006/relationships" r:embed="rId1274"/>
        <a:stretch>
          <a:fillRect/>
        </a:stretch>
      </xdr:blipFill>
      <xdr:spPr>
        <a:prstGeom prst="rect">
          <a:avLst/>
        </a:prstGeom>
        <a:ln w="9525">
          <a:solidFill>
            <a:srgbClr val="000000"/>
          </a:solidFill>
          <a:prstDash val="solid"/>
        </a:ln>
      </xdr:spPr>
    </xdr:pic>
    <xdr:clientData/>
  </xdr:twoCellAnchor>
  <xdr:twoCellAnchor>
    <xdr:from>
      <xdr:col>3</xdr:col>
      <xdr:colOff>114300</xdr:colOff>
      <xdr:row>3788</xdr:row>
      <xdr:rowOff>28575</xdr:rowOff>
    </xdr:from>
    <xdr:to>
      <xdr:col>3</xdr:col>
      <xdr:colOff>1552575</xdr:colOff>
      <xdr:row>3792</xdr:row>
      <xdr:rowOff>333375</xdr:rowOff>
    </xdr:to>
    <xdr:pic>
      <xdr:nvPicPr>
        <xdr:cNvPr id="1276" name="Имя " descr="Descr ">
          <a:extLst>
            <a:ext uri="{FF2B5EF4-FFF2-40B4-BE49-F238E27FC236}">
              <a16:creationId xmlns:a16="http://schemas.microsoft.com/office/drawing/2014/main" id="{00000000-0008-0000-0000-0000FC040000}"/>
            </a:ext>
          </a:extLst>
        </xdr:cNvPr>
        <xdr:cNvPicPr>
          <a:picLocks noChangeAspect="1"/>
        </xdr:cNvPicPr>
      </xdr:nvPicPr>
      <xdr:blipFill>
        <a:blip xmlns:r="http://schemas.openxmlformats.org/officeDocument/2006/relationships" r:embed="rId1275"/>
        <a:stretch>
          <a:fillRect/>
        </a:stretch>
      </xdr:blipFill>
      <xdr:spPr>
        <a:prstGeom prst="rect">
          <a:avLst/>
        </a:prstGeom>
        <a:ln w="9525">
          <a:solidFill>
            <a:srgbClr val="000000"/>
          </a:solidFill>
          <a:prstDash val="solid"/>
        </a:ln>
      </xdr:spPr>
    </xdr:pic>
    <xdr:clientData/>
  </xdr:twoCellAnchor>
  <xdr:twoCellAnchor>
    <xdr:from>
      <xdr:col>3</xdr:col>
      <xdr:colOff>114300</xdr:colOff>
      <xdr:row>3793</xdr:row>
      <xdr:rowOff>28575</xdr:rowOff>
    </xdr:from>
    <xdr:to>
      <xdr:col>3</xdr:col>
      <xdr:colOff>1552575</xdr:colOff>
      <xdr:row>3795</xdr:row>
      <xdr:rowOff>419100</xdr:rowOff>
    </xdr:to>
    <xdr:pic>
      <xdr:nvPicPr>
        <xdr:cNvPr id="1277" name="Имя " descr="Descr ">
          <a:extLst>
            <a:ext uri="{FF2B5EF4-FFF2-40B4-BE49-F238E27FC236}">
              <a16:creationId xmlns:a16="http://schemas.microsoft.com/office/drawing/2014/main" id="{00000000-0008-0000-0000-0000FD040000}"/>
            </a:ext>
          </a:extLst>
        </xdr:cNvPr>
        <xdr:cNvPicPr>
          <a:picLocks noChangeAspect="1"/>
        </xdr:cNvPicPr>
      </xdr:nvPicPr>
      <xdr:blipFill>
        <a:blip xmlns:r="http://schemas.openxmlformats.org/officeDocument/2006/relationships" r:embed="rId1276"/>
        <a:stretch>
          <a:fillRect/>
        </a:stretch>
      </xdr:blipFill>
      <xdr:spPr>
        <a:prstGeom prst="rect">
          <a:avLst/>
        </a:prstGeom>
        <a:ln w="9525">
          <a:solidFill>
            <a:srgbClr val="000000"/>
          </a:solidFill>
          <a:prstDash val="solid"/>
        </a:ln>
      </xdr:spPr>
    </xdr:pic>
    <xdr:clientData/>
  </xdr:twoCellAnchor>
  <xdr:twoCellAnchor>
    <xdr:from>
      <xdr:col>3</xdr:col>
      <xdr:colOff>114300</xdr:colOff>
      <xdr:row>3796</xdr:row>
      <xdr:rowOff>28575</xdr:rowOff>
    </xdr:from>
    <xdr:to>
      <xdr:col>3</xdr:col>
      <xdr:colOff>1552575</xdr:colOff>
      <xdr:row>3796</xdr:row>
      <xdr:rowOff>1266825</xdr:rowOff>
    </xdr:to>
    <xdr:pic>
      <xdr:nvPicPr>
        <xdr:cNvPr id="1278" name="Имя " descr="Descr ">
          <a:extLst>
            <a:ext uri="{FF2B5EF4-FFF2-40B4-BE49-F238E27FC236}">
              <a16:creationId xmlns:a16="http://schemas.microsoft.com/office/drawing/2014/main" id="{00000000-0008-0000-0000-0000FE040000}"/>
            </a:ext>
          </a:extLst>
        </xdr:cNvPr>
        <xdr:cNvPicPr>
          <a:picLocks noChangeAspect="1"/>
        </xdr:cNvPicPr>
      </xdr:nvPicPr>
      <xdr:blipFill>
        <a:blip xmlns:r="http://schemas.openxmlformats.org/officeDocument/2006/relationships" r:embed="rId1277"/>
        <a:stretch>
          <a:fillRect/>
        </a:stretch>
      </xdr:blipFill>
      <xdr:spPr>
        <a:prstGeom prst="rect">
          <a:avLst/>
        </a:prstGeom>
        <a:ln w="9525">
          <a:solidFill>
            <a:srgbClr val="000000"/>
          </a:solidFill>
          <a:prstDash val="solid"/>
        </a:ln>
      </xdr:spPr>
    </xdr:pic>
    <xdr:clientData/>
  </xdr:twoCellAnchor>
  <xdr:twoCellAnchor>
    <xdr:from>
      <xdr:col>3</xdr:col>
      <xdr:colOff>114300</xdr:colOff>
      <xdr:row>3797</xdr:row>
      <xdr:rowOff>28575</xdr:rowOff>
    </xdr:from>
    <xdr:to>
      <xdr:col>3</xdr:col>
      <xdr:colOff>1552575</xdr:colOff>
      <xdr:row>3801</xdr:row>
      <xdr:rowOff>333375</xdr:rowOff>
    </xdr:to>
    <xdr:pic>
      <xdr:nvPicPr>
        <xdr:cNvPr id="1279" name="Имя " descr="Descr ">
          <a:extLst>
            <a:ext uri="{FF2B5EF4-FFF2-40B4-BE49-F238E27FC236}">
              <a16:creationId xmlns:a16="http://schemas.microsoft.com/office/drawing/2014/main" id="{00000000-0008-0000-0000-0000FF040000}"/>
            </a:ext>
          </a:extLst>
        </xdr:cNvPr>
        <xdr:cNvPicPr>
          <a:picLocks noChangeAspect="1"/>
        </xdr:cNvPicPr>
      </xdr:nvPicPr>
      <xdr:blipFill>
        <a:blip xmlns:r="http://schemas.openxmlformats.org/officeDocument/2006/relationships" r:embed="rId1278"/>
        <a:stretch>
          <a:fillRect/>
        </a:stretch>
      </xdr:blipFill>
      <xdr:spPr>
        <a:prstGeom prst="rect">
          <a:avLst/>
        </a:prstGeom>
        <a:ln w="9525">
          <a:solidFill>
            <a:srgbClr val="000000"/>
          </a:solidFill>
          <a:prstDash val="solid"/>
        </a:ln>
      </xdr:spPr>
    </xdr:pic>
    <xdr:clientData/>
  </xdr:twoCellAnchor>
  <xdr:twoCellAnchor>
    <xdr:from>
      <xdr:col>3</xdr:col>
      <xdr:colOff>114300</xdr:colOff>
      <xdr:row>3802</xdr:row>
      <xdr:rowOff>28575</xdr:rowOff>
    </xdr:from>
    <xdr:to>
      <xdr:col>3</xdr:col>
      <xdr:colOff>1552575</xdr:colOff>
      <xdr:row>3806</xdr:row>
      <xdr:rowOff>333375</xdr:rowOff>
    </xdr:to>
    <xdr:pic>
      <xdr:nvPicPr>
        <xdr:cNvPr id="1280" name="Имя " descr="Descr ">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279"/>
        <a:stretch>
          <a:fillRect/>
        </a:stretch>
      </xdr:blipFill>
      <xdr:spPr>
        <a:prstGeom prst="rect">
          <a:avLst/>
        </a:prstGeom>
        <a:ln w="9525">
          <a:solidFill>
            <a:srgbClr val="000000"/>
          </a:solidFill>
          <a:prstDash val="solid"/>
        </a:ln>
      </xdr:spPr>
    </xdr:pic>
    <xdr:clientData/>
  </xdr:twoCellAnchor>
  <xdr:twoCellAnchor>
    <xdr:from>
      <xdr:col>3</xdr:col>
      <xdr:colOff>114300</xdr:colOff>
      <xdr:row>3807</xdr:row>
      <xdr:rowOff>28575</xdr:rowOff>
    </xdr:from>
    <xdr:to>
      <xdr:col>3</xdr:col>
      <xdr:colOff>1552575</xdr:colOff>
      <xdr:row>3809</xdr:row>
      <xdr:rowOff>419100</xdr:rowOff>
    </xdr:to>
    <xdr:pic>
      <xdr:nvPicPr>
        <xdr:cNvPr id="1281" name="Имя " descr="Descr ">
          <a:extLst>
            <a:ext uri="{FF2B5EF4-FFF2-40B4-BE49-F238E27FC236}">
              <a16:creationId xmlns:a16="http://schemas.microsoft.com/office/drawing/2014/main" id="{00000000-0008-0000-0000-000001050000}"/>
            </a:ext>
          </a:extLst>
        </xdr:cNvPr>
        <xdr:cNvPicPr>
          <a:picLocks noChangeAspect="1"/>
        </xdr:cNvPicPr>
      </xdr:nvPicPr>
      <xdr:blipFill>
        <a:blip xmlns:r="http://schemas.openxmlformats.org/officeDocument/2006/relationships" r:embed="rId1280"/>
        <a:stretch>
          <a:fillRect/>
        </a:stretch>
      </xdr:blipFill>
      <xdr:spPr>
        <a:prstGeom prst="rect">
          <a:avLst/>
        </a:prstGeom>
        <a:ln w="9525">
          <a:solidFill>
            <a:srgbClr val="000000"/>
          </a:solidFill>
          <a:prstDash val="solid"/>
        </a:ln>
      </xdr:spPr>
    </xdr:pic>
    <xdr:clientData/>
  </xdr:twoCellAnchor>
  <xdr:twoCellAnchor>
    <xdr:from>
      <xdr:col>3</xdr:col>
      <xdr:colOff>114300</xdr:colOff>
      <xdr:row>3810</xdr:row>
      <xdr:rowOff>28575</xdr:rowOff>
    </xdr:from>
    <xdr:to>
      <xdr:col>3</xdr:col>
      <xdr:colOff>1552575</xdr:colOff>
      <xdr:row>3810</xdr:row>
      <xdr:rowOff>1266825</xdr:rowOff>
    </xdr:to>
    <xdr:pic>
      <xdr:nvPicPr>
        <xdr:cNvPr id="1282" name="Имя " descr="Descr ">
          <a:extLst>
            <a:ext uri="{FF2B5EF4-FFF2-40B4-BE49-F238E27FC236}">
              <a16:creationId xmlns:a16="http://schemas.microsoft.com/office/drawing/2014/main" id="{00000000-0008-0000-0000-000002050000}"/>
            </a:ext>
          </a:extLst>
        </xdr:cNvPr>
        <xdr:cNvPicPr>
          <a:picLocks noChangeAspect="1"/>
        </xdr:cNvPicPr>
      </xdr:nvPicPr>
      <xdr:blipFill>
        <a:blip xmlns:r="http://schemas.openxmlformats.org/officeDocument/2006/relationships" r:embed="rId1281"/>
        <a:stretch>
          <a:fillRect/>
        </a:stretch>
      </xdr:blipFill>
      <xdr:spPr>
        <a:prstGeom prst="rect">
          <a:avLst/>
        </a:prstGeom>
        <a:ln w="9525">
          <a:solidFill>
            <a:srgbClr val="000000"/>
          </a:solidFill>
          <a:prstDash val="solid"/>
        </a:ln>
      </xdr:spPr>
    </xdr:pic>
    <xdr:clientData/>
  </xdr:twoCellAnchor>
  <xdr:twoCellAnchor>
    <xdr:from>
      <xdr:col>3</xdr:col>
      <xdr:colOff>114300</xdr:colOff>
      <xdr:row>3811</xdr:row>
      <xdr:rowOff>28575</xdr:rowOff>
    </xdr:from>
    <xdr:to>
      <xdr:col>3</xdr:col>
      <xdr:colOff>1552575</xdr:colOff>
      <xdr:row>3811</xdr:row>
      <xdr:rowOff>1266825</xdr:rowOff>
    </xdr:to>
    <xdr:pic>
      <xdr:nvPicPr>
        <xdr:cNvPr id="1283" name="Имя " descr="Descr ">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282"/>
        <a:stretch>
          <a:fillRect/>
        </a:stretch>
      </xdr:blipFill>
      <xdr:spPr>
        <a:prstGeom prst="rect">
          <a:avLst/>
        </a:prstGeom>
        <a:ln w="9525">
          <a:solidFill>
            <a:srgbClr val="000000"/>
          </a:solidFill>
          <a:prstDash val="solid"/>
        </a:ln>
      </xdr:spPr>
    </xdr:pic>
    <xdr:clientData/>
  </xdr:twoCellAnchor>
  <xdr:twoCellAnchor>
    <xdr:from>
      <xdr:col>3</xdr:col>
      <xdr:colOff>114300</xdr:colOff>
      <xdr:row>3812</xdr:row>
      <xdr:rowOff>28575</xdr:rowOff>
    </xdr:from>
    <xdr:to>
      <xdr:col>3</xdr:col>
      <xdr:colOff>1552575</xdr:colOff>
      <xdr:row>3814</xdr:row>
      <xdr:rowOff>419100</xdr:rowOff>
    </xdr:to>
    <xdr:pic>
      <xdr:nvPicPr>
        <xdr:cNvPr id="1284" name="Имя " descr="Descr ">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283"/>
        <a:stretch>
          <a:fillRect/>
        </a:stretch>
      </xdr:blipFill>
      <xdr:spPr>
        <a:prstGeom prst="rect">
          <a:avLst/>
        </a:prstGeom>
        <a:ln w="9525">
          <a:solidFill>
            <a:srgbClr val="000000"/>
          </a:solidFill>
          <a:prstDash val="solid"/>
        </a:ln>
      </xdr:spPr>
    </xdr:pic>
    <xdr:clientData/>
  </xdr:twoCellAnchor>
  <xdr:twoCellAnchor>
    <xdr:from>
      <xdr:col>3</xdr:col>
      <xdr:colOff>114300</xdr:colOff>
      <xdr:row>3815</xdr:row>
      <xdr:rowOff>38100</xdr:rowOff>
    </xdr:from>
    <xdr:to>
      <xdr:col>3</xdr:col>
      <xdr:colOff>1552575</xdr:colOff>
      <xdr:row>3816</xdr:row>
      <xdr:rowOff>638175</xdr:rowOff>
    </xdr:to>
    <xdr:pic>
      <xdr:nvPicPr>
        <xdr:cNvPr id="1285" name="Имя " descr="Descr ">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284"/>
        <a:stretch>
          <a:fillRect/>
        </a:stretch>
      </xdr:blipFill>
      <xdr:spPr>
        <a:prstGeom prst="rect">
          <a:avLst/>
        </a:prstGeom>
        <a:ln w="9525">
          <a:solidFill>
            <a:srgbClr val="000000"/>
          </a:solidFill>
          <a:prstDash val="solid"/>
        </a:ln>
      </xdr:spPr>
    </xdr:pic>
    <xdr:clientData/>
  </xdr:twoCellAnchor>
  <xdr:twoCellAnchor>
    <xdr:from>
      <xdr:col>3</xdr:col>
      <xdr:colOff>114300</xdr:colOff>
      <xdr:row>3817</xdr:row>
      <xdr:rowOff>38100</xdr:rowOff>
    </xdr:from>
    <xdr:to>
      <xdr:col>3</xdr:col>
      <xdr:colOff>1552575</xdr:colOff>
      <xdr:row>3818</xdr:row>
      <xdr:rowOff>638175</xdr:rowOff>
    </xdr:to>
    <xdr:pic>
      <xdr:nvPicPr>
        <xdr:cNvPr id="1286" name="Имя " descr="Descr ">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285"/>
        <a:stretch>
          <a:fillRect/>
        </a:stretch>
      </xdr:blipFill>
      <xdr:spPr>
        <a:prstGeom prst="rect">
          <a:avLst/>
        </a:prstGeom>
        <a:ln w="9525">
          <a:solidFill>
            <a:srgbClr val="000000"/>
          </a:solidFill>
          <a:prstDash val="solid"/>
        </a:ln>
      </xdr:spPr>
    </xdr:pic>
    <xdr:clientData/>
  </xdr:twoCellAnchor>
  <xdr:twoCellAnchor>
    <xdr:from>
      <xdr:col>3</xdr:col>
      <xdr:colOff>114300</xdr:colOff>
      <xdr:row>3819</xdr:row>
      <xdr:rowOff>38100</xdr:rowOff>
    </xdr:from>
    <xdr:to>
      <xdr:col>3</xdr:col>
      <xdr:colOff>1552575</xdr:colOff>
      <xdr:row>3820</xdr:row>
      <xdr:rowOff>638175</xdr:rowOff>
    </xdr:to>
    <xdr:pic>
      <xdr:nvPicPr>
        <xdr:cNvPr id="1287" name="Имя " descr="Descr ">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286"/>
        <a:stretch>
          <a:fillRect/>
        </a:stretch>
      </xdr:blipFill>
      <xdr:spPr>
        <a:prstGeom prst="rect">
          <a:avLst/>
        </a:prstGeom>
        <a:ln w="9525">
          <a:solidFill>
            <a:srgbClr val="000000"/>
          </a:solidFill>
          <a:prstDash val="solid"/>
        </a:ln>
      </xdr:spPr>
    </xdr:pic>
    <xdr:clientData/>
  </xdr:twoCellAnchor>
  <xdr:twoCellAnchor>
    <xdr:from>
      <xdr:col>3</xdr:col>
      <xdr:colOff>114300</xdr:colOff>
      <xdr:row>3821</xdr:row>
      <xdr:rowOff>28575</xdr:rowOff>
    </xdr:from>
    <xdr:to>
      <xdr:col>3</xdr:col>
      <xdr:colOff>1552575</xdr:colOff>
      <xdr:row>3821</xdr:row>
      <xdr:rowOff>1266825</xdr:rowOff>
    </xdr:to>
    <xdr:pic>
      <xdr:nvPicPr>
        <xdr:cNvPr id="1288" name="Имя " descr="Descr ">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287"/>
        <a:stretch>
          <a:fillRect/>
        </a:stretch>
      </xdr:blipFill>
      <xdr:spPr>
        <a:prstGeom prst="rect">
          <a:avLst/>
        </a:prstGeom>
        <a:ln w="9525">
          <a:solidFill>
            <a:srgbClr val="000000"/>
          </a:solidFill>
          <a:prstDash val="solid"/>
        </a:ln>
      </xdr:spPr>
    </xdr:pic>
    <xdr:clientData/>
  </xdr:twoCellAnchor>
  <xdr:twoCellAnchor>
    <xdr:from>
      <xdr:col>3</xdr:col>
      <xdr:colOff>114300</xdr:colOff>
      <xdr:row>3822</xdr:row>
      <xdr:rowOff>38100</xdr:rowOff>
    </xdr:from>
    <xdr:to>
      <xdr:col>3</xdr:col>
      <xdr:colOff>1552575</xdr:colOff>
      <xdr:row>3823</xdr:row>
      <xdr:rowOff>638175</xdr:rowOff>
    </xdr:to>
    <xdr:pic>
      <xdr:nvPicPr>
        <xdr:cNvPr id="1289" name="Имя " descr="Descr ">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288"/>
        <a:stretch>
          <a:fillRect/>
        </a:stretch>
      </xdr:blipFill>
      <xdr:spPr>
        <a:prstGeom prst="rect">
          <a:avLst/>
        </a:prstGeom>
        <a:ln w="9525">
          <a:solidFill>
            <a:srgbClr val="000000"/>
          </a:solidFill>
          <a:prstDash val="solid"/>
        </a:ln>
      </xdr:spPr>
    </xdr:pic>
    <xdr:clientData/>
  </xdr:twoCellAnchor>
  <xdr:twoCellAnchor>
    <xdr:from>
      <xdr:col>3</xdr:col>
      <xdr:colOff>114300</xdr:colOff>
      <xdr:row>3824</xdr:row>
      <xdr:rowOff>28575</xdr:rowOff>
    </xdr:from>
    <xdr:to>
      <xdr:col>3</xdr:col>
      <xdr:colOff>1552575</xdr:colOff>
      <xdr:row>3828</xdr:row>
      <xdr:rowOff>333375</xdr:rowOff>
    </xdr:to>
    <xdr:pic>
      <xdr:nvPicPr>
        <xdr:cNvPr id="1290" name="Имя " descr="Descr ">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289"/>
        <a:stretch>
          <a:fillRect/>
        </a:stretch>
      </xdr:blipFill>
      <xdr:spPr>
        <a:prstGeom prst="rect">
          <a:avLst/>
        </a:prstGeom>
        <a:ln w="9525">
          <a:solidFill>
            <a:srgbClr val="000000"/>
          </a:solidFill>
          <a:prstDash val="solid"/>
        </a:ln>
      </xdr:spPr>
    </xdr:pic>
    <xdr:clientData/>
  </xdr:twoCellAnchor>
  <xdr:twoCellAnchor>
    <xdr:from>
      <xdr:col>3</xdr:col>
      <xdr:colOff>114300</xdr:colOff>
      <xdr:row>3829</xdr:row>
      <xdr:rowOff>28575</xdr:rowOff>
    </xdr:from>
    <xdr:to>
      <xdr:col>3</xdr:col>
      <xdr:colOff>1552575</xdr:colOff>
      <xdr:row>3832</xdr:row>
      <xdr:rowOff>209550</xdr:rowOff>
    </xdr:to>
    <xdr:pic>
      <xdr:nvPicPr>
        <xdr:cNvPr id="1291" name="Имя " descr="Descr ">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290"/>
        <a:stretch>
          <a:fillRect/>
        </a:stretch>
      </xdr:blipFill>
      <xdr:spPr>
        <a:prstGeom prst="rect">
          <a:avLst/>
        </a:prstGeom>
        <a:ln w="9525">
          <a:solidFill>
            <a:srgbClr val="000000"/>
          </a:solidFill>
          <a:prstDash val="solid"/>
        </a:ln>
      </xdr:spPr>
    </xdr:pic>
    <xdr:clientData/>
  </xdr:twoCellAnchor>
  <xdr:twoCellAnchor>
    <xdr:from>
      <xdr:col>3</xdr:col>
      <xdr:colOff>114300</xdr:colOff>
      <xdr:row>3833</xdr:row>
      <xdr:rowOff>28575</xdr:rowOff>
    </xdr:from>
    <xdr:to>
      <xdr:col>3</xdr:col>
      <xdr:colOff>1552575</xdr:colOff>
      <xdr:row>3837</xdr:row>
      <xdr:rowOff>333375</xdr:rowOff>
    </xdr:to>
    <xdr:pic>
      <xdr:nvPicPr>
        <xdr:cNvPr id="1292" name="Имя " descr="Descr ">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291"/>
        <a:stretch>
          <a:fillRect/>
        </a:stretch>
      </xdr:blipFill>
      <xdr:spPr>
        <a:prstGeom prst="rect">
          <a:avLst/>
        </a:prstGeom>
        <a:ln w="9525">
          <a:solidFill>
            <a:srgbClr val="000000"/>
          </a:solidFill>
          <a:prstDash val="solid"/>
        </a:ln>
      </xdr:spPr>
    </xdr:pic>
    <xdr:clientData/>
  </xdr:twoCellAnchor>
  <xdr:twoCellAnchor>
    <xdr:from>
      <xdr:col>3</xdr:col>
      <xdr:colOff>114300</xdr:colOff>
      <xdr:row>3838</xdr:row>
      <xdr:rowOff>28575</xdr:rowOff>
    </xdr:from>
    <xdr:to>
      <xdr:col>3</xdr:col>
      <xdr:colOff>1552575</xdr:colOff>
      <xdr:row>3842</xdr:row>
      <xdr:rowOff>333375</xdr:rowOff>
    </xdr:to>
    <xdr:pic>
      <xdr:nvPicPr>
        <xdr:cNvPr id="1293" name="Имя " descr="Descr ">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292"/>
        <a:stretch>
          <a:fillRect/>
        </a:stretch>
      </xdr:blipFill>
      <xdr:spPr>
        <a:prstGeom prst="rect">
          <a:avLst/>
        </a:prstGeom>
        <a:ln w="9525">
          <a:solidFill>
            <a:srgbClr val="000000"/>
          </a:solidFill>
          <a:prstDash val="solid"/>
        </a:ln>
      </xdr:spPr>
    </xdr:pic>
    <xdr:clientData/>
  </xdr:twoCellAnchor>
  <xdr:twoCellAnchor>
    <xdr:from>
      <xdr:col>3</xdr:col>
      <xdr:colOff>114300</xdr:colOff>
      <xdr:row>3843</xdr:row>
      <xdr:rowOff>28575</xdr:rowOff>
    </xdr:from>
    <xdr:to>
      <xdr:col>3</xdr:col>
      <xdr:colOff>1552575</xdr:colOff>
      <xdr:row>3843</xdr:row>
      <xdr:rowOff>1266825</xdr:rowOff>
    </xdr:to>
    <xdr:pic>
      <xdr:nvPicPr>
        <xdr:cNvPr id="1294" name="Имя " descr="Descr ">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293"/>
        <a:stretch>
          <a:fillRect/>
        </a:stretch>
      </xdr:blipFill>
      <xdr:spPr>
        <a:prstGeom prst="rect">
          <a:avLst/>
        </a:prstGeom>
        <a:ln w="9525">
          <a:solidFill>
            <a:srgbClr val="000000"/>
          </a:solidFill>
          <a:prstDash val="solid"/>
        </a:ln>
      </xdr:spPr>
    </xdr:pic>
    <xdr:clientData/>
  </xdr:twoCellAnchor>
  <xdr:twoCellAnchor>
    <xdr:from>
      <xdr:col>3</xdr:col>
      <xdr:colOff>114300</xdr:colOff>
      <xdr:row>3844</xdr:row>
      <xdr:rowOff>28575</xdr:rowOff>
    </xdr:from>
    <xdr:to>
      <xdr:col>3</xdr:col>
      <xdr:colOff>1552575</xdr:colOff>
      <xdr:row>3847</xdr:row>
      <xdr:rowOff>209550</xdr:rowOff>
    </xdr:to>
    <xdr:pic>
      <xdr:nvPicPr>
        <xdr:cNvPr id="1295" name="Имя " descr="Descr ">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294"/>
        <a:stretch>
          <a:fillRect/>
        </a:stretch>
      </xdr:blipFill>
      <xdr:spPr>
        <a:prstGeom prst="rect">
          <a:avLst/>
        </a:prstGeom>
        <a:ln w="9525">
          <a:solidFill>
            <a:srgbClr val="000000"/>
          </a:solidFill>
          <a:prstDash val="solid"/>
        </a:ln>
      </xdr:spPr>
    </xdr:pic>
    <xdr:clientData/>
  </xdr:twoCellAnchor>
  <xdr:twoCellAnchor>
    <xdr:from>
      <xdr:col>3</xdr:col>
      <xdr:colOff>114300</xdr:colOff>
      <xdr:row>3848</xdr:row>
      <xdr:rowOff>28575</xdr:rowOff>
    </xdr:from>
    <xdr:to>
      <xdr:col>3</xdr:col>
      <xdr:colOff>1552575</xdr:colOff>
      <xdr:row>3853</xdr:row>
      <xdr:rowOff>209550</xdr:rowOff>
    </xdr:to>
    <xdr:pic>
      <xdr:nvPicPr>
        <xdr:cNvPr id="1296" name="Имя " descr="Descr ">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295"/>
        <a:stretch>
          <a:fillRect/>
        </a:stretch>
      </xdr:blipFill>
      <xdr:spPr>
        <a:prstGeom prst="rect">
          <a:avLst/>
        </a:prstGeom>
        <a:ln w="9525">
          <a:solidFill>
            <a:srgbClr val="000000"/>
          </a:solidFill>
          <a:prstDash val="solid"/>
        </a:ln>
      </xdr:spPr>
    </xdr:pic>
    <xdr:clientData/>
  </xdr:twoCellAnchor>
  <xdr:twoCellAnchor>
    <xdr:from>
      <xdr:col>3</xdr:col>
      <xdr:colOff>114300</xdr:colOff>
      <xdr:row>3854</xdr:row>
      <xdr:rowOff>28575</xdr:rowOff>
    </xdr:from>
    <xdr:to>
      <xdr:col>3</xdr:col>
      <xdr:colOff>1552575</xdr:colOff>
      <xdr:row>3859</xdr:row>
      <xdr:rowOff>209550</xdr:rowOff>
    </xdr:to>
    <xdr:pic>
      <xdr:nvPicPr>
        <xdr:cNvPr id="1297" name="Имя " descr="Descr ">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296"/>
        <a:stretch>
          <a:fillRect/>
        </a:stretch>
      </xdr:blipFill>
      <xdr:spPr>
        <a:prstGeom prst="rect">
          <a:avLst/>
        </a:prstGeom>
        <a:ln w="9525">
          <a:solidFill>
            <a:srgbClr val="000000"/>
          </a:solidFill>
          <a:prstDash val="solid"/>
        </a:ln>
      </xdr:spPr>
    </xdr:pic>
    <xdr:clientData/>
  </xdr:twoCellAnchor>
  <xdr:twoCellAnchor>
    <xdr:from>
      <xdr:col>3</xdr:col>
      <xdr:colOff>114300</xdr:colOff>
      <xdr:row>3860</xdr:row>
      <xdr:rowOff>28575</xdr:rowOff>
    </xdr:from>
    <xdr:to>
      <xdr:col>3</xdr:col>
      <xdr:colOff>1552575</xdr:colOff>
      <xdr:row>3864</xdr:row>
      <xdr:rowOff>333375</xdr:rowOff>
    </xdr:to>
    <xdr:pic>
      <xdr:nvPicPr>
        <xdr:cNvPr id="1298" name="Имя " descr="Descr ">
          <a:extLst>
            <a:ext uri="{FF2B5EF4-FFF2-40B4-BE49-F238E27FC236}">
              <a16:creationId xmlns:a16="http://schemas.microsoft.com/office/drawing/2014/main" id="{00000000-0008-0000-0000-000012050000}"/>
            </a:ext>
          </a:extLst>
        </xdr:cNvPr>
        <xdr:cNvPicPr>
          <a:picLocks noChangeAspect="1"/>
        </xdr:cNvPicPr>
      </xdr:nvPicPr>
      <xdr:blipFill>
        <a:blip xmlns:r="http://schemas.openxmlformats.org/officeDocument/2006/relationships" r:embed="rId1297"/>
        <a:stretch>
          <a:fillRect/>
        </a:stretch>
      </xdr:blipFill>
      <xdr:spPr>
        <a:prstGeom prst="rect">
          <a:avLst/>
        </a:prstGeom>
        <a:ln w="9525">
          <a:solidFill>
            <a:srgbClr val="000000"/>
          </a:solidFill>
          <a:prstDash val="solid"/>
        </a:ln>
      </xdr:spPr>
    </xdr:pic>
    <xdr:clientData/>
  </xdr:twoCellAnchor>
  <xdr:twoCellAnchor>
    <xdr:from>
      <xdr:col>3</xdr:col>
      <xdr:colOff>114300</xdr:colOff>
      <xdr:row>3865</xdr:row>
      <xdr:rowOff>38100</xdr:rowOff>
    </xdr:from>
    <xdr:to>
      <xdr:col>3</xdr:col>
      <xdr:colOff>1552575</xdr:colOff>
      <xdr:row>3866</xdr:row>
      <xdr:rowOff>638175</xdr:rowOff>
    </xdr:to>
    <xdr:pic>
      <xdr:nvPicPr>
        <xdr:cNvPr id="1299" name="Имя " descr="Descr ">
          <a:extLst>
            <a:ext uri="{FF2B5EF4-FFF2-40B4-BE49-F238E27FC236}">
              <a16:creationId xmlns:a16="http://schemas.microsoft.com/office/drawing/2014/main" id="{00000000-0008-0000-0000-000013050000}"/>
            </a:ext>
          </a:extLst>
        </xdr:cNvPr>
        <xdr:cNvPicPr>
          <a:picLocks noChangeAspect="1"/>
        </xdr:cNvPicPr>
      </xdr:nvPicPr>
      <xdr:blipFill>
        <a:blip xmlns:r="http://schemas.openxmlformats.org/officeDocument/2006/relationships" r:embed="rId1298"/>
        <a:stretch>
          <a:fillRect/>
        </a:stretch>
      </xdr:blipFill>
      <xdr:spPr>
        <a:prstGeom prst="rect">
          <a:avLst/>
        </a:prstGeom>
        <a:ln w="9525">
          <a:solidFill>
            <a:srgbClr val="000000"/>
          </a:solidFill>
          <a:prstDash val="solid"/>
        </a:ln>
      </xdr:spPr>
    </xdr:pic>
    <xdr:clientData/>
  </xdr:twoCellAnchor>
  <xdr:twoCellAnchor>
    <xdr:from>
      <xdr:col>3</xdr:col>
      <xdr:colOff>114300</xdr:colOff>
      <xdr:row>3867</xdr:row>
      <xdr:rowOff>28575</xdr:rowOff>
    </xdr:from>
    <xdr:to>
      <xdr:col>3</xdr:col>
      <xdr:colOff>1552575</xdr:colOff>
      <xdr:row>3871</xdr:row>
      <xdr:rowOff>333375</xdr:rowOff>
    </xdr:to>
    <xdr:pic>
      <xdr:nvPicPr>
        <xdr:cNvPr id="1300" name="Имя " descr="Descr ">
          <a:extLst>
            <a:ext uri="{FF2B5EF4-FFF2-40B4-BE49-F238E27FC236}">
              <a16:creationId xmlns:a16="http://schemas.microsoft.com/office/drawing/2014/main" id="{00000000-0008-0000-0000-000014050000}"/>
            </a:ext>
          </a:extLst>
        </xdr:cNvPr>
        <xdr:cNvPicPr>
          <a:picLocks noChangeAspect="1"/>
        </xdr:cNvPicPr>
      </xdr:nvPicPr>
      <xdr:blipFill>
        <a:blip xmlns:r="http://schemas.openxmlformats.org/officeDocument/2006/relationships" r:embed="rId1299"/>
        <a:stretch>
          <a:fillRect/>
        </a:stretch>
      </xdr:blipFill>
      <xdr:spPr>
        <a:prstGeom prst="rect">
          <a:avLst/>
        </a:prstGeom>
        <a:ln w="9525">
          <a:solidFill>
            <a:srgbClr val="000000"/>
          </a:solidFill>
          <a:prstDash val="solid"/>
        </a:ln>
      </xdr:spPr>
    </xdr:pic>
    <xdr:clientData/>
  </xdr:twoCellAnchor>
  <xdr:twoCellAnchor>
    <xdr:from>
      <xdr:col>3</xdr:col>
      <xdr:colOff>114300</xdr:colOff>
      <xdr:row>3872</xdr:row>
      <xdr:rowOff>28575</xdr:rowOff>
    </xdr:from>
    <xdr:to>
      <xdr:col>3</xdr:col>
      <xdr:colOff>1552575</xdr:colOff>
      <xdr:row>3875</xdr:row>
      <xdr:rowOff>209550</xdr:rowOff>
    </xdr:to>
    <xdr:pic>
      <xdr:nvPicPr>
        <xdr:cNvPr id="1301" name="Имя " descr="Descr ">
          <a:extLst>
            <a:ext uri="{FF2B5EF4-FFF2-40B4-BE49-F238E27FC236}">
              <a16:creationId xmlns:a16="http://schemas.microsoft.com/office/drawing/2014/main" id="{00000000-0008-0000-0000-000015050000}"/>
            </a:ext>
          </a:extLst>
        </xdr:cNvPr>
        <xdr:cNvPicPr>
          <a:picLocks noChangeAspect="1"/>
        </xdr:cNvPicPr>
      </xdr:nvPicPr>
      <xdr:blipFill>
        <a:blip xmlns:r="http://schemas.openxmlformats.org/officeDocument/2006/relationships" r:embed="rId1300"/>
        <a:stretch>
          <a:fillRect/>
        </a:stretch>
      </xdr:blipFill>
      <xdr:spPr>
        <a:prstGeom prst="rect">
          <a:avLst/>
        </a:prstGeom>
        <a:ln w="9525">
          <a:solidFill>
            <a:srgbClr val="000000"/>
          </a:solidFill>
          <a:prstDash val="solid"/>
        </a:ln>
      </xdr:spPr>
    </xdr:pic>
    <xdr:clientData/>
  </xdr:twoCellAnchor>
  <xdr:twoCellAnchor>
    <xdr:from>
      <xdr:col>3</xdr:col>
      <xdr:colOff>114300</xdr:colOff>
      <xdr:row>3876</xdr:row>
      <xdr:rowOff>28575</xdr:rowOff>
    </xdr:from>
    <xdr:to>
      <xdr:col>3</xdr:col>
      <xdr:colOff>1552575</xdr:colOff>
      <xdr:row>3880</xdr:row>
      <xdr:rowOff>333375</xdr:rowOff>
    </xdr:to>
    <xdr:pic>
      <xdr:nvPicPr>
        <xdr:cNvPr id="1302" name="Имя " descr="Descr ">
          <a:extLst>
            <a:ext uri="{FF2B5EF4-FFF2-40B4-BE49-F238E27FC236}">
              <a16:creationId xmlns:a16="http://schemas.microsoft.com/office/drawing/2014/main" id="{00000000-0008-0000-0000-000016050000}"/>
            </a:ext>
          </a:extLst>
        </xdr:cNvPr>
        <xdr:cNvPicPr>
          <a:picLocks noChangeAspect="1"/>
        </xdr:cNvPicPr>
      </xdr:nvPicPr>
      <xdr:blipFill>
        <a:blip xmlns:r="http://schemas.openxmlformats.org/officeDocument/2006/relationships" r:embed="rId1301"/>
        <a:stretch>
          <a:fillRect/>
        </a:stretch>
      </xdr:blipFill>
      <xdr:spPr>
        <a:prstGeom prst="rect">
          <a:avLst/>
        </a:prstGeom>
        <a:ln w="9525">
          <a:solidFill>
            <a:srgbClr val="000000"/>
          </a:solidFill>
          <a:prstDash val="solid"/>
        </a:ln>
      </xdr:spPr>
    </xdr:pic>
    <xdr:clientData/>
  </xdr:twoCellAnchor>
  <xdr:twoCellAnchor>
    <xdr:from>
      <xdr:col>3</xdr:col>
      <xdr:colOff>114300</xdr:colOff>
      <xdr:row>3881</xdr:row>
      <xdr:rowOff>38100</xdr:rowOff>
    </xdr:from>
    <xdr:to>
      <xdr:col>3</xdr:col>
      <xdr:colOff>1552575</xdr:colOff>
      <xdr:row>3882</xdr:row>
      <xdr:rowOff>638175</xdr:rowOff>
    </xdr:to>
    <xdr:pic>
      <xdr:nvPicPr>
        <xdr:cNvPr id="1303" name="Имя " descr="Descr ">
          <a:extLst>
            <a:ext uri="{FF2B5EF4-FFF2-40B4-BE49-F238E27FC236}">
              <a16:creationId xmlns:a16="http://schemas.microsoft.com/office/drawing/2014/main" id="{00000000-0008-0000-0000-000017050000}"/>
            </a:ext>
          </a:extLst>
        </xdr:cNvPr>
        <xdr:cNvPicPr>
          <a:picLocks noChangeAspect="1"/>
        </xdr:cNvPicPr>
      </xdr:nvPicPr>
      <xdr:blipFill>
        <a:blip xmlns:r="http://schemas.openxmlformats.org/officeDocument/2006/relationships" r:embed="rId1302"/>
        <a:stretch>
          <a:fillRect/>
        </a:stretch>
      </xdr:blipFill>
      <xdr:spPr>
        <a:prstGeom prst="rect">
          <a:avLst/>
        </a:prstGeom>
        <a:ln w="9525">
          <a:solidFill>
            <a:srgbClr val="000000"/>
          </a:solidFill>
          <a:prstDash val="solid"/>
        </a:ln>
      </xdr:spPr>
    </xdr:pic>
    <xdr:clientData/>
  </xdr:twoCellAnchor>
  <xdr:twoCellAnchor>
    <xdr:from>
      <xdr:col>3</xdr:col>
      <xdr:colOff>114300</xdr:colOff>
      <xdr:row>3883</xdr:row>
      <xdr:rowOff>28575</xdr:rowOff>
    </xdr:from>
    <xdr:to>
      <xdr:col>3</xdr:col>
      <xdr:colOff>1552575</xdr:colOff>
      <xdr:row>3883</xdr:row>
      <xdr:rowOff>1266825</xdr:rowOff>
    </xdr:to>
    <xdr:pic>
      <xdr:nvPicPr>
        <xdr:cNvPr id="1304" name="Имя " descr="Descr ">
          <a:extLst>
            <a:ext uri="{FF2B5EF4-FFF2-40B4-BE49-F238E27FC236}">
              <a16:creationId xmlns:a16="http://schemas.microsoft.com/office/drawing/2014/main" id="{00000000-0008-0000-0000-000018050000}"/>
            </a:ext>
          </a:extLst>
        </xdr:cNvPr>
        <xdr:cNvPicPr>
          <a:picLocks noChangeAspect="1"/>
        </xdr:cNvPicPr>
      </xdr:nvPicPr>
      <xdr:blipFill>
        <a:blip xmlns:r="http://schemas.openxmlformats.org/officeDocument/2006/relationships" r:embed="rId1303"/>
        <a:stretch>
          <a:fillRect/>
        </a:stretch>
      </xdr:blipFill>
      <xdr:spPr>
        <a:prstGeom prst="rect">
          <a:avLst/>
        </a:prstGeom>
        <a:ln w="9525">
          <a:solidFill>
            <a:srgbClr val="000000"/>
          </a:solidFill>
          <a:prstDash val="solid"/>
        </a:ln>
      </xdr:spPr>
    </xdr:pic>
    <xdr:clientData/>
  </xdr:twoCellAnchor>
  <xdr:twoCellAnchor>
    <xdr:from>
      <xdr:col>3</xdr:col>
      <xdr:colOff>114300</xdr:colOff>
      <xdr:row>3884</xdr:row>
      <xdr:rowOff>38100</xdr:rowOff>
    </xdr:from>
    <xdr:to>
      <xdr:col>3</xdr:col>
      <xdr:colOff>1552575</xdr:colOff>
      <xdr:row>3885</xdr:row>
      <xdr:rowOff>638175</xdr:rowOff>
    </xdr:to>
    <xdr:pic>
      <xdr:nvPicPr>
        <xdr:cNvPr id="1305" name="Имя " descr="Descr ">
          <a:extLst>
            <a:ext uri="{FF2B5EF4-FFF2-40B4-BE49-F238E27FC236}">
              <a16:creationId xmlns:a16="http://schemas.microsoft.com/office/drawing/2014/main" id="{00000000-0008-0000-0000-000019050000}"/>
            </a:ext>
          </a:extLst>
        </xdr:cNvPr>
        <xdr:cNvPicPr>
          <a:picLocks noChangeAspect="1"/>
        </xdr:cNvPicPr>
      </xdr:nvPicPr>
      <xdr:blipFill>
        <a:blip xmlns:r="http://schemas.openxmlformats.org/officeDocument/2006/relationships" r:embed="rId1304"/>
        <a:stretch>
          <a:fillRect/>
        </a:stretch>
      </xdr:blipFill>
      <xdr:spPr>
        <a:prstGeom prst="rect">
          <a:avLst/>
        </a:prstGeom>
        <a:ln w="9525">
          <a:solidFill>
            <a:srgbClr val="000000"/>
          </a:solidFill>
          <a:prstDash val="solid"/>
        </a:ln>
      </xdr:spPr>
    </xdr:pic>
    <xdr:clientData/>
  </xdr:twoCellAnchor>
  <xdr:twoCellAnchor>
    <xdr:from>
      <xdr:col>3</xdr:col>
      <xdr:colOff>114300</xdr:colOff>
      <xdr:row>3886</xdr:row>
      <xdr:rowOff>38100</xdr:rowOff>
    </xdr:from>
    <xdr:to>
      <xdr:col>3</xdr:col>
      <xdr:colOff>1552575</xdr:colOff>
      <xdr:row>3887</xdr:row>
      <xdr:rowOff>638175</xdr:rowOff>
    </xdr:to>
    <xdr:pic>
      <xdr:nvPicPr>
        <xdr:cNvPr id="1306" name="Имя " descr="Descr ">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305"/>
        <a:stretch>
          <a:fillRect/>
        </a:stretch>
      </xdr:blipFill>
      <xdr:spPr>
        <a:prstGeom prst="rect">
          <a:avLst/>
        </a:prstGeom>
        <a:ln w="9525">
          <a:solidFill>
            <a:srgbClr val="000000"/>
          </a:solidFill>
          <a:prstDash val="solid"/>
        </a:ln>
      </xdr:spPr>
    </xdr:pic>
    <xdr:clientData/>
  </xdr:twoCellAnchor>
  <xdr:twoCellAnchor>
    <xdr:from>
      <xdr:col>3</xdr:col>
      <xdr:colOff>114300</xdr:colOff>
      <xdr:row>3888</xdr:row>
      <xdr:rowOff>28575</xdr:rowOff>
    </xdr:from>
    <xdr:to>
      <xdr:col>3</xdr:col>
      <xdr:colOff>1552575</xdr:colOff>
      <xdr:row>3892</xdr:row>
      <xdr:rowOff>333375</xdr:rowOff>
    </xdr:to>
    <xdr:pic>
      <xdr:nvPicPr>
        <xdr:cNvPr id="1307" name="Имя " descr="Descr ">
          <a:extLst>
            <a:ext uri="{FF2B5EF4-FFF2-40B4-BE49-F238E27FC236}">
              <a16:creationId xmlns:a16="http://schemas.microsoft.com/office/drawing/2014/main" id="{00000000-0008-0000-0000-00001B050000}"/>
            </a:ext>
          </a:extLst>
        </xdr:cNvPr>
        <xdr:cNvPicPr>
          <a:picLocks noChangeAspect="1"/>
        </xdr:cNvPicPr>
      </xdr:nvPicPr>
      <xdr:blipFill>
        <a:blip xmlns:r="http://schemas.openxmlformats.org/officeDocument/2006/relationships" r:embed="rId1306"/>
        <a:stretch>
          <a:fillRect/>
        </a:stretch>
      </xdr:blipFill>
      <xdr:spPr>
        <a:prstGeom prst="rect">
          <a:avLst/>
        </a:prstGeom>
        <a:ln w="9525">
          <a:solidFill>
            <a:srgbClr val="000000"/>
          </a:solidFill>
          <a:prstDash val="solid"/>
        </a:ln>
      </xdr:spPr>
    </xdr:pic>
    <xdr:clientData/>
  </xdr:twoCellAnchor>
  <xdr:twoCellAnchor>
    <xdr:from>
      <xdr:col>3</xdr:col>
      <xdr:colOff>114300</xdr:colOff>
      <xdr:row>3893</xdr:row>
      <xdr:rowOff>28575</xdr:rowOff>
    </xdr:from>
    <xdr:to>
      <xdr:col>3</xdr:col>
      <xdr:colOff>1552575</xdr:colOff>
      <xdr:row>3897</xdr:row>
      <xdr:rowOff>333375</xdr:rowOff>
    </xdr:to>
    <xdr:pic>
      <xdr:nvPicPr>
        <xdr:cNvPr id="1308" name="Имя " descr="Descr ">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1307"/>
        <a:stretch>
          <a:fillRect/>
        </a:stretch>
      </xdr:blipFill>
      <xdr:spPr>
        <a:prstGeom prst="rect">
          <a:avLst/>
        </a:prstGeom>
        <a:ln w="9525">
          <a:solidFill>
            <a:srgbClr val="000000"/>
          </a:solidFill>
          <a:prstDash val="solid"/>
        </a:ln>
      </xdr:spPr>
    </xdr:pic>
    <xdr:clientData/>
  </xdr:twoCellAnchor>
  <xdr:twoCellAnchor>
    <xdr:from>
      <xdr:col>3</xdr:col>
      <xdr:colOff>114300</xdr:colOff>
      <xdr:row>3898</xdr:row>
      <xdr:rowOff>28575</xdr:rowOff>
    </xdr:from>
    <xdr:to>
      <xdr:col>3</xdr:col>
      <xdr:colOff>1552575</xdr:colOff>
      <xdr:row>3902</xdr:row>
      <xdr:rowOff>333375</xdr:rowOff>
    </xdr:to>
    <xdr:pic>
      <xdr:nvPicPr>
        <xdr:cNvPr id="1309" name="Имя " descr="Descr ">
          <a:extLst>
            <a:ext uri="{FF2B5EF4-FFF2-40B4-BE49-F238E27FC236}">
              <a16:creationId xmlns:a16="http://schemas.microsoft.com/office/drawing/2014/main" id="{00000000-0008-0000-0000-00001D050000}"/>
            </a:ext>
          </a:extLst>
        </xdr:cNvPr>
        <xdr:cNvPicPr>
          <a:picLocks noChangeAspect="1"/>
        </xdr:cNvPicPr>
      </xdr:nvPicPr>
      <xdr:blipFill>
        <a:blip xmlns:r="http://schemas.openxmlformats.org/officeDocument/2006/relationships" r:embed="rId1308"/>
        <a:stretch>
          <a:fillRect/>
        </a:stretch>
      </xdr:blipFill>
      <xdr:spPr>
        <a:prstGeom prst="rect">
          <a:avLst/>
        </a:prstGeom>
        <a:ln w="9525">
          <a:solidFill>
            <a:srgbClr val="000000"/>
          </a:solidFill>
          <a:prstDash val="solid"/>
        </a:ln>
      </xdr:spPr>
    </xdr:pic>
    <xdr:clientData/>
  </xdr:twoCellAnchor>
  <xdr:twoCellAnchor>
    <xdr:from>
      <xdr:col>3</xdr:col>
      <xdr:colOff>114300</xdr:colOff>
      <xdr:row>3903</xdr:row>
      <xdr:rowOff>28575</xdr:rowOff>
    </xdr:from>
    <xdr:to>
      <xdr:col>3</xdr:col>
      <xdr:colOff>1552575</xdr:colOff>
      <xdr:row>3906</xdr:row>
      <xdr:rowOff>209550</xdr:rowOff>
    </xdr:to>
    <xdr:pic>
      <xdr:nvPicPr>
        <xdr:cNvPr id="1310" name="Имя " descr="Descr ">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1309"/>
        <a:stretch>
          <a:fillRect/>
        </a:stretch>
      </xdr:blipFill>
      <xdr:spPr>
        <a:prstGeom prst="rect">
          <a:avLst/>
        </a:prstGeom>
        <a:ln w="9525">
          <a:solidFill>
            <a:srgbClr val="000000"/>
          </a:solidFill>
          <a:prstDash val="solid"/>
        </a:ln>
      </xdr:spPr>
    </xdr:pic>
    <xdr:clientData/>
  </xdr:twoCellAnchor>
  <xdr:twoCellAnchor>
    <xdr:from>
      <xdr:col>3</xdr:col>
      <xdr:colOff>114300</xdr:colOff>
      <xdr:row>3907</xdr:row>
      <xdr:rowOff>28575</xdr:rowOff>
    </xdr:from>
    <xdr:to>
      <xdr:col>3</xdr:col>
      <xdr:colOff>1552575</xdr:colOff>
      <xdr:row>3910</xdr:row>
      <xdr:rowOff>209550</xdr:rowOff>
    </xdr:to>
    <xdr:pic>
      <xdr:nvPicPr>
        <xdr:cNvPr id="1311" name="Имя " descr="Descr ">
          <a:extLst>
            <a:ext uri="{FF2B5EF4-FFF2-40B4-BE49-F238E27FC236}">
              <a16:creationId xmlns:a16="http://schemas.microsoft.com/office/drawing/2014/main" id="{00000000-0008-0000-0000-00001F050000}"/>
            </a:ext>
          </a:extLst>
        </xdr:cNvPr>
        <xdr:cNvPicPr>
          <a:picLocks noChangeAspect="1"/>
        </xdr:cNvPicPr>
      </xdr:nvPicPr>
      <xdr:blipFill>
        <a:blip xmlns:r="http://schemas.openxmlformats.org/officeDocument/2006/relationships" r:embed="rId1310"/>
        <a:stretch>
          <a:fillRect/>
        </a:stretch>
      </xdr:blipFill>
      <xdr:spPr>
        <a:prstGeom prst="rect">
          <a:avLst/>
        </a:prstGeom>
        <a:ln w="9525">
          <a:solidFill>
            <a:srgbClr val="000000"/>
          </a:solidFill>
          <a:prstDash val="solid"/>
        </a:ln>
      </xdr:spPr>
    </xdr:pic>
    <xdr:clientData/>
  </xdr:twoCellAnchor>
  <xdr:twoCellAnchor>
    <xdr:from>
      <xdr:col>3</xdr:col>
      <xdr:colOff>114300</xdr:colOff>
      <xdr:row>3911</xdr:row>
      <xdr:rowOff>28575</xdr:rowOff>
    </xdr:from>
    <xdr:to>
      <xdr:col>3</xdr:col>
      <xdr:colOff>1552575</xdr:colOff>
      <xdr:row>3916</xdr:row>
      <xdr:rowOff>209550</xdr:rowOff>
    </xdr:to>
    <xdr:pic>
      <xdr:nvPicPr>
        <xdr:cNvPr id="1312" name="Имя " descr="Descr ">
          <a:extLst>
            <a:ext uri="{FF2B5EF4-FFF2-40B4-BE49-F238E27FC236}">
              <a16:creationId xmlns:a16="http://schemas.microsoft.com/office/drawing/2014/main" id="{00000000-0008-0000-0000-000020050000}"/>
            </a:ext>
          </a:extLst>
        </xdr:cNvPr>
        <xdr:cNvPicPr>
          <a:picLocks noChangeAspect="1"/>
        </xdr:cNvPicPr>
      </xdr:nvPicPr>
      <xdr:blipFill>
        <a:blip xmlns:r="http://schemas.openxmlformats.org/officeDocument/2006/relationships" r:embed="rId1311"/>
        <a:stretch>
          <a:fillRect/>
        </a:stretch>
      </xdr:blipFill>
      <xdr:spPr>
        <a:prstGeom prst="rect">
          <a:avLst/>
        </a:prstGeom>
        <a:ln w="9525">
          <a:solidFill>
            <a:srgbClr val="000000"/>
          </a:solidFill>
          <a:prstDash val="solid"/>
        </a:ln>
      </xdr:spPr>
    </xdr:pic>
    <xdr:clientData/>
  </xdr:twoCellAnchor>
  <xdr:twoCellAnchor>
    <xdr:from>
      <xdr:col>3</xdr:col>
      <xdr:colOff>114300</xdr:colOff>
      <xdr:row>3917</xdr:row>
      <xdr:rowOff>28575</xdr:rowOff>
    </xdr:from>
    <xdr:to>
      <xdr:col>3</xdr:col>
      <xdr:colOff>1552575</xdr:colOff>
      <xdr:row>3920</xdr:row>
      <xdr:rowOff>209550</xdr:rowOff>
    </xdr:to>
    <xdr:pic>
      <xdr:nvPicPr>
        <xdr:cNvPr id="1313" name="Имя " descr="Descr ">
          <a:extLst>
            <a:ext uri="{FF2B5EF4-FFF2-40B4-BE49-F238E27FC236}">
              <a16:creationId xmlns:a16="http://schemas.microsoft.com/office/drawing/2014/main" id="{00000000-0008-0000-0000-000021050000}"/>
            </a:ext>
          </a:extLst>
        </xdr:cNvPr>
        <xdr:cNvPicPr>
          <a:picLocks noChangeAspect="1"/>
        </xdr:cNvPicPr>
      </xdr:nvPicPr>
      <xdr:blipFill>
        <a:blip xmlns:r="http://schemas.openxmlformats.org/officeDocument/2006/relationships" r:embed="rId1312"/>
        <a:stretch>
          <a:fillRect/>
        </a:stretch>
      </xdr:blipFill>
      <xdr:spPr>
        <a:prstGeom prst="rect">
          <a:avLst/>
        </a:prstGeom>
        <a:ln w="9525">
          <a:solidFill>
            <a:srgbClr val="000000"/>
          </a:solidFill>
          <a:prstDash val="solid"/>
        </a:ln>
      </xdr:spPr>
    </xdr:pic>
    <xdr:clientData/>
  </xdr:twoCellAnchor>
  <xdr:twoCellAnchor>
    <xdr:from>
      <xdr:col>3</xdr:col>
      <xdr:colOff>114300</xdr:colOff>
      <xdr:row>3921</xdr:row>
      <xdr:rowOff>28575</xdr:rowOff>
    </xdr:from>
    <xdr:to>
      <xdr:col>3</xdr:col>
      <xdr:colOff>1552575</xdr:colOff>
      <xdr:row>3924</xdr:row>
      <xdr:rowOff>209550</xdr:rowOff>
    </xdr:to>
    <xdr:pic>
      <xdr:nvPicPr>
        <xdr:cNvPr id="1314" name="Имя " descr="Descr ">
          <a:extLst>
            <a:ext uri="{FF2B5EF4-FFF2-40B4-BE49-F238E27FC236}">
              <a16:creationId xmlns:a16="http://schemas.microsoft.com/office/drawing/2014/main" id="{00000000-0008-0000-0000-000022050000}"/>
            </a:ext>
          </a:extLst>
        </xdr:cNvPr>
        <xdr:cNvPicPr>
          <a:picLocks noChangeAspect="1"/>
        </xdr:cNvPicPr>
      </xdr:nvPicPr>
      <xdr:blipFill>
        <a:blip xmlns:r="http://schemas.openxmlformats.org/officeDocument/2006/relationships" r:embed="rId1313"/>
        <a:stretch>
          <a:fillRect/>
        </a:stretch>
      </xdr:blipFill>
      <xdr:spPr>
        <a:prstGeom prst="rect">
          <a:avLst/>
        </a:prstGeom>
        <a:ln w="9525">
          <a:solidFill>
            <a:srgbClr val="000000"/>
          </a:solidFill>
          <a:prstDash val="solid"/>
        </a:ln>
      </xdr:spPr>
    </xdr:pic>
    <xdr:clientData/>
  </xdr:twoCellAnchor>
  <xdr:twoCellAnchor>
    <xdr:from>
      <xdr:col>3</xdr:col>
      <xdr:colOff>114300</xdr:colOff>
      <xdr:row>3925</xdr:row>
      <xdr:rowOff>28575</xdr:rowOff>
    </xdr:from>
    <xdr:to>
      <xdr:col>3</xdr:col>
      <xdr:colOff>1552575</xdr:colOff>
      <xdr:row>3929</xdr:row>
      <xdr:rowOff>333375</xdr:rowOff>
    </xdr:to>
    <xdr:pic>
      <xdr:nvPicPr>
        <xdr:cNvPr id="1315" name="Имя " descr="Descr ">
          <a:extLst>
            <a:ext uri="{FF2B5EF4-FFF2-40B4-BE49-F238E27FC236}">
              <a16:creationId xmlns:a16="http://schemas.microsoft.com/office/drawing/2014/main" id="{00000000-0008-0000-0000-000023050000}"/>
            </a:ext>
          </a:extLst>
        </xdr:cNvPr>
        <xdr:cNvPicPr>
          <a:picLocks noChangeAspect="1"/>
        </xdr:cNvPicPr>
      </xdr:nvPicPr>
      <xdr:blipFill>
        <a:blip xmlns:r="http://schemas.openxmlformats.org/officeDocument/2006/relationships" r:embed="rId1314"/>
        <a:stretch>
          <a:fillRect/>
        </a:stretch>
      </xdr:blipFill>
      <xdr:spPr>
        <a:prstGeom prst="rect">
          <a:avLst/>
        </a:prstGeom>
        <a:ln w="9525">
          <a:solidFill>
            <a:srgbClr val="000000"/>
          </a:solidFill>
          <a:prstDash val="solid"/>
        </a:ln>
      </xdr:spPr>
    </xdr:pic>
    <xdr:clientData/>
  </xdr:twoCellAnchor>
  <xdr:twoCellAnchor>
    <xdr:from>
      <xdr:col>3</xdr:col>
      <xdr:colOff>114300</xdr:colOff>
      <xdr:row>3930</xdr:row>
      <xdr:rowOff>28575</xdr:rowOff>
    </xdr:from>
    <xdr:to>
      <xdr:col>3</xdr:col>
      <xdr:colOff>1552575</xdr:colOff>
      <xdr:row>3934</xdr:row>
      <xdr:rowOff>333375</xdr:rowOff>
    </xdr:to>
    <xdr:pic>
      <xdr:nvPicPr>
        <xdr:cNvPr id="1316" name="Имя " descr="Descr ">
          <a:extLst>
            <a:ext uri="{FF2B5EF4-FFF2-40B4-BE49-F238E27FC236}">
              <a16:creationId xmlns:a16="http://schemas.microsoft.com/office/drawing/2014/main" id="{00000000-0008-0000-0000-000024050000}"/>
            </a:ext>
          </a:extLst>
        </xdr:cNvPr>
        <xdr:cNvPicPr>
          <a:picLocks noChangeAspect="1"/>
        </xdr:cNvPicPr>
      </xdr:nvPicPr>
      <xdr:blipFill>
        <a:blip xmlns:r="http://schemas.openxmlformats.org/officeDocument/2006/relationships" r:embed="rId1315"/>
        <a:stretch>
          <a:fillRect/>
        </a:stretch>
      </xdr:blipFill>
      <xdr:spPr>
        <a:prstGeom prst="rect">
          <a:avLst/>
        </a:prstGeom>
        <a:ln w="9525">
          <a:solidFill>
            <a:srgbClr val="000000"/>
          </a:solidFill>
          <a:prstDash val="solid"/>
        </a:ln>
      </xdr:spPr>
    </xdr:pic>
    <xdr:clientData/>
  </xdr:twoCellAnchor>
  <xdr:twoCellAnchor>
    <xdr:from>
      <xdr:col>3</xdr:col>
      <xdr:colOff>114300</xdr:colOff>
      <xdr:row>3935</xdr:row>
      <xdr:rowOff>28575</xdr:rowOff>
    </xdr:from>
    <xdr:to>
      <xdr:col>3</xdr:col>
      <xdr:colOff>1552575</xdr:colOff>
      <xdr:row>3938</xdr:row>
      <xdr:rowOff>209550</xdr:rowOff>
    </xdr:to>
    <xdr:pic>
      <xdr:nvPicPr>
        <xdr:cNvPr id="1317" name="Имя " descr="Descr ">
          <a:extLst>
            <a:ext uri="{FF2B5EF4-FFF2-40B4-BE49-F238E27FC236}">
              <a16:creationId xmlns:a16="http://schemas.microsoft.com/office/drawing/2014/main" id="{00000000-0008-0000-0000-000025050000}"/>
            </a:ext>
          </a:extLst>
        </xdr:cNvPr>
        <xdr:cNvPicPr>
          <a:picLocks noChangeAspect="1"/>
        </xdr:cNvPicPr>
      </xdr:nvPicPr>
      <xdr:blipFill>
        <a:blip xmlns:r="http://schemas.openxmlformats.org/officeDocument/2006/relationships" r:embed="rId1316"/>
        <a:stretch>
          <a:fillRect/>
        </a:stretch>
      </xdr:blipFill>
      <xdr:spPr>
        <a:prstGeom prst="rect">
          <a:avLst/>
        </a:prstGeom>
        <a:ln w="9525">
          <a:solidFill>
            <a:srgbClr val="000000"/>
          </a:solidFill>
          <a:prstDash val="solid"/>
        </a:ln>
      </xdr:spPr>
    </xdr:pic>
    <xdr:clientData/>
  </xdr:twoCellAnchor>
  <xdr:twoCellAnchor>
    <xdr:from>
      <xdr:col>3</xdr:col>
      <xdr:colOff>114300</xdr:colOff>
      <xdr:row>3939</xdr:row>
      <xdr:rowOff>28575</xdr:rowOff>
    </xdr:from>
    <xdr:to>
      <xdr:col>3</xdr:col>
      <xdr:colOff>1552575</xdr:colOff>
      <xdr:row>3942</xdr:row>
      <xdr:rowOff>209550</xdr:rowOff>
    </xdr:to>
    <xdr:pic>
      <xdr:nvPicPr>
        <xdr:cNvPr id="1318" name="Имя " descr="Descr ">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1317"/>
        <a:stretch>
          <a:fillRect/>
        </a:stretch>
      </xdr:blipFill>
      <xdr:spPr>
        <a:prstGeom prst="rect">
          <a:avLst/>
        </a:prstGeom>
        <a:ln w="9525">
          <a:solidFill>
            <a:srgbClr val="000000"/>
          </a:solidFill>
          <a:prstDash val="solid"/>
        </a:ln>
      </xdr:spPr>
    </xdr:pic>
    <xdr:clientData/>
  </xdr:twoCellAnchor>
  <xdr:twoCellAnchor>
    <xdr:from>
      <xdr:col>3</xdr:col>
      <xdr:colOff>114300</xdr:colOff>
      <xdr:row>3943</xdr:row>
      <xdr:rowOff>28575</xdr:rowOff>
    </xdr:from>
    <xdr:to>
      <xdr:col>3</xdr:col>
      <xdr:colOff>1552575</xdr:colOff>
      <xdr:row>3947</xdr:row>
      <xdr:rowOff>333375</xdr:rowOff>
    </xdr:to>
    <xdr:pic>
      <xdr:nvPicPr>
        <xdr:cNvPr id="1319" name="Имя " descr="Descr ">
          <a:extLst>
            <a:ext uri="{FF2B5EF4-FFF2-40B4-BE49-F238E27FC236}">
              <a16:creationId xmlns:a16="http://schemas.microsoft.com/office/drawing/2014/main" id="{00000000-0008-0000-0000-000027050000}"/>
            </a:ext>
          </a:extLst>
        </xdr:cNvPr>
        <xdr:cNvPicPr>
          <a:picLocks noChangeAspect="1"/>
        </xdr:cNvPicPr>
      </xdr:nvPicPr>
      <xdr:blipFill>
        <a:blip xmlns:r="http://schemas.openxmlformats.org/officeDocument/2006/relationships" r:embed="rId1318"/>
        <a:stretch>
          <a:fillRect/>
        </a:stretch>
      </xdr:blipFill>
      <xdr:spPr>
        <a:prstGeom prst="rect">
          <a:avLst/>
        </a:prstGeom>
        <a:ln w="9525">
          <a:solidFill>
            <a:srgbClr val="000000"/>
          </a:solidFill>
          <a:prstDash val="solid"/>
        </a:ln>
      </xdr:spPr>
    </xdr:pic>
    <xdr:clientData/>
  </xdr:twoCellAnchor>
  <xdr:twoCellAnchor>
    <xdr:from>
      <xdr:col>3</xdr:col>
      <xdr:colOff>114300</xdr:colOff>
      <xdr:row>3948</xdr:row>
      <xdr:rowOff>28575</xdr:rowOff>
    </xdr:from>
    <xdr:to>
      <xdr:col>3</xdr:col>
      <xdr:colOff>1552575</xdr:colOff>
      <xdr:row>3952</xdr:row>
      <xdr:rowOff>333375</xdr:rowOff>
    </xdr:to>
    <xdr:pic>
      <xdr:nvPicPr>
        <xdr:cNvPr id="1320" name="Имя " descr="Descr ">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1319"/>
        <a:stretch>
          <a:fillRect/>
        </a:stretch>
      </xdr:blipFill>
      <xdr:spPr>
        <a:prstGeom prst="rect">
          <a:avLst/>
        </a:prstGeom>
        <a:ln w="9525">
          <a:solidFill>
            <a:srgbClr val="000000"/>
          </a:solidFill>
          <a:prstDash val="solid"/>
        </a:ln>
      </xdr:spPr>
    </xdr:pic>
    <xdr:clientData/>
  </xdr:twoCellAnchor>
  <xdr:twoCellAnchor>
    <xdr:from>
      <xdr:col>3</xdr:col>
      <xdr:colOff>114300</xdr:colOff>
      <xdr:row>3953</xdr:row>
      <xdr:rowOff>28575</xdr:rowOff>
    </xdr:from>
    <xdr:to>
      <xdr:col>3</xdr:col>
      <xdr:colOff>1552575</xdr:colOff>
      <xdr:row>3957</xdr:row>
      <xdr:rowOff>333375</xdr:rowOff>
    </xdr:to>
    <xdr:pic>
      <xdr:nvPicPr>
        <xdr:cNvPr id="1321" name="Имя " descr="Descr ">
          <a:extLst>
            <a:ext uri="{FF2B5EF4-FFF2-40B4-BE49-F238E27FC236}">
              <a16:creationId xmlns:a16="http://schemas.microsoft.com/office/drawing/2014/main" id="{00000000-0008-0000-0000-000029050000}"/>
            </a:ext>
          </a:extLst>
        </xdr:cNvPr>
        <xdr:cNvPicPr>
          <a:picLocks noChangeAspect="1"/>
        </xdr:cNvPicPr>
      </xdr:nvPicPr>
      <xdr:blipFill>
        <a:blip xmlns:r="http://schemas.openxmlformats.org/officeDocument/2006/relationships" r:embed="rId1320"/>
        <a:stretch>
          <a:fillRect/>
        </a:stretch>
      </xdr:blipFill>
      <xdr:spPr>
        <a:prstGeom prst="rect">
          <a:avLst/>
        </a:prstGeom>
        <a:ln w="9525">
          <a:solidFill>
            <a:srgbClr val="000000"/>
          </a:solidFill>
          <a:prstDash val="solid"/>
        </a:ln>
      </xdr:spPr>
    </xdr:pic>
    <xdr:clientData/>
  </xdr:twoCellAnchor>
  <xdr:twoCellAnchor>
    <xdr:from>
      <xdr:col>3</xdr:col>
      <xdr:colOff>114300</xdr:colOff>
      <xdr:row>3958</xdr:row>
      <xdr:rowOff>28575</xdr:rowOff>
    </xdr:from>
    <xdr:to>
      <xdr:col>3</xdr:col>
      <xdr:colOff>1552575</xdr:colOff>
      <xdr:row>3961</xdr:row>
      <xdr:rowOff>209550</xdr:rowOff>
    </xdr:to>
    <xdr:pic>
      <xdr:nvPicPr>
        <xdr:cNvPr id="1322" name="Имя " descr="Descr ">
          <a:extLst>
            <a:ext uri="{FF2B5EF4-FFF2-40B4-BE49-F238E27FC236}">
              <a16:creationId xmlns:a16="http://schemas.microsoft.com/office/drawing/2014/main" id="{00000000-0008-0000-0000-00002A050000}"/>
            </a:ext>
          </a:extLst>
        </xdr:cNvPr>
        <xdr:cNvPicPr>
          <a:picLocks noChangeAspect="1"/>
        </xdr:cNvPicPr>
      </xdr:nvPicPr>
      <xdr:blipFill>
        <a:blip xmlns:r="http://schemas.openxmlformats.org/officeDocument/2006/relationships" r:embed="rId1321"/>
        <a:stretch>
          <a:fillRect/>
        </a:stretch>
      </xdr:blipFill>
      <xdr:spPr>
        <a:prstGeom prst="rect">
          <a:avLst/>
        </a:prstGeom>
        <a:ln w="9525">
          <a:solidFill>
            <a:srgbClr val="000000"/>
          </a:solidFill>
          <a:prstDash val="solid"/>
        </a:ln>
      </xdr:spPr>
    </xdr:pic>
    <xdr:clientData/>
  </xdr:twoCellAnchor>
  <xdr:twoCellAnchor>
    <xdr:from>
      <xdr:col>3</xdr:col>
      <xdr:colOff>114300</xdr:colOff>
      <xdr:row>3962</xdr:row>
      <xdr:rowOff>28575</xdr:rowOff>
    </xdr:from>
    <xdr:to>
      <xdr:col>3</xdr:col>
      <xdr:colOff>1552575</xdr:colOff>
      <xdr:row>3966</xdr:row>
      <xdr:rowOff>333375</xdr:rowOff>
    </xdr:to>
    <xdr:pic>
      <xdr:nvPicPr>
        <xdr:cNvPr id="1323" name="Имя " descr="Descr ">
          <a:extLst>
            <a:ext uri="{FF2B5EF4-FFF2-40B4-BE49-F238E27FC236}">
              <a16:creationId xmlns:a16="http://schemas.microsoft.com/office/drawing/2014/main" id="{00000000-0008-0000-0000-00002B050000}"/>
            </a:ext>
          </a:extLst>
        </xdr:cNvPr>
        <xdr:cNvPicPr>
          <a:picLocks noChangeAspect="1"/>
        </xdr:cNvPicPr>
      </xdr:nvPicPr>
      <xdr:blipFill>
        <a:blip xmlns:r="http://schemas.openxmlformats.org/officeDocument/2006/relationships" r:embed="rId1322"/>
        <a:stretch>
          <a:fillRect/>
        </a:stretch>
      </xdr:blipFill>
      <xdr:spPr>
        <a:prstGeom prst="rect">
          <a:avLst/>
        </a:prstGeom>
        <a:ln w="9525">
          <a:solidFill>
            <a:srgbClr val="000000"/>
          </a:solidFill>
          <a:prstDash val="solid"/>
        </a:ln>
      </xdr:spPr>
    </xdr:pic>
    <xdr:clientData/>
  </xdr:twoCellAnchor>
  <xdr:twoCellAnchor>
    <xdr:from>
      <xdr:col>3</xdr:col>
      <xdr:colOff>114300</xdr:colOff>
      <xdr:row>3967</xdr:row>
      <xdr:rowOff>28575</xdr:rowOff>
    </xdr:from>
    <xdr:to>
      <xdr:col>3</xdr:col>
      <xdr:colOff>1552575</xdr:colOff>
      <xdr:row>3970</xdr:row>
      <xdr:rowOff>209550</xdr:rowOff>
    </xdr:to>
    <xdr:pic>
      <xdr:nvPicPr>
        <xdr:cNvPr id="1324" name="Имя " descr="Descr ">
          <a:extLst>
            <a:ext uri="{FF2B5EF4-FFF2-40B4-BE49-F238E27FC236}">
              <a16:creationId xmlns:a16="http://schemas.microsoft.com/office/drawing/2014/main" id="{00000000-0008-0000-0000-00002C050000}"/>
            </a:ext>
          </a:extLst>
        </xdr:cNvPr>
        <xdr:cNvPicPr>
          <a:picLocks noChangeAspect="1"/>
        </xdr:cNvPicPr>
      </xdr:nvPicPr>
      <xdr:blipFill>
        <a:blip xmlns:r="http://schemas.openxmlformats.org/officeDocument/2006/relationships" r:embed="rId1323"/>
        <a:stretch>
          <a:fillRect/>
        </a:stretch>
      </xdr:blipFill>
      <xdr:spPr>
        <a:prstGeom prst="rect">
          <a:avLst/>
        </a:prstGeom>
        <a:ln w="9525">
          <a:solidFill>
            <a:srgbClr val="000000"/>
          </a:solidFill>
          <a:prstDash val="solid"/>
        </a:ln>
      </xdr:spPr>
    </xdr:pic>
    <xdr:clientData/>
  </xdr:twoCellAnchor>
  <xdr:twoCellAnchor>
    <xdr:from>
      <xdr:col>3</xdr:col>
      <xdr:colOff>114300</xdr:colOff>
      <xdr:row>3971</xdr:row>
      <xdr:rowOff>28575</xdr:rowOff>
    </xdr:from>
    <xdr:to>
      <xdr:col>3</xdr:col>
      <xdr:colOff>1552575</xdr:colOff>
      <xdr:row>3974</xdr:row>
      <xdr:rowOff>209550</xdr:rowOff>
    </xdr:to>
    <xdr:pic>
      <xdr:nvPicPr>
        <xdr:cNvPr id="1325" name="Имя " descr="Descr ">
          <a:extLst>
            <a:ext uri="{FF2B5EF4-FFF2-40B4-BE49-F238E27FC236}">
              <a16:creationId xmlns:a16="http://schemas.microsoft.com/office/drawing/2014/main" id="{00000000-0008-0000-0000-00002D050000}"/>
            </a:ext>
          </a:extLst>
        </xdr:cNvPr>
        <xdr:cNvPicPr>
          <a:picLocks noChangeAspect="1"/>
        </xdr:cNvPicPr>
      </xdr:nvPicPr>
      <xdr:blipFill>
        <a:blip xmlns:r="http://schemas.openxmlformats.org/officeDocument/2006/relationships" r:embed="rId1324"/>
        <a:stretch>
          <a:fillRect/>
        </a:stretch>
      </xdr:blipFill>
      <xdr:spPr>
        <a:prstGeom prst="rect">
          <a:avLst/>
        </a:prstGeom>
        <a:ln w="9525">
          <a:solidFill>
            <a:srgbClr val="000000"/>
          </a:solidFill>
          <a:prstDash val="solid"/>
        </a:ln>
      </xdr:spPr>
    </xdr:pic>
    <xdr:clientData/>
  </xdr:twoCellAnchor>
  <xdr:twoCellAnchor>
    <xdr:from>
      <xdr:col>3</xdr:col>
      <xdr:colOff>114300</xdr:colOff>
      <xdr:row>3975</xdr:row>
      <xdr:rowOff>28575</xdr:rowOff>
    </xdr:from>
    <xdr:to>
      <xdr:col>3</xdr:col>
      <xdr:colOff>1552575</xdr:colOff>
      <xdr:row>3978</xdr:row>
      <xdr:rowOff>209550</xdr:rowOff>
    </xdr:to>
    <xdr:pic>
      <xdr:nvPicPr>
        <xdr:cNvPr id="1326" name="Имя " descr="Descr ">
          <a:extLst>
            <a:ext uri="{FF2B5EF4-FFF2-40B4-BE49-F238E27FC236}">
              <a16:creationId xmlns:a16="http://schemas.microsoft.com/office/drawing/2014/main" id="{00000000-0008-0000-0000-00002E050000}"/>
            </a:ext>
          </a:extLst>
        </xdr:cNvPr>
        <xdr:cNvPicPr>
          <a:picLocks noChangeAspect="1"/>
        </xdr:cNvPicPr>
      </xdr:nvPicPr>
      <xdr:blipFill>
        <a:blip xmlns:r="http://schemas.openxmlformats.org/officeDocument/2006/relationships" r:embed="rId1325"/>
        <a:stretch>
          <a:fillRect/>
        </a:stretch>
      </xdr:blipFill>
      <xdr:spPr>
        <a:prstGeom prst="rect">
          <a:avLst/>
        </a:prstGeom>
        <a:ln w="9525">
          <a:solidFill>
            <a:srgbClr val="000000"/>
          </a:solidFill>
          <a:prstDash val="solid"/>
        </a:ln>
      </xdr:spPr>
    </xdr:pic>
    <xdr:clientData/>
  </xdr:twoCellAnchor>
  <xdr:twoCellAnchor>
    <xdr:from>
      <xdr:col>3</xdr:col>
      <xdr:colOff>114300</xdr:colOff>
      <xdr:row>3979</xdr:row>
      <xdr:rowOff>28575</xdr:rowOff>
    </xdr:from>
    <xdr:to>
      <xdr:col>3</xdr:col>
      <xdr:colOff>1552575</xdr:colOff>
      <xdr:row>3983</xdr:row>
      <xdr:rowOff>333375</xdr:rowOff>
    </xdr:to>
    <xdr:pic>
      <xdr:nvPicPr>
        <xdr:cNvPr id="1327" name="Имя " descr="Descr ">
          <a:extLst>
            <a:ext uri="{FF2B5EF4-FFF2-40B4-BE49-F238E27FC236}">
              <a16:creationId xmlns:a16="http://schemas.microsoft.com/office/drawing/2014/main" id="{00000000-0008-0000-0000-00002F050000}"/>
            </a:ext>
          </a:extLst>
        </xdr:cNvPr>
        <xdr:cNvPicPr>
          <a:picLocks noChangeAspect="1"/>
        </xdr:cNvPicPr>
      </xdr:nvPicPr>
      <xdr:blipFill>
        <a:blip xmlns:r="http://schemas.openxmlformats.org/officeDocument/2006/relationships" r:embed="rId1326"/>
        <a:stretch>
          <a:fillRect/>
        </a:stretch>
      </xdr:blipFill>
      <xdr:spPr>
        <a:prstGeom prst="rect">
          <a:avLst/>
        </a:prstGeom>
        <a:ln w="9525">
          <a:solidFill>
            <a:srgbClr val="000000"/>
          </a:solidFill>
          <a:prstDash val="solid"/>
        </a:ln>
      </xdr:spPr>
    </xdr:pic>
    <xdr:clientData/>
  </xdr:twoCellAnchor>
  <xdr:twoCellAnchor>
    <xdr:from>
      <xdr:col>3</xdr:col>
      <xdr:colOff>114300</xdr:colOff>
      <xdr:row>3984</xdr:row>
      <xdr:rowOff>28575</xdr:rowOff>
    </xdr:from>
    <xdr:to>
      <xdr:col>3</xdr:col>
      <xdr:colOff>1552575</xdr:colOff>
      <xdr:row>3988</xdr:row>
      <xdr:rowOff>333375</xdr:rowOff>
    </xdr:to>
    <xdr:pic>
      <xdr:nvPicPr>
        <xdr:cNvPr id="1328" name="Имя " descr="Descr ">
          <a:extLst>
            <a:ext uri="{FF2B5EF4-FFF2-40B4-BE49-F238E27FC236}">
              <a16:creationId xmlns:a16="http://schemas.microsoft.com/office/drawing/2014/main" id="{00000000-0008-0000-0000-000030050000}"/>
            </a:ext>
          </a:extLst>
        </xdr:cNvPr>
        <xdr:cNvPicPr>
          <a:picLocks noChangeAspect="1"/>
        </xdr:cNvPicPr>
      </xdr:nvPicPr>
      <xdr:blipFill>
        <a:blip xmlns:r="http://schemas.openxmlformats.org/officeDocument/2006/relationships" r:embed="rId1327"/>
        <a:stretch>
          <a:fillRect/>
        </a:stretch>
      </xdr:blipFill>
      <xdr:spPr>
        <a:prstGeom prst="rect">
          <a:avLst/>
        </a:prstGeom>
        <a:ln w="9525">
          <a:solidFill>
            <a:srgbClr val="000000"/>
          </a:solidFill>
          <a:prstDash val="solid"/>
        </a:ln>
      </xdr:spPr>
    </xdr:pic>
    <xdr:clientData/>
  </xdr:twoCellAnchor>
  <xdr:twoCellAnchor>
    <xdr:from>
      <xdr:col>3</xdr:col>
      <xdr:colOff>114300</xdr:colOff>
      <xdr:row>3989</xdr:row>
      <xdr:rowOff>28575</xdr:rowOff>
    </xdr:from>
    <xdr:to>
      <xdr:col>3</xdr:col>
      <xdr:colOff>1552575</xdr:colOff>
      <xdr:row>3993</xdr:row>
      <xdr:rowOff>333375</xdr:rowOff>
    </xdr:to>
    <xdr:pic>
      <xdr:nvPicPr>
        <xdr:cNvPr id="1329" name="Имя " descr="Descr ">
          <a:extLst>
            <a:ext uri="{FF2B5EF4-FFF2-40B4-BE49-F238E27FC236}">
              <a16:creationId xmlns:a16="http://schemas.microsoft.com/office/drawing/2014/main" id="{00000000-0008-0000-0000-000031050000}"/>
            </a:ext>
          </a:extLst>
        </xdr:cNvPr>
        <xdr:cNvPicPr>
          <a:picLocks noChangeAspect="1"/>
        </xdr:cNvPicPr>
      </xdr:nvPicPr>
      <xdr:blipFill>
        <a:blip xmlns:r="http://schemas.openxmlformats.org/officeDocument/2006/relationships" r:embed="rId1328"/>
        <a:stretch>
          <a:fillRect/>
        </a:stretch>
      </xdr:blipFill>
      <xdr:spPr>
        <a:prstGeom prst="rect">
          <a:avLst/>
        </a:prstGeom>
        <a:ln w="9525">
          <a:solidFill>
            <a:srgbClr val="000000"/>
          </a:solidFill>
          <a:prstDash val="solid"/>
        </a:ln>
      </xdr:spPr>
    </xdr:pic>
    <xdr:clientData/>
  </xdr:twoCellAnchor>
  <xdr:twoCellAnchor>
    <xdr:from>
      <xdr:col>3</xdr:col>
      <xdr:colOff>114300</xdr:colOff>
      <xdr:row>3994</xdr:row>
      <xdr:rowOff>28575</xdr:rowOff>
    </xdr:from>
    <xdr:to>
      <xdr:col>3</xdr:col>
      <xdr:colOff>1552575</xdr:colOff>
      <xdr:row>3998</xdr:row>
      <xdr:rowOff>333375</xdr:rowOff>
    </xdr:to>
    <xdr:pic>
      <xdr:nvPicPr>
        <xdr:cNvPr id="1330" name="Имя " descr="Descr ">
          <a:extLst>
            <a:ext uri="{FF2B5EF4-FFF2-40B4-BE49-F238E27FC236}">
              <a16:creationId xmlns:a16="http://schemas.microsoft.com/office/drawing/2014/main" id="{00000000-0008-0000-0000-000032050000}"/>
            </a:ext>
          </a:extLst>
        </xdr:cNvPr>
        <xdr:cNvPicPr>
          <a:picLocks noChangeAspect="1"/>
        </xdr:cNvPicPr>
      </xdr:nvPicPr>
      <xdr:blipFill>
        <a:blip xmlns:r="http://schemas.openxmlformats.org/officeDocument/2006/relationships" r:embed="rId1329"/>
        <a:stretch>
          <a:fillRect/>
        </a:stretch>
      </xdr:blipFill>
      <xdr:spPr>
        <a:prstGeom prst="rect">
          <a:avLst/>
        </a:prstGeom>
        <a:ln w="9525">
          <a:solidFill>
            <a:srgbClr val="000000"/>
          </a:solidFill>
          <a:prstDash val="solid"/>
        </a:ln>
      </xdr:spPr>
    </xdr:pic>
    <xdr:clientData/>
  </xdr:twoCellAnchor>
  <xdr:twoCellAnchor>
    <xdr:from>
      <xdr:col>3</xdr:col>
      <xdr:colOff>114300</xdr:colOff>
      <xdr:row>3999</xdr:row>
      <xdr:rowOff>28575</xdr:rowOff>
    </xdr:from>
    <xdr:to>
      <xdr:col>3</xdr:col>
      <xdr:colOff>1552575</xdr:colOff>
      <xdr:row>4002</xdr:row>
      <xdr:rowOff>209550</xdr:rowOff>
    </xdr:to>
    <xdr:pic>
      <xdr:nvPicPr>
        <xdr:cNvPr id="1331" name="Имя " descr="Descr ">
          <a:extLst>
            <a:ext uri="{FF2B5EF4-FFF2-40B4-BE49-F238E27FC236}">
              <a16:creationId xmlns:a16="http://schemas.microsoft.com/office/drawing/2014/main" id="{00000000-0008-0000-0000-000033050000}"/>
            </a:ext>
          </a:extLst>
        </xdr:cNvPr>
        <xdr:cNvPicPr>
          <a:picLocks noChangeAspect="1"/>
        </xdr:cNvPicPr>
      </xdr:nvPicPr>
      <xdr:blipFill>
        <a:blip xmlns:r="http://schemas.openxmlformats.org/officeDocument/2006/relationships" r:embed="rId1330"/>
        <a:stretch>
          <a:fillRect/>
        </a:stretch>
      </xdr:blipFill>
      <xdr:spPr>
        <a:prstGeom prst="rect">
          <a:avLst/>
        </a:prstGeom>
        <a:ln w="9525">
          <a:solidFill>
            <a:srgbClr val="000000"/>
          </a:solidFill>
          <a:prstDash val="solid"/>
        </a:ln>
      </xdr:spPr>
    </xdr:pic>
    <xdr:clientData/>
  </xdr:twoCellAnchor>
  <xdr:twoCellAnchor>
    <xdr:from>
      <xdr:col>3</xdr:col>
      <xdr:colOff>114300</xdr:colOff>
      <xdr:row>4003</xdr:row>
      <xdr:rowOff>28575</xdr:rowOff>
    </xdr:from>
    <xdr:to>
      <xdr:col>3</xdr:col>
      <xdr:colOff>1552575</xdr:colOff>
      <xdr:row>4005</xdr:row>
      <xdr:rowOff>419100</xdr:rowOff>
    </xdr:to>
    <xdr:pic>
      <xdr:nvPicPr>
        <xdr:cNvPr id="1332" name="Имя " descr="Descr ">
          <a:extLst>
            <a:ext uri="{FF2B5EF4-FFF2-40B4-BE49-F238E27FC236}">
              <a16:creationId xmlns:a16="http://schemas.microsoft.com/office/drawing/2014/main" id="{00000000-0008-0000-0000-000034050000}"/>
            </a:ext>
          </a:extLst>
        </xdr:cNvPr>
        <xdr:cNvPicPr>
          <a:picLocks noChangeAspect="1"/>
        </xdr:cNvPicPr>
      </xdr:nvPicPr>
      <xdr:blipFill>
        <a:blip xmlns:r="http://schemas.openxmlformats.org/officeDocument/2006/relationships" r:embed="rId1331"/>
        <a:stretch>
          <a:fillRect/>
        </a:stretch>
      </xdr:blipFill>
      <xdr:spPr>
        <a:prstGeom prst="rect">
          <a:avLst/>
        </a:prstGeom>
        <a:ln w="9525">
          <a:solidFill>
            <a:srgbClr val="000000"/>
          </a:solidFill>
          <a:prstDash val="solid"/>
        </a:ln>
      </xdr:spPr>
    </xdr:pic>
    <xdr:clientData/>
  </xdr:twoCellAnchor>
  <xdr:twoCellAnchor>
    <xdr:from>
      <xdr:col>3</xdr:col>
      <xdr:colOff>114300</xdr:colOff>
      <xdr:row>4006</xdr:row>
      <xdr:rowOff>28575</xdr:rowOff>
    </xdr:from>
    <xdr:to>
      <xdr:col>3</xdr:col>
      <xdr:colOff>1552575</xdr:colOff>
      <xdr:row>4009</xdr:row>
      <xdr:rowOff>209550</xdr:rowOff>
    </xdr:to>
    <xdr:pic>
      <xdr:nvPicPr>
        <xdr:cNvPr id="1333" name="Имя " descr="Descr ">
          <a:extLst>
            <a:ext uri="{FF2B5EF4-FFF2-40B4-BE49-F238E27FC236}">
              <a16:creationId xmlns:a16="http://schemas.microsoft.com/office/drawing/2014/main" id="{00000000-0008-0000-0000-000035050000}"/>
            </a:ext>
          </a:extLst>
        </xdr:cNvPr>
        <xdr:cNvPicPr>
          <a:picLocks noChangeAspect="1"/>
        </xdr:cNvPicPr>
      </xdr:nvPicPr>
      <xdr:blipFill>
        <a:blip xmlns:r="http://schemas.openxmlformats.org/officeDocument/2006/relationships" r:embed="rId1332"/>
        <a:stretch>
          <a:fillRect/>
        </a:stretch>
      </xdr:blipFill>
      <xdr:spPr>
        <a:prstGeom prst="rect">
          <a:avLst/>
        </a:prstGeom>
        <a:ln w="9525">
          <a:solidFill>
            <a:srgbClr val="000000"/>
          </a:solidFill>
          <a:prstDash val="solid"/>
        </a:ln>
      </xdr:spPr>
    </xdr:pic>
    <xdr:clientData/>
  </xdr:twoCellAnchor>
  <xdr:twoCellAnchor>
    <xdr:from>
      <xdr:col>3</xdr:col>
      <xdr:colOff>114300</xdr:colOff>
      <xdr:row>4010</xdr:row>
      <xdr:rowOff>28575</xdr:rowOff>
    </xdr:from>
    <xdr:to>
      <xdr:col>3</xdr:col>
      <xdr:colOff>1552575</xdr:colOff>
      <xdr:row>4014</xdr:row>
      <xdr:rowOff>333375</xdr:rowOff>
    </xdr:to>
    <xdr:pic>
      <xdr:nvPicPr>
        <xdr:cNvPr id="1334" name="Имя " descr="Descr ">
          <a:extLst>
            <a:ext uri="{FF2B5EF4-FFF2-40B4-BE49-F238E27FC236}">
              <a16:creationId xmlns:a16="http://schemas.microsoft.com/office/drawing/2014/main" id="{00000000-0008-0000-0000-000036050000}"/>
            </a:ext>
          </a:extLst>
        </xdr:cNvPr>
        <xdr:cNvPicPr>
          <a:picLocks noChangeAspect="1"/>
        </xdr:cNvPicPr>
      </xdr:nvPicPr>
      <xdr:blipFill>
        <a:blip xmlns:r="http://schemas.openxmlformats.org/officeDocument/2006/relationships" r:embed="rId1333"/>
        <a:stretch>
          <a:fillRect/>
        </a:stretch>
      </xdr:blipFill>
      <xdr:spPr>
        <a:prstGeom prst="rect">
          <a:avLst/>
        </a:prstGeom>
        <a:ln w="9525">
          <a:solidFill>
            <a:srgbClr val="000000"/>
          </a:solidFill>
          <a:prstDash val="solid"/>
        </a:ln>
      </xdr:spPr>
    </xdr:pic>
    <xdr:clientData/>
  </xdr:twoCellAnchor>
  <xdr:twoCellAnchor>
    <xdr:from>
      <xdr:col>3</xdr:col>
      <xdr:colOff>114300</xdr:colOff>
      <xdr:row>4015</xdr:row>
      <xdr:rowOff>28575</xdr:rowOff>
    </xdr:from>
    <xdr:to>
      <xdr:col>3</xdr:col>
      <xdr:colOff>1552575</xdr:colOff>
      <xdr:row>4019</xdr:row>
      <xdr:rowOff>333375</xdr:rowOff>
    </xdr:to>
    <xdr:pic>
      <xdr:nvPicPr>
        <xdr:cNvPr id="1335" name="Имя " descr="Descr ">
          <a:extLst>
            <a:ext uri="{FF2B5EF4-FFF2-40B4-BE49-F238E27FC236}">
              <a16:creationId xmlns:a16="http://schemas.microsoft.com/office/drawing/2014/main" id="{00000000-0008-0000-0000-000037050000}"/>
            </a:ext>
          </a:extLst>
        </xdr:cNvPr>
        <xdr:cNvPicPr>
          <a:picLocks noChangeAspect="1"/>
        </xdr:cNvPicPr>
      </xdr:nvPicPr>
      <xdr:blipFill>
        <a:blip xmlns:r="http://schemas.openxmlformats.org/officeDocument/2006/relationships" r:embed="rId1334"/>
        <a:stretch>
          <a:fillRect/>
        </a:stretch>
      </xdr:blipFill>
      <xdr:spPr>
        <a:prstGeom prst="rect">
          <a:avLst/>
        </a:prstGeom>
        <a:ln w="9525">
          <a:solidFill>
            <a:srgbClr val="000000"/>
          </a:solidFill>
          <a:prstDash val="solid"/>
        </a:ln>
      </xdr:spPr>
    </xdr:pic>
    <xdr:clientData/>
  </xdr:twoCellAnchor>
  <xdr:twoCellAnchor>
    <xdr:from>
      <xdr:col>3</xdr:col>
      <xdr:colOff>114300</xdr:colOff>
      <xdr:row>4020</xdr:row>
      <xdr:rowOff>28575</xdr:rowOff>
    </xdr:from>
    <xdr:to>
      <xdr:col>3</xdr:col>
      <xdr:colOff>1552575</xdr:colOff>
      <xdr:row>4024</xdr:row>
      <xdr:rowOff>333375</xdr:rowOff>
    </xdr:to>
    <xdr:pic>
      <xdr:nvPicPr>
        <xdr:cNvPr id="1336" name="Имя " descr="Descr ">
          <a:extLst>
            <a:ext uri="{FF2B5EF4-FFF2-40B4-BE49-F238E27FC236}">
              <a16:creationId xmlns:a16="http://schemas.microsoft.com/office/drawing/2014/main" id="{00000000-0008-0000-0000-000038050000}"/>
            </a:ext>
          </a:extLst>
        </xdr:cNvPr>
        <xdr:cNvPicPr>
          <a:picLocks noChangeAspect="1"/>
        </xdr:cNvPicPr>
      </xdr:nvPicPr>
      <xdr:blipFill>
        <a:blip xmlns:r="http://schemas.openxmlformats.org/officeDocument/2006/relationships" r:embed="rId1335"/>
        <a:stretch>
          <a:fillRect/>
        </a:stretch>
      </xdr:blipFill>
      <xdr:spPr>
        <a:prstGeom prst="rect">
          <a:avLst/>
        </a:prstGeom>
        <a:ln w="9525">
          <a:solidFill>
            <a:srgbClr val="000000"/>
          </a:solidFill>
          <a:prstDash val="solid"/>
        </a:ln>
      </xdr:spPr>
    </xdr:pic>
    <xdr:clientData/>
  </xdr:twoCellAnchor>
  <xdr:twoCellAnchor>
    <xdr:from>
      <xdr:col>3</xdr:col>
      <xdr:colOff>114300</xdr:colOff>
      <xdr:row>4025</xdr:row>
      <xdr:rowOff>38100</xdr:rowOff>
    </xdr:from>
    <xdr:to>
      <xdr:col>3</xdr:col>
      <xdr:colOff>1552575</xdr:colOff>
      <xdr:row>4026</xdr:row>
      <xdr:rowOff>638175</xdr:rowOff>
    </xdr:to>
    <xdr:pic>
      <xdr:nvPicPr>
        <xdr:cNvPr id="1337" name="Имя " descr="Descr ">
          <a:extLst>
            <a:ext uri="{FF2B5EF4-FFF2-40B4-BE49-F238E27FC236}">
              <a16:creationId xmlns:a16="http://schemas.microsoft.com/office/drawing/2014/main" id="{00000000-0008-0000-0000-000039050000}"/>
            </a:ext>
          </a:extLst>
        </xdr:cNvPr>
        <xdr:cNvPicPr>
          <a:picLocks noChangeAspect="1"/>
        </xdr:cNvPicPr>
      </xdr:nvPicPr>
      <xdr:blipFill>
        <a:blip xmlns:r="http://schemas.openxmlformats.org/officeDocument/2006/relationships" r:embed="rId1336"/>
        <a:stretch>
          <a:fillRect/>
        </a:stretch>
      </xdr:blipFill>
      <xdr:spPr>
        <a:prstGeom prst="rect">
          <a:avLst/>
        </a:prstGeom>
        <a:ln w="9525">
          <a:solidFill>
            <a:srgbClr val="000000"/>
          </a:solidFill>
          <a:prstDash val="solid"/>
        </a:ln>
      </xdr:spPr>
    </xdr:pic>
    <xdr:clientData/>
  </xdr:twoCellAnchor>
  <xdr:twoCellAnchor>
    <xdr:from>
      <xdr:col>3</xdr:col>
      <xdr:colOff>114300</xdr:colOff>
      <xdr:row>4027</xdr:row>
      <xdr:rowOff>38100</xdr:rowOff>
    </xdr:from>
    <xdr:to>
      <xdr:col>3</xdr:col>
      <xdr:colOff>1552575</xdr:colOff>
      <xdr:row>4028</xdr:row>
      <xdr:rowOff>638175</xdr:rowOff>
    </xdr:to>
    <xdr:pic>
      <xdr:nvPicPr>
        <xdr:cNvPr id="1338" name="Имя " descr="Descr ">
          <a:extLst>
            <a:ext uri="{FF2B5EF4-FFF2-40B4-BE49-F238E27FC236}">
              <a16:creationId xmlns:a16="http://schemas.microsoft.com/office/drawing/2014/main" id="{00000000-0008-0000-0000-00003A050000}"/>
            </a:ext>
          </a:extLst>
        </xdr:cNvPr>
        <xdr:cNvPicPr>
          <a:picLocks noChangeAspect="1"/>
        </xdr:cNvPicPr>
      </xdr:nvPicPr>
      <xdr:blipFill>
        <a:blip xmlns:r="http://schemas.openxmlformats.org/officeDocument/2006/relationships" r:embed="rId1337"/>
        <a:stretch>
          <a:fillRect/>
        </a:stretch>
      </xdr:blipFill>
      <xdr:spPr>
        <a:prstGeom prst="rect">
          <a:avLst/>
        </a:prstGeom>
        <a:ln w="9525">
          <a:solidFill>
            <a:srgbClr val="000000"/>
          </a:solidFill>
          <a:prstDash val="solid"/>
        </a:ln>
      </xdr:spPr>
    </xdr:pic>
    <xdr:clientData/>
  </xdr:twoCellAnchor>
  <xdr:twoCellAnchor>
    <xdr:from>
      <xdr:col>3</xdr:col>
      <xdr:colOff>114300</xdr:colOff>
      <xdr:row>4029</xdr:row>
      <xdr:rowOff>38100</xdr:rowOff>
    </xdr:from>
    <xdr:to>
      <xdr:col>3</xdr:col>
      <xdr:colOff>1552575</xdr:colOff>
      <xdr:row>4030</xdr:row>
      <xdr:rowOff>638175</xdr:rowOff>
    </xdr:to>
    <xdr:pic>
      <xdr:nvPicPr>
        <xdr:cNvPr id="1339" name="Имя " descr="Descr ">
          <a:extLst>
            <a:ext uri="{FF2B5EF4-FFF2-40B4-BE49-F238E27FC236}">
              <a16:creationId xmlns:a16="http://schemas.microsoft.com/office/drawing/2014/main" id="{00000000-0008-0000-0000-00003B050000}"/>
            </a:ext>
          </a:extLst>
        </xdr:cNvPr>
        <xdr:cNvPicPr>
          <a:picLocks noChangeAspect="1"/>
        </xdr:cNvPicPr>
      </xdr:nvPicPr>
      <xdr:blipFill>
        <a:blip xmlns:r="http://schemas.openxmlformats.org/officeDocument/2006/relationships" r:embed="rId1338"/>
        <a:stretch>
          <a:fillRect/>
        </a:stretch>
      </xdr:blipFill>
      <xdr:spPr>
        <a:prstGeom prst="rect">
          <a:avLst/>
        </a:prstGeom>
        <a:ln w="9525">
          <a:solidFill>
            <a:srgbClr val="000000"/>
          </a:solidFill>
          <a:prstDash val="solid"/>
        </a:ln>
      </xdr:spPr>
    </xdr:pic>
    <xdr:clientData/>
  </xdr:twoCellAnchor>
  <xdr:twoCellAnchor>
    <xdr:from>
      <xdr:col>3</xdr:col>
      <xdr:colOff>114300</xdr:colOff>
      <xdr:row>4031</xdr:row>
      <xdr:rowOff>28575</xdr:rowOff>
    </xdr:from>
    <xdr:to>
      <xdr:col>3</xdr:col>
      <xdr:colOff>1552575</xdr:colOff>
      <xdr:row>4031</xdr:row>
      <xdr:rowOff>1266825</xdr:rowOff>
    </xdr:to>
    <xdr:pic>
      <xdr:nvPicPr>
        <xdr:cNvPr id="1340" name="Имя " descr="Descr ">
          <a:extLst>
            <a:ext uri="{FF2B5EF4-FFF2-40B4-BE49-F238E27FC236}">
              <a16:creationId xmlns:a16="http://schemas.microsoft.com/office/drawing/2014/main" id="{00000000-0008-0000-0000-00003C050000}"/>
            </a:ext>
          </a:extLst>
        </xdr:cNvPr>
        <xdr:cNvPicPr>
          <a:picLocks noChangeAspect="1"/>
        </xdr:cNvPicPr>
      </xdr:nvPicPr>
      <xdr:blipFill>
        <a:blip xmlns:r="http://schemas.openxmlformats.org/officeDocument/2006/relationships" r:embed="rId1339"/>
        <a:stretch>
          <a:fillRect/>
        </a:stretch>
      </xdr:blipFill>
      <xdr:spPr>
        <a:prstGeom prst="rect">
          <a:avLst/>
        </a:prstGeom>
        <a:ln w="9525">
          <a:solidFill>
            <a:srgbClr val="000000"/>
          </a:solidFill>
          <a:prstDash val="solid"/>
        </a:ln>
      </xdr:spPr>
    </xdr:pic>
    <xdr:clientData/>
  </xdr:twoCellAnchor>
  <xdr:twoCellAnchor>
    <xdr:from>
      <xdr:col>3</xdr:col>
      <xdr:colOff>114300</xdr:colOff>
      <xdr:row>4032</xdr:row>
      <xdr:rowOff>28575</xdr:rowOff>
    </xdr:from>
    <xdr:to>
      <xdr:col>3</xdr:col>
      <xdr:colOff>1552575</xdr:colOff>
      <xdr:row>4034</xdr:row>
      <xdr:rowOff>419100</xdr:rowOff>
    </xdr:to>
    <xdr:pic>
      <xdr:nvPicPr>
        <xdr:cNvPr id="1341" name="Имя " descr="Descr ">
          <a:extLst>
            <a:ext uri="{FF2B5EF4-FFF2-40B4-BE49-F238E27FC236}">
              <a16:creationId xmlns:a16="http://schemas.microsoft.com/office/drawing/2014/main" id="{00000000-0008-0000-0000-00003D050000}"/>
            </a:ext>
          </a:extLst>
        </xdr:cNvPr>
        <xdr:cNvPicPr>
          <a:picLocks noChangeAspect="1"/>
        </xdr:cNvPicPr>
      </xdr:nvPicPr>
      <xdr:blipFill>
        <a:blip xmlns:r="http://schemas.openxmlformats.org/officeDocument/2006/relationships" r:embed="rId1340"/>
        <a:stretch>
          <a:fillRect/>
        </a:stretch>
      </xdr:blipFill>
      <xdr:spPr>
        <a:prstGeom prst="rect">
          <a:avLst/>
        </a:prstGeom>
        <a:ln w="9525">
          <a:solidFill>
            <a:srgbClr val="000000"/>
          </a:solidFill>
          <a:prstDash val="solid"/>
        </a:ln>
      </xdr:spPr>
    </xdr:pic>
    <xdr:clientData/>
  </xdr:twoCellAnchor>
  <xdr:twoCellAnchor>
    <xdr:from>
      <xdr:col>3</xdr:col>
      <xdr:colOff>114300</xdr:colOff>
      <xdr:row>4035</xdr:row>
      <xdr:rowOff>28575</xdr:rowOff>
    </xdr:from>
    <xdr:to>
      <xdr:col>3</xdr:col>
      <xdr:colOff>1552575</xdr:colOff>
      <xdr:row>4037</xdr:row>
      <xdr:rowOff>419100</xdr:rowOff>
    </xdr:to>
    <xdr:pic>
      <xdr:nvPicPr>
        <xdr:cNvPr id="1342" name="Имя " descr="Descr ">
          <a:extLst>
            <a:ext uri="{FF2B5EF4-FFF2-40B4-BE49-F238E27FC236}">
              <a16:creationId xmlns:a16="http://schemas.microsoft.com/office/drawing/2014/main" id="{00000000-0008-0000-0000-00003E050000}"/>
            </a:ext>
          </a:extLst>
        </xdr:cNvPr>
        <xdr:cNvPicPr>
          <a:picLocks noChangeAspect="1"/>
        </xdr:cNvPicPr>
      </xdr:nvPicPr>
      <xdr:blipFill>
        <a:blip xmlns:r="http://schemas.openxmlformats.org/officeDocument/2006/relationships" r:embed="rId1341"/>
        <a:stretch>
          <a:fillRect/>
        </a:stretch>
      </xdr:blipFill>
      <xdr:spPr>
        <a:prstGeom prst="rect">
          <a:avLst/>
        </a:prstGeom>
        <a:ln w="9525">
          <a:solidFill>
            <a:srgbClr val="000000"/>
          </a:solidFill>
          <a:prstDash val="solid"/>
        </a:ln>
      </xdr:spPr>
    </xdr:pic>
    <xdr:clientData/>
  </xdr:twoCellAnchor>
  <xdr:twoCellAnchor>
    <xdr:from>
      <xdr:col>3</xdr:col>
      <xdr:colOff>114300</xdr:colOff>
      <xdr:row>4038</xdr:row>
      <xdr:rowOff>28575</xdr:rowOff>
    </xdr:from>
    <xdr:to>
      <xdr:col>3</xdr:col>
      <xdr:colOff>1552575</xdr:colOff>
      <xdr:row>4040</xdr:row>
      <xdr:rowOff>419100</xdr:rowOff>
    </xdr:to>
    <xdr:pic>
      <xdr:nvPicPr>
        <xdr:cNvPr id="1343" name="Имя " descr="Descr ">
          <a:extLst>
            <a:ext uri="{FF2B5EF4-FFF2-40B4-BE49-F238E27FC236}">
              <a16:creationId xmlns:a16="http://schemas.microsoft.com/office/drawing/2014/main" id="{00000000-0008-0000-0000-00003F050000}"/>
            </a:ext>
          </a:extLst>
        </xdr:cNvPr>
        <xdr:cNvPicPr>
          <a:picLocks noChangeAspect="1"/>
        </xdr:cNvPicPr>
      </xdr:nvPicPr>
      <xdr:blipFill>
        <a:blip xmlns:r="http://schemas.openxmlformats.org/officeDocument/2006/relationships" r:embed="rId1342"/>
        <a:stretch>
          <a:fillRect/>
        </a:stretch>
      </xdr:blipFill>
      <xdr:spPr>
        <a:prstGeom prst="rect">
          <a:avLst/>
        </a:prstGeom>
        <a:ln w="9525">
          <a:solidFill>
            <a:srgbClr val="000000"/>
          </a:solidFill>
          <a:prstDash val="solid"/>
        </a:ln>
      </xdr:spPr>
    </xdr:pic>
    <xdr:clientData/>
  </xdr:twoCellAnchor>
  <xdr:twoCellAnchor>
    <xdr:from>
      <xdr:col>3</xdr:col>
      <xdr:colOff>114300</xdr:colOff>
      <xdr:row>4041</xdr:row>
      <xdr:rowOff>28575</xdr:rowOff>
    </xdr:from>
    <xdr:to>
      <xdr:col>3</xdr:col>
      <xdr:colOff>1552575</xdr:colOff>
      <xdr:row>4043</xdr:row>
      <xdr:rowOff>419100</xdr:rowOff>
    </xdr:to>
    <xdr:pic>
      <xdr:nvPicPr>
        <xdr:cNvPr id="1344" name="Имя " descr="Descr ">
          <a:extLst>
            <a:ext uri="{FF2B5EF4-FFF2-40B4-BE49-F238E27FC236}">
              <a16:creationId xmlns:a16="http://schemas.microsoft.com/office/drawing/2014/main" id="{00000000-0008-0000-0000-000040050000}"/>
            </a:ext>
          </a:extLst>
        </xdr:cNvPr>
        <xdr:cNvPicPr>
          <a:picLocks noChangeAspect="1"/>
        </xdr:cNvPicPr>
      </xdr:nvPicPr>
      <xdr:blipFill>
        <a:blip xmlns:r="http://schemas.openxmlformats.org/officeDocument/2006/relationships" r:embed="rId1343"/>
        <a:stretch>
          <a:fillRect/>
        </a:stretch>
      </xdr:blipFill>
      <xdr:spPr>
        <a:prstGeom prst="rect">
          <a:avLst/>
        </a:prstGeom>
        <a:ln w="9525">
          <a:solidFill>
            <a:srgbClr val="000000"/>
          </a:solidFill>
          <a:prstDash val="solid"/>
        </a:ln>
      </xdr:spPr>
    </xdr:pic>
    <xdr:clientData/>
  </xdr:twoCellAnchor>
  <xdr:twoCellAnchor>
    <xdr:from>
      <xdr:col>3</xdr:col>
      <xdr:colOff>114300</xdr:colOff>
      <xdr:row>4044</xdr:row>
      <xdr:rowOff>28575</xdr:rowOff>
    </xdr:from>
    <xdr:to>
      <xdr:col>3</xdr:col>
      <xdr:colOff>1552575</xdr:colOff>
      <xdr:row>4046</xdr:row>
      <xdr:rowOff>419100</xdr:rowOff>
    </xdr:to>
    <xdr:pic>
      <xdr:nvPicPr>
        <xdr:cNvPr id="1345" name="Имя " descr="Descr ">
          <a:extLst>
            <a:ext uri="{FF2B5EF4-FFF2-40B4-BE49-F238E27FC236}">
              <a16:creationId xmlns:a16="http://schemas.microsoft.com/office/drawing/2014/main" id="{00000000-0008-0000-0000-000041050000}"/>
            </a:ext>
          </a:extLst>
        </xdr:cNvPr>
        <xdr:cNvPicPr>
          <a:picLocks noChangeAspect="1"/>
        </xdr:cNvPicPr>
      </xdr:nvPicPr>
      <xdr:blipFill>
        <a:blip xmlns:r="http://schemas.openxmlformats.org/officeDocument/2006/relationships" r:embed="rId1344"/>
        <a:stretch>
          <a:fillRect/>
        </a:stretch>
      </xdr:blipFill>
      <xdr:spPr>
        <a:prstGeom prst="rect">
          <a:avLst/>
        </a:prstGeom>
        <a:ln w="9525">
          <a:solidFill>
            <a:srgbClr val="000000"/>
          </a:solidFill>
          <a:prstDash val="solid"/>
        </a:ln>
      </xdr:spPr>
    </xdr:pic>
    <xdr:clientData/>
  </xdr:twoCellAnchor>
  <xdr:twoCellAnchor>
    <xdr:from>
      <xdr:col>3</xdr:col>
      <xdr:colOff>114300</xdr:colOff>
      <xdr:row>4047</xdr:row>
      <xdr:rowOff>28575</xdr:rowOff>
    </xdr:from>
    <xdr:to>
      <xdr:col>3</xdr:col>
      <xdr:colOff>1552575</xdr:colOff>
      <xdr:row>4047</xdr:row>
      <xdr:rowOff>1266825</xdr:rowOff>
    </xdr:to>
    <xdr:pic>
      <xdr:nvPicPr>
        <xdr:cNvPr id="1346" name="Имя " descr="Descr ">
          <a:extLst>
            <a:ext uri="{FF2B5EF4-FFF2-40B4-BE49-F238E27FC236}">
              <a16:creationId xmlns:a16="http://schemas.microsoft.com/office/drawing/2014/main" id="{00000000-0008-0000-0000-000042050000}"/>
            </a:ext>
          </a:extLst>
        </xdr:cNvPr>
        <xdr:cNvPicPr>
          <a:picLocks noChangeAspect="1"/>
        </xdr:cNvPicPr>
      </xdr:nvPicPr>
      <xdr:blipFill>
        <a:blip xmlns:r="http://schemas.openxmlformats.org/officeDocument/2006/relationships" r:embed="rId1345"/>
        <a:stretch>
          <a:fillRect/>
        </a:stretch>
      </xdr:blipFill>
      <xdr:spPr>
        <a:prstGeom prst="rect">
          <a:avLst/>
        </a:prstGeom>
        <a:ln w="9525">
          <a:solidFill>
            <a:srgbClr val="000000"/>
          </a:solidFill>
          <a:prstDash val="solid"/>
        </a:ln>
      </xdr:spPr>
    </xdr:pic>
    <xdr:clientData/>
  </xdr:twoCellAnchor>
  <xdr:twoCellAnchor>
    <xdr:from>
      <xdr:col>3</xdr:col>
      <xdr:colOff>114300</xdr:colOff>
      <xdr:row>4048</xdr:row>
      <xdr:rowOff>38100</xdr:rowOff>
    </xdr:from>
    <xdr:to>
      <xdr:col>3</xdr:col>
      <xdr:colOff>1552575</xdr:colOff>
      <xdr:row>4049</xdr:row>
      <xdr:rowOff>638175</xdr:rowOff>
    </xdr:to>
    <xdr:pic>
      <xdr:nvPicPr>
        <xdr:cNvPr id="1347" name="Имя " descr="Descr ">
          <a:extLst>
            <a:ext uri="{FF2B5EF4-FFF2-40B4-BE49-F238E27FC236}">
              <a16:creationId xmlns:a16="http://schemas.microsoft.com/office/drawing/2014/main" id="{00000000-0008-0000-0000-000043050000}"/>
            </a:ext>
          </a:extLst>
        </xdr:cNvPr>
        <xdr:cNvPicPr>
          <a:picLocks noChangeAspect="1"/>
        </xdr:cNvPicPr>
      </xdr:nvPicPr>
      <xdr:blipFill>
        <a:blip xmlns:r="http://schemas.openxmlformats.org/officeDocument/2006/relationships" r:embed="rId1346"/>
        <a:stretch>
          <a:fillRect/>
        </a:stretch>
      </xdr:blipFill>
      <xdr:spPr>
        <a:prstGeom prst="rect">
          <a:avLst/>
        </a:prstGeom>
        <a:ln w="9525">
          <a:solidFill>
            <a:srgbClr val="000000"/>
          </a:solidFill>
          <a:prstDash val="solid"/>
        </a:ln>
      </xdr:spPr>
    </xdr:pic>
    <xdr:clientData/>
  </xdr:twoCellAnchor>
  <xdr:twoCellAnchor>
    <xdr:from>
      <xdr:col>3</xdr:col>
      <xdr:colOff>114300</xdr:colOff>
      <xdr:row>4050</xdr:row>
      <xdr:rowOff>28575</xdr:rowOff>
    </xdr:from>
    <xdr:to>
      <xdr:col>3</xdr:col>
      <xdr:colOff>1552575</xdr:colOff>
      <xdr:row>4050</xdr:row>
      <xdr:rowOff>1266825</xdr:rowOff>
    </xdr:to>
    <xdr:pic>
      <xdr:nvPicPr>
        <xdr:cNvPr id="1348" name="Имя " descr="Descr ">
          <a:extLst>
            <a:ext uri="{FF2B5EF4-FFF2-40B4-BE49-F238E27FC236}">
              <a16:creationId xmlns:a16="http://schemas.microsoft.com/office/drawing/2014/main" id="{00000000-0008-0000-0000-000044050000}"/>
            </a:ext>
          </a:extLst>
        </xdr:cNvPr>
        <xdr:cNvPicPr>
          <a:picLocks noChangeAspect="1"/>
        </xdr:cNvPicPr>
      </xdr:nvPicPr>
      <xdr:blipFill>
        <a:blip xmlns:r="http://schemas.openxmlformats.org/officeDocument/2006/relationships" r:embed="rId1347"/>
        <a:stretch>
          <a:fillRect/>
        </a:stretch>
      </xdr:blipFill>
      <xdr:spPr>
        <a:prstGeom prst="rect">
          <a:avLst/>
        </a:prstGeom>
        <a:ln w="9525">
          <a:solidFill>
            <a:srgbClr val="000000"/>
          </a:solidFill>
          <a:prstDash val="solid"/>
        </a:ln>
      </xdr:spPr>
    </xdr:pic>
    <xdr:clientData/>
  </xdr:twoCellAnchor>
  <xdr:twoCellAnchor>
    <xdr:from>
      <xdr:col>3</xdr:col>
      <xdr:colOff>114300</xdr:colOff>
      <xdr:row>4051</xdr:row>
      <xdr:rowOff>28575</xdr:rowOff>
    </xdr:from>
    <xdr:to>
      <xdr:col>3</xdr:col>
      <xdr:colOff>1552575</xdr:colOff>
      <xdr:row>4051</xdr:row>
      <xdr:rowOff>1266825</xdr:rowOff>
    </xdr:to>
    <xdr:pic>
      <xdr:nvPicPr>
        <xdr:cNvPr id="1349" name="Имя " descr="Descr ">
          <a:extLst>
            <a:ext uri="{FF2B5EF4-FFF2-40B4-BE49-F238E27FC236}">
              <a16:creationId xmlns:a16="http://schemas.microsoft.com/office/drawing/2014/main" id="{00000000-0008-0000-0000-000045050000}"/>
            </a:ext>
          </a:extLst>
        </xdr:cNvPr>
        <xdr:cNvPicPr>
          <a:picLocks noChangeAspect="1"/>
        </xdr:cNvPicPr>
      </xdr:nvPicPr>
      <xdr:blipFill>
        <a:blip xmlns:r="http://schemas.openxmlformats.org/officeDocument/2006/relationships" r:embed="rId1348"/>
        <a:stretch>
          <a:fillRect/>
        </a:stretch>
      </xdr:blipFill>
      <xdr:spPr>
        <a:prstGeom prst="rect">
          <a:avLst/>
        </a:prstGeom>
        <a:ln w="9525">
          <a:solidFill>
            <a:srgbClr val="000000"/>
          </a:solidFill>
          <a:prstDash val="solid"/>
        </a:ln>
      </xdr:spPr>
    </xdr:pic>
    <xdr:clientData/>
  </xdr:twoCellAnchor>
  <xdr:twoCellAnchor>
    <xdr:from>
      <xdr:col>3</xdr:col>
      <xdr:colOff>114300</xdr:colOff>
      <xdr:row>4052</xdr:row>
      <xdr:rowOff>38100</xdr:rowOff>
    </xdr:from>
    <xdr:to>
      <xdr:col>3</xdr:col>
      <xdr:colOff>1552575</xdr:colOff>
      <xdr:row>4053</xdr:row>
      <xdr:rowOff>638175</xdr:rowOff>
    </xdr:to>
    <xdr:pic>
      <xdr:nvPicPr>
        <xdr:cNvPr id="1350" name="Имя " descr="Descr ">
          <a:extLst>
            <a:ext uri="{FF2B5EF4-FFF2-40B4-BE49-F238E27FC236}">
              <a16:creationId xmlns:a16="http://schemas.microsoft.com/office/drawing/2014/main" id="{00000000-0008-0000-0000-000046050000}"/>
            </a:ext>
          </a:extLst>
        </xdr:cNvPr>
        <xdr:cNvPicPr>
          <a:picLocks noChangeAspect="1"/>
        </xdr:cNvPicPr>
      </xdr:nvPicPr>
      <xdr:blipFill>
        <a:blip xmlns:r="http://schemas.openxmlformats.org/officeDocument/2006/relationships" r:embed="rId1349"/>
        <a:stretch>
          <a:fillRect/>
        </a:stretch>
      </xdr:blipFill>
      <xdr:spPr>
        <a:prstGeom prst="rect">
          <a:avLst/>
        </a:prstGeom>
        <a:ln w="9525">
          <a:solidFill>
            <a:srgbClr val="000000"/>
          </a:solidFill>
          <a:prstDash val="solid"/>
        </a:ln>
      </xdr:spPr>
    </xdr:pic>
    <xdr:clientData/>
  </xdr:twoCellAnchor>
  <xdr:twoCellAnchor>
    <xdr:from>
      <xdr:col>3</xdr:col>
      <xdr:colOff>114300</xdr:colOff>
      <xdr:row>4054</xdr:row>
      <xdr:rowOff>38100</xdr:rowOff>
    </xdr:from>
    <xdr:to>
      <xdr:col>3</xdr:col>
      <xdr:colOff>1552575</xdr:colOff>
      <xdr:row>4055</xdr:row>
      <xdr:rowOff>638175</xdr:rowOff>
    </xdr:to>
    <xdr:pic>
      <xdr:nvPicPr>
        <xdr:cNvPr id="1351" name="Имя " descr="Descr ">
          <a:extLst>
            <a:ext uri="{FF2B5EF4-FFF2-40B4-BE49-F238E27FC236}">
              <a16:creationId xmlns:a16="http://schemas.microsoft.com/office/drawing/2014/main" id="{00000000-0008-0000-0000-000047050000}"/>
            </a:ext>
          </a:extLst>
        </xdr:cNvPr>
        <xdr:cNvPicPr>
          <a:picLocks noChangeAspect="1"/>
        </xdr:cNvPicPr>
      </xdr:nvPicPr>
      <xdr:blipFill>
        <a:blip xmlns:r="http://schemas.openxmlformats.org/officeDocument/2006/relationships" r:embed="rId1350"/>
        <a:stretch>
          <a:fillRect/>
        </a:stretch>
      </xdr:blipFill>
      <xdr:spPr>
        <a:prstGeom prst="rect">
          <a:avLst/>
        </a:prstGeom>
        <a:ln w="9525">
          <a:solidFill>
            <a:srgbClr val="000000"/>
          </a:solidFill>
          <a:prstDash val="solid"/>
        </a:ln>
      </xdr:spPr>
    </xdr:pic>
    <xdr:clientData/>
  </xdr:twoCellAnchor>
  <xdr:twoCellAnchor>
    <xdr:from>
      <xdr:col>3</xdr:col>
      <xdr:colOff>114300</xdr:colOff>
      <xdr:row>4056</xdr:row>
      <xdr:rowOff>28575</xdr:rowOff>
    </xdr:from>
    <xdr:to>
      <xdr:col>3</xdr:col>
      <xdr:colOff>1552575</xdr:colOff>
      <xdr:row>4056</xdr:row>
      <xdr:rowOff>1266825</xdr:rowOff>
    </xdr:to>
    <xdr:pic>
      <xdr:nvPicPr>
        <xdr:cNvPr id="1352" name="Имя " descr="Descr ">
          <a:extLst>
            <a:ext uri="{FF2B5EF4-FFF2-40B4-BE49-F238E27FC236}">
              <a16:creationId xmlns:a16="http://schemas.microsoft.com/office/drawing/2014/main" id="{00000000-0008-0000-0000-000048050000}"/>
            </a:ext>
          </a:extLst>
        </xdr:cNvPr>
        <xdr:cNvPicPr>
          <a:picLocks noChangeAspect="1"/>
        </xdr:cNvPicPr>
      </xdr:nvPicPr>
      <xdr:blipFill>
        <a:blip xmlns:r="http://schemas.openxmlformats.org/officeDocument/2006/relationships" r:embed="rId1351"/>
        <a:stretch>
          <a:fillRect/>
        </a:stretch>
      </xdr:blipFill>
      <xdr:spPr>
        <a:prstGeom prst="rect">
          <a:avLst/>
        </a:prstGeom>
        <a:ln w="9525">
          <a:solidFill>
            <a:srgbClr val="000000"/>
          </a:solidFill>
          <a:prstDash val="solid"/>
        </a:ln>
      </xdr:spPr>
    </xdr:pic>
    <xdr:clientData/>
  </xdr:twoCellAnchor>
  <xdr:twoCellAnchor>
    <xdr:from>
      <xdr:col>3</xdr:col>
      <xdr:colOff>114300</xdr:colOff>
      <xdr:row>4057</xdr:row>
      <xdr:rowOff>28575</xdr:rowOff>
    </xdr:from>
    <xdr:to>
      <xdr:col>3</xdr:col>
      <xdr:colOff>1552575</xdr:colOff>
      <xdr:row>4057</xdr:row>
      <xdr:rowOff>1266825</xdr:rowOff>
    </xdr:to>
    <xdr:pic>
      <xdr:nvPicPr>
        <xdr:cNvPr id="1353" name="Имя " descr="Descr ">
          <a:extLst>
            <a:ext uri="{FF2B5EF4-FFF2-40B4-BE49-F238E27FC236}">
              <a16:creationId xmlns:a16="http://schemas.microsoft.com/office/drawing/2014/main" id="{00000000-0008-0000-0000-000049050000}"/>
            </a:ext>
          </a:extLst>
        </xdr:cNvPr>
        <xdr:cNvPicPr>
          <a:picLocks noChangeAspect="1"/>
        </xdr:cNvPicPr>
      </xdr:nvPicPr>
      <xdr:blipFill>
        <a:blip xmlns:r="http://schemas.openxmlformats.org/officeDocument/2006/relationships" r:embed="rId1352"/>
        <a:stretch>
          <a:fillRect/>
        </a:stretch>
      </xdr:blipFill>
      <xdr:spPr>
        <a:prstGeom prst="rect">
          <a:avLst/>
        </a:prstGeom>
        <a:ln w="9525">
          <a:solidFill>
            <a:srgbClr val="000000"/>
          </a:solidFill>
          <a:prstDash val="solid"/>
        </a:ln>
      </xdr:spPr>
    </xdr:pic>
    <xdr:clientData/>
  </xdr:twoCellAnchor>
  <xdr:twoCellAnchor>
    <xdr:from>
      <xdr:col>3</xdr:col>
      <xdr:colOff>114300</xdr:colOff>
      <xdr:row>4058</xdr:row>
      <xdr:rowOff>28575</xdr:rowOff>
    </xdr:from>
    <xdr:to>
      <xdr:col>3</xdr:col>
      <xdr:colOff>1552575</xdr:colOff>
      <xdr:row>4058</xdr:row>
      <xdr:rowOff>1266825</xdr:rowOff>
    </xdr:to>
    <xdr:pic>
      <xdr:nvPicPr>
        <xdr:cNvPr id="1354" name="Имя " descr="Descr ">
          <a:extLst>
            <a:ext uri="{FF2B5EF4-FFF2-40B4-BE49-F238E27FC236}">
              <a16:creationId xmlns:a16="http://schemas.microsoft.com/office/drawing/2014/main" id="{00000000-0008-0000-0000-00004A050000}"/>
            </a:ext>
          </a:extLst>
        </xdr:cNvPr>
        <xdr:cNvPicPr>
          <a:picLocks noChangeAspect="1"/>
        </xdr:cNvPicPr>
      </xdr:nvPicPr>
      <xdr:blipFill>
        <a:blip xmlns:r="http://schemas.openxmlformats.org/officeDocument/2006/relationships" r:embed="rId1353"/>
        <a:stretch>
          <a:fillRect/>
        </a:stretch>
      </xdr:blipFill>
      <xdr:spPr>
        <a:prstGeom prst="rect">
          <a:avLst/>
        </a:prstGeom>
        <a:ln w="9525">
          <a:solidFill>
            <a:srgbClr val="000000"/>
          </a:solidFill>
          <a:prstDash val="solid"/>
        </a:ln>
      </xdr:spPr>
    </xdr:pic>
    <xdr:clientData/>
  </xdr:twoCellAnchor>
  <xdr:twoCellAnchor>
    <xdr:from>
      <xdr:col>3</xdr:col>
      <xdr:colOff>114300</xdr:colOff>
      <xdr:row>4059</xdr:row>
      <xdr:rowOff>28575</xdr:rowOff>
    </xdr:from>
    <xdr:to>
      <xdr:col>3</xdr:col>
      <xdr:colOff>1552575</xdr:colOff>
      <xdr:row>4059</xdr:row>
      <xdr:rowOff>1266825</xdr:rowOff>
    </xdr:to>
    <xdr:pic>
      <xdr:nvPicPr>
        <xdr:cNvPr id="1355" name="Имя " descr="Descr ">
          <a:extLst>
            <a:ext uri="{FF2B5EF4-FFF2-40B4-BE49-F238E27FC236}">
              <a16:creationId xmlns:a16="http://schemas.microsoft.com/office/drawing/2014/main" id="{00000000-0008-0000-0000-00004B050000}"/>
            </a:ext>
          </a:extLst>
        </xdr:cNvPr>
        <xdr:cNvPicPr>
          <a:picLocks noChangeAspect="1"/>
        </xdr:cNvPicPr>
      </xdr:nvPicPr>
      <xdr:blipFill>
        <a:blip xmlns:r="http://schemas.openxmlformats.org/officeDocument/2006/relationships" r:embed="rId1354"/>
        <a:stretch>
          <a:fillRect/>
        </a:stretch>
      </xdr:blipFill>
      <xdr:spPr>
        <a:prstGeom prst="rect">
          <a:avLst/>
        </a:prstGeom>
        <a:ln w="9525">
          <a:solidFill>
            <a:srgbClr val="000000"/>
          </a:solidFill>
          <a:prstDash val="solid"/>
        </a:ln>
      </xdr:spPr>
    </xdr:pic>
    <xdr:clientData/>
  </xdr:twoCellAnchor>
  <xdr:twoCellAnchor>
    <xdr:from>
      <xdr:col>3</xdr:col>
      <xdr:colOff>114300</xdr:colOff>
      <xdr:row>4060</xdr:row>
      <xdr:rowOff>28575</xdr:rowOff>
    </xdr:from>
    <xdr:to>
      <xdr:col>3</xdr:col>
      <xdr:colOff>1552575</xdr:colOff>
      <xdr:row>4060</xdr:row>
      <xdr:rowOff>1266825</xdr:rowOff>
    </xdr:to>
    <xdr:pic>
      <xdr:nvPicPr>
        <xdr:cNvPr id="1356" name="Имя " descr="Descr ">
          <a:extLst>
            <a:ext uri="{FF2B5EF4-FFF2-40B4-BE49-F238E27FC236}">
              <a16:creationId xmlns:a16="http://schemas.microsoft.com/office/drawing/2014/main" id="{00000000-0008-0000-0000-00004C050000}"/>
            </a:ext>
          </a:extLst>
        </xdr:cNvPr>
        <xdr:cNvPicPr>
          <a:picLocks noChangeAspect="1"/>
        </xdr:cNvPicPr>
      </xdr:nvPicPr>
      <xdr:blipFill>
        <a:blip xmlns:r="http://schemas.openxmlformats.org/officeDocument/2006/relationships" r:embed="rId1355"/>
        <a:stretch>
          <a:fillRect/>
        </a:stretch>
      </xdr:blipFill>
      <xdr:spPr>
        <a:prstGeom prst="rect">
          <a:avLst/>
        </a:prstGeom>
        <a:ln w="9525">
          <a:solidFill>
            <a:srgbClr val="000000"/>
          </a:solidFill>
          <a:prstDash val="solid"/>
        </a:ln>
      </xdr:spPr>
    </xdr:pic>
    <xdr:clientData/>
  </xdr:twoCellAnchor>
  <xdr:twoCellAnchor>
    <xdr:from>
      <xdr:col>3</xdr:col>
      <xdr:colOff>114300</xdr:colOff>
      <xdr:row>4061</xdr:row>
      <xdr:rowOff>28575</xdr:rowOff>
    </xdr:from>
    <xdr:to>
      <xdr:col>3</xdr:col>
      <xdr:colOff>1552575</xdr:colOff>
      <xdr:row>4061</xdr:row>
      <xdr:rowOff>1266825</xdr:rowOff>
    </xdr:to>
    <xdr:pic>
      <xdr:nvPicPr>
        <xdr:cNvPr id="1357" name="Имя " descr="Descr ">
          <a:extLst>
            <a:ext uri="{FF2B5EF4-FFF2-40B4-BE49-F238E27FC236}">
              <a16:creationId xmlns:a16="http://schemas.microsoft.com/office/drawing/2014/main" id="{00000000-0008-0000-0000-00004D050000}"/>
            </a:ext>
          </a:extLst>
        </xdr:cNvPr>
        <xdr:cNvPicPr>
          <a:picLocks noChangeAspect="1"/>
        </xdr:cNvPicPr>
      </xdr:nvPicPr>
      <xdr:blipFill>
        <a:blip xmlns:r="http://schemas.openxmlformats.org/officeDocument/2006/relationships" r:embed="rId1356"/>
        <a:stretch>
          <a:fillRect/>
        </a:stretch>
      </xdr:blipFill>
      <xdr:spPr>
        <a:prstGeom prst="rect">
          <a:avLst/>
        </a:prstGeom>
        <a:ln w="9525">
          <a:solidFill>
            <a:srgbClr val="000000"/>
          </a:solidFill>
          <a:prstDash val="solid"/>
        </a:ln>
      </xdr:spPr>
    </xdr:pic>
    <xdr:clientData/>
  </xdr:twoCellAnchor>
  <xdr:twoCellAnchor>
    <xdr:from>
      <xdr:col>3</xdr:col>
      <xdr:colOff>114300</xdr:colOff>
      <xdr:row>4062</xdr:row>
      <xdr:rowOff>28575</xdr:rowOff>
    </xdr:from>
    <xdr:to>
      <xdr:col>3</xdr:col>
      <xdr:colOff>1552575</xdr:colOff>
      <xdr:row>4062</xdr:row>
      <xdr:rowOff>1266825</xdr:rowOff>
    </xdr:to>
    <xdr:pic>
      <xdr:nvPicPr>
        <xdr:cNvPr id="1358" name="Имя " descr="Descr ">
          <a:extLst>
            <a:ext uri="{FF2B5EF4-FFF2-40B4-BE49-F238E27FC236}">
              <a16:creationId xmlns:a16="http://schemas.microsoft.com/office/drawing/2014/main" id="{00000000-0008-0000-0000-00004E050000}"/>
            </a:ext>
          </a:extLst>
        </xdr:cNvPr>
        <xdr:cNvPicPr>
          <a:picLocks noChangeAspect="1"/>
        </xdr:cNvPicPr>
      </xdr:nvPicPr>
      <xdr:blipFill>
        <a:blip xmlns:r="http://schemas.openxmlformats.org/officeDocument/2006/relationships" r:embed="rId1357"/>
        <a:stretch>
          <a:fillRect/>
        </a:stretch>
      </xdr:blipFill>
      <xdr:spPr>
        <a:prstGeom prst="rect">
          <a:avLst/>
        </a:prstGeom>
        <a:ln w="9525">
          <a:solidFill>
            <a:srgbClr val="000000"/>
          </a:solidFill>
          <a:prstDash val="solid"/>
        </a:ln>
      </xdr:spPr>
    </xdr:pic>
    <xdr:clientData/>
  </xdr:twoCellAnchor>
  <xdr:twoCellAnchor>
    <xdr:from>
      <xdr:col>3</xdr:col>
      <xdr:colOff>114300</xdr:colOff>
      <xdr:row>4063</xdr:row>
      <xdr:rowOff>28575</xdr:rowOff>
    </xdr:from>
    <xdr:to>
      <xdr:col>3</xdr:col>
      <xdr:colOff>1552575</xdr:colOff>
      <xdr:row>4063</xdr:row>
      <xdr:rowOff>1266825</xdr:rowOff>
    </xdr:to>
    <xdr:pic>
      <xdr:nvPicPr>
        <xdr:cNvPr id="1359" name="Имя " descr="Descr ">
          <a:extLst>
            <a:ext uri="{FF2B5EF4-FFF2-40B4-BE49-F238E27FC236}">
              <a16:creationId xmlns:a16="http://schemas.microsoft.com/office/drawing/2014/main" id="{00000000-0008-0000-0000-00004F050000}"/>
            </a:ext>
          </a:extLst>
        </xdr:cNvPr>
        <xdr:cNvPicPr>
          <a:picLocks noChangeAspect="1"/>
        </xdr:cNvPicPr>
      </xdr:nvPicPr>
      <xdr:blipFill>
        <a:blip xmlns:r="http://schemas.openxmlformats.org/officeDocument/2006/relationships" r:embed="rId1358"/>
        <a:stretch>
          <a:fillRect/>
        </a:stretch>
      </xdr:blipFill>
      <xdr:spPr>
        <a:prstGeom prst="rect">
          <a:avLst/>
        </a:prstGeom>
        <a:ln w="9525">
          <a:solidFill>
            <a:srgbClr val="000000"/>
          </a:solidFill>
          <a:prstDash val="solid"/>
        </a:ln>
      </xdr:spPr>
    </xdr:pic>
    <xdr:clientData/>
  </xdr:twoCellAnchor>
  <xdr:twoCellAnchor>
    <xdr:from>
      <xdr:col>3</xdr:col>
      <xdr:colOff>114300</xdr:colOff>
      <xdr:row>4064</xdr:row>
      <xdr:rowOff>28575</xdr:rowOff>
    </xdr:from>
    <xdr:to>
      <xdr:col>3</xdr:col>
      <xdr:colOff>1552575</xdr:colOff>
      <xdr:row>4064</xdr:row>
      <xdr:rowOff>1266825</xdr:rowOff>
    </xdr:to>
    <xdr:pic>
      <xdr:nvPicPr>
        <xdr:cNvPr id="1360" name="Имя " descr="Descr ">
          <a:extLst>
            <a:ext uri="{FF2B5EF4-FFF2-40B4-BE49-F238E27FC236}">
              <a16:creationId xmlns:a16="http://schemas.microsoft.com/office/drawing/2014/main" id="{00000000-0008-0000-0000-000050050000}"/>
            </a:ext>
          </a:extLst>
        </xdr:cNvPr>
        <xdr:cNvPicPr>
          <a:picLocks noChangeAspect="1"/>
        </xdr:cNvPicPr>
      </xdr:nvPicPr>
      <xdr:blipFill>
        <a:blip xmlns:r="http://schemas.openxmlformats.org/officeDocument/2006/relationships" r:embed="rId1359"/>
        <a:stretch>
          <a:fillRect/>
        </a:stretch>
      </xdr:blipFill>
      <xdr:spPr>
        <a:prstGeom prst="rect">
          <a:avLst/>
        </a:prstGeom>
        <a:ln w="9525">
          <a:solidFill>
            <a:srgbClr val="000000"/>
          </a:solidFill>
          <a:prstDash val="solid"/>
        </a:ln>
      </xdr:spPr>
    </xdr:pic>
    <xdr:clientData/>
  </xdr:twoCellAnchor>
  <xdr:twoCellAnchor>
    <xdr:from>
      <xdr:col>3</xdr:col>
      <xdr:colOff>114300</xdr:colOff>
      <xdr:row>4065</xdr:row>
      <xdr:rowOff>28575</xdr:rowOff>
    </xdr:from>
    <xdr:to>
      <xdr:col>3</xdr:col>
      <xdr:colOff>1552575</xdr:colOff>
      <xdr:row>4065</xdr:row>
      <xdr:rowOff>1266825</xdr:rowOff>
    </xdr:to>
    <xdr:pic>
      <xdr:nvPicPr>
        <xdr:cNvPr id="1361" name="Имя " descr="Descr ">
          <a:extLst>
            <a:ext uri="{FF2B5EF4-FFF2-40B4-BE49-F238E27FC236}">
              <a16:creationId xmlns:a16="http://schemas.microsoft.com/office/drawing/2014/main" id="{00000000-0008-0000-0000-000051050000}"/>
            </a:ext>
          </a:extLst>
        </xdr:cNvPr>
        <xdr:cNvPicPr>
          <a:picLocks noChangeAspect="1"/>
        </xdr:cNvPicPr>
      </xdr:nvPicPr>
      <xdr:blipFill>
        <a:blip xmlns:r="http://schemas.openxmlformats.org/officeDocument/2006/relationships" r:embed="rId1360"/>
        <a:stretch>
          <a:fillRect/>
        </a:stretch>
      </xdr:blipFill>
      <xdr:spPr>
        <a:prstGeom prst="rect">
          <a:avLst/>
        </a:prstGeom>
        <a:ln w="9525">
          <a:solidFill>
            <a:srgbClr val="000000"/>
          </a:solidFill>
          <a:prstDash val="solid"/>
        </a:ln>
      </xdr:spPr>
    </xdr:pic>
    <xdr:clientData/>
  </xdr:twoCellAnchor>
  <xdr:twoCellAnchor>
    <xdr:from>
      <xdr:col>3</xdr:col>
      <xdr:colOff>114300</xdr:colOff>
      <xdr:row>4066</xdr:row>
      <xdr:rowOff>28575</xdr:rowOff>
    </xdr:from>
    <xdr:to>
      <xdr:col>3</xdr:col>
      <xdr:colOff>1552575</xdr:colOff>
      <xdr:row>4066</xdr:row>
      <xdr:rowOff>1266825</xdr:rowOff>
    </xdr:to>
    <xdr:pic>
      <xdr:nvPicPr>
        <xdr:cNvPr id="1362" name="Имя " descr="Descr ">
          <a:extLst>
            <a:ext uri="{FF2B5EF4-FFF2-40B4-BE49-F238E27FC236}">
              <a16:creationId xmlns:a16="http://schemas.microsoft.com/office/drawing/2014/main" id="{00000000-0008-0000-0000-000052050000}"/>
            </a:ext>
          </a:extLst>
        </xdr:cNvPr>
        <xdr:cNvPicPr>
          <a:picLocks noChangeAspect="1"/>
        </xdr:cNvPicPr>
      </xdr:nvPicPr>
      <xdr:blipFill>
        <a:blip xmlns:r="http://schemas.openxmlformats.org/officeDocument/2006/relationships" r:embed="rId1361"/>
        <a:stretch>
          <a:fillRect/>
        </a:stretch>
      </xdr:blipFill>
      <xdr:spPr>
        <a:prstGeom prst="rect">
          <a:avLst/>
        </a:prstGeom>
        <a:ln w="9525">
          <a:solidFill>
            <a:srgbClr val="000000"/>
          </a:solidFill>
          <a:prstDash val="solid"/>
        </a:ln>
      </xdr:spPr>
    </xdr:pic>
    <xdr:clientData/>
  </xdr:twoCellAnchor>
  <xdr:twoCellAnchor>
    <xdr:from>
      <xdr:col>3</xdr:col>
      <xdr:colOff>114300</xdr:colOff>
      <xdr:row>4067</xdr:row>
      <xdr:rowOff>28575</xdr:rowOff>
    </xdr:from>
    <xdr:to>
      <xdr:col>3</xdr:col>
      <xdr:colOff>1552575</xdr:colOff>
      <xdr:row>4067</xdr:row>
      <xdr:rowOff>1266825</xdr:rowOff>
    </xdr:to>
    <xdr:pic>
      <xdr:nvPicPr>
        <xdr:cNvPr id="1363" name="Имя " descr="Descr ">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1362"/>
        <a:stretch>
          <a:fillRect/>
        </a:stretch>
      </xdr:blipFill>
      <xdr:spPr>
        <a:prstGeom prst="rect">
          <a:avLst/>
        </a:prstGeom>
        <a:ln w="9525">
          <a:solidFill>
            <a:srgbClr val="000000"/>
          </a:solidFill>
          <a:prstDash val="solid"/>
        </a:ln>
      </xdr:spPr>
    </xdr:pic>
    <xdr:clientData/>
  </xdr:twoCellAnchor>
  <xdr:twoCellAnchor>
    <xdr:from>
      <xdr:col>3</xdr:col>
      <xdr:colOff>114300</xdr:colOff>
      <xdr:row>4068</xdr:row>
      <xdr:rowOff>28575</xdr:rowOff>
    </xdr:from>
    <xdr:to>
      <xdr:col>3</xdr:col>
      <xdr:colOff>1552575</xdr:colOff>
      <xdr:row>4068</xdr:row>
      <xdr:rowOff>1266825</xdr:rowOff>
    </xdr:to>
    <xdr:pic>
      <xdr:nvPicPr>
        <xdr:cNvPr id="1364" name="Имя " descr="Descr ">
          <a:extLst>
            <a:ext uri="{FF2B5EF4-FFF2-40B4-BE49-F238E27FC236}">
              <a16:creationId xmlns:a16="http://schemas.microsoft.com/office/drawing/2014/main" id="{00000000-0008-0000-0000-000054050000}"/>
            </a:ext>
          </a:extLst>
        </xdr:cNvPr>
        <xdr:cNvPicPr>
          <a:picLocks noChangeAspect="1"/>
        </xdr:cNvPicPr>
      </xdr:nvPicPr>
      <xdr:blipFill>
        <a:blip xmlns:r="http://schemas.openxmlformats.org/officeDocument/2006/relationships" r:embed="rId1363"/>
        <a:stretch>
          <a:fillRect/>
        </a:stretch>
      </xdr:blipFill>
      <xdr:spPr>
        <a:prstGeom prst="rect">
          <a:avLst/>
        </a:prstGeom>
        <a:ln w="9525">
          <a:solidFill>
            <a:srgbClr val="000000"/>
          </a:solidFill>
          <a:prstDash val="solid"/>
        </a:ln>
      </xdr:spPr>
    </xdr:pic>
    <xdr:clientData/>
  </xdr:twoCellAnchor>
  <xdr:twoCellAnchor>
    <xdr:from>
      <xdr:col>3</xdr:col>
      <xdr:colOff>114300</xdr:colOff>
      <xdr:row>4069</xdr:row>
      <xdr:rowOff>28575</xdr:rowOff>
    </xdr:from>
    <xdr:to>
      <xdr:col>3</xdr:col>
      <xdr:colOff>1552575</xdr:colOff>
      <xdr:row>4069</xdr:row>
      <xdr:rowOff>1266825</xdr:rowOff>
    </xdr:to>
    <xdr:pic>
      <xdr:nvPicPr>
        <xdr:cNvPr id="1365" name="Имя " descr="Descr ">
          <a:extLst>
            <a:ext uri="{FF2B5EF4-FFF2-40B4-BE49-F238E27FC236}">
              <a16:creationId xmlns:a16="http://schemas.microsoft.com/office/drawing/2014/main" id="{00000000-0008-0000-0000-000055050000}"/>
            </a:ext>
          </a:extLst>
        </xdr:cNvPr>
        <xdr:cNvPicPr>
          <a:picLocks noChangeAspect="1"/>
        </xdr:cNvPicPr>
      </xdr:nvPicPr>
      <xdr:blipFill>
        <a:blip xmlns:r="http://schemas.openxmlformats.org/officeDocument/2006/relationships" r:embed="rId1364"/>
        <a:stretch>
          <a:fillRect/>
        </a:stretch>
      </xdr:blipFill>
      <xdr:spPr>
        <a:prstGeom prst="rect">
          <a:avLst/>
        </a:prstGeom>
        <a:ln w="9525">
          <a:solidFill>
            <a:srgbClr val="000000"/>
          </a:solidFill>
          <a:prstDash val="solid"/>
        </a:ln>
      </xdr:spPr>
    </xdr:pic>
    <xdr:clientData/>
  </xdr:twoCellAnchor>
  <xdr:twoCellAnchor>
    <xdr:from>
      <xdr:col>3</xdr:col>
      <xdr:colOff>114300</xdr:colOff>
      <xdr:row>4070</xdr:row>
      <xdr:rowOff>28575</xdr:rowOff>
    </xdr:from>
    <xdr:to>
      <xdr:col>3</xdr:col>
      <xdr:colOff>1552575</xdr:colOff>
      <xdr:row>4070</xdr:row>
      <xdr:rowOff>1266825</xdr:rowOff>
    </xdr:to>
    <xdr:pic>
      <xdr:nvPicPr>
        <xdr:cNvPr id="1366" name="Имя " descr="Descr ">
          <a:extLst>
            <a:ext uri="{FF2B5EF4-FFF2-40B4-BE49-F238E27FC236}">
              <a16:creationId xmlns:a16="http://schemas.microsoft.com/office/drawing/2014/main" id="{00000000-0008-0000-0000-000056050000}"/>
            </a:ext>
          </a:extLst>
        </xdr:cNvPr>
        <xdr:cNvPicPr>
          <a:picLocks noChangeAspect="1"/>
        </xdr:cNvPicPr>
      </xdr:nvPicPr>
      <xdr:blipFill>
        <a:blip xmlns:r="http://schemas.openxmlformats.org/officeDocument/2006/relationships" r:embed="rId1365"/>
        <a:stretch>
          <a:fillRect/>
        </a:stretch>
      </xdr:blipFill>
      <xdr:spPr>
        <a:prstGeom prst="rect">
          <a:avLst/>
        </a:prstGeom>
        <a:ln w="9525">
          <a:solidFill>
            <a:srgbClr val="000000"/>
          </a:solidFill>
          <a:prstDash val="solid"/>
        </a:ln>
      </xdr:spPr>
    </xdr:pic>
    <xdr:clientData/>
  </xdr:twoCellAnchor>
  <xdr:twoCellAnchor>
    <xdr:from>
      <xdr:col>3</xdr:col>
      <xdr:colOff>114300</xdr:colOff>
      <xdr:row>4071</xdr:row>
      <xdr:rowOff>28575</xdr:rowOff>
    </xdr:from>
    <xdr:to>
      <xdr:col>3</xdr:col>
      <xdr:colOff>1552575</xdr:colOff>
      <xdr:row>4071</xdr:row>
      <xdr:rowOff>1266825</xdr:rowOff>
    </xdr:to>
    <xdr:pic>
      <xdr:nvPicPr>
        <xdr:cNvPr id="1367" name="Имя " descr="Descr ">
          <a:extLst>
            <a:ext uri="{FF2B5EF4-FFF2-40B4-BE49-F238E27FC236}">
              <a16:creationId xmlns:a16="http://schemas.microsoft.com/office/drawing/2014/main" id="{00000000-0008-0000-0000-000057050000}"/>
            </a:ext>
          </a:extLst>
        </xdr:cNvPr>
        <xdr:cNvPicPr>
          <a:picLocks noChangeAspect="1"/>
        </xdr:cNvPicPr>
      </xdr:nvPicPr>
      <xdr:blipFill>
        <a:blip xmlns:r="http://schemas.openxmlformats.org/officeDocument/2006/relationships" r:embed="rId1366"/>
        <a:stretch>
          <a:fillRect/>
        </a:stretch>
      </xdr:blipFill>
      <xdr:spPr>
        <a:prstGeom prst="rect">
          <a:avLst/>
        </a:prstGeom>
        <a:ln w="9525">
          <a:solidFill>
            <a:srgbClr val="000000"/>
          </a:solidFill>
          <a:prstDash val="solid"/>
        </a:ln>
      </xdr:spPr>
    </xdr:pic>
    <xdr:clientData/>
  </xdr:twoCellAnchor>
  <xdr:twoCellAnchor>
    <xdr:from>
      <xdr:col>3</xdr:col>
      <xdr:colOff>114300</xdr:colOff>
      <xdr:row>4072</xdr:row>
      <xdr:rowOff>28575</xdr:rowOff>
    </xdr:from>
    <xdr:to>
      <xdr:col>3</xdr:col>
      <xdr:colOff>1552575</xdr:colOff>
      <xdr:row>4072</xdr:row>
      <xdr:rowOff>1266825</xdr:rowOff>
    </xdr:to>
    <xdr:pic>
      <xdr:nvPicPr>
        <xdr:cNvPr id="1368" name="Имя " descr="Descr ">
          <a:extLst>
            <a:ext uri="{FF2B5EF4-FFF2-40B4-BE49-F238E27FC236}">
              <a16:creationId xmlns:a16="http://schemas.microsoft.com/office/drawing/2014/main" id="{00000000-0008-0000-0000-000058050000}"/>
            </a:ext>
          </a:extLst>
        </xdr:cNvPr>
        <xdr:cNvPicPr>
          <a:picLocks noChangeAspect="1"/>
        </xdr:cNvPicPr>
      </xdr:nvPicPr>
      <xdr:blipFill>
        <a:blip xmlns:r="http://schemas.openxmlformats.org/officeDocument/2006/relationships" r:embed="rId1367"/>
        <a:stretch>
          <a:fillRect/>
        </a:stretch>
      </xdr:blipFill>
      <xdr:spPr>
        <a:prstGeom prst="rect">
          <a:avLst/>
        </a:prstGeom>
        <a:ln w="9525">
          <a:solidFill>
            <a:srgbClr val="000000"/>
          </a:solidFill>
          <a:prstDash val="solid"/>
        </a:ln>
      </xdr:spPr>
    </xdr:pic>
    <xdr:clientData/>
  </xdr:twoCellAnchor>
  <xdr:twoCellAnchor>
    <xdr:from>
      <xdr:col>3</xdr:col>
      <xdr:colOff>114300</xdr:colOff>
      <xdr:row>4073</xdr:row>
      <xdr:rowOff>28575</xdr:rowOff>
    </xdr:from>
    <xdr:to>
      <xdr:col>3</xdr:col>
      <xdr:colOff>1552575</xdr:colOff>
      <xdr:row>4073</xdr:row>
      <xdr:rowOff>1266825</xdr:rowOff>
    </xdr:to>
    <xdr:pic>
      <xdr:nvPicPr>
        <xdr:cNvPr id="1369" name="Имя " descr="Descr ">
          <a:extLst>
            <a:ext uri="{FF2B5EF4-FFF2-40B4-BE49-F238E27FC236}">
              <a16:creationId xmlns:a16="http://schemas.microsoft.com/office/drawing/2014/main" id="{00000000-0008-0000-0000-000059050000}"/>
            </a:ext>
          </a:extLst>
        </xdr:cNvPr>
        <xdr:cNvPicPr>
          <a:picLocks noChangeAspect="1"/>
        </xdr:cNvPicPr>
      </xdr:nvPicPr>
      <xdr:blipFill>
        <a:blip xmlns:r="http://schemas.openxmlformats.org/officeDocument/2006/relationships" r:embed="rId1368"/>
        <a:stretch>
          <a:fillRect/>
        </a:stretch>
      </xdr:blipFill>
      <xdr:spPr>
        <a:prstGeom prst="rect">
          <a:avLst/>
        </a:prstGeom>
        <a:ln w="9525">
          <a:solidFill>
            <a:srgbClr val="000000"/>
          </a:solidFill>
          <a:prstDash val="solid"/>
        </a:ln>
      </xdr:spPr>
    </xdr:pic>
    <xdr:clientData/>
  </xdr:twoCellAnchor>
  <xdr:twoCellAnchor>
    <xdr:from>
      <xdr:col>3</xdr:col>
      <xdr:colOff>114300</xdr:colOff>
      <xdr:row>4074</xdr:row>
      <xdr:rowOff>28575</xdr:rowOff>
    </xdr:from>
    <xdr:to>
      <xdr:col>3</xdr:col>
      <xdr:colOff>1552575</xdr:colOff>
      <xdr:row>4074</xdr:row>
      <xdr:rowOff>1266825</xdr:rowOff>
    </xdr:to>
    <xdr:pic>
      <xdr:nvPicPr>
        <xdr:cNvPr id="1370" name="Имя " descr="Descr ">
          <a:extLst>
            <a:ext uri="{FF2B5EF4-FFF2-40B4-BE49-F238E27FC236}">
              <a16:creationId xmlns:a16="http://schemas.microsoft.com/office/drawing/2014/main" id="{00000000-0008-0000-0000-00005A050000}"/>
            </a:ext>
          </a:extLst>
        </xdr:cNvPr>
        <xdr:cNvPicPr>
          <a:picLocks noChangeAspect="1"/>
        </xdr:cNvPicPr>
      </xdr:nvPicPr>
      <xdr:blipFill>
        <a:blip xmlns:r="http://schemas.openxmlformats.org/officeDocument/2006/relationships" r:embed="rId1369"/>
        <a:stretch>
          <a:fillRect/>
        </a:stretch>
      </xdr:blipFill>
      <xdr:spPr>
        <a:prstGeom prst="rect">
          <a:avLst/>
        </a:prstGeom>
        <a:ln w="9525">
          <a:solidFill>
            <a:srgbClr val="000000"/>
          </a:solidFill>
          <a:prstDash val="solid"/>
        </a:ln>
      </xdr:spPr>
    </xdr:pic>
    <xdr:clientData/>
  </xdr:twoCellAnchor>
  <xdr:twoCellAnchor>
    <xdr:from>
      <xdr:col>3</xdr:col>
      <xdr:colOff>114300</xdr:colOff>
      <xdr:row>4075</xdr:row>
      <xdr:rowOff>28575</xdr:rowOff>
    </xdr:from>
    <xdr:to>
      <xdr:col>3</xdr:col>
      <xdr:colOff>1552575</xdr:colOff>
      <xdr:row>4075</xdr:row>
      <xdr:rowOff>1266825</xdr:rowOff>
    </xdr:to>
    <xdr:pic>
      <xdr:nvPicPr>
        <xdr:cNvPr id="1371" name="Имя " descr="Descr ">
          <a:extLst>
            <a:ext uri="{FF2B5EF4-FFF2-40B4-BE49-F238E27FC236}">
              <a16:creationId xmlns:a16="http://schemas.microsoft.com/office/drawing/2014/main" id="{00000000-0008-0000-0000-00005B050000}"/>
            </a:ext>
          </a:extLst>
        </xdr:cNvPr>
        <xdr:cNvPicPr>
          <a:picLocks noChangeAspect="1"/>
        </xdr:cNvPicPr>
      </xdr:nvPicPr>
      <xdr:blipFill>
        <a:blip xmlns:r="http://schemas.openxmlformats.org/officeDocument/2006/relationships" r:embed="rId1370"/>
        <a:stretch>
          <a:fillRect/>
        </a:stretch>
      </xdr:blipFill>
      <xdr:spPr>
        <a:prstGeom prst="rect">
          <a:avLst/>
        </a:prstGeom>
        <a:ln w="9525">
          <a:solidFill>
            <a:srgbClr val="000000"/>
          </a:solidFill>
          <a:prstDash val="solid"/>
        </a:ln>
      </xdr:spPr>
    </xdr:pic>
    <xdr:clientData/>
  </xdr:twoCellAnchor>
  <xdr:twoCellAnchor>
    <xdr:from>
      <xdr:col>3</xdr:col>
      <xdr:colOff>114300</xdr:colOff>
      <xdr:row>4076</xdr:row>
      <xdr:rowOff>28575</xdr:rowOff>
    </xdr:from>
    <xdr:to>
      <xdr:col>3</xdr:col>
      <xdr:colOff>1552575</xdr:colOff>
      <xdr:row>4076</xdr:row>
      <xdr:rowOff>1266825</xdr:rowOff>
    </xdr:to>
    <xdr:pic>
      <xdr:nvPicPr>
        <xdr:cNvPr id="1372" name="Имя " descr="Descr ">
          <a:extLst>
            <a:ext uri="{FF2B5EF4-FFF2-40B4-BE49-F238E27FC236}">
              <a16:creationId xmlns:a16="http://schemas.microsoft.com/office/drawing/2014/main" id="{00000000-0008-0000-0000-00005C050000}"/>
            </a:ext>
          </a:extLst>
        </xdr:cNvPr>
        <xdr:cNvPicPr>
          <a:picLocks noChangeAspect="1"/>
        </xdr:cNvPicPr>
      </xdr:nvPicPr>
      <xdr:blipFill>
        <a:blip xmlns:r="http://schemas.openxmlformats.org/officeDocument/2006/relationships" r:embed="rId1371"/>
        <a:stretch>
          <a:fillRect/>
        </a:stretch>
      </xdr:blipFill>
      <xdr:spPr>
        <a:prstGeom prst="rect">
          <a:avLst/>
        </a:prstGeom>
        <a:ln w="9525">
          <a:solidFill>
            <a:srgbClr val="000000"/>
          </a:solidFill>
          <a:prstDash val="solid"/>
        </a:ln>
      </xdr:spPr>
    </xdr:pic>
    <xdr:clientData/>
  </xdr:twoCellAnchor>
  <xdr:twoCellAnchor>
    <xdr:from>
      <xdr:col>3</xdr:col>
      <xdr:colOff>114300</xdr:colOff>
      <xdr:row>4077</xdr:row>
      <xdr:rowOff>28575</xdr:rowOff>
    </xdr:from>
    <xdr:to>
      <xdr:col>3</xdr:col>
      <xdr:colOff>1552575</xdr:colOff>
      <xdr:row>4077</xdr:row>
      <xdr:rowOff>1266825</xdr:rowOff>
    </xdr:to>
    <xdr:pic>
      <xdr:nvPicPr>
        <xdr:cNvPr id="1373" name="Имя " descr="Descr ">
          <a:extLst>
            <a:ext uri="{FF2B5EF4-FFF2-40B4-BE49-F238E27FC236}">
              <a16:creationId xmlns:a16="http://schemas.microsoft.com/office/drawing/2014/main" id="{00000000-0008-0000-0000-00005D050000}"/>
            </a:ext>
          </a:extLst>
        </xdr:cNvPr>
        <xdr:cNvPicPr>
          <a:picLocks noChangeAspect="1"/>
        </xdr:cNvPicPr>
      </xdr:nvPicPr>
      <xdr:blipFill>
        <a:blip xmlns:r="http://schemas.openxmlformats.org/officeDocument/2006/relationships" r:embed="rId1372"/>
        <a:stretch>
          <a:fillRect/>
        </a:stretch>
      </xdr:blipFill>
      <xdr:spPr>
        <a:prstGeom prst="rect">
          <a:avLst/>
        </a:prstGeom>
        <a:ln w="9525">
          <a:solidFill>
            <a:srgbClr val="000000"/>
          </a:solidFill>
          <a:prstDash val="solid"/>
        </a:ln>
      </xdr:spPr>
    </xdr:pic>
    <xdr:clientData/>
  </xdr:twoCellAnchor>
  <xdr:twoCellAnchor>
    <xdr:from>
      <xdr:col>3</xdr:col>
      <xdr:colOff>114300</xdr:colOff>
      <xdr:row>4078</xdr:row>
      <xdr:rowOff>28575</xdr:rowOff>
    </xdr:from>
    <xdr:to>
      <xdr:col>3</xdr:col>
      <xdr:colOff>1552575</xdr:colOff>
      <xdr:row>4078</xdr:row>
      <xdr:rowOff>1266825</xdr:rowOff>
    </xdr:to>
    <xdr:pic>
      <xdr:nvPicPr>
        <xdr:cNvPr id="1374" name="Имя " descr="Descr ">
          <a:extLst>
            <a:ext uri="{FF2B5EF4-FFF2-40B4-BE49-F238E27FC236}">
              <a16:creationId xmlns:a16="http://schemas.microsoft.com/office/drawing/2014/main" id="{00000000-0008-0000-0000-00005E050000}"/>
            </a:ext>
          </a:extLst>
        </xdr:cNvPr>
        <xdr:cNvPicPr>
          <a:picLocks noChangeAspect="1"/>
        </xdr:cNvPicPr>
      </xdr:nvPicPr>
      <xdr:blipFill>
        <a:blip xmlns:r="http://schemas.openxmlformats.org/officeDocument/2006/relationships" r:embed="rId1373"/>
        <a:stretch>
          <a:fillRect/>
        </a:stretch>
      </xdr:blipFill>
      <xdr:spPr>
        <a:prstGeom prst="rect">
          <a:avLst/>
        </a:prstGeom>
        <a:ln w="9525">
          <a:solidFill>
            <a:srgbClr val="000000"/>
          </a:solidFill>
          <a:prstDash val="solid"/>
        </a:ln>
      </xdr:spPr>
    </xdr:pic>
    <xdr:clientData/>
  </xdr:twoCellAnchor>
  <xdr:twoCellAnchor>
    <xdr:from>
      <xdr:col>3</xdr:col>
      <xdr:colOff>114300</xdr:colOff>
      <xdr:row>4079</xdr:row>
      <xdr:rowOff>28575</xdr:rowOff>
    </xdr:from>
    <xdr:to>
      <xdr:col>3</xdr:col>
      <xdr:colOff>1552575</xdr:colOff>
      <xdr:row>4079</xdr:row>
      <xdr:rowOff>1266825</xdr:rowOff>
    </xdr:to>
    <xdr:pic>
      <xdr:nvPicPr>
        <xdr:cNvPr id="1375" name="Имя " descr="Descr ">
          <a:extLst>
            <a:ext uri="{FF2B5EF4-FFF2-40B4-BE49-F238E27FC236}">
              <a16:creationId xmlns:a16="http://schemas.microsoft.com/office/drawing/2014/main" id="{00000000-0008-0000-0000-00005F050000}"/>
            </a:ext>
          </a:extLst>
        </xdr:cNvPr>
        <xdr:cNvPicPr>
          <a:picLocks noChangeAspect="1"/>
        </xdr:cNvPicPr>
      </xdr:nvPicPr>
      <xdr:blipFill>
        <a:blip xmlns:r="http://schemas.openxmlformats.org/officeDocument/2006/relationships" r:embed="rId1374"/>
        <a:stretch>
          <a:fillRect/>
        </a:stretch>
      </xdr:blipFill>
      <xdr:spPr>
        <a:prstGeom prst="rect">
          <a:avLst/>
        </a:prstGeom>
        <a:ln w="9525">
          <a:solidFill>
            <a:srgbClr val="000000"/>
          </a:solidFill>
          <a:prstDash val="solid"/>
        </a:ln>
      </xdr:spPr>
    </xdr:pic>
    <xdr:clientData/>
  </xdr:twoCellAnchor>
  <xdr:twoCellAnchor>
    <xdr:from>
      <xdr:col>3</xdr:col>
      <xdr:colOff>114300</xdr:colOff>
      <xdr:row>4080</xdr:row>
      <xdr:rowOff>28575</xdr:rowOff>
    </xdr:from>
    <xdr:to>
      <xdr:col>3</xdr:col>
      <xdr:colOff>1552575</xdr:colOff>
      <xdr:row>4080</xdr:row>
      <xdr:rowOff>1266825</xdr:rowOff>
    </xdr:to>
    <xdr:pic>
      <xdr:nvPicPr>
        <xdr:cNvPr id="1376" name="Имя " descr="Descr ">
          <a:extLst>
            <a:ext uri="{FF2B5EF4-FFF2-40B4-BE49-F238E27FC236}">
              <a16:creationId xmlns:a16="http://schemas.microsoft.com/office/drawing/2014/main" id="{00000000-0008-0000-0000-000060050000}"/>
            </a:ext>
          </a:extLst>
        </xdr:cNvPr>
        <xdr:cNvPicPr>
          <a:picLocks noChangeAspect="1"/>
        </xdr:cNvPicPr>
      </xdr:nvPicPr>
      <xdr:blipFill>
        <a:blip xmlns:r="http://schemas.openxmlformats.org/officeDocument/2006/relationships" r:embed="rId1375"/>
        <a:stretch>
          <a:fillRect/>
        </a:stretch>
      </xdr:blipFill>
      <xdr:spPr>
        <a:prstGeom prst="rect">
          <a:avLst/>
        </a:prstGeom>
        <a:ln w="9525">
          <a:solidFill>
            <a:srgbClr val="000000"/>
          </a:solidFill>
          <a:prstDash val="solid"/>
        </a:ln>
      </xdr:spPr>
    </xdr:pic>
    <xdr:clientData/>
  </xdr:twoCellAnchor>
  <xdr:twoCellAnchor>
    <xdr:from>
      <xdr:col>3</xdr:col>
      <xdr:colOff>114300</xdr:colOff>
      <xdr:row>4081</xdr:row>
      <xdr:rowOff>28575</xdr:rowOff>
    </xdr:from>
    <xdr:to>
      <xdr:col>3</xdr:col>
      <xdr:colOff>1552575</xdr:colOff>
      <xdr:row>4081</xdr:row>
      <xdr:rowOff>1266825</xdr:rowOff>
    </xdr:to>
    <xdr:pic>
      <xdr:nvPicPr>
        <xdr:cNvPr id="1377" name="Имя " descr="Descr ">
          <a:extLst>
            <a:ext uri="{FF2B5EF4-FFF2-40B4-BE49-F238E27FC236}">
              <a16:creationId xmlns:a16="http://schemas.microsoft.com/office/drawing/2014/main" id="{00000000-0008-0000-0000-000061050000}"/>
            </a:ext>
          </a:extLst>
        </xdr:cNvPr>
        <xdr:cNvPicPr>
          <a:picLocks noChangeAspect="1"/>
        </xdr:cNvPicPr>
      </xdr:nvPicPr>
      <xdr:blipFill>
        <a:blip xmlns:r="http://schemas.openxmlformats.org/officeDocument/2006/relationships" r:embed="rId1376"/>
        <a:stretch>
          <a:fillRect/>
        </a:stretch>
      </xdr:blipFill>
      <xdr:spPr>
        <a:prstGeom prst="rect">
          <a:avLst/>
        </a:prstGeom>
        <a:ln w="9525">
          <a:solidFill>
            <a:srgbClr val="000000"/>
          </a:solidFill>
          <a:prstDash val="solid"/>
        </a:ln>
      </xdr:spPr>
    </xdr:pic>
    <xdr:clientData/>
  </xdr:twoCellAnchor>
  <xdr:twoCellAnchor>
    <xdr:from>
      <xdr:col>3</xdr:col>
      <xdr:colOff>114300</xdr:colOff>
      <xdr:row>4082</xdr:row>
      <xdr:rowOff>28575</xdr:rowOff>
    </xdr:from>
    <xdr:to>
      <xdr:col>3</xdr:col>
      <xdr:colOff>1552575</xdr:colOff>
      <xdr:row>4082</xdr:row>
      <xdr:rowOff>1266825</xdr:rowOff>
    </xdr:to>
    <xdr:pic>
      <xdr:nvPicPr>
        <xdr:cNvPr id="1378" name="Имя " descr="Descr ">
          <a:extLst>
            <a:ext uri="{FF2B5EF4-FFF2-40B4-BE49-F238E27FC236}">
              <a16:creationId xmlns:a16="http://schemas.microsoft.com/office/drawing/2014/main" id="{00000000-0008-0000-0000-000062050000}"/>
            </a:ext>
          </a:extLst>
        </xdr:cNvPr>
        <xdr:cNvPicPr>
          <a:picLocks noChangeAspect="1"/>
        </xdr:cNvPicPr>
      </xdr:nvPicPr>
      <xdr:blipFill>
        <a:blip xmlns:r="http://schemas.openxmlformats.org/officeDocument/2006/relationships" r:embed="rId1377"/>
        <a:stretch>
          <a:fillRect/>
        </a:stretch>
      </xdr:blipFill>
      <xdr:spPr>
        <a:prstGeom prst="rect">
          <a:avLst/>
        </a:prstGeom>
        <a:ln w="9525">
          <a:solidFill>
            <a:srgbClr val="000000"/>
          </a:solidFill>
          <a:prstDash val="solid"/>
        </a:ln>
      </xdr:spPr>
    </xdr:pic>
    <xdr:clientData/>
  </xdr:twoCellAnchor>
  <xdr:twoCellAnchor>
    <xdr:from>
      <xdr:col>3</xdr:col>
      <xdr:colOff>114300</xdr:colOff>
      <xdr:row>4083</xdr:row>
      <xdr:rowOff>28575</xdr:rowOff>
    </xdr:from>
    <xdr:to>
      <xdr:col>3</xdr:col>
      <xdr:colOff>1552575</xdr:colOff>
      <xdr:row>4083</xdr:row>
      <xdr:rowOff>1266825</xdr:rowOff>
    </xdr:to>
    <xdr:pic>
      <xdr:nvPicPr>
        <xdr:cNvPr id="1379" name="Имя " descr="Descr ">
          <a:extLst>
            <a:ext uri="{FF2B5EF4-FFF2-40B4-BE49-F238E27FC236}">
              <a16:creationId xmlns:a16="http://schemas.microsoft.com/office/drawing/2014/main" id="{00000000-0008-0000-0000-000063050000}"/>
            </a:ext>
          </a:extLst>
        </xdr:cNvPr>
        <xdr:cNvPicPr>
          <a:picLocks noChangeAspect="1"/>
        </xdr:cNvPicPr>
      </xdr:nvPicPr>
      <xdr:blipFill>
        <a:blip xmlns:r="http://schemas.openxmlformats.org/officeDocument/2006/relationships" r:embed="rId1378"/>
        <a:stretch>
          <a:fillRect/>
        </a:stretch>
      </xdr:blipFill>
      <xdr:spPr>
        <a:prstGeom prst="rect">
          <a:avLst/>
        </a:prstGeom>
        <a:ln w="9525">
          <a:solidFill>
            <a:srgbClr val="000000"/>
          </a:solidFill>
          <a:prstDash val="solid"/>
        </a:ln>
      </xdr:spPr>
    </xdr:pic>
    <xdr:clientData/>
  </xdr:twoCellAnchor>
  <xdr:twoCellAnchor>
    <xdr:from>
      <xdr:col>3</xdr:col>
      <xdr:colOff>114300</xdr:colOff>
      <xdr:row>4084</xdr:row>
      <xdr:rowOff>28575</xdr:rowOff>
    </xdr:from>
    <xdr:to>
      <xdr:col>3</xdr:col>
      <xdr:colOff>1552575</xdr:colOff>
      <xdr:row>4084</xdr:row>
      <xdr:rowOff>1266825</xdr:rowOff>
    </xdr:to>
    <xdr:pic>
      <xdr:nvPicPr>
        <xdr:cNvPr id="1380" name="Имя " descr="Descr ">
          <a:extLst>
            <a:ext uri="{FF2B5EF4-FFF2-40B4-BE49-F238E27FC236}">
              <a16:creationId xmlns:a16="http://schemas.microsoft.com/office/drawing/2014/main" id="{00000000-0008-0000-0000-000064050000}"/>
            </a:ext>
          </a:extLst>
        </xdr:cNvPr>
        <xdr:cNvPicPr>
          <a:picLocks noChangeAspect="1"/>
        </xdr:cNvPicPr>
      </xdr:nvPicPr>
      <xdr:blipFill>
        <a:blip xmlns:r="http://schemas.openxmlformats.org/officeDocument/2006/relationships" r:embed="rId1379"/>
        <a:stretch>
          <a:fillRect/>
        </a:stretch>
      </xdr:blipFill>
      <xdr:spPr>
        <a:prstGeom prst="rect">
          <a:avLst/>
        </a:prstGeom>
        <a:ln w="9525">
          <a:solidFill>
            <a:srgbClr val="000000"/>
          </a:solidFill>
          <a:prstDash val="solid"/>
        </a:ln>
      </xdr:spPr>
    </xdr:pic>
    <xdr:clientData/>
  </xdr:twoCellAnchor>
  <xdr:twoCellAnchor>
    <xdr:from>
      <xdr:col>3</xdr:col>
      <xdr:colOff>114300</xdr:colOff>
      <xdr:row>4085</xdr:row>
      <xdr:rowOff>28575</xdr:rowOff>
    </xdr:from>
    <xdr:to>
      <xdr:col>3</xdr:col>
      <xdr:colOff>1552575</xdr:colOff>
      <xdr:row>4085</xdr:row>
      <xdr:rowOff>1266825</xdr:rowOff>
    </xdr:to>
    <xdr:pic>
      <xdr:nvPicPr>
        <xdr:cNvPr id="1381" name="Имя " descr="Descr ">
          <a:extLst>
            <a:ext uri="{FF2B5EF4-FFF2-40B4-BE49-F238E27FC236}">
              <a16:creationId xmlns:a16="http://schemas.microsoft.com/office/drawing/2014/main" id="{00000000-0008-0000-0000-000065050000}"/>
            </a:ext>
          </a:extLst>
        </xdr:cNvPr>
        <xdr:cNvPicPr>
          <a:picLocks noChangeAspect="1"/>
        </xdr:cNvPicPr>
      </xdr:nvPicPr>
      <xdr:blipFill>
        <a:blip xmlns:r="http://schemas.openxmlformats.org/officeDocument/2006/relationships" r:embed="rId1380"/>
        <a:stretch>
          <a:fillRect/>
        </a:stretch>
      </xdr:blipFill>
      <xdr:spPr>
        <a:prstGeom prst="rect">
          <a:avLst/>
        </a:prstGeom>
        <a:ln w="9525">
          <a:solidFill>
            <a:srgbClr val="000000"/>
          </a:solidFill>
          <a:prstDash val="solid"/>
        </a:ln>
      </xdr:spPr>
    </xdr:pic>
    <xdr:clientData/>
  </xdr:twoCellAnchor>
  <xdr:twoCellAnchor>
    <xdr:from>
      <xdr:col>3</xdr:col>
      <xdr:colOff>114300</xdr:colOff>
      <xdr:row>4086</xdr:row>
      <xdr:rowOff>28575</xdr:rowOff>
    </xdr:from>
    <xdr:to>
      <xdr:col>3</xdr:col>
      <xdr:colOff>1552575</xdr:colOff>
      <xdr:row>4086</xdr:row>
      <xdr:rowOff>1266825</xdr:rowOff>
    </xdr:to>
    <xdr:pic>
      <xdr:nvPicPr>
        <xdr:cNvPr id="1382" name="Имя " descr="Descr ">
          <a:extLst>
            <a:ext uri="{FF2B5EF4-FFF2-40B4-BE49-F238E27FC236}">
              <a16:creationId xmlns:a16="http://schemas.microsoft.com/office/drawing/2014/main" id="{00000000-0008-0000-0000-000066050000}"/>
            </a:ext>
          </a:extLst>
        </xdr:cNvPr>
        <xdr:cNvPicPr>
          <a:picLocks noChangeAspect="1"/>
        </xdr:cNvPicPr>
      </xdr:nvPicPr>
      <xdr:blipFill>
        <a:blip xmlns:r="http://schemas.openxmlformats.org/officeDocument/2006/relationships" r:embed="rId1381"/>
        <a:stretch>
          <a:fillRect/>
        </a:stretch>
      </xdr:blipFill>
      <xdr:spPr>
        <a:prstGeom prst="rect">
          <a:avLst/>
        </a:prstGeom>
        <a:ln w="9525">
          <a:solidFill>
            <a:srgbClr val="000000"/>
          </a:solidFill>
          <a:prstDash val="solid"/>
        </a:ln>
      </xdr:spPr>
    </xdr:pic>
    <xdr:clientData/>
  </xdr:twoCellAnchor>
  <xdr:twoCellAnchor>
    <xdr:from>
      <xdr:col>3</xdr:col>
      <xdr:colOff>114300</xdr:colOff>
      <xdr:row>4087</xdr:row>
      <xdr:rowOff>28575</xdr:rowOff>
    </xdr:from>
    <xdr:to>
      <xdr:col>3</xdr:col>
      <xdr:colOff>1552575</xdr:colOff>
      <xdr:row>4087</xdr:row>
      <xdr:rowOff>1266825</xdr:rowOff>
    </xdr:to>
    <xdr:pic>
      <xdr:nvPicPr>
        <xdr:cNvPr id="1383" name="Имя " descr="Descr ">
          <a:extLst>
            <a:ext uri="{FF2B5EF4-FFF2-40B4-BE49-F238E27FC236}">
              <a16:creationId xmlns:a16="http://schemas.microsoft.com/office/drawing/2014/main" id="{00000000-0008-0000-0000-000067050000}"/>
            </a:ext>
          </a:extLst>
        </xdr:cNvPr>
        <xdr:cNvPicPr>
          <a:picLocks noChangeAspect="1"/>
        </xdr:cNvPicPr>
      </xdr:nvPicPr>
      <xdr:blipFill>
        <a:blip xmlns:r="http://schemas.openxmlformats.org/officeDocument/2006/relationships" r:embed="rId1382"/>
        <a:stretch>
          <a:fillRect/>
        </a:stretch>
      </xdr:blipFill>
      <xdr:spPr>
        <a:prstGeom prst="rect">
          <a:avLst/>
        </a:prstGeom>
        <a:ln w="9525">
          <a:solidFill>
            <a:srgbClr val="000000"/>
          </a:solidFill>
          <a:prstDash val="solid"/>
        </a:ln>
      </xdr:spPr>
    </xdr:pic>
    <xdr:clientData/>
  </xdr:twoCellAnchor>
  <xdr:twoCellAnchor>
    <xdr:from>
      <xdr:col>3</xdr:col>
      <xdr:colOff>114300</xdr:colOff>
      <xdr:row>4088</xdr:row>
      <xdr:rowOff>28575</xdr:rowOff>
    </xdr:from>
    <xdr:to>
      <xdr:col>3</xdr:col>
      <xdr:colOff>1552575</xdr:colOff>
      <xdr:row>4088</xdr:row>
      <xdr:rowOff>1266825</xdr:rowOff>
    </xdr:to>
    <xdr:pic>
      <xdr:nvPicPr>
        <xdr:cNvPr id="1384" name="Имя " descr="Descr ">
          <a:extLst>
            <a:ext uri="{FF2B5EF4-FFF2-40B4-BE49-F238E27FC236}">
              <a16:creationId xmlns:a16="http://schemas.microsoft.com/office/drawing/2014/main" id="{00000000-0008-0000-0000-000068050000}"/>
            </a:ext>
          </a:extLst>
        </xdr:cNvPr>
        <xdr:cNvPicPr>
          <a:picLocks noChangeAspect="1"/>
        </xdr:cNvPicPr>
      </xdr:nvPicPr>
      <xdr:blipFill>
        <a:blip xmlns:r="http://schemas.openxmlformats.org/officeDocument/2006/relationships" r:embed="rId1383"/>
        <a:stretch>
          <a:fillRect/>
        </a:stretch>
      </xdr:blipFill>
      <xdr:spPr>
        <a:prstGeom prst="rect">
          <a:avLst/>
        </a:prstGeom>
        <a:ln w="9525">
          <a:solidFill>
            <a:srgbClr val="000000"/>
          </a:solidFill>
          <a:prstDash val="solid"/>
        </a:ln>
      </xdr:spPr>
    </xdr:pic>
    <xdr:clientData/>
  </xdr:twoCellAnchor>
  <xdr:twoCellAnchor>
    <xdr:from>
      <xdr:col>3</xdr:col>
      <xdr:colOff>114300</xdr:colOff>
      <xdr:row>4089</xdr:row>
      <xdr:rowOff>28575</xdr:rowOff>
    </xdr:from>
    <xdr:to>
      <xdr:col>3</xdr:col>
      <xdr:colOff>1552575</xdr:colOff>
      <xdr:row>4089</xdr:row>
      <xdr:rowOff>1266825</xdr:rowOff>
    </xdr:to>
    <xdr:pic>
      <xdr:nvPicPr>
        <xdr:cNvPr id="1385" name="Имя " descr="Descr ">
          <a:extLst>
            <a:ext uri="{FF2B5EF4-FFF2-40B4-BE49-F238E27FC236}">
              <a16:creationId xmlns:a16="http://schemas.microsoft.com/office/drawing/2014/main" id="{00000000-0008-0000-0000-000069050000}"/>
            </a:ext>
          </a:extLst>
        </xdr:cNvPr>
        <xdr:cNvPicPr>
          <a:picLocks noChangeAspect="1"/>
        </xdr:cNvPicPr>
      </xdr:nvPicPr>
      <xdr:blipFill>
        <a:blip xmlns:r="http://schemas.openxmlformats.org/officeDocument/2006/relationships" r:embed="rId1384"/>
        <a:stretch>
          <a:fillRect/>
        </a:stretch>
      </xdr:blipFill>
      <xdr:spPr>
        <a:prstGeom prst="rect">
          <a:avLst/>
        </a:prstGeom>
        <a:ln w="9525">
          <a:solidFill>
            <a:srgbClr val="000000"/>
          </a:solidFill>
          <a:prstDash val="solid"/>
        </a:ln>
      </xdr:spPr>
    </xdr:pic>
    <xdr:clientData/>
  </xdr:twoCellAnchor>
  <xdr:twoCellAnchor>
    <xdr:from>
      <xdr:col>3</xdr:col>
      <xdr:colOff>114300</xdr:colOff>
      <xdr:row>4090</xdr:row>
      <xdr:rowOff>28575</xdr:rowOff>
    </xdr:from>
    <xdr:to>
      <xdr:col>3</xdr:col>
      <xdr:colOff>1552575</xdr:colOff>
      <xdr:row>4090</xdr:row>
      <xdr:rowOff>1266825</xdr:rowOff>
    </xdr:to>
    <xdr:pic>
      <xdr:nvPicPr>
        <xdr:cNvPr id="1386" name="Имя " descr="Descr ">
          <a:extLst>
            <a:ext uri="{FF2B5EF4-FFF2-40B4-BE49-F238E27FC236}">
              <a16:creationId xmlns:a16="http://schemas.microsoft.com/office/drawing/2014/main" id="{00000000-0008-0000-0000-00006A050000}"/>
            </a:ext>
          </a:extLst>
        </xdr:cNvPr>
        <xdr:cNvPicPr>
          <a:picLocks noChangeAspect="1"/>
        </xdr:cNvPicPr>
      </xdr:nvPicPr>
      <xdr:blipFill>
        <a:blip xmlns:r="http://schemas.openxmlformats.org/officeDocument/2006/relationships" r:embed="rId1385"/>
        <a:stretch>
          <a:fillRect/>
        </a:stretch>
      </xdr:blipFill>
      <xdr:spPr>
        <a:prstGeom prst="rect">
          <a:avLst/>
        </a:prstGeom>
        <a:ln w="9525">
          <a:solidFill>
            <a:srgbClr val="000000"/>
          </a:solidFill>
          <a:prstDash val="solid"/>
        </a:ln>
      </xdr:spPr>
    </xdr:pic>
    <xdr:clientData/>
  </xdr:twoCellAnchor>
  <xdr:twoCellAnchor>
    <xdr:from>
      <xdr:col>3</xdr:col>
      <xdr:colOff>114300</xdr:colOff>
      <xdr:row>4091</xdr:row>
      <xdr:rowOff>28575</xdr:rowOff>
    </xdr:from>
    <xdr:to>
      <xdr:col>3</xdr:col>
      <xdr:colOff>1552575</xdr:colOff>
      <xdr:row>4091</xdr:row>
      <xdr:rowOff>1266825</xdr:rowOff>
    </xdr:to>
    <xdr:pic>
      <xdr:nvPicPr>
        <xdr:cNvPr id="1387" name="Имя " descr="Descr ">
          <a:extLst>
            <a:ext uri="{FF2B5EF4-FFF2-40B4-BE49-F238E27FC236}">
              <a16:creationId xmlns:a16="http://schemas.microsoft.com/office/drawing/2014/main" id="{00000000-0008-0000-0000-00006B050000}"/>
            </a:ext>
          </a:extLst>
        </xdr:cNvPr>
        <xdr:cNvPicPr>
          <a:picLocks noChangeAspect="1"/>
        </xdr:cNvPicPr>
      </xdr:nvPicPr>
      <xdr:blipFill>
        <a:blip xmlns:r="http://schemas.openxmlformats.org/officeDocument/2006/relationships" r:embed="rId1386"/>
        <a:stretch>
          <a:fillRect/>
        </a:stretch>
      </xdr:blipFill>
      <xdr:spPr>
        <a:prstGeom prst="rect">
          <a:avLst/>
        </a:prstGeom>
        <a:ln w="9525">
          <a:solidFill>
            <a:srgbClr val="000000"/>
          </a:solidFill>
          <a:prstDash val="solid"/>
        </a:ln>
      </xdr:spPr>
    </xdr:pic>
    <xdr:clientData/>
  </xdr:twoCellAnchor>
  <xdr:twoCellAnchor>
    <xdr:from>
      <xdr:col>3</xdr:col>
      <xdr:colOff>114300</xdr:colOff>
      <xdr:row>4092</xdr:row>
      <xdr:rowOff>28575</xdr:rowOff>
    </xdr:from>
    <xdr:to>
      <xdr:col>3</xdr:col>
      <xdr:colOff>1552575</xdr:colOff>
      <xdr:row>4092</xdr:row>
      <xdr:rowOff>1266825</xdr:rowOff>
    </xdr:to>
    <xdr:pic>
      <xdr:nvPicPr>
        <xdr:cNvPr id="1388" name="Имя " descr="Descr ">
          <a:extLst>
            <a:ext uri="{FF2B5EF4-FFF2-40B4-BE49-F238E27FC236}">
              <a16:creationId xmlns:a16="http://schemas.microsoft.com/office/drawing/2014/main" id="{00000000-0008-0000-0000-00006C050000}"/>
            </a:ext>
          </a:extLst>
        </xdr:cNvPr>
        <xdr:cNvPicPr>
          <a:picLocks noChangeAspect="1"/>
        </xdr:cNvPicPr>
      </xdr:nvPicPr>
      <xdr:blipFill>
        <a:blip xmlns:r="http://schemas.openxmlformats.org/officeDocument/2006/relationships" r:embed="rId1387"/>
        <a:stretch>
          <a:fillRect/>
        </a:stretch>
      </xdr:blipFill>
      <xdr:spPr>
        <a:prstGeom prst="rect">
          <a:avLst/>
        </a:prstGeom>
        <a:ln w="9525">
          <a:solidFill>
            <a:srgbClr val="000000"/>
          </a:solidFill>
          <a:prstDash val="solid"/>
        </a:ln>
      </xdr:spPr>
    </xdr:pic>
    <xdr:clientData/>
  </xdr:twoCellAnchor>
  <xdr:twoCellAnchor>
    <xdr:from>
      <xdr:col>3</xdr:col>
      <xdr:colOff>114300</xdr:colOff>
      <xdr:row>4093</xdr:row>
      <xdr:rowOff>28575</xdr:rowOff>
    </xdr:from>
    <xdr:to>
      <xdr:col>3</xdr:col>
      <xdr:colOff>1552575</xdr:colOff>
      <xdr:row>4093</xdr:row>
      <xdr:rowOff>1266825</xdr:rowOff>
    </xdr:to>
    <xdr:pic>
      <xdr:nvPicPr>
        <xdr:cNvPr id="1389" name="Имя " descr="Descr ">
          <a:extLst>
            <a:ext uri="{FF2B5EF4-FFF2-40B4-BE49-F238E27FC236}">
              <a16:creationId xmlns:a16="http://schemas.microsoft.com/office/drawing/2014/main" id="{00000000-0008-0000-0000-00006D050000}"/>
            </a:ext>
          </a:extLst>
        </xdr:cNvPr>
        <xdr:cNvPicPr>
          <a:picLocks noChangeAspect="1"/>
        </xdr:cNvPicPr>
      </xdr:nvPicPr>
      <xdr:blipFill>
        <a:blip xmlns:r="http://schemas.openxmlformats.org/officeDocument/2006/relationships" r:embed="rId1388"/>
        <a:stretch>
          <a:fillRect/>
        </a:stretch>
      </xdr:blipFill>
      <xdr:spPr>
        <a:prstGeom prst="rect">
          <a:avLst/>
        </a:prstGeom>
        <a:ln w="9525">
          <a:solidFill>
            <a:srgbClr val="000000"/>
          </a:solidFill>
          <a:prstDash val="solid"/>
        </a:ln>
      </xdr:spPr>
    </xdr:pic>
    <xdr:clientData/>
  </xdr:twoCellAnchor>
  <xdr:twoCellAnchor>
    <xdr:from>
      <xdr:col>3</xdr:col>
      <xdr:colOff>114300</xdr:colOff>
      <xdr:row>4094</xdr:row>
      <xdr:rowOff>28575</xdr:rowOff>
    </xdr:from>
    <xdr:to>
      <xdr:col>3</xdr:col>
      <xdr:colOff>1552575</xdr:colOff>
      <xdr:row>4094</xdr:row>
      <xdr:rowOff>1266825</xdr:rowOff>
    </xdr:to>
    <xdr:pic>
      <xdr:nvPicPr>
        <xdr:cNvPr id="1390" name="Имя " descr="Descr ">
          <a:extLst>
            <a:ext uri="{FF2B5EF4-FFF2-40B4-BE49-F238E27FC236}">
              <a16:creationId xmlns:a16="http://schemas.microsoft.com/office/drawing/2014/main" id="{00000000-0008-0000-0000-00006E050000}"/>
            </a:ext>
          </a:extLst>
        </xdr:cNvPr>
        <xdr:cNvPicPr>
          <a:picLocks noChangeAspect="1"/>
        </xdr:cNvPicPr>
      </xdr:nvPicPr>
      <xdr:blipFill>
        <a:blip xmlns:r="http://schemas.openxmlformats.org/officeDocument/2006/relationships" r:embed="rId1389"/>
        <a:stretch>
          <a:fillRect/>
        </a:stretch>
      </xdr:blipFill>
      <xdr:spPr>
        <a:prstGeom prst="rect">
          <a:avLst/>
        </a:prstGeom>
        <a:ln w="9525">
          <a:solidFill>
            <a:srgbClr val="000000"/>
          </a:solidFill>
          <a:prstDash val="solid"/>
        </a:ln>
      </xdr:spPr>
    </xdr:pic>
    <xdr:clientData/>
  </xdr:twoCellAnchor>
  <xdr:twoCellAnchor>
    <xdr:from>
      <xdr:col>3</xdr:col>
      <xdr:colOff>114300</xdr:colOff>
      <xdr:row>4095</xdr:row>
      <xdr:rowOff>28575</xdr:rowOff>
    </xdr:from>
    <xdr:to>
      <xdr:col>3</xdr:col>
      <xdr:colOff>1552575</xdr:colOff>
      <xdr:row>4095</xdr:row>
      <xdr:rowOff>1266825</xdr:rowOff>
    </xdr:to>
    <xdr:pic>
      <xdr:nvPicPr>
        <xdr:cNvPr id="1391" name="Имя " descr="Descr ">
          <a:extLst>
            <a:ext uri="{FF2B5EF4-FFF2-40B4-BE49-F238E27FC236}">
              <a16:creationId xmlns:a16="http://schemas.microsoft.com/office/drawing/2014/main" id="{00000000-0008-0000-0000-00006F050000}"/>
            </a:ext>
          </a:extLst>
        </xdr:cNvPr>
        <xdr:cNvPicPr>
          <a:picLocks noChangeAspect="1"/>
        </xdr:cNvPicPr>
      </xdr:nvPicPr>
      <xdr:blipFill>
        <a:blip xmlns:r="http://schemas.openxmlformats.org/officeDocument/2006/relationships" r:embed="rId1390"/>
        <a:stretch>
          <a:fillRect/>
        </a:stretch>
      </xdr:blipFill>
      <xdr:spPr>
        <a:prstGeom prst="rect">
          <a:avLst/>
        </a:prstGeom>
        <a:ln w="9525">
          <a:solidFill>
            <a:srgbClr val="000000"/>
          </a:solidFill>
          <a:prstDash val="solid"/>
        </a:ln>
      </xdr:spPr>
    </xdr:pic>
    <xdr:clientData/>
  </xdr:twoCellAnchor>
  <xdr:twoCellAnchor>
    <xdr:from>
      <xdr:col>3</xdr:col>
      <xdr:colOff>114300</xdr:colOff>
      <xdr:row>4096</xdr:row>
      <xdr:rowOff>28575</xdr:rowOff>
    </xdr:from>
    <xdr:to>
      <xdr:col>3</xdr:col>
      <xdr:colOff>1552575</xdr:colOff>
      <xdr:row>4096</xdr:row>
      <xdr:rowOff>1266825</xdr:rowOff>
    </xdr:to>
    <xdr:pic>
      <xdr:nvPicPr>
        <xdr:cNvPr id="1392" name="Имя " descr="Descr ">
          <a:extLst>
            <a:ext uri="{FF2B5EF4-FFF2-40B4-BE49-F238E27FC236}">
              <a16:creationId xmlns:a16="http://schemas.microsoft.com/office/drawing/2014/main" id="{00000000-0008-0000-0000-000070050000}"/>
            </a:ext>
          </a:extLst>
        </xdr:cNvPr>
        <xdr:cNvPicPr>
          <a:picLocks noChangeAspect="1"/>
        </xdr:cNvPicPr>
      </xdr:nvPicPr>
      <xdr:blipFill>
        <a:blip xmlns:r="http://schemas.openxmlformats.org/officeDocument/2006/relationships" r:embed="rId1391"/>
        <a:stretch>
          <a:fillRect/>
        </a:stretch>
      </xdr:blipFill>
      <xdr:spPr>
        <a:prstGeom prst="rect">
          <a:avLst/>
        </a:prstGeom>
        <a:ln w="9525">
          <a:solidFill>
            <a:srgbClr val="000000"/>
          </a:solidFill>
          <a:prstDash val="solid"/>
        </a:ln>
      </xdr:spPr>
    </xdr:pic>
    <xdr:clientData/>
  </xdr:twoCellAnchor>
  <xdr:twoCellAnchor>
    <xdr:from>
      <xdr:col>3</xdr:col>
      <xdr:colOff>114300</xdr:colOff>
      <xdr:row>4097</xdr:row>
      <xdr:rowOff>28575</xdr:rowOff>
    </xdr:from>
    <xdr:to>
      <xdr:col>3</xdr:col>
      <xdr:colOff>1552575</xdr:colOff>
      <xdr:row>4100</xdr:row>
      <xdr:rowOff>209550</xdr:rowOff>
    </xdr:to>
    <xdr:pic>
      <xdr:nvPicPr>
        <xdr:cNvPr id="1393" name="Имя " descr="Descr ">
          <a:extLst>
            <a:ext uri="{FF2B5EF4-FFF2-40B4-BE49-F238E27FC236}">
              <a16:creationId xmlns:a16="http://schemas.microsoft.com/office/drawing/2014/main" id="{00000000-0008-0000-0000-000071050000}"/>
            </a:ext>
          </a:extLst>
        </xdr:cNvPr>
        <xdr:cNvPicPr>
          <a:picLocks noChangeAspect="1"/>
        </xdr:cNvPicPr>
      </xdr:nvPicPr>
      <xdr:blipFill>
        <a:blip xmlns:r="http://schemas.openxmlformats.org/officeDocument/2006/relationships" r:embed="rId1392"/>
        <a:stretch>
          <a:fillRect/>
        </a:stretch>
      </xdr:blipFill>
      <xdr:spPr>
        <a:prstGeom prst="rect">
          <a:avLst/>
        </a:prstGeom>
        <a:ln w="9525">
          <a:solidFill>
            <a:srgbClr val="000000"/>
          </a:solidFill>
          <a:prstDash val="solid"/>
        </a:ln>
      </xdr:spPr>
    </xdr:pic>
    <xdr:clientData/>
  </xdr:twoCellAnchor>
  <xdr:twoCellAnchor>
    <xdr:from>
      <xdr:col>3</xdr:col>
      <xdr:colOff>114300</xdr:colOff>
      <xdr:row>4101</xdr:row>
      <xdr:rowOff>28575</xdr:rowOff>
    </xdr:from>
    <xdr:to>
      <xdr:col>3</xdr:col>
      <xdr:colOff>1552575</xdr:colOff>
      <xdr:row>4105</xdr:row>
      <xdr:rowOff>333375</xdr:rowOff>
    </xdr:to>
    <xdr:pic>
      <xdr:nvPicPr>
        <xdr:cNvPr id="1394" name="Имя " descr="Descr ">
          <a:extLst>
            <a:ext uri="{FF2B5EF4-FFF2-40B4-BE49-F238E27FC236}">
              <a16:creationId xmlns:a16="http://schemas.microsoft.com/office/drawing/2014/main" id="{00000000-0008-0000-0000-000072050000}"/>
            </a:ext>
          </a:extLst>
        </xdr:cNvPr>
        <xdr:cNvPicPr>
          <a:picLocks noChangeAspect="1"/>
        </xdr:cNvPicPr>
      </xdr:nvPicPr>
      <xdr:blipFill>
        <a:blip xmlns:r="http://schemas.openxmlformats.org/officeDocument/2006/relationships" r:embed="rId1393"/>
        <a:stretch>
          <a:fillRect/>
        </a:stretch>
      </xdr:blipFill>
      <xdr:spPr>
        <a:prstGeom prst="rect">
          <a:avLst/>
        </a:prstGeom>
        <a:ln w="9525">
          <a:solidFill>
            <a:srgbClr val="000000"/>
          </a:solidFill>
          <a:prstDash val="solid"/>
        </a:ln>
      </xdr:spPr>
    </xdr:pic>
    <xdr:clientData/>
  </xdr:twoCellAnchor>
  <xdr:twoCellAnchor>
    <xdr:from>
      <xdr:col>3</xdr:col>
      <xdr:colOff>114300</xdr:colOff>
      <xdr:row>4106</xdr:row>
      <xdr:rowOff>28575</xdr:rowOff>
    </xdr:from>
    <xdr:to>
      <xdr:col>3</xdr:col>
      <xdr:colOff>1552575</xdr:colOff>
      <xdr:row>4110</xdr:row>
      <xdr:rowOff>333375</xdr:rowOff>
    </xdr:to>
    <xdr:pic>
      <xdr:nvPicPr>
        <xdr:cNvPr id="1395" name="Имя " descr="Descr ">
          <a:extLst>
            <a:ext uri="{FF2B5EF4-FFF2-40B4-BE49-F238E27FC236}">
              <a16:creationId xmlns:a16="http://schemas.microsoft.com/office/drawing/2014/main" id="{00000000-0008-0000-0000-000073050000}"/>
            </a:ext>
          </a:extLst>
        </xdr:cNvPr>
        <xdr:cNvPicPr>
          <a:picLocks noChangeAspect="1"/>
        </xdr:cNvPicPr>
      </xdr:nvPicPr>
      <xdr:blipFill>
        <a:blip xmlns:r="http://schemas.openxmlformats.org/officeDocument/2006/relationships" r:embed="rId1394"/>
        <a:stretch>
          <a:fillRect/>
        </a:stretch>
      </xdr:blipFill>
      <xdr:spPr>
        <a:prstGeom prst="rect">
          <a:avLst/>
        </a:prstGeom>
        <a:ln w="9525">
          <a:solidFill>
            <a:srgbClr val="000000"/>
          </a:solidFill>
          <a:prstDash val="solid"/>
        </a:ln>
      </xdr:spPr>
    </xdr:pic>
    <xdr:clientData/>
  </xdr:twoCellAnchor>
  <xdr:twoCellAnchor>
    <xdr:from>
      <xdr:col>3</xdr:col>
      <xdr:colOff>114300</xdr:colOff>
      <xdr:row>4111</xdr:row>
      <xdr:rowOff>28575</xdr:rowOff>
    </xdr:from>
    <xdr:to>
      <xdr:col>3</xdr:col>
      <xdr:colOff>1552575</xdr:colOff>
      <xdr:row>4114</xdr:row>
      <xdr:rowOff>209550</xdr:rowOff>
    </xdr:to>
    <xdr:pic>
      <xdr:nvPicPr>
        <xdr:cNvPr id="1396" name="Имя " descr="Descr ">
          <a:extLst>
            <a:ext uri="{FF2B5EF4-FFF2-40B4-BE49-F238E27FC236}">
              <a16:creationId xmlns:a16="http://schemas.microsoft.com/office/drawing/2014/main" id="{00000000-0008-0000-0000-000074050000}"/>
            </a:ext>
          </a:extLst>
        </xdr:cNvPr>
        <xdr:cNvPicPr>
          <a:picLocks noChangeAspect="1"/>
        </xdr:cNvPicPr>
      </xdr:nvPicPr>
      <xdr:blipFill>
        <a:blip xmlns:r="http://schemas.openxmlformats.org/officeDocument/2006/relationships" r:embed="rId1395"/>
        <a:stretch>
          <a:fillRect/>
        </a:stretch>
      </xdr:blipFill>
      <xdr:spPr>
        <a:prstGeom prst="rect">
          <a:avLst/>
        </a:prstGeom>
        <a:ln w="9525">
          <a:solidFill>
            <a:srgbClr val="000000"/>
          </a:solidFill>
          <a:prstDash val="solid"/>
        </a:ln>
      </xdr:spPr>
    </xdr:pic>
    <xdr:clientData/>
  </xdr:twoCellAnchor>
  <xdr:twoCellAnchor>
    <xdr:from>
      <xdr:col>3</xdr:col>
      <xdr:colOff>114300</xdr:colOff>
      <xdr:row>4115</xdr:row>
      <xdr:rowOff>28575</xdr:rowOff>
    </xdr:from>
    <xdr:to>
      <xdr:col>3</xdr:col>
      <xdr:colOff>1552575</xdr:colOff>
      <xdr:row>4119</xdr:row>
      <xdr:rowOff>333375</xdr:rowOff>
    </xdr:to>
    <xdr:pic>
      <xdr:nvPicPr>
        <xdr:cNvPr id="1397" name="Имя " descr="Descr ">
          <a:extLst>
            <a:ext uri="{FF2B5EF4-FFF2-40B4-BE49-F238E27FC236}">
              <a16:creationId xmlns:a16="http://schemas.microsoft.com/office/drawing/2014/main" id="{00000000-0008-0000-0000-000075050000}"/>
            </a:ext>
          </a:extLst>
        </xdr:cNvPr>
        <xdr:cNvPicPr>
          <a:picLocks noChangeAspect="1"/>
        </xdr:cNvPicPr>
      </xdr:nvPicPr>
      <xdr:blipFill>
        <a:blip xmlns:r="http://schemas.openxmlformats.org/officeDocument/2006/relationships" r:embed="rId1396"/>
        <a:stretch>
          <a:fillRect/>
        </a:stretch>
      </xdr:blipFill>
      <xdr:spPr>
        <a:prstGeom prst="rect">
          <a:avLst/>
        </a:prstGeom>
        <a:ln w="9525">
          <a:solidFill>
            <a:srgbClr val="000000"/>
          </a:solidFill>
          <a:prstDash val="solid"/>
        </a:ln>
      </xdr:spPr>
    </xdr:pic>
    <xdr:clientData/>
  </xdr:twoCellAnchor>
  <xdr:twoCellAnchor>
    <xdr:from>
      <xdr:col>3</xdr:col>
      <xdr:colOff>114300</xdr:colOff>
      <xdr:row>4120</xdr:row>
      <xdr:rowOff>28575</xdr:rowOff>
    </xdr:from>
    <xdr:to>
      <xdr:col>3</xdr:col>
      <xdr:colOff>1552575</xdr:colOff>
      <xdr:row>4123</xdr:row>
      <xdr:rowOff>209550</xdr:rowOff>
    </xdr:to>
    <xdr:pic>
      <xdr:nvPicPr>
        <xdr:cNvPr id="1398" name="Имя " descr="Descr ">
          <a:extLst>
            <a:ext uri="{FF2B5EF4-FFF2-40B4-BE49-F238E27FC236}">
              <a16:creationId xmlns:a16="http://schemas.microsoft.com/office/drawing/2014/main" id="{00000000-0008-0000-0000-000076050000}"/>
            </a:ext>
          </a:extLst>
        </xdr:cNvPr>
        <xdr:cNvPicPr>
          <a:picLocks noChangeAspect="1"/>
        </xdr:cNvPicPr>
      </xdr:nvPicPr>
      <xdr:blipFill>
        <a:blip xmlns:r="http://schemas.openxmlformats.org/officeDocument/2006/relationships" r:embed="rId1397"/>
        <a:stretch>
          <a:fillRect/>
        </a:stretch>
      </xdr:blipFill>
      <xdr:spPr>
        <a:prstGeom prst="rect">
          <a:avLst/>
        </a:prstGeom>
        <a:ln w="9525">
          <a:solidFill>
            <a:srgbClr val="000000"/>
          </a:solidFill>
          <a:prstDash val="solid"/>
        </a:ln>
      </xdr:spPr>
    </xdr:pic>
    <xdr:clientData/>
  </xdr:twoCellAnchor>
  <xdr:twoCellAnchor>
    <xdr:from>
      <xdr:col>3</xdr:col>
      <xdr:colOff>114300</xdr:colOff>
      <xdr:row>4124</xdr:row>
      <xdr:rowOff>28575</xdr:rowOff>
    </xdr:from>
    <xdr:to>
      <xdr:col>3</xdr:col>
      <xdr:colOff>1552575</xdr:colOff>
      <xdr:row>4128</xdr:row>
      <xdr:rowOff>333375</xdr:rowOff>
    </xdr:to>
    <xdr:pic>
      <xdr:nvPicPr>
        <xdr:cNvPr id="1399" name="Имя " descr="Descr ">
          <a:extLst>
            <a:ext uri="{FF2B5EF4-FFF2-40B4-BE49-F238E27FC236}">
              <a16:creationId xmlns:a16="http://schemas.microsoft.com/office/drawing/2014/main" id="{00000000-0008-0000-0000-000077050000}"/>
            </a:ext>
          </a:extLst>
        </xdr:cNvPr>
        <xdr:cNvPicPr>
          <a:picLocks noChangeAspect="1"/>
        </xdr:cNvPicPr>
      </xdr:nvPicPr>
      <xdr:blipFill>
        <a:blip xmlns:r="http://schemas.openxmlformats.org/officeDocument/2006/relationships" r:embed="rId1398"/>
        <a:stretch>
          <a:fillRect/>
        </a:stretch>
      </xdr:blipFill>
      <xdr:spPr>
        <a:prstGeom prst="rect">
          <a:avLst/>
        </a:prstGeom>
        <a:ln w="9525">
          <a:solidFill>
            <a:srgbClr val="000000"/>
          </a:solidFill>
          <a:prstDash val="solid"/>
        </a:ln>
      </xdr:spPr>
    </xdr:pic>
    <xdr:clientData/>
  </xdr:twoCellAnchor>
  <xdr:twoCellAnchor>
    <xdr:from>
      <xdr:col>3</xdr:col>
      <xdr:colOff>114300</xdr:colOff>
      <xdr:row>4129</xdr:row>
      <xdr:rowOff>28575</xdr:rowOff>
    </xdr:from>
    <xdr:to>
      <xdr:col>3</xdr:col>
      <xdr:colOff>1552575</xdr:colOff>
      <xdr:row>4133</xdr:row>
      <xdr:rowOff>333375</xdr:rowOff>
    </xdr:to>
    <xdr:pic>
      <xdr:nvPicPr>
        <xdr:cNvPr id="1400" name="Имя " descr="Descr ">
          <a:extLst>
            <a:ext uri="{FF2B5EF4-FFF2-40B4-BE49-F238E27FC236}">
              <a16:creationId xmlns:a16="http://schemas.microsoft.com/office/drawing/2014/main" id="{00000000-0008-0000-0000-000078050000}"/>
            </a:ext>
          </a:extLst>
        </xdr:cNvPr>
        <xdr:cNvPicPr>
          <a:picLocks noChangeAspect="1"/>
        </xdr:cNvPicPr>
      </xdr:nvPicPr>
      <xdr:blipFill>
        <a:blip xmlns:r="http://schemas.openxmlformats.org/officeDocument/2006/relationships" r:embed="rId1399"/>
        <a:stretch>
          <a:fillRect/>
        </a:stretch>
      </xdr:blipFill>
      <xdr:spPr>
        <a:prstGeom prst="rect">
          <a:avLst/>
        </a:prstGeom>
        <a:ln w="9525">
          <a:solidFill>
            <a:srgbClr val="000000"/>
          </a:solidFill>
          <a:prstDash val="solid"/>
        </a:ln>
      </xdr:spPr>
    </xdr:pic>
    <xdr:clientData/>
  </xdr:twoCellAnchor>
  <xdr:twoCellAnchor>
    <xdr:from>
      <xdr:col>3</xdr:col>
      <xdr:colOff>114300</xdr:colOff>
      <xdr:row>4134</xdr:row>
      <xdr:rowOff>28575</xdr:rowOff>
    </xdr:from>
    <xdr:to>
      <xdr:col>3</xdr:col>
      <xdr:colOff>1552575</xdr:colOff>
      <xdr:row>4138</xdr:row>
      <xdr:rowOff>333375</xdr:rowOff>
    </xdr:to>
    <xdr:pic>
      <xdr:nvPicPr>
        <xdr:cNvPr id="1401" name="Имя " descr="Descr ">
          <a:extLst>
            <a:ext uri="{FF2B5EF4-FFF2-40B4-BE49-F238E27FC236}">
              <a16:creationId xmlns:a16="http://schemas.microsoft.com/office/drawing/2014/main" id="{00000000-0008-0000-0000-000079050000}"/>
            </a:ext>
          </a:extLst>
        </xdr:cNvPr>
        <xdr:cNvPicPr>
          <a:picLocks noChangeAspect="1"/>
        </xdr:cNvPicPr>
      </xdr:nvPicPr>
      <xdr:blipFill>
        <a:blip xmlns:r="http://schemas.openxmlformats.org/officeDocument/2006/relationships" r:embed="rId1400"/>
        <a:stretch>
          <a:fillRect/>
        </a:stretch>
      </xdr:blipFill>
      <xdr:spPr>
        <a:prstGeom prst="rect">
          <a:avLst/>
        </a:prstGeom>
        <a:ln w="9525">
          <a:solidFill>
            <a:srgbClr val="000000"/>
          </a:solidFill>
          <a:prstDash val="solid"/>
        </a:ln>
      </xdr:spPr>
    </xdr:pic>
    <xdr:clientData/>
  </xdr:twoCellAnchor>
  <xdr:twoCellAnchor>
    <xdr:from>
      <xdr:col>3</xdr:col>
      <xdr:colOff>114300</xdr:colOff>
      <xdr:row>4139</xdr:row>
      <xdr:rowOff>28575</xdr:rowOff>
    </xdr:from>
    <xdr:to>
      <xdr:col>3</xdr:col>
      <xdr:colOff>1552575</xdr:colOff>
      <xdr:row>4143</xdr:row>
      <xdr:rowOff>333375</xdr:rowOff>
    </xdr:to>
    <xdr:pic>
      <xdr:nvPicPr>
        <xdr:cNvPr id="1402" name="Имя " descr="Descr ">
          <a:extLst>
            <a:ext uri="{FF2B5EF4-FFF2-40B4-BE49-F238E27FC236}">
              <a16:creationId xmlns:a16="http://schemas.microsoft.com/office/drawing/2014/main" id="{00000000-0008-0000-0000-00007A050000}"/>
            </a:ext>
          </a:extLst>
        </xdr:cNvPr>
        <xdr:cNvPicPr>
          <a:picLocks noChangeAspect="1"/>
        </xdr:cNvPicPr>
      </xdr:nvPicPr>
      <xdr:blipFill>
        <a:blip xmlns:r="http://schemas.openxmlformats.org/officeDocument/2006/relationships" r:embed="rId1401"/>
        <a:stretch>
          <a:fillRect/>
        </a:stretch>
      </xdr:blipFill>
      <xdr:spPr>
        <a:prstGeom prst="rect">
          <a:avLst/>
        </a:prstGeom>
        <a:ln w="9525">
          <a:solidFill>
            <a:srgbClr val="000000"/>
          </a:solidFill>
          <a:prstDash val="solid"/>
        </a:ln>
      </xdr:spPr>
    </xdr:pic>
    <xdr:clientData/>
  </xdr:twoCellAnchor>
  <xdr:twoCellAnchor>
    <xdr:from>
      <xdr:col>3</xdr:col>
      <xdr:colOff>114300</xdr:colOff>
      <xdr:row>4144</xdr:row>
      <xdr:rowOff>28575</xdr:rowOff>
    </xdr:from>
    <xdr:to>
      <xdr:col>3</xdr:col>
      <xdr:colOff>1552575</xdr:colOff>
      <xdr:row>4148</xdr:row>
      <xdr:rowOff>333375</xdr:rowOff>
    </xdr:to>
    <xdr:pic>
      <xdr:nvPicPr>
        <xdr:cNvPr id="1403" name="Имя " descr="Descr ">
          <a:extLst>
            <a:ext uri="{FF2B5EF4-FFF2-40B4-BE49-F238E27FC236}">
              <a16:creationId xmlns:a16="http://schemas.microsoft.com/office/drawing/2014/main" id="{00000000-0008-0000-0000-00007B050000}"/>
            </a:ext>
          </a:extLst>
        </xdr:cNvPr>
        <xdr:cNvPicPr>
          <a:picLocks noChangeAspect="1"/>
        </xdr:cNvPicPr>
      </xdr:nvPicPr>
      <xdr:blipFill>
        <a:blip xmlns:r="http://schemas.openxmlformats.org/officeDocument/2006/relationships" r:embed="rId1402"/>
        <a:stretch>
          <a:fillRect/>
        </a:stretch>
      </xdr:blipFill>
      <xdr:spPr>
        <a:prstGeom prst="rect">
          <a:avLst/>
        </a:prstGeom>
        <a:ln w="9525">
          <a:solidFill>
            <a:srgbClr val="000000"/>
          </a:solidFill>
          <a:prstDash val="solid"/>
        </a:ln>
      </xdr:spPr>
    </xdr:pic>
    <xdr:clientData/>
  </xdr:twoCellAnchor>
  <xdr:twoCellAnchor>
    <xdr:from>
      <xdr:col>3</xdr:col>
      <xdr:colOff>114300</xdr:colOff>
      <xdr:row>4149</xdr:row>
      <xdr:rowOff>28575</xdr:rowOff>
    </xdr:from>
    <xdr:to>
      <xdr:col>3</xdr:col>
      <xdr:colOff>1552575</xdr:colOff>
      <xdr:row>4153</xdr:row>
      <xdr:rowOff>333375</xdr:rowOff>
    </xdr:to>
    <xdr:pic>
      <xdr:nvPicPr>
        <xdr:cNvPr id="1404" name="Имя " descr="Descr ">
          <a:extLst>
            <a:ext uri="{FF2B5EF4-FFF2-40B4-BE49-F238E27FC236}">
              <a16:creationId xmlns:a16="http://schemas.microsoft.com/office/drawing/2014/main" id="{00000000-0008-0000-0000-00007C050000}"/>
            </a:ext>
          </a:extLst>
        </xdr:cNvPr>
        <xdr:cNvPicPr>
          <a:picLocks noChangeAspect="1"/>
        </xdr:cNvPicPr>
      </xdr:nvPicPr>
      <xdr:blipFill>
        <a:blip xmlns:r="http://schemas.openxmlformats.org/officeDocument/2006/relationships" r:embed="rId1403"/>
        <a:stretch>
          <a:fillRect/>
        </a:stretch>
      </xdr:blipFill>
      <xdr:spPr>
        <a:prstGeom prst="rect">
          <a:avLst/>
        </a:prstGeom>
        <a:ln w="9525">
          <a:solidFill>
            <a:srgbClr val="000000"/>
          </a:solidFill>
          <a:prstDash val="solid"/>
        </a:ln>
      </xdr:spPr>
    </xdr:pic>
    <xdr:clientData/>
  </xdr:twoCellAnchor>
  <xdr:twoCellAnchor>
    <xdr:from>
      <xdr:col>3</xdr:col>
      <xdr:colOff>114300</xdr:colOff>
      <xdr:row>4154</xdr:row>
      <xdr:rowOff>28575</xdr:rowOff>
    </xdr:from>
    <xdr:to>
      <xdr:col>3</xdr:col>
      <xdr:colOff>1552575</xdr:colOff>
      <xdr:row>4154</xdr:row>
      <xdr:rowOff>1266825</xdr:rowOff>
    </xdr:to>
    <xdr:pic>
      <xdr:nvPicPr>
        <xdr:cNvPr id="1405" name="Имя " descr="Descr ">
          <a:extLst>
            <a:ext uri="{FF2B5EF4-FFF2-40B4-BE49-F238E27FC236}">
              <a16:creationId xmlns:a16="http://schemas.microsoft.com/office/drawing/2014/main" id="{00000000-0008-0000-0000-00007D050000}"/>
            </a:ext>
          </a:extLst>
        </xdr:cNvPr>
        <xdr:cNvPicPr>
          <a:picLocks noChangeAspect="1"/>
        </xdr:cNvPicPr>
      </xdr:nvPicPr>
      <xdr:blipFill>
        <a:blip xmlns:r="http://schemas.openxmlformats.org/officeDocument/2006/relationships" r:embed="rId1404"/>
        <a:stretch>
          <a:fillRect/>
        </a:stretch>
      </xdr:blipFill>
      <xdr:spPr>
        <a:prstGeom prst="rect">
          <a:avLst/>
        </a:prstGeom>
        <a:ln w="9525">
          <a:solidFill>
            <a:srgbClr val="000000"/>
          </a:solidFill>
          <a:prstDash val="solid"/>
        </a:ln>
      </xdr:spPr>
    </xdr:pic>
    <xdr:clientData/>
  </xdr:twoCellAnchor>
  <xdr:twoCellAnchor>
    <xdr:from>
      <xdr:col>3</xdr:col>
      <xdr:colOff>114300</xdr:colOff>
      <xdr:row>4155</xdr:row>
      <xdr:rowOff>28575</xdr:rowOff>
    </xdr:from>
    <xdr:to>
      <xdr:col>3</xdr:col>
      <xdr:colOff>1552575</xdr:colOff>
      <xdr:row>4155</xdr:row>
      <xdr:rowOff>1266825</xdr:rowOff>
    </xdr:to>
    <xdr:pic>
      <xdr:nvPicPr>
        <xdr:cNvPr id="1406" name="Имя " descr="Descr ">
          <a:extLst>
            <a:ext uri="{FF2B5EF4-FFF2-40B4-BE49-F238E27FC236}">
              <a16:creationId xmlns:a16="http://schemas.microsoft.com/office/drawing/2014/main" id="{00000000-0008-0000-0000-00007E050000}"/>
            </a:ext>
          </a:extLst>
        </xdr:cNvPr>
        <xdr:cNvPicPr>
          <a:picLocks noChangeAspect="1"/>
        </xdr:cNvPicPr>
      </xdr:nvPicPr>
      <xdr:blipFill>
        <a:blip xmlns:r="http://schemas.openxmlformats.org/officeDocument/2006/relationships" r:embed="rId1405"/>
        <a:stretch>
          <a:fillRect/>
        </a:stretch>
      </xdr:blipFill>
      <xdr:spPr>
        <a:prstGeom prst="rect">
          <a:avLst/>
        </a:prstGeom>
        <a:ln w="9525">
          <a:solidFill>
            <a:srgbClr val="000000"/>
          </a:solidFill>
          <a:prstDash val="solid"/>
        </a:ln>
      </xdr:spPr>
    </xdr:pic>
    <xdr:clientData/>
  </xdr:twoCellAnchor>
  <xdr:twoCellAnchor>
    <xdr:from>
      <xdr:col>3</xdr:col>
      <xdr:colOff>114300</xdr:colOff>
      <xdr:row>4156</xdr:row>
      <xdr:rowOff>28575</xdr:rowOff>
    </xdr:from>
    <xdr:to>
      <xdr:col>3</xdr:col>
      <xdr:colOff>1552575</xdr:colOff>
      <xdr:row>4156</xdr:row>
      <xdr:rowOff>1266825</xdr:rowOff>
    </xdr:to>
    <xdr:pic>
      <xdr:nvPicPr>
        <xdr:cNvPr id="1407" name="Имя " descr="Descr ">
          <a:extLst>
            <a:ext uri="{FF2B5EF4-FFF2-40B4-BE49-F238E27FC236}">
              <a16:creationId xmlns:a16="http://schemas.microsoft.com/office/drawing/2014/main" id="{00000000-0008-0000-0000-00007F050000}"/>
            </a:ext>
          </a:extLst>
        </xdr:cNvPr>
        <xdr:cNvPicPr>
          <a:picLocks noChangeAspect="1"/>
        </xdr:cNvPicPr>
      </xdr:nvPicPr>
      <xdr:blipFill>
        <a:blip xmlns:r="http://schemas.openxmlformats.org/officeDocument/2006/relationships" r:embed="rId1406"/>
        <a:stretch>
          <a:fillRect/>
        </a:stretch>
      </xdr:blipFill>
      <xdr:spPr>
        <a:prstGeom prst="rect">
          <a:avLst/>
        </a:prstGeom>
        <a:ln w="9525">
          <a:solidFill>
            <a:srgbClr val="000000"/>
          </a:solidFill>
          <a:prstDash val="solid"/>
        </a:ln>
      </xdr:spPr>
    </xdr:pic>
    <xdr:clientData/>
  </xdr:twoCellAnchor>
  <xdr:twoCellAnchor>
    <xdr:from>
      <xdr:col>3</xdr:col>
      <xdr:colOff>114300</xdr:colOff>
      <xdr:row>4157</xdr:row>
      <xdr:rowOff>28575</xdr:rowOff>
    </xdr:from>
    <xdr:to>
      <xdr:col>3</xdr:col>
      <xdr:colOff>1552575</xdr:colOff>
      <xdr:row>4157</xdr:row>
      <xdr:rowOff>1266825</xdr:rowOff>
    </xdr:to>
    <xdr:pic>
      <xdr:nvPicPr>
        <xdr:cNvPr id="1408" name="Имя " descr="Descr ">
          <a:extLst>
            <a:ext uri="{FF2B5EF4-FFF2-40B4-BE49-F238E27FC236}">
              <a16:creationId xmlns:a16="http://schemas.microsoft.com/office/drawing/2014/main" id="{00000000-0008-0000-0000-000080050000}"/>
            </a:ext>
          </a:extLst>
        </xdr:cNvPr>
        <xdr:cNvPicPr>
          <a:picLocks noChangeAspect="1"/>
        </xdr:cNvPicPr>
      </xdr:nvPicPr>
      <xdr:blipFill>
        <a:blip xmlns:r="http://schemas.openxmlformats.org/officeDocument/2006/relationships" r:embed="rId1407"/>
        <a:stretch>
          <a:fillRect/>
        </a:stretch>
      </xdr:blipFill>
      <xdr:spPr>
        <a:prstGeom prst="rect">
          <a:avLst/>
        </a:prstGeom>
        <a:ln w="9525">
          <a:solidFill>
            <a:srgbClr val="000000"/>
          </a:solidFill>
          <a:prstDash val="solid"/>
        </a:ln>
      </xdr:spPr>
    </xdr:pic>
    <xdr:clientData/>
  </xdr:twoCellAnchor>
  <xdr:twoCellAnchor>
    <xdr:from>
      <xdr:col>3</xdr:col>
      <xdr:colOff>114300</xdr:colOff>
      <xdr:row>4158</xdr:row>
      <xdr:rowOff>28575</xdr:rowOff>
    </xdr:from>
    <xdr:to>
      <xdr:col>3</xdr:col>
      <xdr:colOff>1552575</xdr:colOff>
      <xdr:row>4158</xdr:row>
      <xdr:rowOff>1266825</xdr:rowOff>
    </xdr:to>
    <xdr:pic>
      <xdr:nvPicPr>
        <xdr:cNvPr id="1409" name="Имя " descr="Descr ">
          <a:extLst>
            <a:ext uri="{FF2B5EF4-FFF2-40B4-BE49-F238E27FC236}">
              <a16:creationId xmlns:a16="http://schemas.microsoft.com/office/drawing/2014/main" id="{00000000-0008-0000-0000-000081050000}"/>
            </a:ext>
          </a:extLst>
        </xdr:cNvPr>
        <xdr:cNvPicPr>
          <a:picLocks noChangeAspect="1"/>
        </xdr:cNvPicPr>
      </xdr:nvPicPr>
      <xdr:blipFill>
        <a:blip xmlns:r="http://schemas.openxmlformats.org/officeDocument/2006/relationships" r:embed="rId1408"/>
        <a:stretch>
          <a:fillRect/>
        </a:stretch>
      </xdr:blipFill>
      <xdr:spPr>
        <a:prstGeom prst="rect">
          <a:avLst/>
        </a:prstGeom>
        <a:ln w="9525">
          <a:solidFill>
            <a:srgbClr val="000000"/>
          </a:solidFill>
          <a:prstDash val="solid"/>
        </a:ln>
      </xdr:spPr>
    </xdr:pic>
    <xdr:clientData/>
  </xdr:twoCellAnchor>
  <xdr:twoCellAnchor>
    <xdr:from>
      <xdr:col>3</xdr:col>
      <xdr:colOff>114300</xdr:colOff>
      <xdr:row>4159</xdr:row>
      <xdr:rowOff>28575</xdr:rowOff>
    </xdr:from>
    <xdr:to>
      <xdr:col>3</xdr:col>
      <xdr:colOff>1552575</xdr:colOff>
      <xdr:row>4159</xdr:row>
      <xdr:rowOff>1266825</xdr:rowOff>
    </xdr:to>
    <xdr:pic>
      <xdr:nvPicPr>
        <xdr:cNvPr id="1410" name="Имя " descr="Descr ">
          <a:extLst>
            <a:ext uri="{FF2B5EF4-FFF2-40B4-BE49-F238E27FC236}">
              <a16:creationId xmlns:a16="http://schemas.microsoft.com/office/drawing/2014/main" id="{00000000-0008-0000-0000-000082050000}"/>
            </a:ext>
          </a:extLst>
        </xdr:cNvPr>
        <xdr:cNvPicPr>
          <a:picLocks noChangeAspect="1"/>
        </xdr:cNvPicPr>
      </xdr:nvPicPr>
      <xdr:blipFill>
        <a:blip xmlns:r="http://schemas.openxmlformats.org/officeDocument/2006/relationships" r:embed="rId1409"/>
        <a:stretch>
          <a:fillRect/>
        </a:stretch>
      </xdr:blipFill>
      <xdr:spPr>
        <a:prstGeom prst="rect">
          <a:avLst/>
        </a:prstGeom>
        <a:ln w="9525">
          <a:solidFill>
            <a:srgbClr val="000000"/>
          </a:solidFill>
          <a:prstDash val="solid"/>
        </a:ln>
      </xdr:spPr>
    </xdr:pic>
    <xdr:clientData/>
  </xdr:twoCellAnchor>
  <xdr:twoCellAnchor>
    <xdr:from>
      <xdr:col>3</xdr:col>
      <xdr:colOff>114300</xdr:colOff>
      <xdr:row>4160</xdr:row>
      <xdr:rowOff>28575</xdr:rowOff>
    </xdr:from>
    <xdr:to>
      <xdr:col>3</xdr:col>
      <xdr:colOff>1552575</xdr:colOff>
      <xdr:row>4160</xdr:row>
      <xdr:rowOff>1266825</xdr:rowOff>
    </xdr:to>
    <xdr:pic>
      <xdr:nvPicPr>
        <xdr:cNvPr id="1411" name="Имя " descr="Descr ">
          <a:extLst>
            <a:ext uri="{FF2B5EF4-FFF2-40B4-BE49-F238E27FC236}">
              <a16:creationId xmlns:a16="http://schemas.microsoft.com/office/drawing/2014/main" id="{00000000-0008-0000-0000-000083050000}"/>
            </a:ext>
          </a:extLst>
        </xdr:cNvPr>
        <xdr:cNvPicPr>
          <a:picLocks noChangeAspect="1"/>
        </xdr:cNvPicPr>
      </xdr:nvPicPr>
      <xdr:blipFill>
        <a:blip xmlns:r="http://schemas.openxmlformats.org/officeDocument/2006/relationships" r:embed="rId1410"/>
        <a:stretch>
          <a:fillRect/>
        </a:stretch>
      </xdr:blipFill>
      <xdr:spPr>
        <a:prstGeom prst="rect">
          <a:avLst/>
        </a:prstGeom>
        <a:ln w="9525">
          <a:solidFill>
            <a:srgbClr val="000000"/>
          </a:solidFill>
          <a:prstDash val="solid"/>
        </a:ln>
      </xdr:spPr>
    </xdr:pic>
    <xdr:clientData/>
  </xdr:twoCellAnchor>
  <xdr:twoCellAnchor>
    <xdr:from>
      <xdr:col>3</xdr:col>
      <xdr:colOff>114300</xdr:colOff>
      <xdr:row>4161</xdr:row>
      <xdr:rowOff>28575</xdr:rowOff>
    </xdr:from>
    <xdr:to>
      <xdr:col>3</xdr:col>
      <xdr:colOff>1552575</xdr:colOff>
      <xdr:row>4161</xdr:row>
      <xdr:rowOff>1266825</xdr:rowOff>
    </xdr:to>
    <xdr:pic>
      <xdr:nvPicPr>
        <xdr:cNvPr id="1412" name="Имя " descr="Descr ">
          <a:extLst>
            <a:ext uri="{FF2B5EF4-FFF2-40B4-BE49-F238E27FC236}">
              <a16:creationId xmlns:a16="http://schemas.microsoft.com/office/drawing/2014/main" id="{00000000-0008-0000-0000-000084050000}"/>
            </a:ext>
          </a:extLst>
        </xdr:cNvPr>
        <xdr:cNvPicPr>
          <a:picLocks noChangeAspect="1"/>
        </xdr:cNvPicPr>
      </xdr:nvPicPr>
      <xdr:blipFill>
        <a:blip xmlns:r="http://schemas.openxmlformats.org/officeDocument/2006/relationships" r:embed="rId1411"/>
        <a:stretch>
          <a:fillRect/>
        </a:stretch>
      </xdr:blipFill>
      <xdr:spPr>
        <a:prstGeom prst="rect">
          <a:avLst/>
        </a:prstGeom>
        <a:ln w="9525">
          <a:solidFill>
            <a:srgbClr val="000000"/>
          </a:solidFill>
          <a:prstDash val="solid"/>
        </a:ln>
      </xdr:spPr>
    </xdr:pic>
    <xdr:clientData/>
  </xdr:twoCellAnchor>
  <xdr:twoCellAnchor>
    <xdr:from>
      <xdr:col>3</xdr:col>
      <xdr:colOff>114300</xdr:colOff>
      <xdr:row>4162</xdr:row>
      <xdr:rowOff>28575</xdr:rowOff>
    </xdr:from>
    <xdr:to>
      <xdr:col>3</xdr:col>
      <xdr:colOff>1552575</xdr:colOff>
      <xdr:row>4162</xdr:row>
      <xdr:rowOff>1266825</xdr:rowOff>
    </xdr:to>
    <xdr:pic>
      <xdr:nvPicPr>
        <xdr:cNvPr id="1413" name="Имя " descr="Descr ">
          <a:extLst>
            <a:ext uri="{FF2B5EF4-FFF2-40B4-BE49-F238E27FC236}">
              <a16:creationId xmlns:a16="http://schemas.microsoft.com/office/drawing/2014/main" id="{00000000-0008-0000-0000-000085050000}"/>
            </a:ext>
          </a:extLst>
        </xdr:cNvPr>
        <xdr:cNvPicPr>
          <a:picLocks noChangeAspect="1"/>
        </xdr:cNvPicPr>
      </xdr:nvPicPr>
      <xdr:blipFill>
        <a:blip xmlns:r="http://schemas.openxmlformats.org/officeDocument/2006/relationships" r:embed="rId1412"/>
        <a:stretch>
          <a:fillRect/>
        </a:stretch>
      </xdr:blipFill>
      <xdr:spPr>
        <a:prstGeom prst="rect">
          <a:avLst/>
        </a:prstGeom>
        <a:ln w="9525">
          <a:solidFill>
            <a:srgbClr val="000000"/>
          </a:solidFill>
          <a:prstDash val="solid"/>
        </a:ln>
      </xdr:spPr>
    </xdr:pic>
    <xdr:clientData/>
  </xdr:twoCellAnchor>
  <xdr:twoCellAnchor>
    <xdr:from>
      <xdr:col>3</xdr:col>
      <xdr:colOff>114300</xdr:colOff>
      <xdr:row>4163</xdr:row>
      <xdr:rowOff>28575</xdr:rowOff>
    </xdr:from>
    <xdr:to>
      <xdr:col>3</xdr:col>
      <xdr:colOff>1552575</xdr:colOff>
      <xdr:row>4163</xdr:row>
      <xdr:rowOff>1266825</xdr:rowOff>
    </xdr:to>
    <xdr:pic>
      <xdr:nvPicPr>
        <xdr:cNvPr id="1414" name="Имя " descr="Descr ">
          <a:extLst>
            <a:ext uri="{FF2B5EF4-FFF2-40B4-BE49-F238E27FC236}">
              <a16:creationId xmlns:a16="http://schemas.microsoft.com/office/drawing/2014/main" id="{00000000-0008-0000-0000-000086050000}"/>
            </a:ext>
          </a:extLst>
        </xdr:cNvPr>
        <xdr:cNvPicPr>
          <a:picLocks noChangeAspect="1"/>
        </xdr:cNvPicPr>
      </xdr:nvPicPr>
      <xdr:blipFill>
        <a:blip xmlns:r="http://schemas.openxmlformats.org/officeDocument/2006/relationships" r:embed="rId1413"/>
        <a:stretch>
          <a:fillRect/>
        </a:stretch>
      </xdr:blipFill>
      <xdr:spPr>
        <a:prstGeom prst="rect">
          <a:avLst/>
        </a:prstGeom>
        <a:ln w="9525">
          <a:solidFill>
            <a:srgbClr val="000000"/>
          </a:solidFill>
          <a:prstDash val="solid"/>
        </a:ln>
      </xdr:spPr>
    </xdr:pic>
    <xdr:clientData/>
  </xdr:twoCellAnchor>
  <xdr:twoCellAnchor>
    <xdr:from>
      <xdr:col>3</xdr:col>
      <xdr:colOff>114300</xdr:colOff>
      <xdr:row>4164</xdr:row>
      <xdr:rowOff>28575</xdr:rowOff>
    </xdr:from>
    <xdr:to>
      <xdr:col>3</xdr:col>
      <xdr:colOff>1552575</xdr:colOff>
      <xdr:row>4164</xdr:row>
      <xdr:rowOff>1266825</xdr:rowOff>
    </xdr:to>
    <xdr:pic>
      <xdr:nvPicPr>
        <xdr:cNvPr id="1415" name="Имя " descr="Descr ">
          <a:extLst>
            <a:ext uri="{FF2B5EF4-FFF2-40B4-BE49-F238E27FC236}">
              <a16:creationId xmlns:a16="http://schemas.microsoft.com/office/drawing/2014/main" id="{00000000-0008-0000-0000-000087050000}"/>
            </a:ext>
          </a:extLst>
        </xdr:cNvPr>
        <xdr:cNvPicPr>
          <a:picLocks noChangeAspect="1"/>
        </xdr:cNvPicPr>
      </xdr:nvPicPr>
      <xdr:blipFill>
        <a:blip xmlns:r="http://schemas.openxmlformats.org/officeDocument/2006/relationships" r:embed="rId1414"/>
        <a:stretch>
          <a:fillRect/>
        </a:stretch>
      </xdr:blipFill>
      <xdr:spPr>
        <a:prstGeom prst="rect">
          <a:avLst/>
        </a:prstGeom>
        <a:ln w="9525">
          <a:solidFill>
            <a:srgbClr val="000000"/>
          </a:solidFill>
          <a:prstDash val="solid"/>
        </a:ln>
      </xdr:spPr>
    </xdr:pic>
    <xdr:clientData/>
  </xdr:twoCellAnchor>
  <xdr:twoCellAnchor>
    <xdr:from>
      <xdr:col>3</xdr:col>
      <xdr:colOff>114300</xdr:colOff>
      <xdr:row>4165</xdr:row>
      <xdr:rowOff>28575</xdr:rowOff>
    </xdr:from>
    <xdr:to>
      <xdr:col>3</xdr:col>
      <xdr:colOff>1552575</xdr:colOff>
      <xdr:row>4165</xdr:row>
      <xdr:rowOff>1266825</xdr:rowOff>
    </xdr:to>
    <xdr:pic>
      <xdr:nvPicPr>
        <xdr:cNvPr id="1416" name="Имя " descr="Descr ">
          <a:extLst>
            <a:ext uri="{FF2B5EF4-FFF2-40B4-BE49-F238E27FC236}">
              <a16:creationId xmlns:a16="http://schemas.microsoft.com/office/drawing/2014/main" id="{00000000-0008-0000-0000-000088050000}"/>
            </a:ext>
          </a:extLst>
        </xdr:cNvPr>
        <xdr:cNvPicPr>
          <a:picLocks noChangeAspect="1"/>
        </xdr:cNvPicPr>
      </xdr:nvPicPr>
      <xdr:blipFill>
        <a:blip xmlns:r="http://schemas.openxmlformats.org/officeDocument/2006/relationships" r:embed="rId1415"/>
        <a:stretch>
          <a:fillRect/>
        </a:stretch>
      </xdr:blipFill>
      <xdr:spPr>
        <a:prstGeom prst="rect">
          <a:avLst/>
        </a:prstGeom>
        <a:ln w="9525">
          <a:solidFill>
            <a:srgbClr val="000000"/>
          </a:solidFill>
          <a:prstDash val="solid"/>
        </a:ln>
      </xdr:spPr>
    </xdr:pic>
    <xdr:clientData/>
  </xdr:twoCellAnchor>
  <xdr:twoCellAnchor>
    <xdr:from>
      <xdr:col>3</xdr:col>
      <xdr:colOff>114300</xdr:colOff>
      <xdr:row>4166</xdr:row>
      <xdr:rowOff>28575</xdr:rowOff>
    </xdr:from>
    <xdr:to>
      <xdr:col>3</xdr:col>
      <xdr:colOff>1552575</xdr:colOff>
      <xdr:row>4166</xdr:row>
      <xdr:rowOff>1266825</xdr:rowOff>
    </xdr:to>
    <xdr:pic>
      <xdr:nvPicPr>
        <xdr:cNvPr id="1417" name="Имя " descr="Descr ">
          <a:extLst>
            <a:ext uri="{FF2B5EF4-FFF2-40B4-BE49-F238E27FC236}">
              <a16:creationId xmlns:a16="http://schemas.microsoft.com/office/drawing/2014/main" id="{00000000-0008-0000-0000-000089050000}"/>
            </a:ext>
          </a:extLst>
        </xdr:cNvPr>
        <xdr:cNvPicPr>
          <a:picLocks noChangeAspect="1"/>
        </xdr:cNvPicPr>
      </xdr:nvPicPr>
      <xdr:blipFill>
        <a:blip xmlns:r="http://schemas.openxmlformats.org/officeDocument/2006/relationships" r:embed="rId1416"/>
        <a:stretch>
          <a:fillRect/>
        </a:stretch>
      </xdr:blipFill>
      <xdr:spPr>
        <a:prstGeom prst="rect">
          <a:avLst/>
        </a:prstGeom>
        <a:ln w="9525">
          <a:solidFill>
            <a:srgbClr val="000000"/>
          </a:solidFill>
          <a:prstDash val="solid"/>
        </a:ln>
      </xdr:spPr>
    </xdr:pic>
    <xdr:clientData/>
  </xdr:twoCellAnchor>
  <xdr:twoCellAnchor>
    <xdr:from>
      <xdr:col>3</xdr:col>
      <xdr:colOff>114300</xdr:colOff>
      <xdr:row>4167</xdr:row>
      <xdr:rowOff>28575</xdr:rowOff>
    </xdr:from>
    <xdr:to>
      <xdr:col>3</xdr:col>
      <xdr:colOff>1552575</xdr:colOff>
      <xdr:row>4167</xdr:row>
      <xdr:rowOff>1266825</xdr:rowOff>
    </xdr:to>
    <xdr:pic>
      <xdr:nvPicPr>
        <xdr:cNvPr id="1418" name="Имя " descr="Descr ">
          <a:extLst>
            <a:ext uri="{FF2B5EF4-FFF2-40B4-BE49-F238E27FC236}">
              <a16:creationId xmlns:a16="http://schemas.microsoft.com/office/drawing/2014/main" id="{00000000-0008-0000-0000-00008A050000}"/>
            </a:ext>
          </a:extLst>
        </xdr:cNvPr>
        <xdr:cNvPicPr>
          <a:picLocks noChangeAspect="1"/>
        </xdr:cNvPicPr>
      </xdr:nvPicPr>
      <xdr:blipFill>
        <a:blip xmlns:r="http://schemas.openxmlformats.org/officeDocument/2006/relationships" r:embed="rId1417"/>
        <a:stretch>
          <a:fillRect/>
        </a:stretch>
      </xdr:blipFill>
      <xdr:spPr>
        <a:prstGeom prst="rect">
          <a:avLst/>
        </a:prstGeom>
        <a:ln w="9525">
          <a:solidFill>
            <a:srgbClr val="000000"/>
          </a:solidFill>
          <a:prstDash val="solid"/>
        </a:ln>
      </xdr:spPr>
    </xdr:pic>
    <xdr:clientData/>
  </xdr:twoCellAnchor>
  <xdr:twoCellAnchor>
    <xdr:from>
      <xdr:col>3</xdr:col>
      <xdr:colOff>114300</xdr:colOff>
      <xdr:row>4168</xdr:row>
      <xdr:rowOff>28575</xdr:rowOff>
    </xdr:from>
    <xdr:to>
      <xdr:col>3</xdr:col>
      <xdr:colOff>1552575</xdr:colOff>
      <xdr:row>4168</xdr:row>
      <xdr:rowOff>1266825</xdr:rowOff>
    </xdr:to>
    <xdr:pic>
      <xdr:nvPicPr>
        <xdr:cNvPr id="1419" name="Имя " descr="Descr ">
          <a:extLst>
            <a:ext uri="{FF2B5EF4-FFF2-40B4-BE49-F238E27FC236}">
              <a16:creationId xmlns:a16="http://schemas.microsoft.com/office/drawing/2014/main" id="{00000000-0008-0000-0000-00008B050000}"/>
            </a:ext>
          </a:extLst>
        </xdr:cNvPr>
        <xdr:cNvPicPr>
          <a:picLocks noChangeAspect="1"/>
        </xdr:cNvPicPr>
      </xdr:nvPicPr>
      <xdr:blipFill>
        <a:blip xmlns:r="http://schemas.openxmlformats.org/officeDocument/2006/relationships" r:embed="rId1418"/>
        <a:stretch>
          <a:fillRect/>
        </a:stretch>
      </xdr:blipFill>
      <xdr:spPr>
        <a:prstGeom prst="rect">
          <a:avLst/>
        </a:prstGeom>
        <a:ln w="9525">
          <a:solidFill>
            <a:srgbClr val="000000"/>
          </a:solidFill>
          <a:prstDash val="solid"/>
        </a:ln>
      </xdr:spPr>
    </xdr:pic>
    <xdr:clientData/>
  </xdr:twoCellAnchor>
  <xdr:twoCellAnchor>
    <xdr:from>
      <xdr:col>3</xdr:col>
      <xdr:colOff>114300</xdr:colOff>
      <xdr:row>4169</xdr:row>
      <xdr:rowOff>28575</xdr:rowOff>
    </xdr:from>
    <xdr:to>
      <xdr:col>3</xdr:col>
      <xdr:colOff>1552575</xdr:colOff>
      <xdr:row>4169</xdr:row>
      <xdr:rowOff>1266825</xdr:rowOff>
    </xdr:to>
    <xdr:pic>
      <xdr:nvPicPr>
        <xdr:cNvPr id="1420" name="Имя " descr="Descr ">
          <a:extLst>
            <a:ext uri="{FF2B5EF4-FFF2-40B4-BE49-F238E27FC236}">
              <a16:creationId xmlns:a16="http://schemas.microsoft.com/office/drawing/2014/main" id="{00000000-0008-0000-0000-00008C050000}"/>
            </a:ext>
          </a:extLst>
        </xdr:cNvPr>
        <xdr:cNvPicPr>
          <a:picLocks noChangeAspect="1"/>
        </xdr:cNvPicPr>
      </xdr:nvPicPr>
      <xdr:blipFill>
        <a:blip xmlns:r="http://schemas.openxmlformats.org/officeDocument/2006/relationships" r:embed="rId1419"/>
        <a:stretch>
          <a:fillRect/>
        </a:stretch>
      </xdr:blipFill>
      <xdr:spPr>
        <a:prstGeom prst="rect">
          <a:avLst/>
        </a:prstGeom>
        <a:ln w="9525">
          <a:solidFill>
            <a:srgbClr val="000000"/>
          </a:solidFill>
          <a:prstDash val="solid"/>
        </a:ln>
      </xdr:spPr>
    </xdr:pic>
    <xdr:clientData/>
  </xdr:twoCellAnchor>
  <xdr:twoCellAnchor>
    <xdr:from>
      <xdr:col>3</xdr:col>
      <xdr:colOff>114300</xdr:colOff>
      <xdr:row>4170</xdr:row>
      <xdr:rowOff>28575</xdr:rowOff>
    </xdr:from>
    <xdr:to>
      <xdr:col>3</xdr:col>
      <xdr:colOff>1552575</xdr:colOff>
      <xdr:row>4170</xdr:row>
      <xdr:rowOff>1266825</xdr:rowOff>
    </xdr:to>
    <xdr:pic>
      <xdr:nvPicPr>
        <xdr:cNvPr id="1421" name="Имя " descr="Descr ">
          <a:extLst>
            <a:ext uri="{FF2B5EF4-FFF2-40B4-BE49-F238E27FC236}">
              <a16:creationId xmlns:a16="http://schemas.microsoft.com/office/drawing/2014/main" id="{00000000-0008-0000-0000-00008D050000}"/>
            </a:ext>
          </a:extLst>
        </xdr:cNvPr>
        <xdr:cNvPicPr>
          <a:picLocks noChangeAspect="1"/>
        </xdr:cNvPicPr>
      </xdr:nvPicPr>
      <xdr:blipFill>
        <a:blip xmlns:r="http://schemas.openxmlformats.org/officeDocument/2006/relationships" r:embed="rId1420"/>
        <a:stretch>
          <a:fillRect/>
        </a:stretch>
      </xdr:blipFill>
      <xdr:spPr>
        <a:prstGeom prst="rect">
          <a:avLst/>
        </a:prstGeom>
        <a:ln w="9525">
          <a:solidFill>
            <a:srgbClr val="000000"/>
          </a:solidFill>
          <a:prstDash val="solid"/>
        </a:ln>
      </xdr:spPr>
    </xdr:pic>
    <xdr:clientData/>
  </xdr:twoCellAnchor>
  <xdr:twoCellAnchor>
    <xdr:from>
      <xdr:col>3</xdr:col>
      <xdr:colOff>114300</xdr:colOff>
      <xdr:row>4171</xdr:row>
      <xdr:rowOff>28575</xdr:rowOff>
    </xdr:from>
    <xdr:to>
      <xdr:col>3</xdr:col>
      <xdr:colOff>1552575</xdr:colOff>
      <xdr:row>4171</xdr:row>
      <xdr:rowOff>1266825</xdr:rowOff>
    </xdr:to>
    <xdr:pic>
      <xdr:nvPicPr>
        <xdr:cNvPr id="1422" name="Имя " descr="Descr ">
          <a:extLst>
            <a:ext uri="{FF2B5EF4-FFF2-40B4-BE49-F238E27FC236}">
              <a16:creationId xmlns:a16="http://schemas.microsoft.com/office/drawing/2014/main" id="{00000000-0008-0000-0000-00008E050000}"/>
            </a:ext>
          </a:extLst>
        </xdr:cNvPr>
        <xdr:cNvPicPr>
          <a:picLocks noChangeAspect="1"/>
        </xdr:cNvPicPr>
      </xdr:nvPicPr>
      <xdr:blipFill>
        <a:blip xmlns:r="http://schemas.openxmlformats.org/officeDocument/2006/relationships" r:embed="rId1421"/>
        <a:stretch>
          <a:fillRect/>
        </a:stretch>
      </xdr:blipFill>
      <xdr:spPr>
        <a:prstGeom prst="rect">
          <a:avLst/>
        </a:prstGeom>
        <a:ln w="9525">
          <a:solidFill>
            <a:srgbClr val="000000"/>
          </a:solidFill>
          <a:prstDash val="solid"/>
        </a:ln>
      </xdr:spPr>
    </xdr:pic>
    <xdr:clientData/>
  </xdr:twoCellAnchor>
  <xdr:twoCellAnchor>
    <xdr:from>
      <xdr:col>3</xdr:col>
      <xdr:colOff>114300</xdr:colOff>
      <xdr:row>4172</xdr:row>
      <xdr:rowOff>28575</xdr:rowOff>
    </xdr:from>
    <xdr:to>
      <xdr:col>3</xdr:col>
      <xdr:colOff>1552575</xdr:colOff>
      <xdr:row>4172</xdr:row>
      <xdr:rowOff>1266825</xdr:rowOff>
    </xdr:to>
    <xdr:pic>
      <xdr:nvPicPr>
        <xdr:cNvPr id="1423" name="Имя " descr="Descr ">
          <a:extLst>
            <a:ext uri="{FF2B5EF4-FFF2-40B4-BE49-F238E27FC236}">
              <a16:creationId xmlns:a16="http://schemas.microsoft.com/office/drawing/2014/main" id="{00000000-0008-0000-0000-00008F050000}"/>
            </a:ext>
          </a:extLst>
        </xdr:cNvPr>
        <xdr:cNvPicPr>
          <a:picLocks noChangeAspect="1"/>
        </xdr:cNvPicPr>
      </xdr:nvPicPr>
      <xdr:blipFill>
        <a:blip xmlns:r="http://schemas.openxmlformats.org/officeDocument/2006/relationships" r:embed="rId1422"/>
        <a:stretch>
          <a:fillRect/>
        </a:stretch>
      </xdr:blipFill>
      <xdr:spPr>
        <a:prstGeom prst="rect">
          <a:avLst/>
        </a:prstGeom>
        <a:ln w="9525">
          <a:solidFill>
            <a:srgbClr val="000000"/>
          </a:solidFill>
          <a:prstDash val="solid"/>
        </a:ln>
      </xdr:spPr>
    </xdr:pic>
    <xdr:clientData/>
  </xdr:twoCellAnchor>
  <xdr:twoCellAnchor>
    <xdr:from>
      <xdr:col>3</xdr:col>
      <xdr:colOff>114300</xdr:colOff>
      <xdr:row>4173</xdr:row>
      <xdr:rowOff>28575</xdr:rowOff>
    </xdr:from>
    <xdr:to>
      <xdr:col>3</xdr:col>
      <xdr:colOff>1552575</xdr:colOff>
      <xdr:row>4173</xdr:row>
      <xdr:rowOff>1266825</xdr:rowOff>
    </xdr:to>
    <xdr:pic>
      <xdr:nvPicPr>
        <xdr:cNvPr id="1424" name="Имя " descr="Descr ">
          <a:extLst>
            <a:ext uri="{FF2B5EF4-FFF2-40B4-BE49-F238E27FC236}">
              <a16:creationId xmlns:a16="http://schemas.microsoft.com/office/drawing/2014/main" id="{00000000-0008-0000-0000-000090050000}"/>
            </a:ext>
          </a:extLst>
        </xdr:cNvPr>
        <xdr:cNvPicPr>
          <a:picLocks noChangeAspect="1"/>
        </xdr:cNvPicPr>
      </xdr:nvPicPr>
      <xdr:blipFill>
        <a:blip xmlns:r="http://schemas.openxmlformats.org/officeDocument/2006/relationships" r:embed="rId1423"/>
        <a:stretch>
          <a:fillRect/>
        </a:stretch>
      </xdr:blipFill>
      <xdr:spPr>
        <a:prstGeom prst="rect">
          <a:avLst/>
        </a:prstGeom>
        <a:ln w="9525">
          <a:solidFill>
            <a:srgbClr val="000000"/>
          </a:solidFill>
          <a:prstDash val="solid"/>
        </a:ln>
      </xdr:spPr>
    </xdr:pic>
    <xdr:clientData/>
  </xdr:twoCellAnchor>
  <xdr:twoCellAnchor>
    <xdr:from>
      <xdr:col>3</xdr:col>
      <xdr:colOff>114300</xdr:colOff>
      <xdr:row>4174</xdr:row>
      <xdr:rowOff>28575</xdr:rowOff>
    </xdr:from>
    <xdr:to>
      <xdr:col>3</xdr:col>
      <xdr:colOff>1552575</xdr:colOff>
      <xdr:row>4174</xdr:row>
      <xdr:rowOff>1266825</xdr:rowOff>
    </xdr:to>
    <xdr:pic>
      <xdr:nvPicPr>
        <xdr:cNvPr id="1425" name="Имя " descr="Descr ">
          <a:extLst>
            <a:ext uri="{FF2B5EF4-FFF2-40B4-BE49-F238E27FC236}">
              <a16:creationId xmlns:a16="http://schemas.microsoft.com/office/drawing/2014/main" id="{00000000-0008-0000-0000-000091050000}"/>
            </a:ext>
          </a:extLst>
        </xdr:cNvPr>
        <xdr:cNvPicPr>
          <a:picLocks noChangeAspect="1"/>
        </xdr:cNvPicPr>
      </xdr:nvPicPr>
      <xdr:blipFill>
        <a:blip xmlns:r="http://schemas.openxmlformats.org/officeDocument/2006/relationships" r:embed="rId1424"/>
        <a:stretch>
          <a:fillRect/>
        </a:stretch>
      </xdr:blipFill>
      <xdr:spPr>
        <a:prstGeom prst="rect">
          <a:avLst/>
        </a:prstGeom>
        <a:ln w="9525">
          <a:solidFill>
            <a:srgbClr val="000000"/>
          </a:solidFill>
          <a:prstDash val="solid"/>
        </a:ln>
      </xdr:spPr>
    </xdr:pic>
    <xdr:clientData/>
  </xdr:twoCellAnchor>
  <xdr:twoCellAnchor>
    <xdr:from>
      <xdr:col>3</xdr:col>
      <xdr:colOff>114300</xdr:colOff>
      <xdr:row>4175</xdr:row>
      <xdr:rowOff>28575</xdr:rowOff>
    </xdr:from>
    <xdr:to>
      <xdr:col>3</xdr:col>
      <xdr:colOff>1552575</xdr:colOff>
      <xdr:row>4175</xdr:row>
      <xdr:rowOff>1266825</xdr:rowOff>
    </xdr:to>
    <xdr:pic>
      <xdr:nvPicPr>
        <xdr:cNvPr id="1426" name="Имя " descr="Descr ">
          <a:extLst>
            <a:ext uri="{FF2B5EF4-FFF2-40B4-BE49-F238E27FC236}">
              <a16:creationId xmlns:a16="http://schemas.microsoft.com/office/drawing/2014/main" id="{00000000-0008-0000-0000-000092050000}"/>
            </a:ext>
          </a:extLst>
        </xdr:cNvPr>
        <xdr:cNvPicPr>
          <a:picLocks noChangeAspect="1"/>
        </xdr:cNvPicPr>
      </xdr:nvPicPr>
      <xdr:blipFill>
        <a:blip xmlns:r="http://schemas.openxmlformats.org/officeDocument/2006/relationships" r:embed="rId1425"/>
        <a:stretch>
          <a:fillRect/>
        </a:stretch>
      </xdr:blipFill>
      <xdr:spPr>
        <a:prstGeom prst="rect">
          <a:avLst/>
        </a:prstGeom>
        <a:ln w="9525">
          <a:solidFill>
            <a:srgbClr val="000000"/>
          </a:solidFill>
          <a:prstDash val="solid"/>
        </a:ln>
      </xdr:spPr>
    </xdr:pic>
    <xdr:clientData/>
  </xdr:twoCellAnchor>
  <xdr:twoCellAnchor>
    <xdr:from>
      <xdr:col>3</xdr:col>
      <xdr:colOff>114300</xdr:colOff>
      <xdr:row>4176</xdr:row>
      <xdr:rowOff>28575</xdr:rowOff>
    </xdr:from>
    <xdr:to>
      <xdr:col>3</xdr:col>
      <xdr:colOff>1552575</xdr:colOff>
      <xdr:row>4176</xdr:row>
      <xdr:rowOff>1266825</xdr:rowOff>
    </xdr:to>
    <xdr:pic>
      <xdr:nvPicPr>
        <xdr:cNvPr id="1427" name="Имя " descr="Descr ">
          <a:extLst>
            <a:ext uri="{FF2B5EF4-FFF2-40B4-BE49-F238E27FC236}">
              <a16:creationId xmlns:a16="http://schemas.microsoft.com/office/drawing/2014/main" id="{00000000-0008-0000-0000-000093050000}"/>
            </a:ext>
          </a:extLst>
        </xdr:cNvPr>
        <xdr:cNvPicPr>
          <a:picLocks noChangeAspect="1"/>
        </xdr:cNvPicPr>
      </xdr:nvPicPr>
      <xdr:blipFill>
        <a:blip xmlns:r="http://schemas.openxmlformats.org/officeDocument/2006/relationships" r:embed="rId1426"/>
        <a:stretch>
          <a:fillRect/>
        </a:stretch>
      </xdr:blipFill>
      <xdr:spPr>
        <a:prstGeom prst="rect">
          <a:avLst/>
        </a:prstGeom>
        <a:ln w="9525">
          <a:solidFill>
            <a:srgbClr val="000000"/>
          </a:solidFill>
          <a:prstDash val="solid"/>
        </a:ln>
      </xdr:spPr>
    </xdr:pic>
    <xdr:clientData/>
  </xdr:twoCellAnchor>
  <xdr:twoCellAnchor>
    <xdr:from>
      <xdr:col>3</xdr:col>
      <xdr:colOff>114300</xdr:colOff>
      <xdr:row>4177</xdr:row>
      <xdr:rowOff>28575</xdr:rowOff>
    </xdr:from>
    <xdr:to>
      <xdr:col>3</xdr:col>
      <xdr:colOff>1552575</xdr:colOff>
      <xdr:row>4177</xdr:row>
      <xdr:rowOff>1266825</xdr:rowOff>
    </xdr:to>
    <xdr:pic>
      <xdr:nvPicPr>
        <xdr:cNvPr id="1428" name="Имя " descr="Descr ">
          <a:extLst>
            <a:ext uri="{FF2B5EF4-FFF2-40B4-BE49-F238E27FC236}">
              <a16:creationId xmlns:a16="http://schemas.microsoft.com/office/drawing/2014/main" id="{00000000-0008-0000-0000-000094050000}"/>
            </a:ext>
          </a:extLst>
        </xdr:cNvPr>
        <xdr:cNvPicPr>
          <a:picLocks noChangeAspect="1"/>
        </xdr:cNvPicPr>
      </xdr:nvPicPr>
      <xdr:blipFill>
        <a:blip xmlns:r="http://schemas.openxmlformats.org/officeDocument/2006/relationships" r:embed="rId1427"/>
        <a:stretch>
          <a:fillRect/>
        </a:stretch>
      </xdr:blipFill>
      <xdr:spPr>
        <a:prstGeom prst="rect">
          <a:avLst/>
        </a:prstGeom>
        <a:ln w="9525">
          <a:solidFill>
            <a:srgbClr val="000000"/>
          </a:solidFill>
          <a:prstDash val="solid"/>
        </a:ln>
      </xdr:spPr>
    </xdr:pic>
    <xdr:clientData/>
  </xdr:twoCellAnchor>
  <xdr:twoCellAnchor>
    <xdr:from>
      <xdr:col>3</xdr:col>
      <xdr:colOff>114300</xdr:colOff>
      <xdr:row>4178</xdr:row>
      <xdr:rowOff>28575</xdr:rowOff>
    </xdr:from>
    <xdr:to>
      <xdr:col>3</xdr:col>
      <xdr:colOff>1552575</xdr:colOff>
      <xdr:row>4178</xdr:row>
      <xdr:rowOff>1266825</xdr:rowOff>
    </xdr:to>
    <xdr:pic>
      <xdr:nvPicPr>
        <xdr:cNvPr id="1429" name="Имя " descr="Descr ">
          <a:extLst>
            <a:ext uri="{FF2B5EF4-FFF2-40B4-BE49-F238E27FC236}">
              <a16:creationId xmlns:a16="http://schemas.microsoft.com/office/drawing/2014/main" id="{00000000-0008-0000-0000-000095050000}"/>
            </a:ext>
          </a:extLst>
        </xdr:cNvPr>
        <xdr:cNvPicPr>
          <a:picLocks noChangeAspect="1"/>
        </xdr:cNvPicPr>
      </xdr:nvPicPr>
      <xdr:blipFill>
        <a:blip xmlns:r="http://schemas.openxmlformats.org/officeDocument/2006/relationships" r:embed="rId1428"/>
        <a:stretch>
          <a:fillRect/>
        </a:stretch>
      </xdr:blipFill>
      <xdr:spPr>
        <a:prstGeom prst="rect">
          <a:avLst/>
        </a:prstGeom>
        <a:ln w="9525">
          <a:solidFill>
            <a:srgbClr val="000000"/>
          </a:solidFill>
          <a:prstDash val="solid"/>
        </a:ln>
      </xdr:spPr>
    </xdr:pic>
    <xdr:clientData/>
  </xdr:twoCellAnchor>
  <xdr:twoCellAnchor>
    <xdr:from>
      <xdr:col>3</xdr:col>
      <xdr:colOff>114300</xdr:colOff>
      <xdr:row>4179</xdr:row>
      <xdr:rowOff>28575</xdr:rowOff>
    </xdr:from>
    <xdr:to>
      <xdr:col>3</xdr:col>
      <xdr:colOff>1552575</xdr:colOff>
      <xdr:row>4179</xdr:row>
      <xdr:rowOff>1266825</xdr:rowOff>
    </xdr:to>
    <xdr:pic>
      <xdr:nvPicPr>
        <xdr:cNvPr id="1430" name="Имя " descr="Descr ">
          <a:extLst>
            <a:ext uri="{FF2B5EF4-FFF2-40B4-BE49-F238E27FC236}">
              <a16:creationId xmlns:a16="http://schemas.microsoft.com/office/drawing/2014/main" id="{00000000-0008-0000-0000-000096050000}"/>
            </a:ext>
          </a:extLst>
        </xdr:cNvPr>
        <xdr:cNvPicPr>
          <a:picLocks noChangeAspect="1"/>
        </xdr:cNvPicPr>
      </xdr:nvPicPr>
      <xdr:blipFill>
        <a:blip xmlns:r="http://schemas.openxmlformats.org/officeDocument/2006/relationships" r:embed="rId1429"/>
        <a:stretch>
          <a:fillRect/>
        </a:stretch>
      </xdr:blipFill>
      <xdr:spPr>
        <a:prstGeom prst="rect">
          <a:avLst/>
        </a:prstGeom>
        <a:ln w="9525">
          <a:solidFill>
            <a:srgbClr val="000000"/>
          </a:solidFill>
          <a:prstDash val="solid"/>
        </a:ln>
      </xdr:spPr>
    </xdr:pic>
    <xdr:clientData/>
  </xdr:twoCellAnchor>
  <xdr:twoCellAnchor>
    <xdr:from>
      <xdr:col>3</xdr:col>
      <xdr:colOff>114300</xdr:colOff>
      <xdr:row>4180</xdr:row>
      <xdr:rowOff>28575</xdr:rowOff>
    </xdr:from>
    <xdr:to>
      <xdr:col>3</xdr:col>
      <xdr:colOff>1552575</xdr:colOff>
      <xdr:row>4180</xdr:row>
      <xdr:rowOff>1266825</xdr:rowOff>
    </xdr:to>
    <xdr:pic>
      <xdr:nvPicPr>
        <xdr:cNvPr id="1431" name="Имя " descr="Descr ">
          <a:extLst>
            <a:ext uri="{FF2B5EF4-FFF2-40B4-BE49-F238E27FC236}">
              <a16:creationId xmlns:a16="http://schemas.microsoft.com/office/drawing/2014/main" id="{00000000-0008-0000-0000-000097050000}"/>
            </a:ext>
          </a:extLst>
        </xdr:cNvPr>
        <xdr:cNvPicPr>
          <a:picLocks noChangeAspect="1"/>
        </xdr:cNvPicPr>
      </xdr:nvPicPr>
      <xdr:blipFill>
        <a:blip xmlns:r="http://schemas.openxmlformats.org/officeDocument/2006/relationships" r:embed="rId1430"/>
        <a:stretch>
          <a:fillRect/>
        </a:stretch>
      </xdr:blipFill>
      <xdr:spPr>
        <a:prstGeom prst="rect">
          <a:avLst/>
        </a:prstGeom>
        <a:ln w="9525">
          <a:solidFill>
            <a:srgbClr val="000000"/>
          </a:solidFill>
          <a:prstDash val="solid"/>
        </a:ln>
      </xdr:spPr>
    </xdr:pic>
    <xdr:clientData/>
  </xdr:twoCellAnchor>
  <xdr:twoCellAnchor>
    <xdr:from>
      <xdr:col>3</xdr:col>
      <xdr:colOff>114300</xdr:colOff>
      <xdr:row>4181</xdr:row>
      <xdr:rowOff>28575</xdr:rowOff>
    </xdr:from>
    <xdr:to>
      <xdr:col>3</xdr:col>
      <xdr:colOff>1552575</xdr:colOff>
      <xdr:row>4181</xdr:row>
      <xdr:rowOff>1266825</xdr:rowOff>
    </xdr:to>
    <xdr:pic>
      <xdr:nvPicPr>
        <xdr:cNvPr id="1432" name="Имя " descr="Descr ">
          <a:extLst>
            <a:ext uri="{FF2B5EF4-FFF2-40B4-BE49-F238E27FC236}">
              <a16:creationId xmlns:a16="http://schemas.microsoft.com/office/drawing/2014/main" id="{00000000-0008-0000-0000-000098050000}"/>
            </a:ext>
          </a:extLst>
        </xdr:cNvPr>
        <xdr:cNvPicPr>
          <a:picLocks noChangeAspect="1"/>
        </xdr:cNvPicPr>
      </xdr:nvPicPr>
      <xdr:blipFill>
        <a:blip xmlns:r="http://schemas.openxmlformats.org/officeDocument/2006/relationships" r:embed="rId1431"/>
        <a:stretch>
          <a:fillRect/>
        </a:stretch>
      </xdr:blipFill>
      <xdr:spPr>
        <a:prstGeom prst="rect">
          <a:avLst/>
        </a:prstGeom>
        <a:ln w="9525">
          <a:solidFill>
            <a:srgbClr val="000000"/>
          </a:solidFill>
          <a:prstDash val="solid"/>
        </a:ln>
      </xdr:spPr>
    </xdr:pic>
    <xdr:clientData/>
  </xdr:twoCellAnchor>
  <xdr:twoCellAnchor>
    <xdr:from>
      <xdr:col>3</xdr:col>
      <xdr:colOff>114300</xdr:colOff>
      <xdr:row>4182</xdr:row>
      <xdr:rowOff>28575</xdr:rowOff>
    </xdr:from>
    <xdr:to>
      <xdr:col>3</xdr:col>
      <xdr:colOff>1552575</xdr:colOff>
      <xdr:row>4182</xdr:row>
      <xdr:rowOff>1266825</xdr:rowOff>
    </xdr:to>
    <xdr:pic>
      <xdr:nvPicPr>
        <xdr:cNvPr id="1433" name="Имя " descr="Descr ">
          <a:extLst>
            <a:ext uri="{FF2B5EF4-FFF2-40B4-BE49-F238E27FC236}">
              <a16:creationId xmlns:a16="http://schemas.microsoft.com/office/drawing/2014/main" id="{00000000-0008-0000-0000-000099050000}"/>
            </a:ext>
          </a:extLst>
        </xdr:cNvPr>
        <xdr:cNvPicPr>
          <a:picLocks noChangeAspect="1"/>
        </xdr:cNvPicPr>
      </xdr:nvPicPr>
      <xdr:blipFill>
        <a:blip xmlns:r="http://schemas.openxmlformats.org/officeDocument/2006/relationships" r:embed="rId1432"/>
        <a:stretch>
          <a:fillRect/>
        </a:stretch>
      </xdr:blipFill>
      <xdr:spPr>
        <a:prstGeom prst="rect">
          <a:avLst/>
        </a:prstGeom>
        <a:ln w="9525">
          <a:solidFill>
            <a:srgbClr val="000000"/>
          </a:solidFill>
          <a:prstDash val="solid"/>
        </a:ln>
      </xdr:spPr>
    </xdr:pic>
    <xdr:clientData/>
  </xdr:twoCellAnchor>
  <xdr:twoCellAnchor>
    <xdr:from>
      <xdr:col>3</xdr:col>
      <xdr:colOff>114300</xdr:colOff>
      <xdr:row>4183</xdr:row>
      <xdr:rowOff>38100</xdr:rowOff>
    </xdr:from>
    <xdr:to>
      <xdr:col>3</xdr:col>
      <xdr:colOff>1552575</xdr:colOff>
      <xdr:row>4184</xdr:row>
      <xdr:rowOff>638175</xdr:rowOff>
    </xdr:to>
    <xdr:pic>
      <xdr:nvPicPr>
        <xdr:cNvPr id="1434" name="Имя " descr="Descr ">
          <a:extLst>
            <a:ext uri="{FF2B5EF4-FFF2-40B4-BE49-F238E27FC236}">
              <a16:creationId xmlns:a16="http://schemas.microsoft.com/office/drawing/2014/main" id="{00000000-0008-0000-0000-00009A050000}"/>
            </a:ext>
          </a:extLst>
        </xdr:cNvPr>
        <xdr:cNvPicPr>
          <a:picLocks noChangeAspect="1"/>
        </xdr:cNvPicPr>
      </xdr:nvPicPr>
      <xdr:blipFill>
        <a:blip xmlns:r="http://schemas.openxmlformats.org/officeDocument/2006/relationships" r:embed="rId1433"/>
        <a:stretch>
          <a:fillRect/>
        </a:stretch>
      </xdr:blipFill>
      <xdr:spPr>
        <a:prstGeom prst="rect">
          <a:avLst/>
        </a:prstGeom>
        <a:ln w="9525">
          <a:solidFill>
            <a:srgbClr val="000000"/>
          </a:solidFill>
          <a:prstDash val="solid"/>
        </a:ln>
      </xdr:spPr>
    </xdr:pic>
    <xdr:clientData/>
  </xdr:twoCellAnchor>
  <xdr:twoCellAnchor>
    <xdr:from>
      <xdr:col>3</xdr:col>
      <xdr:colOff>114300</xdr:colOff>
      <xdr:row>4185</xdr:row>
      <xdr:rowOff>28575</xdr:rowOff>
    </xdr:from>
    <xdr:to>
      <xdr:col>3</xdr:col>
      <xdr:colOff>1552575</xdr:colOff>
      <xdr:row>4185</xdr:row>
      <xdr:rowOff>1266825</xdr:rowOff>
    </xdr:to>
    <xdr:pic>
      <xdr:nvPicPr>
        <xdr:cNvPr id="1435" name="Имя " descr="Descr ">
          <a:extLst>
            <a:ext uri="{FF2B5EF4-FFF2-40B4-BE49-F238E27FC236}">
              <a16:creationId xmlns:a16="http://schemas.microsoft.com/office/drawing/2014/main" id="{00000000-0008-0000-0000-00009B050000}"/>
            </a:ext>
          </a:extLst>
        </xdr:cNvPr>
        <xdr:cNvPicPr>
          <a:picLocks noChangeAspect="1"/>
        </xdr:cNvPicPr>
      </xdr:nvPicPr>
      <xdr:blipFill>
        <a:blip xmlns:r="http://schemas.openxmlformats.org/officeDocument/2006/relationships" r:embed="rId1434"/>
        <a:stretch>
          <a:fillRect/>
        </a:stretch>
      </xdr:blipFill>
      <xdr:spPr>
        <a:prstGeom prst="rect">
          <a:avLst/>
        </a:prstGeom>
        <a:ln w="9525">
          <a:solidFill>
            <a:srgbClr val="000000"/>
          </a:solidFill>
          <a:prstDash val="solid"/>
        </a:ln>
      </xdr:spPr>
    </xdr:pic>
    <xdr:clientData/>
  </xdr:twoCellAnchor>
  <xdr:twoCellAnchor>
    <xdr:from>
      <xdr:col>3</xdr:col>
      <xdr:colOff>114300</xdr:colOff>
      <xdr:row>4186</xdr:row>
      <xdr:rowOff>28575</xdr:rowOff>
    </xdr:from>
    <xdr:to>
      <xdr:col>3</xdr:col>
      <xdr:colOff>1552575</xdr:colOff>
      <xdr:row>4190</xdr:row>
      <xdr:rowOff>333375</xdr:rowOff>
    </xdr:to>
    <xdr:pic>
      <xdr:nvPicPr>
        <xdr:cNvPr id="1436" name="Имя " descr="Descr ">
          <a:extLst>
            <a:ext uri="{FF2B5EF4-FFF2-40B4-BE49-F238E27FC236}">
              <a16:creationId xmlns:a16="http://schemas.microsoft.com/office/drawing/2014/main" id="{00000000-0008-0000-0000-00009C050000}"/>
            </a:ext>
          </a:extLst>
        </xdr:cNvPr>
        <xdr:cNvPicPr>
          <a:picLocks noChangeAspect="1"/>
        </xdr:cNvPicPr>
      </xdr:nvPicPr>
      <xdr:blipFill>
        <a:blip xmlns:r="http://schemas.openxmlformats.org/officeDocument/2006/relationships" r:embed="rId1435"/>
        <a:stretch>
          <a:fillRect/>
        </a:stretch>
      </xdr:blipFill>
      <xdr:spPr>
        <a:prstGeom prst="rect">
          <a:avLst/>
        </a:prstGeom>
        <a:ln w="9525">
          <a:solidFill>
            <a:srgbClr val="000000"/>
          </a:solidFill>
          <a:prstDash val="solid"/>
        </a:ln>
      </xdr:spPr>
    </xdr:pic>
    <xdr:clientData/>
  </xdr:twoCellAnchor>
  <xdr:twoCellAnchor>
    <xdr:from>
      <xdr:col>3</xdr:col>
      <xdr:colOff>114300</xdr:colOff>
      <xdr:row>4191</xdr:row>
      <xdr:rowOff>28575</xdr:rowOff>
    </xdr:from>
    <xdr:to>
      <xdr:col>3</xdr:col>
      <xdr:colOff>1552575</xdr:colOff>
      <xdr:row>4195</xdr:row>
      <xdr:rowOff>333375</xdr:rowOff>
    </xdr:to>
    <xdr:pic>
      <xdr:nvPicPr>
        <xdr:cNvPr id="1437" name="Имя " descr="Descr ">
          <a:extLst>
            <a:ext uri="{FF2B5EF4-FFF2-40B4-BE49-F238E27FC236}">
              <a16:creationId xmlns:a16="http://schemas.microsoft.com/office/drawing/2014/main" id="{00000000-0008-0000-0000-00009D050000}"/>
            </a:ext>
          </a:extLst>
        </xdr:cNvPr>
        <xdr:cNvPicPr>
          <a:picLocks noChangeAspect="1"/>
        </xdr:cNvPicPr>
      </xdr:nvPicPr>
      <xdr:blipFill>
        <a:blip xmlns:r="http://schemas.openxmlformats.org/officeDocument/2006/relationships" r:embed="rId1436"/>
        <a:stretch>
          <a:fillRect/>
        </a:stretch>
      </xdr:blipFill>
      <xdr:spPr>
        <a:prstGeom prst="rect">
          <a:avLst/>
        </a:prstGeom>
        <a:ln w="9525">
          <a:solidFill>
            <a:srgbClr val="000000"/>
          </a:solidFill>
          <a:prstDash val="solid"/>
        </a:ln>
      </xdr:spPr>
    </xdr:pic>
    <xdr:clientData/>
  </xdr:twoCellAnchor>
  <xdr:twoCellAnchor>
    <xdr:from>
      <xdr:col>3</xdr:col>
      <xdr:colOff>114300</xdr:colOff>
      <xdr:row>4196</xdr:row>
      <xdr:rowOff>28575</xdr:rowOff>
    </xdr:from>
    <xdr:to>
      <xdr:col>3</xdr:col>
      <xdr:colOff>1552575</xdr:colOff>
      <xdr:row>4200</xdr:row>
      <xdr:rowOff>333375</xdr:rowOff>
    </xdr:to>
    <xdr:pic>
      <xdr:nvPicPr>
        <xdr:cNvPr id="1438" name="Имя " descr="Descr ">
          <a:extLst>
            <a:ext uri="{FF2B5EF4-FFF2-40B4-BE49-F238E27FC236}">
              <a16:creationId xmlns:a16="http://schemas.microsoft.com/office/drawing/2014/main" id="{00000000-0008-0000-0000-00009E050000}"/>
            </a:ext>
          </a:extLst>
        </xdr:cNvPr>
        <xdr:cNvPicPr>
          <a:picLocks noChangeAspect="1"/>
        </xdr:cNvPicPr>
      </xdr:nvPicPr>
      <xdr:blipFill>
        <a:blip xmlns:r="http://schemas.openxmlformats.org/officeDocument/2006/relationships" r:embed="rId1437"/>
        <a:stretch>
          <a:fillRect/>
        </a:stretch>
      </xdr:blipFill>
      <xdr:spPr>
        <a:prstGeom prst="rect">
          <a:avLst/>
        </a:prstGeom>
        <a:ln w="9525">
          <a:solidFill>
            <a:srgbClr val="000000"/>
          </a:solidFill>
          <a:prstDash val="solid"/>
        </a:ln>
      </xdr:spPr>
    </xdr:pic>
    <xdr:clientData/>
  </xdr:twoCellAnchor>
  <xdr:twoCellAnchor>
    <xdr:from>
      <xdr:col>3</xdr:col>
      <xdr:colOff>114300</xdr:colOff>
      <xdr:row>4201</xdr:row>
      <xdr:rowOff>28575</xdr:rowOff>
    </xdr:from>
    <xdr:to>
      <xdr:col>3</xdr:col>
      <xdr:colOff>1552575</xdr:colOff>
      <xdr:row>4204</xdr:row>
      <xdr:rowOff>209550</xdr:rowOff>
    </xdr:to>
    <xdr:pic>
      <xdr:nvPicPr>
        <xdr:cNvPr id="1439" name="Имя " descr="Descr ">
          <a:extLst>
            <a:ext uri="{FF2B5EF4-FFF2-40B4-BE49-F238E27FC236}">
              <a16:creationId xmlns:a16="http://schemas.microsoft.com/office/drawing/2014/main" id="{00000000-0008-0000-0000-00009F050000}"/>
            </a:ext>
          </a:extLst>
        </xdr:cNvPr>
        <xdr:cNvPicPr>
          <a:picLocks noChangeAspect="1"/>
        </xdr:cNvPicPr>
      </xdr:nvPicPr>
      <xdr:blipFill>
        <a:blip xmlns:r="http://schemas.openxmlformats.org/officeDocument/2006/relationships" r:embed="rId1438"/>
        <a:stretch>
          <a:fillRect/>
        </a:stretch>
      </xdr:blipFill>
      <xdr:spPr>
        <a:prstGeom prst="rect">
          <a:avLst/>
        </a:prstGeom>
        <a:ln w="9525">
          <a:solidFill>
            <a:srgbClr val="000000"/>
          </a:solidFill>
          <a:prstDash val="solid"/>
        </a:ln>
      </xdr:spPr>
    </xdr:pic>
    <xdr:clientData/>
  </xdr:twoCellAnchor>
  <xdr:twoCellAnchor>
    <xdr:from>
      <xdr:col>3</xdr:col>
      <xdr:colOff>114300</xdr:colOff>
      <xdr:row>4205</xdr:row>
      <xdr:rowOff>28575</xdr:rowOff>
    </xdr:from>
    <xdr:to>
      <xdr:col>3</xdr:col>
      <xdr:colOff>1552575</xdr:colOff>
      <xdr:row>4207</xdr:row>
      <xdr:rowOff>419100</xdr:rowOff>
    </xdr:to>
    <xdr:pic>
      <xdr:nvPicPr>
        <xdr:cNvPr id="1440" name="Имя " descr="Descr ">
          <a:extLst>
            <a:ext uri="{FF2B5EF4-FFF2-40B4-BE49-F238E27FC236}">
              <a16:creationId xmlns:a16="http://schemas.microsoft.com/office/drawing/2014/main" id="{00000000-0008-0000-0000-0000A0050000}"/>
            </a:ext>
          </a:extLst>
        </xdr:cNvPr>
        <xdr:cNvPicPr>
          <a:picLocks noChangeAspect="1"/>
        </xdr:cNvPicPr>
      </xdr:nvPicPr>
      <xdr:blipFill>
        <a:blip xmlns:r="http://schemas.openxmlformats.org/officeDocument/2006/relationships" r:embed="rId1439"/>
        <a:stretch>
          <a:fillRect/>
        </a:stretch>
      </xdr:blipFill>
      <xdr:spPr>
        <a:prstGeom prst="rect">
          <a:avLst/>
        </a:prstGeom>
        <a:ln w="9525">
          <a:solidFill>
            <a:srgbClr val="000000"/>
          </a:solidFill>
          <a:prstDash val="solid"/>
        </a:ln>
      </xdr:spPr>
    </xdr:pic>
    <xdr:clientData/>
  </xdr:twoCellAnchor>
  <xdr:twoCellAnchor>
    <xdr:from>
      <xdr:col>3</xdr:col>
      <xdr:colOff>114300</xdr:colOff>
      <xdr:row>4208</xdr:row>
      <xdr:rowOff>28575</xdr:rowOff>
    </xdr:from>
    <xdr:to>
      <xdr:col>3</xdr:col>
      <xdr:colOff>1552575</xdr:colOff>
      <xdr:row>4210</xdr:row>
      <xdr:rowOff>419100</xdr:rowOff>
    </xdr:to>
    <xdr:pic>
      <xdr:nvPicPr>
        <xdr:cNvPr id="1441" name="Имя " descr="Descr ">
          <a:extLst>
            <a:ext uri="{FF2B5EF4-FFF2-40B4-BE49-F238E27FC236}">
              <a16:creationId xmlns:a16="http://schemas.microsoft.com/office/drawing/2014/main" id="{00000000-0008-0000-0000-0000A1050000}"/>
            </a:ext>
          </a:extLst>
        </xdr:cNvPr>
        <xdr:cNvPicPr>
          <a:picLocks noChangeAspect="1"/>
        </xdr:cNvPicPr>
      </xdr:nvPicPr>
      <xdr:blipFill>
        <a:blip xmlns:r="http://schemas.openxmlformats.org/officeDocument/2006/relationships" r:embed="rId1440"/>
        <a:stretch>
          <a:fillRect/>
        </a:stretch>
      </xdr:blipFill>
      <xdr:spPr>
        <a:prstGeom prst="rect">
          <a:avLst/>
        </a:prstGeom>
        <a:ln w="9525">
          <a:solidFill>
            <a:srgbClr val="000000"/>
          </a:solidFill>
          <a:prstDash val="solid"/>
        </a:ln>
      </xdr:spPr>
    </xdr:pic>
    <xdr:clientData/>
  </xdr:twoCellAnchor>
  <xdr:twoCellAnchor>
    <xdr:from>
      <xdr:col>3</xdr:col>
      <xdr:colOff>114300</xdr:colOff>
      <xdr:row>4211</xdr:row>
      <xdr:rowOff>38100</xdr:rowOff>
    </xdr:from>
    <xdr:to>
      <xdr:col>3</xdr:col>
      <xdr:colOff>1552575</xdr:colOff>
      <xdr:row>4212</xdr:row>
      <xdr:rowOff>638175</xdr:rowOff>
    </xdr:to>
    <xdr:pic>
      <xdr:nvPicPr>
        <xdr:cNvPr id="1442" name="Имя " descr="Descr ">
          <a:extLst>
            <a:ext uri="{FF2B5EF4-FFF2-40B4-BE49-F238E27FC236}">
              <a16:creationId xmlns:a16="http://schemas.microsoft.com/office/drawing/2014/main" id="{00000000-0008-0000-0000-0000A2050000}"/>
            </a:ext>
          </a:extLst>
        </xdr:cNvPr>
        <xdr:cNvPicPr>
          <a:picLocks noChangeAspect="1"/>
        </xdr:cNvPicPr>
      </xdr:nvPicPr>
      <xdr:blipFill>
        <a:blip xmlns:r="http://schemas.openxmlformats.org/officeDocument/2006/relationships" r:embed="rId1441"/>
        <a:stretch>
          <a:fillRect/>
        </a:stretch>
      </xdr:blipFill>
      <xdr:spPr>
        <a:prstGeom prst="rect">
          <a:avLst/>
        </a:prstGeom>
        <a:ln w="9525">
          <a:solidFill>
            <a:srgbClr val="000000"/>
          </a:solidFill>
          <a:prstDash val="solid"/>
        </a:ln>
      </xdr:spPr>
    </xdr:pic>
    <xdr:clientData/>
  </xdr:twoCellAnchor>
  <xdr:twoCellAnchor>
    <xdr:from>
      <xdr:col>3</xdr:col>
      <xdr:colOff>114300</xdr:colOff>
      <xdr:row>4213</xdr:row>
      <xdr:rowOff>28575</xdr:rowOff>
    </xdr:from>
    <xdr:to>
      <xdr:col>3</xdr:col>
      <xdr:colOff>1552575</xdr:colOff>
      <xdr:row>4215</xdr:row>
      <xdr:rowOff>419100</xdr:rowOff>
    </xdr:to>
    <xdr:pic>
      <xdr:nvPicPr>
        <xdr:cNvPr id="1443" name="Имя " descr="Descr ">
          <a:extLst>
            <a:ext uri="{FF2B5EF4-FFF2-40B4-BE49-F238E27FC236}">
              <a16:creationId xmlns:a16="http://schemas.microsoft.com/office/drawing/2014/main" id="{00000000-0008-0000-0000-0000A3050000}"/>
            </a:ext>
          </a:extLst>
        </xdr:cNvPr>
        <xdr:cNvPicPr>
          <a:picLocks noChangeAspect="1"/>
        </xdr:cNvPicPr>
      </xdr:nvPicPr>
      <xdr:blipFill>
        <a:blip xmlns:r="http://schemas.openxmlformats.org/officeDocument/2006/relationships" r:embed="rId1442"/>
        <a:stretch>
          <a:fillRect/>
        </a:stretch>
      </xdr:blipFill>
      <xdr:spPr>
        <a:prstGeom prst="rect">
          <a:avLst/>
        </a:prstGeom>
        <a:ln w="9525">
          <a:solidFill>
            <a:srgbClr val="000000"/>
          </a:solidFill>
          <a:prstDash val="solid"/>
        </a:ln>
      </xdr:spPr>
    </xdr:pic>
    <xdr:clientData/>
  </xdr:twoCellAnchor>
  <xdr:twoCellAnchor>
    <xdr:from>
      <xdr:col>3</xdr:col>
      <xdr:colOff>114300</xdr:colOff>
      <xdr:row>4216</xdr:row>
      <xdr:rowOff>28575</xdr:rowOff>
    </xdr:from>
    <xdr:to>
      <xdr:col>3</xdr:col>
      <xdr:colOff>1552575</xdr:colOff>
      <xdr:row>4219</xdr:row>
      <xdr:rowOff>209550</xdr:rowOff>
    </xdr:to>
    <xdr:pic>
      <xdr:nvPicPr>
        <xdr:cNvPr id="1444" name="Имя " descr="Descr ">
          <a:extLst>
            <a:ext uri="{FF2B5EF4-FFF2-40B4-BE49-F238E27FC236}">
              <a16:creationId xmlns:a16="http://schemas.microsoft.com/office/drawing/2014/main" id="{00000000-0008-0000-0000-0000A4050000}"/>
            </a:ext>
          </a:extLst>
        </xdr:cNvPr>
        <xdr:cNvPicPr>
          <a:picLocks noChangeAspect="1"/>
        </xdr:cNvPicPr>
      </xdr:nvPicPr>
      <xdr:blipFill>
        <a:blip xmlns:r="http://schemas.openxmlformats.org/officeDocument/2006/relationships" r:embed="rId1443"/>
        <a:stretch>
          <a:fillRect/>
        </a:stretch>
      </xdr:blipFill>
      <xdr:spPr>
        <a:prstGeom prst="rect">
          <a:avLst/>
        </a:prstGeom>
        <a:ln w="9525">
          <a:solidFill>
            <a:srgbClr val="000000"/>
          </a:solidFill>
          <a:prstDash val="solid"/>
        </a:ln>
      </xdr:spPr>
    </xdr:pic>
    <xdr:clientData/>
  </xdr:twoCellAnchor>
  <xdr:twoCellAnchor>
    <xdr:from>
      <xdr:col>3</xdr:col>
      <xdr:colOff>114300</xdr:colOff>
      <xdr:row>4220</xdr:row>
      <xdr:rowOff>28575</xdr:rowOff>
    </xdr:from>
    <xdr:to>
      <xdr:col>3</xdr:col>
      <xdr:colOff>1552575</xdr:colOff>
      <xdr:row>4224</xdr:row>
      <xdr:rowOff>333375</xdr:rowOff>
    </xdr:to>
    <xdr:pic>
      <xdr:nvPicPr>
        <xdr:cNvPr id="1445" name="Имя " descr="Descr ">
          <a:extLst>
            <a:ext uri="{FF2B5EF4-FFF2-40B4-BE49-F238E27FC236}">
              <a16:creationId xmlns:a16="http://schemas.microsoft.com/office/drawing/2014/main" id="{00000000-0008-0000-0000-0000A5050000}"/>
            </a:ext>
          </a:extLst>
        </xdr:cNvPr>
        <xdr:cNvPicPr>
          <a:picLocks noChangeAspect="1"/>
        </xdr:cNvPicPr>
      </xdr:nvPicPr>
      <xdr:blipFill>
        <a:blip xmlns:r="http://schemas.openxmlformats.org/officeDocument/2006/relationships" r:embed="rId1444"/>
        <a:stretch>
          <a:fillRect/>
        </a:stretch>
      </xdr:blipFill>
      <xdr:spPr>
        <a:prstGeom prst="rect">
          <a:avLst/>
        </a:prstGeom>
        <a:ln w="9525">
          <a:solidFill>
            <a:srgbClr val="000000"/>
          </a:solidFill>
          <a:prstDash val="solid"/>
        </a:ln>
      </xdr:spPr>
    </xdr:pic>
    <xdr:clientData/>
  </xdr:twoCellAnchor>
  <xdr:twoCellAnchor>
    <xdr:from>
      <xdr:col>3</xdr:col>
      <xdr:colOff>114300</xdr:colOff>
      <xdr:row>4225</xdr:row>
      <xdr:rowOff>28575</xdr:rowOff>
    </xdr:from>
    <xdr:to>
      <xdr:col>3</xdr:col>
      <xdr:colOff>1552575</xdr:colOff>
      <xdr:row>4228</xdr:row>
      <xdr:rowOff>209550</xdr:rowOff>
    </xdr:to>
    <xdr:pic>
      <xdr:nvPicPr>
        <xdr:cNvPr id="1446" name="Имя " descr="Descr ">
          <a:extLst>
            <a:ext uri="{FF2B5EF4-FFF2-40B4-BE49-F238E27FC236}">
              <a16:creationId xmlns:a16="http://schemas.microsoft.com/office/drawing/2014/main" id="{00000000-0008-0000-0000-0000A6050000}"/>
            </a:ext>
          </a:extLst>
        </xdr:cNvPr>
        <xdr:cNvPicPr>
          <a:picLocks noChangeAspect="1"/>
        </xdr:cNvPicPr>
      </xdr:nvPicPr>
      <xdr:blipFill>
        <a:blip xmlns:r="http://schemas.openxmlformats.org/officeDocument/2006/relationships" r:embed="rId1445"/>
        <a:stretch>
          <a:fillRect/>
        </a:stretch>
      </xdr:blipFill>
      <xdr:spPr>
        <a:prstGeom prst="rect">
          <a:avLst/>
        </a:prstGeom>
        <a:ln w="9525">
          <a:solidFill>
            <a:srgbClr val="000000"/>
          </a:solidFill>
          <a:prstDash val="solid"/>
        </a:ln>
      </xdr:spPr>
    </xdr:pic>
    <xdr:clientData/>
  </xdr:twoCellAnchor>
  <xdr:twoCellAnchor>
    <xdr:from>
      <xdr:col>3</xdr:col>
      <xdr:colOff>114300</xdr:colOff>
      <xdr:row>4229</xdr:row>
      <xdr:rowOff>28575</xdr:rowOff>
    </xdr:from>
    <xdr:to>
      <xdr:col>3</xdr:col>
      <xdr:colOff>1552575</xdr:colOff>
      <xdr:row>4229</xdr:row>
      <xdr:rowOff>1266825</xdr:rowOff>
    </xdr:to>
    <xdr:pic>
      <xdr:nvPicPr>
        <xdr:cNvPr id="1447" name="Имя " descr="Descr ">
          <a:extLst>
            <a:ext uri="{FF2B5EF4-FFF2-40B4-BE49-F238E27FC236}">
              <a16:creationId xmlns:a16="http://schemas.microsoft.com/office/drawing/2014/main" id="{00000000-0008-0000-0000-0000A7050000}"/>
            </a:ext>
          </a:extLst>
        </xdr:cNvPr>
        <xdr:cNvPicPr>
          <a:picLocks noChangeAspect="1"/>
        </xdr:cNvPicPr>
      </xdr:nvPicPr>
      <xdr:blipFill>
        <a:blip xmlns:r="http://schemas.openxmlformats.org/officeDocument/2006/relationships" r:embed="rId1446"/>
        <a:stretch>
          <a:fillRect/>
        </a:stretch>
      </xdr:blipFill>
      <xdr:spPr>
        <a:prstGeom prst="rect">
          <a:avLst/>
        </a:prstGeom>
        <a:ln w="9525">
          <a:solidFill>
            <a:srgbClr val="000000"/>
          </a:solidFill>
          <a:prstDash val="solid"/>
        </a:ln>
      </xdr:spPr>
    </xdr:pic>
    <xdr:clientData/>
  </xdr:twoCellAnchor>
  <xdr:twoCellAnchor>
    <xdr:from>
      <xdr:col>3</xdr:col>
      <xdr:colOff>114300</xdr:colOff>
      <xdr:row>4230</xdr:row>
      <xdr:rowOff>28575</xdr:rowOff>
    </xdr:from>
    <xdr:to>
      <xdr:col>3</xdr:col>
      <xdr:colOff>1552575</xdr:colOff>
      <xdr:row>4232</xdr:row>
      <xdr:rowOff>419100</xdr:rowOff>
    </xdr:to>
    <xdr:pic>
      <xdr:nvPicPr>
        <xdr:cNvPr id="1448" name="Имя " descr="Descr ">
          <a:extLst>
            <a:ext uri="{FF2B5EF4-FFF2-40B4-BE49-F238E27FC236}">
              <a16:creationId xmlns:a16="http://schemas.microsoft.com/office/drawing/2014/main" id="{00000000-0008-0000-0000-0000A8050000}"/>
            </a:ext>
          </a:extLst>
        </xdr:cNvPr>
        <xdr:cNvPicPr>
          <a:picLocks noChangeAspect="1"/>
        </xdr:cNvPicPr>
      </xdr:nvPicPr>
      <xdr:blipFill>
        <a:blip xmlns:r="http://schemas.openxmlformats.org/officeDocument/2006/relationships" r:embed="rId1447"/>
        <a:stretch>
          <a:fillRect/>
        </a:stretch>
      </xdr:blipFill>
      <xdr:spPr>
        <a:prstGeom prst="rect">
          <a:avLst/>
        </a:prstGeom>
        <a:ln w="9525">
          <a:solidFill>
            <a:srgbClr val="000000"/>
          </a:solidFill>
          <a:prstDash val="solid"/>
        </a:ln>
      </xdr:spPr>
    </xdr:pic>
    <xdr:clientData/>
  </xdr:twoCellAnchor>
  <xdr:twoCellAnchor>
    <xdr:from>
      <xdr:col>3</xdr:col>
      <xdr:colOff>114300</xdr:colOff>
      <xdr:row>4233</xdr:row>
      <xdr:rowOff>38100</xdr:rowOff>
    </xdr:from>
    <xdr:to>
      <xdr:col>3</xdr:col>
      <xdr:colOff>1552575</xdr:colOff>
      <xdr:row>4234</xdr:row>
      <xdr:rowOff>638175</xdr:rowOff>
    </xdr:to>
    <xdr:pic>
      <xdr:nvPicPr>
        <xdr:cNvPr id="1449" name="Имя " descr="Descr ">
          <a:extLst>
            <a:ext uri="{FF2B5EF4-FFF2-40B4-BE49-F238E27FC236}">
              <a16:creationId xmlns:a16="http://schemas.microsoft.com/office/drawing/2014/main" id="{00000000-0008-0000-0000-0000A9050000}"/>
            </a:ext>
          </a:extLst>
        </xdr:cNvPr>
        <xdr:cNvPicPr>
          <a:picLocks noChangeAspect="1"/>
        </xdr:cNvPicPr>
      </xdr:nvPicPr>
      <xdr:blipFill>
        <a:blip xmlns:r="http://schemas.openxmlformats.org/officeDocument/2006/relationships" r:embed="rId1448"/>
        <a:stretch>
          <a:fillRect/>
        </a:stretch>
      </xdr:blipFill>
      <xdr:spPr>
        <a:prstGeom prst="rect">
          <a:avLst/>
        </a:prstGeom>
        <a:ln w="9525">
          <a:solidFill>
            <a:srgbClr val="000000"/>
          </a:solidFill>
          <a:prstDash val="solid"/>
        </a:ln>
      </xdr:spPr>
    </xdr:pic>
    <xdr:clientData/>
  </xdr:twoCellAnchor>
  <xdr:twoCellAnchor>
    <xdr:from>
      <xdr:col>3</xdr:col>
      <xdr:colOff>114300</xdr:colOff>
      <xdr:row>4235</xdr:row>
      <xdr:rowOff>28575</xdr:rowOff>
    </xdr:from>
    <xdr:to>
      <xdr:col>3</xdr:col>
      <xdr:colOff>1552575</xdr:colOff>
      <xdr:row>4235</xdr:row>
      <xdr:rowOff>1266825</xdr:rowOff>
    </xdr:to>
    <xdr:pic>
      <xdr:nvPicPr>
        <xdr:cNvPr id="1450" name="Имя " descr="Descr ">
          <a:extLst>
            <a:ext uri="{FF2B5EF4-FFF2-40B4-BE49-F238E27FC236}">
              <a16:creationId xmlns:a16="http://schemas.microsoft.com/office/drawing/2014/main" id="{00000000-0008-0000-0000-0000AA050000}"/>
            </a:ext>
          </a:extLst>
        </xdr:cNvPr>
        <xdr:cNvPicPr>
          <a:picLocks noChangeAspect="1"/>
        </xdr:cNvPicPr>
      </xdr:nvPicPr>
      <xdr:blipFill>
        <a:blip xmlns:r="http://schemas.openxmlformats.org/officeDocument/2006/relationships" r:embed="rId1449"/>
        <a:stretch>
          <a:fillRect/>
        </a:stretch>
      </xdr:blipFill>
      <xdr:spPr>
        <a:prstGeom prst="rect">
          <a:avLst/>
        </a:prstGeom>
        <a:ln w="9525">
          <a:solidFill>
            <a:srgbClr val="000000"/>
          </a:solidFill>
          <a:prstDash val="solid"/>
        </a:ln>
      </xdr:spPr>
    </xdr:pic>
    <xdr:clientData/>
  </xdr:twoCellAnchor>
  <xdr:twoCellAnchor>
    <xdr:from>
      <xdr:col>3</xdr:col>
      <xdr:colOff>114300</xdr:colOff>
      <xdr:row>4236</xdr:row>
      <xdr:rowOff>38100</xdr:rowOff>
    </xdr:from>
    <xdr:to>
      <xdr:col>3</xdr:col>
      <xdr:colOff>1552575</xdr:colOff>
      <xdr:row>4237</xdr:row>
      <xdr:rowOff>638175</xdr:rowOff>
    </xdr:to>
    <xdr:pic>
      <xdr:nvPicPr>
        <xdr:cNvPr id="1451" name="Имя " descr="Descr ">
          <a:extLst>
            <a:ext uri="{FF2B5EF4-FFF2-40B4-BE49-F238E27FC236}">
              <a16:creationId xmlns:a16="http://schemas.microsoft.com/office/drawing/2014/main" id="{00000000-0008-0000-0000-0000AB050000}"/>
            </a:ext>
          </a:extLst>
        </xdr:cNvPr>
        <xdr:cNvPicPr>
          <a:picLocks noChangeAspect="1"/>
        </xdr:cNvPicPr>
      </xdr:nvPicPr>
      <xdr:blipFill>
        <a:blip xmlns:r="http://schemas.openxmlformats.org/officeDocument/2006/relationships" r:embed="rId1450"/>
        <a:stretch>
          <a:fillRect/>
        </a:stretch>
      </xdr:blipFill>
      <xdr:spPr>
        <a:prstGeom prst="rect">
          <a:avLst/>
        </a:prstGeom>
        <a:ln w="9525">
          <a:solidFill>
            <a:srgbClr val="000000"/>
          </a:solidFill>
          <a:prstDash val="solid"/>
        </a:ln>
      </xdr:spPr>
    </xdr:pic>
    <xdr:clientData/>
  </xdr:twoCellAnchor>
  <xdr:twoCellAnchor>
    <xdr:from>
      <xdr:col>3</xdr:col>
      <xdr:colOff>114300</xdr:colOff>
      <xdr:row>4238</xdr:row>
      <xdr:rowOff>28575</xdr:rowOff>
    </xdr:from>
    <xdr:to>
      <xdr:col>3</xdr:col>
      <xdr:colOff>1552575</xdr:colOff>
      <xdr:row>4242</xdr:row>
      <xdr:rowOff>333375</xdr:rowOff>
    </xdr:to>
    <xdr:pic>
      <xdr:nvPicPr>
        <xdr:cNvPr id="1452" name="Имя " descr="Descr ">
          <a:extLst>
            <a:ext uri="{FF2B5EF4-FFF2-40B4-BE49-F238E27FC236}">
              <a16:creationId xmlns:a16="http://schemas.microsoft.com/office/drawing/2014/main" id="{00000000-0008-0000-0000-0000AC050000}"/>
            </a:ext>
          </a:extLst>
        </xdr:cNvPr>
        <xdr:cNvPicPr>
          <a:picLocks noChangeAspect="1"/>
        </xdr:cNvPicPr>
      </xdr:nvPicPr>
      <xdr:blipFill>
        <a:blip xmlns:r="http://schemas.openxmlformats.org/officeDocument/2006/relationships" r:embed="rId1451"/>
        <a:stretch>
          <a:fillRect/>
        </a:stretch>
      </xdr:blipFill>
      <xdr:spPr>
        <a:prstGeom prst="rect">
          <a:avLst/>
        </a:prstGeom>
        <a:ln w="9525">
          <a:solidFill>
            <a:srgbClr val="000000"/>
          </a:solidFill>
          <a:prstDash val="solid"/>
        </a:ln>
      </xdr:spPr>
    </xdr:pic>
    <xdr:clientData/>
  </xdr:twoCellAnchor>
  <xdr:twoCellAnchor>
    <xdr:from>
      <xdr:col>3</xdr:col>
      <xdr:colOff>114300</xdr:colOff>
      <xdr:row>4243</xdr:row>
      <xdr:rowOff>38100</xdr:rowOff>
    </xdr:from>
    <xdr:to>
      <xdr:col>3</xdr:col>
      <xdr:colOff>1552575</xdr:colOff>
      <xdr:row>4244</xdr:row>
      <xdr:rowOff>638175</xdr:rowOff>
    </xdr:to>
    <xdr:pic>
      <xdr:nvPicPr>
        <xdr:cNvPr id="1453" name="Имя " descr="Descr ">
          <a:extLst>
            <a:ext uri="{FF2B5EF4-FFF2-40B4-BE49-F238E27FC236}">
              <a16:creationId xmlns:a16="http://schemas.microsoft.com/office/drawing/2014/main" id="{00000000-0008-0000-0000-0000AD050000}"/>
            </a:ext>
          </a:extLst>
        </xdr:cNvPr>
        <xdr:cNvPicPr>
          <a:picLocks noChangeAspect="1"/>
        </xdr:cNvPicPr>
      </xdr:nvPicPr>
      <xdr:blipFill>
        <a:blip xmlns:r="http://schemas.openxmlformats.org/officeDocument/2006/relationships" r:embed="rId1452"/>
        <a:stretch>
          <a:fillRect/>
        </a:stretch>
      </xdr:blipFill>
      <xdr:spPr>
        <a:prstGeom prst="rect">
          <a:avLst/>
        </a:prstGeom>
        <a:ln w="9525">
          <a:solidFill>
            <a:srgbClr val="000000"/>
          </a:solidFill>
          <a:prstDash val="solid"/>
        </a:ln>
      </xdr:spPr>
    </xdr:pic>
    <xdr:clientData/>
  </xdr:twoCellAnchor>
  <xdr:twoCellAnchor>
    <xdr:from>
      <xdr:col>3</xdr:col>
      <xdr:colOff>114300</xdr:colOff>
      <xdr:row>4245</xdr:row>
      <xdr:rowOff>28575</xdr:rowOff>
    </xdr:from>
    <xdr:to>
      <xdr:col>3</xdr:col>
      <xdr:colOff>1552575</xdr:colOff>
      <xdr:row>4245</xdr:row>
      <xdr:rowOff>1266825</xdr:rowOff>
    </xdr:to>
    <xdr:pic>
      <xdr:nvPicPr>
        <xdr:cNvPr id="1454" name="Имя " descr="Descr ">
          <a:extLst>
            <a:ext uri="{FF2B5EF4-FFF2-40B4-BE49-F238E27FC236}">
              <a16:creationId xmlns:a16="http://schemas.microsoft.com/office/drawing/2014/main" id="{00000000-0008-0000-0000-0000AE050000}"/>
            </a:ext>
          </a:extLst>
        </xdr:cNvPr>
        <xdr:cNvPicPr>
          <a:picLocks noChangeAspect="1"/>
        </xdr:cNvPicPr>
      </xdr:nvPicPr>
      <xdr:blipFill>
        <a:blip xmlns:r="http://schemas.openxmlformats.org/officeDocument/2006/relationships" r:embed="rId1453"/>
        <a:stretch>
          <a:fillRect/>
        </a:stretch>
      </xdr:blipFill>
      <xdr:spPr>
        <a:prstGeom prst="rect">
          <a:avLst/>
        </a:prstGeom>
        <a:ln w="9525">
          <a:solidFill>
            <a:srgbClr val="000000"/>
          </a:solidFill>
          <a:prstDash val="solid"/>
        </a:ln>
      </xdr:spPr>
    </xdr:pic>
    <xdr:clientData/>
  </xdr:twoCellAnchor>
  <xdr:twoCellAnchor>
    <xdr:from>
      <xdr:col>3</xdr:col>
      <xdr:colOff>114300</xdr:colOff>
      <xdr:row>4246</xdr:row>
      <xdr:rowOff>38100</xdr:rowOff>
    </xdr:from>
    <xdr:to>
      <xdr:col>3</xdr:col>
      <xdr:colOff>1552575</xdr:colOff>
      <xdr:row>4247</xdr:row>
      <xdr:rowOff>638175</xdr:rowOff>
    </xdr:to>
    <xdr:pic>
      <xdr:nvPicPr>
        <xdr:cNvPr id="1455" name="Имя " descr="Descr ">
          <a:extLst>
            <a:ext uri="{FF2B5EF4-FFF2-40B4-BE49-F238E27FC236}">
              <a16:creationId xmlns:a16="http://schemas.microsoft.com/office/drawing/2014/main" id="{00000000-0008-0000-0000-0000AF050000}"/>
            </a:ext>
          </a:extLst>
        </xdr:cNvPr>
        <xdr:cNvPicPr>
          <a:picLocks noChangeAspect="1"/>
        </xdr:cNvPicPr>
      </xdr:nvPicPr>
      <xdr:blipFill>
        <a:blip xmlns:r="http://schemas.openxmlformats.org/officeDocument/2006/relationships" r:embed="rId1454"/>
        <a:stretch>
          <a:fillRect/>
        </a:stretch>
      </xdr:blipFill>
      <xdr:spPr>
        <a:prstGeom prst="rect">
          <a:avLst/>
        </a:prstGeom>
        <a:ln w="9525">
          <a:solidFill>
            <a:srgbClr val="000000"/>
          </a:solidFill>
          <a:prstDash val="solid"/>
        </a:ln>
      </xdr:spPr>
    </xdr:pic>
    <xdr:clientData/>
  </xdr:twoCellAnchor>
  <xdr:twoCellAnchor>
    <xdr:from>
      <xdr:col>3</xdr:col>
      <xdr:colOff>114300</xdr:colOff>
      <xdr:row>4248</xdr:row>
      <xdr:rowOff>38100</xdr:rowOff>
    </xdr:from>
    <xdr:to>
      <xdr:col>3</xdr:col>
      <xdr:colOff>1552575</xdr:colOff>
      <xdr:row>4249</xdr:row>
      <xdr:rowOff>638175</xdr:rowOff>
    </xdr:to>
    <xdr:pic>
      <xdr:nvPicPr>
        <xdr:cNvPr id="1456" name="Имя " descr="Descr ">
          <a:extLst>
            <a:ext uri="{FF2B5EF4-FFF2-40B4-BE49-F238E27FC236}">
              <a16:creationId xmlns:a16="http://schemas.microsoft.com/office/drawing/2014/main" id="{00000000-0008-0000-0000-0000B0050000}"/>
            </a:ext>
          </a:extLst>
        </xdr:cNvPr>
        <xdr:cNvPicPr>
          <a:picLocks noChangeAspect="1"/>
        </xdr:cNvPicPr>
      </xdr:nvPicPr>
      <xdr:blipFill>
        <a:blip xmlns:r="http://schemas.openxmlformats.org/officeDocument/2006/relationships" r:embed="rId1455"/>
        <a:stretch>
          <a:fillRect/>
        </a:stretch>
      </xdr:blipFill>
      <xdr:spPr>
        <a:prstGeom prst="rect">
          <a:avLst/>
        </a:prstGeom>
        <a:ln w="9525">
          <a:solidFill>
            <a:srgbClr val="000000"/>
          </a:solidFill>
          <a:prstDash val="solid"/>
        </a:ln>
      </xdr:spPr>
    </xdr:pic>
    <xdr:clientData/>
  </xdr:twoCellAnchor>
  <xdr:twoCellAnchor>
    <xdr:from>
      <xdr:col>3</xdr:col>
      <xdr:colOff>114300</xdr:colOff>
      <xdr:row>4250</xdr:row>
      <xdr:rowOff>28575</xdr:rowOff>
    </xdr:from>
    <xdr:to>
      <xdr:col>3</xdr:col>
      <xdr:colOff>1552575</xdr:colOff>
      <xdr:row>4250</xdr:row>
      <xdr:rowOff>1266825</xdr:rowOff>
    </xdr:to>
    <xdr:pic>
      <xdr:nvPicPr>
        <xdr:cNvPr id="1457" name="Имя " descr="Descr ">
          <a:extLst>
            <a:ext uri="{FF2B5EF4-FFF2-40B4-BE49-F238E27FC236}">
              <a16:creationId xmlns:a16="http://schemas.microsoft.com/office/drawing/2014/main" id="{00000000-0008-0000-0000-0000B1050000}"/>
            </a:ext>
          </a:extLst>
        </xdr:cNvPr>
        <xdr:cNvPicPr>
          <a:picLocks noChangeAspect="1"/>
        </xdr:cNvPicPr>
      </xdr:nvPicPr>
      <xdr:blipFill>
        <a:blip xmlns:r="http://schemas.openxmlformats.org/officeDocument/2006/relationships" r:embed="rId1456"/>
        <a:stretch>
          <a:fillRect/>
        </a:stretch>
      </xdr:blipFill>
      <xdr:spPr>
        <a:prstGeom prst="rect">
          <a:avLst/>
        </a:prstGeom>
        <a:ln w="9525">
          <a:solidFill>
            <a:srgbClr val="000000"/>
          </a:solidFill>
          <a:prstDash val="solid"/>
        </a:ln>
      </xdr:spPr>
    </xdr:pic>
    <xdr:clientData/>
  </xdr:twoCellAnchor>
  <xdr:twoCellAnchor>
    <xdr:from>
      <xdr:col>3</xdr:col>
      <xdr:colOff>114300</xdr:colOff>
      <xdr:row>4251</xdr:row>
      <xdr:rowOff>38100</xdr:rowOff>
    </xdr:from>
    <xdr:to>
      <xdr:col>3</xdr:col>
      <xdr:colOff>1552575</xdr:colOff>
      <xdr:row>4252</xdr:row>
      <xdr:rowOff>638175</xdr:rowOff>
    </xdr:to>
    <xdr:pic>
      <xdr:nvPicPr>
        <xdr:cNvPr id="1458" name="Имя " descr="Descr ">
          <a:extLst>
            <a:ext uri="{FF2B5EF4-FFF2-40B4-BE49-F238E27FC236}">
              <a16:creationId xmlns:a16="http://schemas.microsoft.com/office/drawing/2014/main" id="{00000000-0008-0000-0000-0000B2050000}"/>
            </a:ext>
          </a:extLst>
        </xdr:cNvPr>
        <xdr:cNvPicPr>
          <a:picLocks noChangeAspect="1"/>
        </xdr:cNvPicPr>
      </xdr:nvPicPr>
      <xdr:blipFill>
        <a:blip xmlns:r="http://schemas.openxmlformats.org/officeDocument/2006/relationships" r:embed="rId1457"/>
        <a:stretch>
          <a:fillRect/>
        </a:stretch>
      </xdr:blipFill>
      <xdr:spPr>
        <a:prstGeom prst="rect">
          <a:avLst/>
        </a:prstGeom>
        <a:ln w="9525">
          <a:solidFill>
            <a:srgbClr val="000000"/>
          </a:solidFill>
          <a:prstDash val="solid"/>
        </a:ln>
      </xdr:spPr>
    </xdr:pic>
    <xdr:clientData/>
  </xdr:twoCellAnchor>
  <xdr:twoCellAnchor>
    <xdr:from>
      <xdr:col>3</xdr:col>
      <xdr:colOff>114300</xdr:colOff>
      <xdr:row>4253</xdr:row>
      <xdr:rowOff>38100</xdr:rowOff>
    </xdr:from>
    <xdr:to>
      <xdr:col>3</xdr:col>
      <xdr:colOff>1552575</xdr:colOff>
      <xdr:row>4254</xdr:row>
      <xdr:rowOff>638175</xdr:rowOff>
    </xdr:to>
    <xdr:pic>
      <xdr:nvPicPr>
        <xdr:cNvPr id="1459" name="Имя " descr="Descr ">
          <a:extLst>
            <a:ext uri="{FF2B5EF4-FFF2-40B4-BE49-F238E27FC236}">
              <a16:creationId xmlns:a16="http://schemas.microsoft.com/office/drawing/2014/main" id="{00000000-0008-0000-0000-0000B3050000}"/>
            </a:ext>
          </a:extLst>
        </xdr:cNvPr>
        <xdr:cNvPicPr>
          <a:picLocks noChangeAspect="1"/>
        </xdr:cNvPicPr>
      </xdr:nvPicPr>
      <xdr:blipFill>
        <a:blip xmlns:r="http://schemas.openxmlformats.org/officeDocument/2006/relationships" r:embed="rId1458"/>
        <a:stretch>
          <a:fillRect/>
        </a:stretch>
      </xdr:blipFill>
      <xdr:spPr>
        <a:prstGeom prst="rect">
          <a:avLst/>
        </a:prstGeom>
        <a:ln w="9525">
          <a:solidFill>
            <a:srgbClr val="000000"/>
          </a:solidFill>
          <a:prstDash val="solid"/>
        </a:ln>
      </xdr:spPr>
    </xdr:pic>
    <xdr:clientData/>
  </xdr:twoCellAnchor>
  <xdr:twoCellAnchor>
    <xdr:from>
      <xdr:col>3</xdr:col>
      <xdr:colOff>114300</xdr:colOff>
      <xdr:row>4255</xdr:row>
      <xdr:rowOff>28575</xdr:rowOff>
    </xdr:from>
    <xdr:to>
      <xdr:col>3</xdr:col>
      <xdr:colOff>1552575</xdr:colOff>
      <xdr:row>4257</xdr:row>
      <xdr:rowOff>419100</xdr:rowOff>
    </xdr:to>
    <xdr:pic>
      <xdr:nvPicPr>
        <xdr:cNvPr id="1460" name="Имя " descr="Descr ">
          <a:extLst>
            <a:ext uri="{FF2B5EF4-FFF2-40B4-BE49-F238E27FC236}">
              <a16:creationId xmlns:a16="http://schemas.microsoft.com/office/drawing/2014/main" id="{00000000-0008-0000-0000-0000B4050000}"/>
            </a:ext>
          </a:extLst>
        </xdr:cNvPr>
        <xdr:cNvPicPr>
          <a:picLocks noChangeAspect="1"/>
        </xdr:cNvPicPr>
      </xdr:nvPicPr>
      <xdr:blipFill>
        <a:blip xmlns:r="http://schemas.openxmlformats.org/officeDocument/2006/relationships" r:embed="rId1459"/>
        <a:stretch>
          <a:fillRect/>
        </a:stretch>
      </xdr:blipFill>
      <xdr:spPr>
        <a:prstGeom prst="rect">
          <a:avLst/>
        </a:prstGeom>
        <a:ln w="9525">
          <a:solidFill>
            <a:srgbClr val="000000"/>
          </a:solidFill>
          <a:prstDash val="solid"/>
        </a:ln>
      </xdr:spPr>
    </xdr:pic>
    <xdr:clientData/>
  </xdr:twoCellAnchor>
  <xdr:twoCellAnchor>
    <xdr:from>
      <xdr:col>3</xdr:col>
      <xdr:colOff>114300</xdr:colOff>
      <xdr:row>4258</xdr:row>
      <xdr:rowOff>38100</xdr:rowOff>
    </xdr:from>
    <xdr:to>
      <xdr:col>3</xdr:col>
      <xdr:colOff>1552575</xdr:colOff>
      <xdr:row>4259</xdr:row>
      <xdr:rowOff>638175</xdr:rowOff>
    </xdr:to>
    <xdr:pic>
      <xdr:nvPicPr>
        <xdr:cNvPr id="1461" name="Имя " descr="Descr ">
          <a:extLst>
            <a:ext uri="{FF2B5EF4-FFF2-40B4-BE49-F238E27FC236}">
              <a16:creationId xmlns:a16="http://schemas.microsoft.com/office/drawing/2014/main" id="{00000000-0008-0000-0000-0000B5050000}"/>
            </a:ext>
          </a:extLst>
        </xdr:cNvPr>
        <xdr:cNvPicPr>
          <a:picLocks noChangeAspect="1"/>
        </xdr:cNvPicPr>
      </xdr:nvPicPr>
      <xdr:blipFill>
        <a:blip xmlns:r="http://schemas.openxmlformats.org/officeDocument/2006/relationships" r:embed="rId1460"/>
        <a:stretch>
          <a:fillRect/>
        </a:stretch>
      </xdr:blipFill>
      <xdr:spPr>
        <a:prstGeom prst="rect">
          <a:avLst/>
        </a:prstGeom>
        <a:ln w="9525">
          <a:solidFill>
            <a:srgbClr val="000000"/>
          </a:solidFill>
          <a:prstDash val="solid"/>
        </a:ln>
      </xdr:spPr>
    </xdr:pic>
    <xdr:clientData/>
  </xdr:twoCellAnchor>
  <xdr:twoCellAnchor>
    <xdr:from>
      <xdr:col>3</xdr:col>
      <xdr:colOff>114300</xdr:colOff>
      <xdr:row>4260</xdr:row>
      <xdr:rowOff>28575</xdr:rowOff>
    </xdr:from>
    <xdr:to>
      <xdr:col>3</xdr:col>
      <xdr:colOff>1552575</xdr:colOff>
      <xdr:row>4260</xdr:row>
      <xdr:rowOff>1266825</xdr:rowOff>
    </xdr:to>
    <xdr:pic>
      <xdr:nvPicPr>
        <xdr:cNvPr id="1462" name="Имя " descr="Descr ">
          <a:extLst>
            <a:ext uri="{FF2B5EF4-FFF2-40B4-BE49-F238E27FC236}">
              <a16:creationId xmlns:a16="http://schemas.microsoft.com/office/drawing/2014/main" id="{00000000-0008-0000-0000-0000B6050000}"/>
            </a:ext>
          </a:extLst>
        </xdr:cNvPr>
        <xdr:cNvPicPr>
          <a:picLocks noChangeAspect="1"/>
        </xdr:cNvPicPr>
      </xdr:nvPicPr>
      <xdr:blipFill>
        <a:blip xmlns:r="http://schemas.openxmlformats.org/officeDocument/2006/relationships" r:embed="rId1461"/>
        <a:stretch>
          <a:fillRect/>
        </a:stretch>
      </xdr:blipFill>
      <xdr:spPr>
        <a:prstGeom prst="rect">
          <a:avLst/>
        </a:prstGeom>
        <a:ln w="9525">
          <a:solidFill>
            <a:srgbClr val="000000"/>
          </a:solidFill>
          <a:prstDash val="solid"/>
        </a:ln>
      </xdr:spPr>
    </xdr:pic>
    <xdr:clientData/>
  </xdr:twoCellAnchor>
  <xdr:twoCellAnchor>
    <xdr:from>
      <xdr:col>3</xdr:col>
      <xdr:colOff>114300</xdr:colOff>
      <xdr:row>4261</xdr:row>
      <xdr:rowOff>28575</xdr:rowOff>
    </xdr:from>
    <xdr:to>
      <xdr:col>3</xdr:col>
      <xdr:colOff>1552575</xdr:colOff>
      <xdr:row>4263</xdr:row>
      <xdr:rowOff>419100</xdr:rowOff>
    </xdr:to>
    <xdr:pic>
      <xdr:nvPicPr>
        <xdr:cNvPr id="1463" name="Имя " descr="Descr ">
          <a:extLst>
            <a:ext uri="{FF2B5EF4-FFF2-40B4-BE49-F238E27FC236}">
              <a16:creationId xmlns:a16="http://schemas.microsoft.com/office/drawing/2014/main" id="{00000000-0008-0000-0000-0000B7050000}"/>
            </a:ext>
          </a:extLst>
        </xdr:cNvPr>
        <xdr:cNvPicPr>
          <a:picLocks noChangeAspect="1"/>
        </xdr:cNvPicPr>
      </xdr:nvPicPr>
      <xdr:blipFill>
        <a:blip xmlns:r="http://schemas.openxmlformats.org/officeDocument/2006/relationships" r:embed="rId1462"/>
        <a:stretch>
          <a:fillRect/>
        </a:stretch>
      </xdr:blipFill>
      <xdr:spPr>
        <a:prstGeom prst="rect">
          <a:avLst/>
        </a:prstGeom>
        <a:ln w="9525">
          <a:solidFill>
            <a:srgbClr val="000000"/>
          </a:solidFill>
          <a:prstDash val="solid"/>
        </a:ln>
      </xdr:spPr>
    </xdr:pic>
    <xdr:clientData/>
  </xdr:twoCellAnchor>
  <xdr:twoCellAnchor>
    <xdr:from>
      <xdr:col>3</xdr:col>
      <xdr:colOff>114300</xdr:colOff>
      <xdr:row>4264</xdr:row>
      <xdr:rowOff>38100</xdr:rowOff>
    </xdr:from>
    <xdr:to>
      <xdr:col>3</xdr:col>
      <xdr:colOff>1552575</xdr:colOff>
      <xdr:row>4265</xdr:row>
      <xdr:rowOff>638175</xdr:rowOff>
    </xdr:to>
    <xdr:pic>
      <xdr:nvPicPr>
        <xdr:cNvPr id="1464" name="Имя " descr="Descr ">
          <a:extLst>
            <a:ext uri="{FF2B5EF4-FFF2-40B4-BE49-F238E27FC236}">
              <a16:creationId xmlns:a16="http://schemas.microsoft.com/office/drawing/2014/main" id="{00000000-0008-0000-0000-0000B8050000}"/>
            </a:ext>
          </a:extLst>
        </xdr:cNvPr>
        <xdr:cNvPicPr>
          <a:picLocks noChangeAspect="1"/>
        </xdr:cNvPicPr>
      </xdr:nvPicPr>
      <xdr:blipFill>
        <a:blip xmlns:r="http://schemas.openxmlformats.org/officeDocument/2006/relationships" r:embed="rId1463"/>
        <a:stretch>
          <a:fillRect/>
        </a:stretch>
      </xdr:blipFill>
      <xdr:spPr>
        <a:prstGeom prst="rect">
          <a:avLst/>
        </a:prstGeom>
        <a:ln w="9525">
          <a:solidFill>
            <a:srgbClr val="000000"/>
          </a:solidFill>
          <a:prstDash val="solid"/>
        </a:ln>
      </xdr:spPr>
    </xdr:pic>
    <xdr:clientData/>
  </xdr:twoCellAnchor>
  <xdr:twoCellAnchor>
    <xdr:from>
      <xdr:col>3</xdr:col>
      <xdr:colOff>114300</xdr:colOff>
      <xdr:row>4266</xdr:row>
      <xdr:rowOff>28575</xdr:rowOff>
    </xdr:from>
    <xdr:to>
      <xdr:col>3</xdr:col>
      <xdr:colOff>1552575</xdr:colOff>
      <xdr:row>4266</xdr:row>
      <xdr:rowOff>1266825</xdr:rowOff>
    </xdr:to>
    <xdr:pic>
      <xdr:nvPicPr>
        <xdr:cNvPr id="1465" name="Имя " descr="Descr ">
          <a:extLst>
            <a:ext uri="{FF2B5EF4-FFF2-40B4-BE49-F238E27FC236}">
              <a16:creationId xmlns:a16="http://schemas.microsoft.com/office/drawing/2014/main" id="{00000000-0008-0000-0000-0000B9050000}"/>
            </a:ext>
          </a:extLst>
        </xdr:cNvPr>
        <xdr:cNvPicPr>
          <a:picLocks noChangeAspect="1"/>
        </xdr:cNvPicPr>
      </xdr:nvPicPr>
      <xdr:blipFill>
        <a:blip xmlns:r="http://schemas.openxmlformats.org/officeDocument/2006/relationships" r:embed="rId1464"/>
        <a:stretch>
          <a:fillRect/>
        </a:stretch>
      </xdr:blipFill>
      <xdr:spPr>
        <a:prstGeom prst="rect">
          <a:avLst/>
        </a:prstGeom>
        <a:ln w="9525">
          <a:solidFill>
            <a:srgbClr val="000000"/>
          </a:solidFill>
          <a:prstDash val="solid"/>
        </a:ln>
      </xdr:spPr>
    </xdr:pic>
    <xdr:clientData/>
  </xdr:twoCellAnchor>
  <xdr:twoCellAnchor>
    <xdr:from>
      <xdr:col>3</xdr:col>
      <xdr:colOff>114300</xdr:colOff>
      <xdr:row>4267</xdr:row>
      <xdr:rowOff>28575</xdr:rowOff>
    </xdr:from>
    <xdr:to>
      <xdr:col>3</xdr:col>
      <xdr:colOff>1552575</xdr:colOff>
      <xdr:row>4267</xdr:row>
      <xdr:rowOff>1266825</xdr:rowOff>
    </xdr:to>
    <xdr:pic>
      <xdr:nvPicPr>
        <xdr:cNvPr id="1466" name="Имя " descr="Descr ">
          <a:extLst>
            <a:ext uri="{FF2B5EF4-FFF2-40B4-BE49-F238E27FC236}">
              <a16:creationId xmlns:a16="http://schemas.microsoft.com/office/drawing/2014/main" id="{00000000-0008-0000-0000-0000BA050000}"/>
            </a:ext>
          </a:extLst>
        </xdr:cNvPr>
        <xdr:cNvPicPr>
          <a:picLocks noChangeAspect="1"/>
        </xdr:cNvPicPr>
      </xdr:nvPicPr>
      <xdr:blipFill>
        <a:blip xmlns:r="http://schemas.openxmlformats.org/officeDocument/2006/relationships" r:embed="rId1465"/>
        <a:stretch>
          <a:fillRect/>
        </a:stretch>
      </xdr:blipFill>
      <xdr:spPr>
        <a:prstGeom prst="rect">
          <a:avLst/>
        </a:prstGeom>
        <a:ln w="9525">
          <a:solidFill>
            <a:srgbClr val="000000"/>
          </a:solidFill>
          <a:prstDash val="solid"/>
        </a:ln>
      </xdr:spPr>
    </xdr:pic>
    <xdr:clientData/>
  </xdr:twoCellAnchor>
  <xdr:twoCellAnchor>
    <xdr:from>
      <xdr:col>3</xdr:col>
      <xdr:colOff>114300</xdr:colOff>
      <xdr:row>4268</xdr:row>
      <xdr:rowOff>28575</xdr:rowOff>
    </xdr:from>
    <xdr:to>
      <xdr:col>3</xdr:col>
      <xdr:colOff>1552575</xdr:colOff>
      <xdr:row>4268</xdr:row>
      <xdr:rowOff>1266825</xdr:rowOff>
    </xdr:to>
    <xdr:pic>
      <xdr:nvPicPr>
        <xdr:cNvPr id="1467" name="Имя " descr="Descr ">
          <a:extLst>
            <a:ext uri="{FF2B5EF4-FFF2-40B4-BE49-F238E27FC236}">
              <a16:creationId xmlns:a16="http://schemas.microsoft.com/office/drawing/2014/main" id="{00000000-0008-0000-0000-0000BB050000}"/>
            </a:ext>
          </a:extLst>
        </xdr:cNvPr>
        <xdr:cNvPicPr>
          <a:picLocks noChangeAspect="1"/>
        </xdr:cNvPicPr>
      </xdr:nvPicPr>
      <xdr:blipFill>
        <a:blip xmlns:r="http://schemas.openxmlformats.org/officeDocument/2006/relationships" r:embed="rId1466"/>
        <a:stretch>
          <a:fillRect/>
        </a:stretch>
      </xdr:blipFill>
      <xdr:spPr>
        <a:prstGeom prst="rect">
          <a:avLst/>
        </a:prstGeom>
        <a:ln w="9525">
          <a:solidFill>
            <a:srgbClr val="000000"/>
          </a:solidFill>
          <a:prstDash val="solid"/>
        </a:ln>
      </xdr:spPr>
    </xdr:pic>
    <xdr:clientData/>
  </xdr:twoCellAnchor>
  <xdr:twoCellAnchor>
    <xdr:from>
      <xdr:col>3</xdr:col>
      <xdr:colOff>114300</xdr:colOff>
      <xdr:row>4269</xdr:row>
      <xdr:rowOff>28575</xdr:rowOff>
    </xdr:from>
    <xdr:to>
      <xdr:col>3</xdr:col>
      <xdr:colOff>1552575</xdr:colOff>
      <xdr:row>4272</xdr:row>
      <xdr:rowOff>209550</xdr:rowOff>
    </xdr:to>
    <xdr:pic>
      <xdr:nvPicPr>
        <xdr:cNvPr id="1468" name="Имя " descr="Descr ">
          <a:extLst>
            <a:ext uri="{FF2B5EF4-FFF2-40B4-BE49-F238E27FC236}">
              <a16:creationId xmlns:a16="http://schemas.microsoft.com/office/drawing/2014/main" id="{00000000-0008-0000-0000-0000BC050000}"/>
            </a:ext>
          </a:extLst>
        </xdr:cNvPr>
        <xdr:cNvPicPr>
          <a:picLocks noChangeAspect="1"/>
        </xdr:cNvPicPr>
      </xdr:nvPicPr>
      <xdr:blipFill>
        <a:blip xmlns:r="http://schemas.openxmlformats.org/officeDocument/2006/relationships" r:embed="rId1467"/>
        <a:stretch>
          <a:fillRect/>
        </a:stretch>
      </xdr:blipFill>
      <xdr:spPr>
        <a:prstGeom prst="rect">
          <a:avLst/>
        </a:prstGeom>
        <a:ln w="9525">
          <a:solidFill>
            <a:srgbClr val="000000"/>
          </a:solidFill>
          <a:prstDash val="solid"/>
        </a:ln>
      </xdr:spPr>
    </xdr:pic>
    <xdr:clientData/>
  </xdr:twoCellAnchor>
  <xdr:twoCellAnchor>
    <xdr:from>
      <xdr:col>3</xdr:col>
      <xdr:colOff>114300</xdr:colOff>
      <xdr:row>4273</xdr:row>
      <xdr:rowOff>28575</xdr:rowOff>
    </xdr:from>
    <xdr:to>
      <xdr:col>3</xdr:col>
      <xdr:colOff>1552575</xdr:colOff>
      <xdr:row>4273</xdr:row>
      <xdr:rowOff>1266825</xdr:rowOff>
    </xdr:to>
    <xdr:pic>
      <xdr:nvPicPr>
        <xdr:cNvPr id="1469" name="Имя " descr="Descr ">
          <a:extLst>
            <a:ext uri="{FF2B5EF4-FFF2-40B4-BE49-F238E27FC236}">
              <a16:creationId xmlns:a16="http://schemas.microsoft.com/office/drawing/2014/main" id="{00000000-0008-0000-0000-0000BD050000}"/>
            </a:ext>
          </a:extLst>
        </xdr:cNvPr>
        <xdr:cNvPicPr>
          <a:picLocks noChangeAspect="1"/>
        </xdr:cNvPicPr>
      </xdr:nvPicPr>
      <xdr:blipFill>
        <a:blip xmlns:r="http://schemas.openxmlformats.org/officeDocument/2006/relationships" r:embed="rId1468"/>
        <a:stretch>
          <a:fillRect/>
        </a:stretch>
      </xdr:blipFill>
      <xdr:spPr>
        <a:prstGeom prst="rect">
          <a:avLst/>
        </a:prstGeom>
        <a:ln w="9525">
          <a:solidFill>
            <a:srgbClr val="000000"/>
          </a:solidFill>
          <a:prstDash val="solid"/>
        </a:ln>
      </xdr:spPr>
    </xdr:pic>
    <xdr:clientData/>
  </xdr:twoCellAnchor>
  <xdr:twoCellAnchor>
    <xdr:from>
      <xdr:col>3</xdr:col>
      <xdr:colOff>114300</xdr:colOff>
      <xdr:row>4274</xdr:row>
      <xdr:rowOff>28575</xdr:rowOff>
    </xdr:from>
    <xdr:to>
      <xdr:col>3</xdr:col>
      <xdr:colOff>1552575</xdr:colOff>
      <xdr:row>4274</xdr:row>
      <xdr:rowOff>1266825</xdr:rowOff>
    </xdr:to>
    <xdr:pic>
      <xdr:nvPicPr>
        <xdr:cNvPr id="1470" name="Имя " descr="Descr ">
          <a:extLst>
            <a:ext uri="{FF2B5EF4-FFF2-40B4-BE49-F238E27FC236}">
              <a16:creationId xmlns:a16="http://schemas.microsoft.com/office/drawing/2014/main" id="{00000000-0008-0000-0000-0000BE050000}"/>
            </a:ext>
          </a:extLst>
        </xdr:cNvPr>
        <xdr:cNvPicPr>
          <a:picLocks noChangeAspect="1"/>
        </xdr:cNvPicPr>
      </xdr:nvPicPr>
      <xdr:blipFill>
        <a:blip xmlns:r="http://schemas.openxmlformats.org/officeDocument/2006/relationships" r:embed="rId1469"/>
        <a:stretch>
          <a:fillRect/>
        </a:stretch>
      </xdr:blipFill>
      <xdr:spPr>
        <a:prstGeom prst="rect">
          <a:avLst/>
        </a:prstGeom>
        <a:ln w="9525">
          <a:solidFill>
            <a:srgbClr val="000000"/>
          </a:solidFill>
          <a:prstDash val="solid"/>
        </a:ln>
      </xdr:spPr>
    </xdr:pic>
    <xdr:clientData/>
  </xdr:twoCellAnchor>
  <xdr:twoCellAnchor>
    <xdr:from>
      <xdr:col>3</xdr:col>
      <xdr:colOff>114300</xdr:colOff>
      <xdr:row>4275</xdr:row>
      <xdr:rowOff>28575</xdr:rowOff>
    </xdr:from>
    <xdr:to>
      <xdr:col>3</xdr:col>
      <xdr:colOff>1552575</xdr:colOff>
      <xdr:row>4275</xdr:row>
      <xdr:rowOff>1266825</xdr:rowOff>
    </xdr:to>
    <xdr:pic>
      <xdr:nvPicPr>
        <xdr:cNvPr id="1471" name="Имя " descr="Descr ">
          <a:extLst>
            <a:ext uri="{FF2B5EF4-FFF2-40B4-BE49-F238E27FC236}">
              <a16:creationId xmlns:a16="http://schemas.microsoft.com/office/drawing/2014/main" id="{00000000-0008-0000-0000-0000BF050000}"/>
            </a:ext>
          </a:extLst>
        </xdr:cNvPr>
        <xdr:cNvPicPr>
          <a:picLocks noChangeAspect="1"/>
        </xdr:cNvPicPr>
      </xdr:nvPicPr>
      <xdr:blipFill>
        <a:blip xmlns:r="http://schemas.openxmlformats.org/officeDocument/2006/relationships" r:embed="rId1470"/>
        <a:stretch>
          <a:fillRect/>
        </a:stretch>
      </xdr:blipFill>
      <xdr:spPr>
        <a:prstGeom prst="rect">
          <a:avLst/>
        </a:prstGeom>
        <a:ln w="9525">
          <a:solidFill>
            <a:srgbClr val="000000"/>
          </a:solidFill>
          <a:prstDash val="solid"/>
        </a:ln>
      </xdr:spPr>
    </xdr:pic>
    <xdr:clientData/>
  </xdr:twoCellAnchor>
  <xdr:twoCellAnchor>
    <xdr:from>
      <xdr:col>3</xdr:col>
      <xdr:colOff>114300</xdr:colOff>
      <xdr:row>4276</xdr:row>
      <xdr:rowOff>28575</xdr:rowOff>
    </xdr:from>
    <xdr:to>
      <xdr:col>3</xdr:col>
      <xdr:colOff>1552575</xdr:colOff>
      <xdr:row>4279</xdr:row>
      <xdr:rowOff>209550</xdr:rowOff>
    </xdr:to>
    <xdr:pic>
      <xdr:nvPicPr>
        <xdr:cNvPr id="1472" name="Имя " descr="Descr ">
          <a:extLst>
            <a:ext uri="{FF2B5EF4-FFF2-40B4-BE49-F238E27FC236}">
              <a16:creationId xmlns:a16="http://schemas.microsoft.com/office/drawing/2014/main" id="{00000000-0008-0000-0000-0000C0050000}"/>
            </a:ext>
          </a:extLst>
        </xdr:cNvPr>
        <xdr:cNvPicPr>
          <a:picLocks noChangeAspect="1"/>
        </xdr:cNvPicPr>
      </xdr:nvPicPr>
      <xdr:blipFill>
        <a:blip xmlns:r="http://schemas.openxmlformats.org/officeDocument/2006/relationships" r:embed="rId1471"/>
        <a:stretch>
          <a:fillRect/>
        </a:stretch>
      </xdr:blipFill>
      <xdr:spPr>
        <a:prstGeom prst="rect">
          <a:avLst/>
        </a:prstGeom>
        <a:ln w="9525">
          <a:solidFill>
            <a:srgbClr val="000000"/>
          </a:solidFill>
          <a:prstDash val="solid"/>
        </a:ln>
      </xdr:spPr>
    </xdr:pic>
    <xdr:clientData/>
  </xdr:twoCellAnchor>
  <xdr:twoCellAnchor>
    <xdr:from>
      <xdr:col>3</xdr:col>
      <xdr:colOff>114300</xdr:colOff>
      <xdr:row>4280</xdr:row>
      <xdr:rowOff>28575</xdr:rowOff>
    </xdr:from>
    <xdr:to>
      <xdr:col>3</xdr:col>
      <xdr:colOff>1552575</xdr:colOff>
      <xdr:row>4283</xdr:row>
      <xdr:rowOff>209550</xdr:rowOff>
    </xdr:to>
    <xdr:pic>
      <xdr:nvPicPr>
        <xdr:cNvPr id="1473" name="Имя " descr="Descr ">
          <a:extLst>
            <a:ext uri="{FF2B5EF4-FFF2-40B4-BE49-F238E27FC236}">
              <a16:creationId xmlns:a16="http://schemas.microsoft.com/office/drawing/2014/main" id="{00000000-0008-0000-0000-0000C1050000}"/>
            </a:ext>
          </a:extLst>
        </xdr:cNvPr>
        <xdr:cNvPicPr>
          <a:picLocks noChangeAspect="1"/>
        </xdr:cNvPicPr>
      </xdr:nvPicPr>
      <xdr:blipFill>
        <a:blip xmlns:r="http://schemas.openxmlformats.org/officeDocument/2006/relationships" r:embed="rId1472"/>
        <a:stretch>
          <a:fillRect/>
        </a:stretch>
      </xdr:blipFill>
      <xdr:spPr>
        <a:prstGeom prst="rect">
          <a:avLst/>
        </a:prstGeom>
        <a:ln w="9525">
          <a:solidFill>
            <a:srgbClr val="000000"/>
          </a:solidFill>
          <a:prstDash val="solid"/>
        </a:ln>
      </xdr:spPr>
    </xdr:pic>
    <xdr:clientData/>
  </xdr:twoCellAnchor>
  <xdr:twoCellAnchor>
    <xdr:from>
      <xdr:col>3</xdr:col>
      <xdr:colOff>114300</xdr:colOff>
      <xdr:row>4284</xdr:row>
      <xdr:rowOff>28575</xdr:rowOff>
    </xdr:from>
    <xdr:to>
      <xdr:col>3</xdr:col>
      <xdr:colOff>1552575</xdr:colOff>
      <xdr:row>4287</xdr:row>
      <xdr:rowOff>209550</xdr:rowOff>
    </xdr:to>
    <xdr:pic>
      <xdr:nvPicPr>
        <xdr:cNvPr id="1474" name="Имя " descr="Descr ">
          <a:extLst>
            <a:ext uri="{FF2B5EF4-FFF2-40B4-BE49-F238E27FC236}">
              <a16:creationId xmlns:a16="http://schemas.microsoft.com/office/drawing/2014/main" id="{00000000-0008-0000-0000-0000C2050000}"/>
            </a:ext>
          </a:extLst>
        </xdr:cNvPr>
        <xdr:cNvPicPr>
          <a:picLocks noChangeAspect="1"/>
        </xdr:cNvPicPr>
      </xdr:nvPicPr>
      <xdr:blipFill>
        <a:blip xmlns:r="http://schemas.openxmlformats.org/officeDocument/2006/relationships" r:embed="rId1473"/>
        <a:stretch>
          <a:fillRect/>
        </a:stretch>
      </xdr:blipFill>
      <xdr:spPr>
        <a:prstGeom prst="rect">
          <a:avLst/>
        </a:prstGeom>
        <a:ln w="9525">
          <a:solidFill>
            <a:srgbClr val="000000"/>
          </a:solidFill>
          <a:prstDash val="solid"/>
        </a:ln>
      </xdr:spPr>
    </xdr:pic>
    <xdr:clientData/>
  </xdr:twoCellAnchor>
  <xdr:twoCellAnchor>
    <xdr:from>
      <xdr:col>3</xdr:col>
      <xdr:colOff>114300</xdr:colOff>
      <xdr:row>4288</xdr:row>
      <xdr:rowOff>38100</xdr:rowOff>
    </xdr:from>
    <xdr:to>
      <xdr:col>3</xdr:col>
      <xdr:colOff>1552575</xdr:colOff>
      <xdr:row>4289</xdr:row>
      <xdr:rowOff>638175</xdr:rowOff>
    </xdr:to>
    <xdr:pic>
      <xdr:nvPicPr>
        <xdr:cNvPr id="1475" name="Имя " descr="Descr ">
          <a:extLst>
            <a:ext uri="{FF2B5EF4-FFF2-40B4-BE49-F238E27FC236}">
              <a16:creationId xmlns:a16="http://schemas.microsoft.com/office/drawing/2014/main" id="{00000000-0008-0000-0000-0000C3050000}"/>
            </a:ext>
          </a:extLst>
        </xdr:cNvPr>
        <xdr:cNvPicPr>
          <a:picLocks noChangeAspect="1"/>
        </xdr:cNvPicPr>
      </xdr:nvPicPr>
      <xdr:blipFill>
        <a:blip xmlns:r="http://schemas.openxmlformats.org/officeDocument/2006/relationships" r:embed="rId1474"/>
        <a:stretch>
          <a:fillRect/>
        </a:stretch>
      </xdr:blipFill>
      <xdr:spPr>
        <a:prstGeom prst="rect">
          <a:avLst/>
        </a:prstGeom>
        <a:ln w="9525">
          <a:solidFill>
            <a:srgbClr val="000000"/>
          </a:solidFill>
          <a:prstDash val="solid"/>
        </a:ln>
      </xdr:spPr>
    </xdr:pic>
    <xdr:clientData/>
  </xdr:twoCellAnchor>
  <xdr:twoCellAnchor>
    <xdr:from>
      <xdr:col>3</xdr:col>
      <xdr:colOff>114300</xdr:colOff>
      <xdr:row>4290</xdr:row>
      <xdr:rowOff>28575</xdr:rowOff>
    </xdr:from>
    <xdr:to>
      <xdr:col>3</xdr:col>
      <xdr:colOff>1552575</xdr:colOff>
      <xdr:row>4290</xdr:row>
      <xdr:rowOff>1266825</xdr:rowOff>
    </xdr:to>
    <xdr:pic>
      <xdr:nvPicPr>
        <xdr:cNvPr id="1476" name="Имя " descr="Descr ">
          <a:extLst>
            <a:ext uri="{FF2B5EF4-FFF2-40B4-BE49-F238E27FC236}">
              <a16:creationId xmlns:a16="http://schemas.microsoft.com/office/drawing/2014/main" id="{00000000-0008-0000-0000-0000C4050000}"/>
            </a:ext>
          </a:extLst>
        </xdr:cNvPr>
        <xdr:cNvPicPr>
          <a:picLocks noChangeAspect="1"/>
        </xdr:cNvPicPr>
      </xdr:nvPicPr>
      <xdr:blipFill>
        <a:blip xmlns:r="http://schemas.openxmlformats.org/officeDocument/2006/relationships" r:embed="rId1475"/>
        <a:stretch>
          <a:fillRect/>
        </a:stretch>
      </xdr:blipFill>
      <xdr:spPr>
        <a:prstGeom prst="rect">
          <a:avLst/>
        </a:prstGeom>
        <a:ln w="9525">
          <a:solidFill>
            <a:srgbClr val="000000"/>
          </a:solidFill>
          <a:prstDash val="solid"/>
        </a:ln>
      </xdr:spPr>
    </xdr:pic>
    <xdr:clientData/>
  </xdr:twoCellAnchor>
  <xdr:twoCellAnchor>
    <xdr:from>
      <xdr:col>3</xdr:col>
      <xdr:colOff>114300</xdr:colOff>
      <xdr:row>4291</xdr:row>
      <xdr:rowOff>28575</xdr:rowOff>
    </xdr:from>
    <xdr:to>
      <xdr:col>3</xdr:col>
      <xdr:colOff>1552575</xdr:colOff>
      <xdr:row>4291</xdr:row>
      <xdr:rowOff>1266825</xdr:rowOff>
    </xdr:to>
    <xdr:pic>
      <xdr:nvPicPr>
        <xdr:cNvPr id="1477" name="Имя " descr="Descr ">
          <a:extLst>
            <a:ext uri="{FF2B5EF4-FFF2-40B4-BE49-F238E27FC236}">
              <a16:creationId xmlns:a16="http://schemas.microsoft.com/office/drawing/2014/main" id="{00000000-0008-0000-0000-0000C5050000}"/>
            </a:ext>
          </a:extLst>
        </xdr:cNvPr>
        <xdr:cNvPicPr>
          <a:picLocks noChangeAspect="1"/>
        </xdr:cNvPicPr>
      </xdr:nvPicPr>
      <xdr:blipFill>
        <a:blip xmlns:r="http://schemas.openxmlformats.org/officeDocument/2006/relationships" r:embed="rId1476"/>
        <a:stretch>
          <a:fillRect/>
        </a:stretch>
      </xdr:blipFill>
      <xdr:spPr>
        <a:prstGeom prst="rect">
          <a:avLst/>
        </a:prstGeom>
        <a:ln w="9525">
          <a:solidFill>
            <a:srgbClr val="000000"/>
          </a:solidFill>
          <a:prstDash val="solid"/>
        </a:ln>
      </xdr:spPr>
    </xdr:pic>
    <xdr:clientData/>
  </xdr:twoCellAnchor>
  <xdr:twoCellAnchor>
    <xdr:from>
      <xdr:col>3</xdr:col>
      <xdr:colOff>114300</xdr:colOff>
      <xdr:row>4292</xdr:row>
      <xdr:rowOff>28575</xdr:rowOff>
    </xdr:from>
    <xdr:to>
      <xdr:col>3</xdr:col>
      <xdr:colOff>1552575</xdr:colOff>
      <xdr:row>4292</xdr:row>
      <xdr:rowOff>1266825</xdr:rowOff>
    </xdr:to>
    <xdr:pic>
      <xdr:nvPicPr>
        <xdr:cNvPr id="1478" name="Имя " descr="Descr ">
          <a:extLst>
            <a:ext uri="{FF2B5EF4-FFF2-40B4-BE49-F238E27FC236}">
              <a16:creationId xmlns:a16="http://schemas.microsoft.com/office/drawing/2014/main" id="{00000000-0008-0000-0000-0000C6050000}"/>
            </a:ext>
          </a:extLst>
        </xdr:cNvPr>
        <xdr:cNvPicPr>
          <a:picLocks noChangeAspect="1"/>
        </xdr:cNvPicPr>
      </xdr:nvPicPr>
      <xdr:blipFill>
        <a:blip xmlns:r="http://schemas.openxmlformats.org/officeDocument/2006/relationships" r:embed="rId1477"/>
        <a:stretch>
          <a:fillRect/>
        </a:stretch>
      </xdr:blipFill>
      <xdr:spPr>
        <a:prstGeom prst="rect">
          <a:avLst/>
        </a:prstGeom>
        <a:ln w="9525">
          <a:solidFill>
            <a:srgbClr val="000000"/>
          </a:solidFill>
          <a:prstDash val="solid"/>
        </a:ln>
      </xdr:spPr>
    </xdr:pic>
    <xdr:clientData/>
  </xdr:twoCellAnchor>
  <xdr:twoCellAnchor>
    <xdr:from>
      <xdr:col>3</xdr:col>
      <xdr:colOff>114300</xdr:colOff>
      <xdr:row>4293</xdr:row>
      <xdr:rowOff>28575</xdr:rowOff>
    </xdr:from>
    <xdr:to>
      <xdr:col>3</xdr:col>
      <xdr:colOff>1552575</xdr:colOff>
      <xdr:row>4293</xdr:row>
      <xdr:rowOff>1266825</xdr:rowOff>
    </xdr:to>
    <xdr:pic>
      <xdr:nvPicPr>
        <xdr:cNvPr id="1479" name="Имя " descr="Descr ">
          <a:extLst>
            <a:ext uri="{FF2B5EF4-FFF2-40B4-BE49-F238E27FC236}">
              <a16:creationId xmlns:a16="http://schemas.microsoft.com/office/drawing/2014/main" id="{00000000-0008-0000-0000-0000C7050000}"/>
            </a:ext>
          </a:extLst>
        </xdr:cNvPr>
        <xdr:cNvPicPr>
          <a:picLocks noChangeAspect="1"/>
        </xdr:cNvPicPr>
      </xdr:nvPicPr>
      <xdr:blipFill>
        <a:blip xmlns:r="http://schemas.openxmlformats.org/officeDocument/2006/relationships" r:embed="rId1478"/>
        <a:stretch>
          <a:fillRect/>
        </a:stretch>
      </xdr:blipFill>
      <xdr:spPr>
        <a:prstGeom prst="rect">
          <a:avLst/>
        </a:prstGeom>
        <a:ln w="9525">
          <a:solidFill>
            <a:srgbClr val="000000"/>
          </a:solidFill>
          <a:prstDash val="solid"/>
        </a:ln>
      </xdr:spPr>
    </xdr:pic>
    <xdr:clientData/>
  </xdr:twoCellAnchor>
  <xdr:twoCellAnchor>
    <xdr:from>
      <xdr:col>3</xdr:col>
      <xdr:colOff>114300</xdr:colOff>
      <xdr:row>4294</xdr:row>
      <xdr:rowOff>28575</xdr:rowOff>
    </xdr:from>
    <xdr:to>
      <xdr:col>3</xdr:col>
      <xdr:colOff>1552575</xdr:colOff>
      <xdr:row>4294</xdr:row>
      <xdr:rowOff>1266825</xdr:rowOff>
    </xdr:to>
    <xdr:pic>
      <xdr:nvPicPr>
        <xdr:cNvPr id="1480" name="Имя " descr="Descr ">
          <a:extLst>
            <a:ext uri="{FF2B5EF4-FFF2-40B4-BE49-F238E27FC236}">
              <a16:creationId xmlns:a16="http://schemas.microsoft.com/office/drawing/2014/main" id="{00000000-0008-0000-0000-0000C8050000}"/>
            </a:ext>
          </a:extLst>
        </xdr:cNvPr>
        <xdr:cNvPicPr>
          <a:picLocks noChangeAspect="1"/>
        </xdr:cNvPicPr>
      </xdr:nvPicPr>
      <xdr:blipFill>
        <a:blip xmlns:r="http://schemas.openxmlformats.org/officeDocument/2006/relationships" r:embed="rId1479"/>
        <a:stretch>
          <a:fillRect/>
        </a:stretch>
      </xdr:blipFill>
      <xdr:spPr>
        <a:prstGeom prst="rect">
          <a:avLst/>
        </a:prstGeom>
        <a:ln w="9525">
          <a:solidFill>
            <a:srgbClr val="000000"/>
          </a:solidFill>
          <a:prstDash val="solid"/>
        </a:ln>
      </xdr:spPr>
    </xdr:pic>
    <xdr:clientData/>
  </xdr:twoCellAnchor>
  <xdr:twoCellAnchor>
    <xdr:from>
      <xdr:col>3</xdr:col>
      <xdr:colOff>114300</xdr:colOff>
      <xdr:row>4295</xdr:row>
      <xdr:rowOff>28575</xdr:rowOff>
    </xdr:from>
    <xdr:to>
      <xdr:col>3</xdr:col>
      <xdr:colOff>1552575</xdr:colOff>
      <xdr:row>4295</xdr:row>
      <xdr:rowOff>1266825</xdr:rowOff>
    </xdr:to>
    <xdr:pic>
      <xdr:nvPicPr>
        <xdr:cNvPr id="1481" name="Имя " descr="Descr ">
          <a:extLst>
            <a:ext uri="{FF2B5EF4-FFF2-40B4-BE49-F238E27FC236}">
              <a16:creationId xmlns:a16="http://schemas.microsoft.com/office/drawing/2014/main" id="{00000000-0008-0000-0000-0000C9050000}"/>
            </a:ext>
          </a:extLst>
        </xdr:cNvPr>
        <xdr:cNvPicPr>
          <a:picLocks noChangeAspect="1"/>
        </xdr:cNvPicPr>
      </xdr:nvPicPr>
      <xdr:blipFill>
        <a:blip xmlns:r="http://schemas.openxmlformats.org/officeDocument/2006/relationships" r:embed="rId1480"/>
        <a:stretch>
          <a:fillRect/>
        </a:stretch>
      </xdr:blipFill>
      <xdr:spPr>
        <a:prstGeom prst="rect">
          <a:avLst/>
        </a:prstGeom>
        <a:ln w="9525">
          <a:solidFill>
            <a:srgbClr val="000000"/>
          </a:solidFill>
          <a:prstDash val="solid"/>
        </a:ln>
      </xdr:spPr>
    </xdr:pic>
    <xdr:clientData/>
  </xdr:twoCellAnchor>
  <xdr:twoCellAnchor>
    <xdr:from>
      <xdr:col>3</xdr:col>
      <xdr:colOff>114300</xdr:colOff>
      <xdr:row>4296</xdr:row>
      <xdr:rowOff>28575</xdr:rowOff>
    </xdr:from>
    <xdr:to>
      <xdr:col>3</xdr:col>
      <xdr:colOff>1552575</xdr:colOff>
      <xdr:row>4296</xdr:row>
      <xdr:rowOff>1266825</xdr:rowOff>
    </xdr:to>
    <xdr:pic>
      <xdr:nvPicPr>
        <xdr:cNvPr id="1482" name="Имя " descr="Descr ">
          <a:extLst>
            <a:ext uri="{FF2B5EF4-FFF2-40B4-BE49-F238E27FC236}">
              <a16:creationId xmlns:a16="http://schemas.microsoft.com/office/drawing/2014/main" id="{00000000-0008-0000-0000-0000CA050000}"/>
            </a:ext>
          </a:extLst>
        </xdr:cNvPr>
        <xdr:cNvPicPr>
          <a:picLocks noChangeAspect="1"/>
        </xdr:cNvPicPr>
      </xdr:nvPicPr>
      <xdr:blipFill>
        <a:blip xmlns:r="http://schemas.openxmlformats.org/officeDocument/2006/relationships" r:embed="rId1481"/>
        <a:stretch>
          <a:fillRect/>
        </a:stretch>
      </xdr:blipFill>
      <xdr:spPr>
        <a:prstGeom prst="rect">
          <a:avLst/>
        </a:prstGeom>
        <a:ln w="9525">
          <a:solidFill>
            <a:srgbClr val="000000"/>
          </a:solidFill>
          <a:prstDash val="solid"/>
        </a:ln>
      </xdr:spPr>
    </xdr:pic>
    <xdr:clientData/>
  </xdr:twoCellAnchor>
  <xdr:twoCellAnchor>
    <xdr:from>
      <xdr:col>3</xdr:col>
      <xdr:colOff>114300</xdr:colOff>
      <xdr:row>4297</xdr:row>
      <xdr:rowOff>38100</xdr:rowOff>
    </xdr:from>
    <xdr:to>
      <xdr:col>3</xdr:col>
      <xdr:colOff>1552575</xdr:colOff>
      <xdr:row>4298</xdr:row>
      <xdr:rowOff>638175</xdr:rowOff>
    </xdr:to>
    <xdr:pic>
      <xdr:nvPicPr>
        <xdr:cNvPr id="1483" name="Имя " descr="Descr ">
          <a:extLst>
            <a:ext uri="{FF2B5EF4-FFF2-40B4-BE49-F238E27FC236}">
              <a16:creationId xmlns:a16="http://schemas.microsoft.com/office/drawing/2014/main" id="{00000000-0008-0000-0000-0000CB050000}"/>
            </a:ext>
          </a:extLst>
        </xdr:cNvPr>
        <xdr:cNvPicPr>
          <a:picLocks noChangeAspect="1"/>
        </xdr:cNvPicPr>
      </xdr:nvPicPr>
      <xdr:blipFill>
        <a:blip xmlns:r="http://schemas.openxmlformats.org/officeDocument/2006/relationships" r:embed="rId1482"/>
        <a:stretch>
          <a:fillRect/>
        </a:stretch>
      </xdr:blipFill>
      <xdr:spPr>
        <a:prstGeom prst="rect">
          <a:avLst/>
        </a:prstGeom>
        <a:ln w="9525">
          <a:solidFill>
            <a:srgbClr val="000000"/>
          </a:solidFill>
          <a:prstDash val="solid"/>
        </a:ln>
      </xdr:spPr>
    </xdr:pic>
    <xdr:clientData/>
  </xdr:twoCellAnchor>
  <xdr:twoCellAnchor>
    <xdr:from>
      <xdr:col>3</xdr:col>
      <xdr:colOff>114300</xdr:colOff>
      <xdr:row>4299</xdr:row>
      <xdr:rowOff>38100</xdr:rowOff>
    </xdr:from>
    <xdr:to>
      <xdr:col>3</xdr:col>
      <xdr:colOff>1552575</xdr:colOff>
      <xdr:row>4300</xdr:row>
      <xdr:rowOff>638175</xdr:rowOff>
    </xdr:to>
    <xdr:pic>
      <xdr:nvPicPr>
        <xdr:cNvPr id="1484" name="Имя " descr="Descr ">
          <a:extLst>
            <a:ext uri="{FF2B5EF4-FFF2-40B4-BE49-F238E27FC236}">
              <a16:creationId xmlns:a16="http://schemas.microsoft.com/office/drawing/2014/main" id="{00000000-0008-0000-0000-0000CC050000}"/>
            </a:ext>
          </a:extLst>
        </xdr:cNvPr>
        <xdr:cNvPicPr>
          <a:picLocks noChangeAspect="1"/>
        </xdr:cNvPicPr>
      </xdr:nvPicPr>
      <xdr:blipFill>
        <a:blip xmlns:r="http://schemas.openxmlformats.org/officeDocument/2006/relationships" r:embed="rId1483"/>
        <a:stretch>
          <a:fillRect/>
        </a:stretch>
      </xdr:blipFill>
      <xdr:spPr>
        <a:prstGeom prst="rect">
          <a:avLst/>
        </a:prstGeom>
        <a:ln w="9525">
          <a:solidFill>
            <a:srgbClr val="000000"/>
          </a:solidFill>
          <a:prstDash val="solid"/>
        </a:ln>
      </xdr:spPr>
    </xdr:pic>
    <xdr:clientData/>
  </xdr:twoCellAnchor>
  <xdr:twoCellAnchor>
    <xdr:from>
      <xdr:col>3</xdr:col>
      <xdr:colOff>114300</xdr:colOff>
      <xdr:row>4301</xdr:row>
      <xdr:rowOff>28575</xdr:rowOff>
    </xdr:from>
    <xdr:to>
      <xdr:col>3</xdr:col>
      <xdr:colOff>1552575</xdr:colOff>
      <xdr:row>4304</xdr:row>
      <xdr:rowOff>209550</xdr:rowOff>
    </xdr:to>
    <xdr:pic>
      <xdr:nvPicPr>
        <xdr:cNvPr id="1485" name="Имя " descr="Descr ">
          <a:extLst>
            <a:ext uri="{FF2B5EF4-FFF2-40B4-BE49-F238E27FC236}">
              <a16:creationId xmlns:a16="http://schemas.microsoft.com/office/drawing/2014/main" id="{00000000-0008-0000-0000-0000CD050000}"/>
            </a:ext>
          </a:extLst>
        </xdr:cNvPr>
        <xdr:cNvPicPr>
          <a:picLocks noChangeAspect="1"/>
        </xdr:cNvPicPr>
      </xdr:nvPicPr>
      <xdr:blipFill>
        <a:blip xmlns:r="http://schemas.openxmlformats.org/officeDocument/2006/relationships" r:embed="rId1484"/>
        <a:stretch>
          <a:fillRect/>
        </a:stretch>
      </xdr:blipFill>
      <xdr:spPr>
        <a:prstGeom prst="rect">
          <a:avLst/>
        </a:prstGeom>
        <a:ln w="9525">
          <a:solidFill>
            <a:srgbClr val="000000"/>
          </a:solidFill>
          <a:prstDash val="solid"/>
        </a:ln>
      </xdr:spPr>
    </xdr:pic>
    <xdr:clientData/>
  </xdr:twoCellAnchor>
  <xdr:twoCellAnchor>
    <xdr:from>
      <xdr:col>3</xdr:col>
      <xdr:colOff>114300</xdr:colOff>
      <xdr:row>4305</xdr:row>
      <xdr:rowOff>28575</xdr:rowOff>
    </xdr:from>
    <xdr:to>
      <xdr:col>3</xdr:col>
      <xdr:colOff>1552575</xdr:colOff>
      <xdr:row>4309</xdr:row>
      <xdr:rowOff>333375</xdr:rowOff>
    </xdr:to>
    <xdr:pic>
      <xdr:nvPicPr>
        <xdr:cNvPr id="1486" name="Имя " descr="Descr ">
          <a:extLst>
            <a:ext uri="{FF2B5EF4-FFF2-40B4-BE49-F238E27FC236}">
              <a16:creationId xmlns:a16="http://schemas.microsoft.com/office/drawing/2014/main" id="{00000000-0008-0000-0000-0000CE050000}"/>
            </a:ext>
          </a:extLst>
        </xdr:cNvPr>
        <xdr:cNvPicPr>
          <a:picLocks noChangeAspect="1"/>
        </xdr:cNvPicPr>
      </xdr:nvPicPr>
      <xdr:blipFill>
        <a:blip xmlns:r="http://schemas.openxmlformats.org/officeDocument/2006/relationships" r:embed="rId1485"/>
        <a:stretch>
          <a:fillRect/>
        </a:stretch>
      </xdr:blipFill>
      <xdr:spPr>
        <a:prstGeom prst="rect">
          <a:avLst/>
        </a:prstGeom>
        <a:ln w="9525">
          <a:solidFill>
            <a:srgbClr val="000000"/>
          </a:solidFill>
          <a:prstDash val="solid"/>
        </a:ln>
      </xdr:spPr>
    </xdr:pic>
    <xdr:clientData/>
  </xdr:twoCellAnchor>
  <xdr:twoCellAnchor>
    <xdr:from>
      <xdr:col>3</xdr:col>
      <xdr:colOff>114300</xdr:colOff>
      <xdr:row>4310</xdr:row>
      <xdr:rowOff>28575</xdr:rowOff>
    </xdr:from>
    <xdr:to>
      <xdr:col>3</xdr:col>
      <xdr:colOff>1552575</xdr:colOff>
      <xdr:row>4312</xdr:row>
      <xdr:rowOff>419100</xdr:rowOff>
    </xdr:to>
    <xdr:pic>
      <xdr:nvPicPr>
        <xdr:cNvPr id="1487" name="Имя " descr="Descr ">
          <a:extLst>
            <a:ext uri="{FF2B5EF4-FFF2-40B4-BE49-F238E27FC236}">
              <a16:creationId xmlns:a16="http://schemas.microsoft.com/office/drawing/2014/main" id="{00000000-0008-0000-0000-0000CF050000}"/>
            </a:ext>
          </a:extLst>
        </xdr:cNvPr>
        <xdr:cNvPicPr>
          <a:picLocks noChangeAspect="1"/>
        </xdr:cNvPicPr>
      </xdr:nvPicPr>
      <xdr:blipFill>
        <a:blip xmlns:r="http://schemas.openxmlformats.org/officeDocument/2006/relationships" r:embed="rId1486"/>
        <a:stretch>
          <a:fillRect/>
        </a:stretch>
      </xdr:blipFill>
      <xdr:spPr>
        <a:prstGeom prst="rect">
          <a:avLst/>
        </a:prstGeom>
        <a:ln w="9525">
          <a:solidFill>
            <a:srgbClr val="000000"/>
          </a:solidFill>
          <a:prstDash val="solid"/>
        </a:ln>
      </xdr:spPr>
    </xdr:pic>
    <xdr:clientData/>
  </xdr:twoCellAnchor>
  <xdr:twoCellAnchor>
    <xdr:from>
      <xdr:col>3</xdr:col>
      <xdr:colOff>114300</xdr:colOff>
      <xdr:row>4313</xdr:row>
      <xdr:rowOff>28575</xdr:rowOff>
    </xdr:from>
    <xdr:to>
      <xdr:col>3</xdr:col>
      <xdr:colOff>1552575</xdr:colOff>
      <xdr:row>4315</xdr:row>
      <xdr:rowOff>419100</xdr:rowOff>
    </xdr:to>
    <xdr:pic>
      <xdr:nvPicPr>
        <xdr:cNvPr id="1488" name="Имя " descr="Descr ">
          <a:extLst>
            <a:ext uri="{FF2B5EF4-FFF2-40B4-BE49-F238E27FC236}">
              <a16:creationId xmlns:a16="http://schemas.microsoft.com/office/drawing/2014/main" id="{00000000-0008-0000-0000-0000D0050000}"/>
            </a:ext>
          </a:extLst>
        </xdr:cNvPr>
        <xdr:cNvPicPr>
          <a:picLocks noChangeAspect="1"/>
        </xdr:cNvPicPr>
      </xdr:nvPicPr>
      <xdr:blipFill>
        <a:blip xmlns:r="http://schemas.openxmlformats.org/officeDocument/2006/relationships" r:embed="rId1487"/>
        <a:stretch>
          <a:fillRect/>
        </a:stretch>
      </xdr:blipFill>
      <xdr:spPr>
        <a:prstGeom prst="rect">
          <a:avLst/>
        </a:prstGeom>
        <a:ln w="9525">
          <a:solidFill>
            <a:srgbClr val="000000"/>
          </a:solidFill>
          <a:prstDash val="solid"/>
        </a:ln>
      </xdr:spPr>
    </xdr:pic>
    <xdr:clientData/>
  </xdr:twoCellAnchor>
  <xdr:twoCellAnchor>
    <xdr:from>
      <xdr:col>3</xdr:col>
      <xdr:colOff>114300</xdr:colOff>
      <xdr:row>4316</xdr:row>
      <xdr:rowOff>28575</xdr:rowOff>
    </xdr:from>
    <xdr:to>
      <xdr:col>3</xdr:col>
      <xdr:colOff>1552575</xdr:colOff>
      <xdr:row>4319</xdr:row>
      <xdr:rowOff>209550</xdr:rowOff>
    </xdr:to>
    <xdr:pic>
      <xdr:nvPicPr>
        <xdr:cNvPr id="1489" name="Имя " descr="Descr ">
          <a:extLst>
            <a:ext uri="{FF2B5EF4-FFF2-40B4-BE49-F238E27FC236}">
              <a16:creationId xmlns:a16="http://schemas.microsoft.com/office/drawing/2014/main" id="{00000000-0008-0000-0000-0000D1050000}"/>
            </a:ext>
          </a:extLst>
        </xdr:cNvPr>
        <xdr:cNvPicPr>
          <a:picLocks noChangeAspect="1"/>
        </xdr:cNvPicPr>
      </xdr:nvPicPr>
      <xdr:blipFill>
        <a:blip xmlns:r="http://schemas.openxmlformats.org/officeDocument/2006/relationships" r:embed="rId1488"/>
        <a:stretch>
          <a:fillRect/>
        </a:stretch>
      </xdr:blipFill>
      <xdr:spPr>
        <a:prstGeom prst="rect">
          <a:avLst/>
        </a:prstGeom>
        <a:ln w="9525">
          <a:solidFill>
            <a:srgbClr val="000000"/>
          </a:solidFill>
          <a:prstDash val="solid"/>
        </a:ln>
      </xdr:spPr>
    </xdr:pic>
    <xdr:clientData/>
  </xdr:twoCellAnchor>
  <xdr:twoCellAnchor>
    <xdr:from>
      <xdr:col>3</xdr:col>
      <xdr:colOff>114300</xdr:colOff>
      <xdr:row>4320</xdr:row>
      <xdr:rowOff>28575</xdr:rowOff>
    </xdr:from>
    <xdr:to>
      <xdr:col>3</xdr:col>
      <xdr:colOff>1552575</xdr:colOff>
      <xdr:row>4320</xdr:row>
      <xdr:rowOff>1266825</xdr:rowOff>
    </xdr:to>
    <xdr:pic>
      <xdr:nvPicPr>
        <xdr:cNvPr id="1490" name="Имя " descr="Descr ">
          <a:extLst>
            <a:ext uri="{FF2B5EF4-FFF2-40B4-BE49-F238E27FC236}">
              <a16:creationId xmlns:a16="http://schemas.microsoft.com/office/drawing/2014/main" id="{00000000-0008-0000-0000-0000D2050000}"/>
            </a:ext>
          </a:extLst>
        </xdr:cNvPr>
        <xdr:cNvPicPr>
          <a:picLocks noChangeAspect="1"/>
        </xdr:cNvPicPr>
      </xdr:nvPicPr>
      <xdr:blipFill>
        <a:blip xmlns:r="http://schemas.openxmlformats.org/officeDocument/2006/relationships" r:embed="rId1489"/>
        <a:stretch>
          <a:fillRect/>
        </a:stretch>
      </xdr:blipFill>
      <xdr:spPr>
        <a:prstGeom prst="rect">
          <a:avLst/>
        </a:prstGeom>
        <a:ln w="9525">
          <a:solidFill>
            <a:srgbClr val="000000"/>
          </a:solidFill>
          <a:prstDash val="solid"/>
        </a:ln>
      </xdr:spPr>
    </xdr:pic>
    <xdr:clientData/>
  </xdr:twoCellAnchor>
  <xdr:twoCellAnchor>
    <xdr:from>
      <xdr:col>3</xdr:col>
      <xdr:colOff>114300</xdr:colOff>
      <xdr:row>4321</xdr:row>
      <xdr:rowOff>28575</xdr:rowOff>
    </xdr:from>
    <xdr:to>
      <xdr:col>3</xdr:col>
      <xdr:colOff>1552575</xdr:colOff>
      <xdr:row>4324</xdr:row>
      <xdr:rowOff>209550</xdr:rowOff>
    </xdr:to>
    <xdr:pic>
      <xdr:nvPicPr>
        <xdr:cNvPr id="1491" name="Имя " descr="Descr ">
          <a:extLst>
            <a:ext uri="{FF2B5EF4-FFF2-40B4-BE49-F238E27FC236}">
              <a16:creationId xmlns:a16="http://schemas.microsoft.com/office/drawing/2014/main" id="{00000000-0008-0000-0000-0000D3050000}"/>
            </a:ext>
          </a:extLst>
        </xdr:cNvPr>
        <xdr:cNvPicPr>
          <a:picLocks noChangeAspect="1"/>
        </xdr:cNvPicPr>
      </xdr:nvPicPr>
      <xdr:blipFill>
        <a:blip xmlns:r="http://schemas.openxmlformats.org/officeDocument/2006/relationships" r:embed="rId1490"/>
        <a:stretch>
          <a:fillRect/>
        </a:stretch>
      </xdr:blipFill>
      <xdr:spPr>
        <a:prstGeom prst="rect">
          <a:avLst/>
        </a:prstGeom>
        <a:ln w="9525">
          <a:solidFill>
            <a:srgbClr val="000000"/>
          </a:solidFill>
          <a:prstDash val="solid"/>
        </a:ln>
      </xdr:spPr>
    </xdr:pic>
    <xdr:clientData/>
  </xdr:twoCellAnchor>
  <xdr:twoCellAnchor>
    <xdr:from>
      <xdr:col>3</xdr:col>
      <xdr:colOff>114300</xdr:colOff>
      <xdr:row>4325</xdr:row>
      <xdr:rowOff>28575</xdr:rowOff>
    </xdr:from>
    <xdr:to>
      <xdr:col>3</xdr:col>
      <xdr:colOff>1552575</xdr:colOff>
      <xdr:row>4325</xdr:row>
      <xdr:rowOff>1266825</xdr:rowOff>
    </xdr:to>
    <xdr:pic>
      <xdr:nvPicPr>
        <xdr:cNvPr id="1492" name="Имя " descr="Descr ">
          <a:extLst>
            <a:ext uri="{FF2B5EF4-FFF2-40B4-BE49-F238E27FC236}">
              <a16:creationId xmlns:a16="http://schemas.microsoft.com/office/drawing/2014/main" id="{00000000-0008-0000-0000-0000D4050000}"/>
            </a:ext>
          </a:extLst>
        </xdr:cNvPr>
        <xdr:cNvPicPr>
          <a:picLocks noChangeAspect="1"/>
        </xdr:cNvPicPr>
      </xdr:nvPicPr>
      <xdr:blipFill>
        <a:blip xmlns:r="http://schemas.openxmlformats.org/officeDocument/2006/relationships" r:embed="rId1491"/>
        <a:stretch>
          <a:fillRect/>
        </a:stretch>
      </xdr:blipFill>
      <xdr:spPr>
        <a:prstGeom prst="rect">
          <a:avLst/>
        </a:prstGeom>
        <a:ln w="9525">
          <a:solidFill>
            <a:srgbClr val="000000"/>
          </a:solidFill>
          <a:prstDash val="solid"/>
        </a:ln>
      </xdr:spPr>
    </xdr:pic>
    <xdr:clientData/>
  </xdr:twoCellAnchor>
  <xdr:twoCellAnchor>
    <xdr:from>
      <xdr:col>3</xdr:col>
      <xdr:colOff>114300</xdr:colOff>
      <xdr:row>4326</xdr:row>
      <xdr:rowOff>38100</xdr:rowOff>
    </xdr:from>
    <xdr:to>
      <xdr:col>3</xdr:col>
      <xdr:colOff>1552575</xdr:colOff>
      <xdr:row>4327</xdr:row>
      <xdr:rowOff>638175</xdr:rowOff>
    </xdr:to>
    <xdr:pic>
      <xdr:nvPicPr>
        <xdr:cNvPr id="1493" name="Имя " descr="Descr ">
          <a:extLst>
            <a:ext uri="{FF2B5EF4-FFF2-40B4-BE49-F238E27FC236}">
              <a16:creationId xmlns:a16="http://schemas.microsoft.com/office/drawing/2014/main" id="{00000000-0008-0000-0000-0000D5050000}"/>
            </a:ext>
          </a:extLst>
        </xdr:cNvPr>
        <xdr:cNvPicPr>
          <a:picLocks noChangeAspect="1"/>
        </xdr:cNvPicPr>
      </xdr:nvPicPr>
      <xdr:blipFill>
        <a:blip xmlns:r="http://schemas.openxmlformats.org/officeDocument/2006/relationships" r:embed="rId1492"/>
        <a:stretch>
          <a:fillRect/>
        </a:stretch>
      </xdr:blipFill>
      <xdr:spPr>
        <a:prstGeom prst="rect">
          <a:avLst/>
        </a:prstGeom>
        <a:ln w="9525">
          <a:solidFill>
            <a:srgbClr val="000000"/>
          </a:solidFill>
          <a:prstDash val="solid"/>
        </a:ln>
      </xdr:spPr>
    </xdr:pic>
    <xdr:clientData/>
  </xdr:twoCellAnchor>
  <xdr:twoCellAnchor>
    <xdr:from>
      <xdr:col>3</xdr:col>
      <xdr:colOff>114300</xdr:colOff>
      <xdr:row>4328</xdr:row>
      <xdr:rowOff>38100</xdr:rowOff>
    </xdr:from>
    <xdr:to>
      <xdr:col>3</xdr:col>
      <xdr:colOff>1552575</xdr:colOff>
      <xdr:row>4329</xdr:row>
      <xdr:rowOff>638175</xdr:rowOff>
    </xdr:to>
    <xdr:pic>
      <xdr:nvPicPr>
        <xdr:cNvPr id="1494" name="Имя " descr="Descr ">
          <a:extLst>
            <a:ext uri="{FF2B5EF4-FFF2-40B4-BE49-F238E27FC236}">
              <a16:creationId xmlns:a16="http://schemas.microsoft.com/office/drawing/2014/main" id="{00000000-0008-0000-0000-0000D6050000}"/>
            </a:ext>
          </a:extLst>
        </xdr:cNvPr>
        <xdr:cNvPicPr>
          <a:picLocks noChangeAspect="1"/>
        </xdr:cNvPicPr>
      </xdr:nvPicPr>
      <xdr:blipFill>
        <a:blip xmlns:r="http://schemas.openxmlformats.org/officeDocument/2006/relationships" r:embed="rId1493"/>
        <a:stretch>
          <a:fillRect/>
        </a:stretch>
      </xdr:blipFill>
      <xdr:spPr>
        <a:prstGeom prst="rect">
          <a:avLst/>
        </a:prstGeom>
        <a:ln w="9525">
          <a:solidFill>
            <a:srgbClr val="000000"/>
          </a:solidFill>
          <a:prstDash val="solid"/>
        </a:ln>
      </xdr:spPr>
    </xdr:pic>
    <xdr:clientData/>
  </xdr:twoCellAnchor>
  <xdr:twoCellAnchor>
    <xdr:from>
      <xdr:col>3</xdr:col>
      <xdr:colOff>114300</xdr:colOff>
      <xdr:row>4330</xdr:row>
      <xdr:rowOff>28575</xdr:rowOff>
    </xdr:from>
    <xdr:to>
      <xdr:col>3</xdr:col>
      <xdr:colOff>1552575</xdr:colOff>
      <xdr:row>4330</xdr:row>
      <xdr:rowOff>1266825</xdr:rowOff>
    </xdr:to>
    <xdr:pic>
      <xdr:nvPicPr>
        <xdr:cNvPr id="1495" name="Имя " descr="Descr ">
          <a:extLst>
            <a:ext uri="{FF2B5EF4-FFF2-40B4-BE49-F238E27FC236}">
              <a16:creationId xmlns:a16="http://schemas.microsoft.com/office/drawing/2014/main" id="{00000000-0008-0000-0000-0000D7050000}"/>
            </a:ext>
          </a:extLst>
        </xdr:cNvPr>
        <xdr:cNvPicPr>
          <a:picLocks noChangeAspect="1"/>
        </xdr:cNvPicPr>
      </xdr:nvPicPr>
      <xdr:blipFill>
        <a:blip xmlns:r="http://schemas.openxmlformats.org/officeDocument/2006/relationships" r:embed="rId1494"/>
        <a:stretch>
          <a:fillRect/>
        </a:stretch>
      </xdr:blipFill>
      <xdr:spPr>
        <a:prstGeom prst="rect">
          <a:avLst/>
        </a:prstGeom>
        <a:ln w="9525">
          <a:solidFill>
            <a:srgbClr val="000000"/>
          </a:solidFill>
          <a:prstDash val="solid"/>
        </a:ln>
      </xdr:spPr>
    </xdr:pic>
    <xdr:clientData/>
  </xdr:twoCellAnchor>
  <xdr:twoCellAnchor>
    <xdr:from>
      <xdr:col>3</xdr:col>
      <xdr:colOff>114300</xdr:colOff>
      <xdr:row>4331</xdr:row>
      <xdr:rowOff>28575</xdr:rowOff>
    </xdr:from>
    <xdr:to>
      <xdr:col>3</xdr:col>
      <xdr:colOff>1552575</xdr:colOff>
      <xdr:row>4331</xdr:row>
      <xdr:rowOff>1266825</xdr:rowOff>
    </xdr:to>
    <xdr:pic>
      <xdr:nvPicPr>
        <xdr:cNvPr id="1496" name="Имя " descr="Descr ">
          <a:extLst>
            <a:ext uri="{FF2B5EF4-FFF2-40B4-BE49-F238E27FC236}">
              <a16:creationId xmlns:a16="http://schemas.microsoft.com/office/drawing/2014/main" id="{00000000-0008-0000-0000-0000D8050000}"/>
            </a:ext>
          </a:extLst>
        </xdr:cNvPr>
        <xdr:cNvPicPr>
          <a:picLocks noChangeAspect="1"/>
        </xdr:cNvPicPr>
      </xdr:nvPicPr>
      <xdr:blipFill>
        <a:blip xmlns:r="http://schemas.openxmlformats.org/officeDocument/2006/relationships" r:embed="rId1495"/>
        <a:stretch>
          <a:fillRect/>
        </a:stretch>
      </xdr:blipFill>
      <xdr:spPr>
        <a:prstGeom prst="rect">
          <a:avLst/>
        </a:prstGeom>
        <a:ln w="9525">
          <a:solidFill>
            <a:srgbClr val="000000"/>
          </a:solidFill>
          <a:prstDash val="solid"/>
        </a:ln>
      </xdr:spPr>
    </xdr:pic>
    <xdr:clientData/>
  </xdr:twoCellAnchor>
  <xdr:twoCellAnchor>
    <xdr:from>
      <xdr:col>3</xdr:col>
      <xdr:colOff>114300</xdr:colOff>
      <xdr:row>4332</xdr:row>
      <xdr:rowOff>28575</xdr:rowOff>
    </xdr:from>
    <xdr:to>
      <xdr:col>3</xdr:col>
      <xdr:colOff>1552575</xdr:colOff>
      <xdr:row>4332</xdr:row>
      <xdr:rowOff>1266825</xdr:rowOff>
    </xdr:to>
    <xdr:pic>
      <xdr:nvPicPr>
        <xdr:cNvPr id="1497" name="Имя " descr="Descr ">
          <a:extLst>
            <a:ext uri="{FF2B5EF4-FFF2-40B4-BE49-F238E27FC236}">
              <a16:creationId xmlns:a16="http://schemas.microsoft.com/office/drawing/2014/main" id="{00000000-0008-0000-0000-0000D9050000}"/>
            </a:ext>
          </a:extLst>
        </xdr:cNvPr>
        <xdr:cNvPicPr>
          <a:picLocks noChangeAspect="1"/>
        </xdr:cNvPicPr>
      </xdr:nvPicPr>
      <xdr:blipFill>
        <a:blip xmlns:r="http://schemas.openxmlformats.org/officeDocument/2006/relationships" r:embed="rId1496"/>
        <a:stretch>
          <a:fillRect/>
        </a:stretch>
      </xdr:blipFill>
      <xdr:spPr>
        <a:prstGeom prst="rect">
          <a:avLst/>
        </a:prstGeom>
        <a:ln w="9525">
          <a:solidFill>
            <a:srgbClr val="000000"/>
          </a:solidFill>
          <a:prstDash val="solid"/>
        </a:ln>
      </xdr:spPr>
    </xdr:pic>
    <xdr:clientData/>
  </xdr:twoCellAnchor>
  <xdr:twoCellAnchor>
    <xdr:from>
      <xdr:col>3</xdr:col>
      <xdr:colOff>114300</xdr:colOff>
      <xdr:row>4333</xdr:row>
      <xdr:rowOff>28575</xdr:rowOff>
    </xdr:from>
    <xdr:to>
      <xdr:col>3</xdr:col>
      <xdr:colOff>1552575</xdr:colOff>
      <xdr:row>4338</xdr:row>
      <xdr:rowOff>209550</xdr:rowOff>
    </xdr:to>
    <xdr:pic>
      <xdr:nvPicPr>
        <xdr:cNvPr id="1498" name="Имя " descr="Descr ">
          <a:extLst>
            <a:ext uri="{FF2B5EF4-FFF2-40B4-BE49-F238E27FC236}">
              <a16:creationId xmlns:a16="http://schemas.microsoft.com/office/drawing/2014/main" id="{00000000-0008-0000-0000-0000DA050000}"/>
            </a:ext>
          </a:extLst>
        </xdr:cNvPr>
        <xdr:cNvPicPr>
          <a:picLocks noChangeAspect="1"/>
        </xdr:cNvPicPr>
      </xdr:nvPicPr>
      <xdr:blipFill>
        <a:blip xmlns:r="http://schemas.openxmlformats.org/officeDocument/2006/relationships" r:embed="rId1497"/>
        <a:stretch>
          <a:fillRect/>
        </a:stretch>
      </xdr:blipFill>
      <xdr:spPr>
        <a:prstGeom prst="rect">
          <a:avLst/>
        </a:prstGeom>
        <a:ln w="9525">
          <a:solidFill>
            <a:srgbClr val="000000"/>
          </a:solidFill>
          <a:prstDash val="solid"/>
        </a:ln>
      </xdr:spPr>
    </xdr:pic>
    <xdr:clientData/>
  </xdr:twoCellAnchor>
  <xdr:twoCellAnchor>
    <xdr:from>
      <xdr:col>3</xdr:col>
      <xdr:colOff>114300</xdr:colOff>
      <xdr:row>4339</xdr:row>
      <xdr:rowOff>28575</xdr:rowOff>
    </xdr:from>
    <xdr:to>
      <xdr:col>3</xdr:col>
      <xdr:colOff>1552575</xdr:colOff>
      <xdr:row>4345</xdr:row>
      <xdr:rowOff>171450</xdr:rowOff>
    </xdr:to>
    <xdr:pic>
      <xdr:nvPicPr>
        <xdr:cNvPr id="1499" name="Имя " descr="Descr ">
          <a:extLst>
            <a:ext uri="{FF2B5EF4-FFF2-40B4-BE49-F238E27FC236}">
              <a16:creationId xmlns:a16="http://schemas.microsoft.com/office/drawing/2014/main" id="{00000000-0008-0000-0000-0000DB050000}"/>
            </a:ext>
          </a:extLst>
        </xdr:cNvPr>
        <xdr:cNvPicPr>
          <a:picLocks noChangeAspect="1"/>
        </xdr:cNvPicPr>
      </xdr:nvPicPr>
      <xdr:blipFill>
        <a:blip xmlns:r="http://schemas.openxmlformats.org/officeDocument/2006/relationships" r:embed="rId1498"/>
        <a:stretch>
          <a:fillRect/>
        </a:stretch>
      </xdr:blipFill>
      <xdr:spPr>
        <a:prstGeom prst="rect">
          <a:avLst/>
        </a:prstGeom>
        <a:ln w="9525">
          <a:solidFill>
            <a:srgbClr val="000000"/>
          </a:solidFill>
          <a:prstDash val="solid"/>
        </a:ln>
      </xdr:spPr>
    </xdr:pic>
    <xdr:clientData/>
  </xdr:twoCellAnchor>
  <xdr:twoCellAnchor>
    <xdr:from>
      <xdr:col>3</xdr:col>
      <xdr:colOff>114300</xdr:colOff>
      <xdr:row>4346</xdr:row>
      <xdr:rowOff>28575</xdr:rowOff>
    </xdr:from>
    <xdr:to>
      <xdr:col>3</xdr:col>
      <xdr:colOff>1552575</xdr:colOff>
      <xdr:row>4353</xdr:row>
      <xdr:rowOff>152400</xdr:rowOff>
    </xdr:to>
    <xdr:pic>
      <xdr:nvPicPr>
        <xdr:cNvPr id="1500" name="Имя " descr="Descr ">
          <a:extLst>
            <a:ext uri="{FF2B5EF4-FFF2-40B4-BE49-F238E27FC236}">
              <a16:creationId xmlns:a16="http://schemas.microsoft.com/office/drawing/2014/main" id="{00000000-0008-0000-0000-0000DC050000}"/>
            </a:ext>
          </a:extLst>
        </xdr:cNvPr>
        <xdr:cNvPicPr>
          <a:picLocks noChangeAspect="1"/>
        </xdr:cNvPicPr>
      </xdr:nvPicPr>
      <xdr:blipFill>
        <a:blip xmlns:r="http://schemas.openxmlformats.org/officeDocument/2006/relationships" r:embed="rId1499"/>
        <a:stretch>
          <a:fillRect/>
        </a:stretch>
      </xdr:blipFill>
      <xdr:spPr>
        <a:prstGeom prst="rect">
          <a:avLst/>
        </a:prstGeom>
        <a:ln w="9525">
          <a:solidFill>
            <a:srgbClr val="000000"/>
          </a:solidFill>
          <a:prstDash val="solid"/>
        </a:ln>
      </xdr:spPr>
    </xdr:pic>
    <xdr:clientData/>
  </xdr:twoCellAnchor>
  <xdr:twoCellAnchor>
    <xdr:from>
      <xdr:col>3</xdr:col>
      <xdr:colOff>114300</xdr:colOff>
      <xdr:row>4354</xdr:row>
      <xdr:rowOff>28575</xdr:rowOff>
    </xdr:from>
    <xdr:to>
      <xdr:col>3</xdr:col>
      <xdr:colOff>1552575</xdr:colOff>
      <xdr:row>4358</xdr:row>
      <xdr:rowOff>333375</xdr:rowOff>
    </xdr:to>
    <xdr:pic>
      <xdr:nvPicPr>
        <xdr:cNvPr id="1501" name="Имя " descr="Descr ">
          <a:extLst>
            <a:ext uri="{FF2B5EF4-FFF2-40B4-BE49-F238E27FC236}">
              <a16:creationId xmlns:a16="http://schemas.microsoft.com/office/drawing/2014/main" id="{00000000-0008-0000-0000-0000DD050000}"/>
            </a:ext>
          </a:extLst>
        </xdr:cNvPr>
        <xdr:cNvPicPr>
          <a:picLocks noChangeAspect="1"/>
        </xdr:cNvPicPr>
      </xdr:nvPicPr>
      <xdr:blipFill>
        <a:blip xmlns:r="http://schemas.openxmlformats.org/officeDocument/2006/relationships" r:embed="rId1500"/>
        <a:stretch>
          <a:fillRect/>
        </a:stretch>
      </xdr:blipFill>
      <xdr:spPr>
        <a:prstGeom prst="rect">
          <a:avLst/>
        </a:prstGeom>
        <a:ln w="9525">
          <a:solidFill>
            <a:srgbClr val="000000"/>
          </a:solidFill>
          <a:prstDash val="solid"/>
        </a:ln>
      </xdr:spPr>
    </xdr:pic>
    <xdr:clientData/>
  </xdr:twoCellAnchor>
  <xdr:twoCellAnchor>
    <xdr:from>
      <xdr:col>3</xdr:col>
      <xdr:colOff>114300</xdr:colOff>
      <xdr:row>4359</xdr:row>
      <xdr:rowOff>38100</xdr:rowOff>
    </xdr:from>
    <xdr:to>
      <xdr:col>3</xdr:col>
      <xdr:colOff>1552575</xdr:colOff>
      <xdr:row>4360</xdr:row>
      <xdr:rowOff>638175</xdr:rowOff>
    </xdr:to>
    <xdr:pic>
      <xdr:nvPicPr>
        <xdr:cNvPr id="1502" name="Имя " descr="Descr ">
          <a:extLst>
            <a:ext uri="{FF2B5EF4-FFF2-40B4-BE49-F238E27FC236}">
              <a16:creationId xmlns:a16="http://schemas.microsoft.com/office/drawing/2014/main" id="{00000000-0008-0000-0000-0000DE050000}"/>
            </a:ext>
          </a:extLst>
        </xdr:cNvPr>
        <xdr:cNvPicPr>
          <a:picLocks noChangeAspect="1"/>
        </xdr:cNvPicPr>
      </xdr:nvPicPr>
      <xdr:blipFill>
        <a:blip xmlns:r="http://schemas.openxmlformats.org/officeDocument/2006/relationships" r:embed="rId1501"/>
        <a:stretch>
          <a:fillRect/>
        </a:stretch>
      </xdr:blipFill>
      <xdr:spPr>
        <a:prstGeom prst="rect">
          <a:avLst/>
        </a:prstGeom>
        <a:ln w="9525">
          <a:solidFill>
            <a:srgbClr val="000000"/>
          </a:solidFill>
          <a:prstDash val="solid"/>
        </a:ln>
      </xdr:spPr>
    </xdr:pic>
    <xdr:clientData/>
  </xdr:twoCellAnchor>
  <xdr:twoCellAnchor>
    <xdr:from>
      <xdr:col>3</xdr:col>
      <xdr:colOff>114300</xdr:colOff>
      <xdr:row>4361</xdr:row>
      <xdr:rowOff>28575</xdr:rowOff>
    </xdr:from>
    <xdr:to>
      <xdr:col>3</xdr:col>
      <xdr:colOff>1552575</xdr:colOff>
      <xdr:row>4361</xdr:row>
      <xdr:rowOff>1266825</xdr:rowOff>
    </xdr:to>
    <xdr:pic>
      <xdr:nvPicPr>
        <xdr:cNvPr id="1503" name="Имя " descr="Descr ">
          <a:extLst>
            <a:ext uri="{FF2B5EF4-FFF2-40B4-BE49-F238E27FC236}">
              <a16:creationId xmlns:a16="http://schemas.microsoft.com/office/drawing/2014/main" id="{00000000-0008-0000-0000-0000DF050000}"/>
            </a:ext>
          </a:extLst>
        </xdr:cNvPr>
        <xdr:cNvPicPr>
          <a:picLocks noChangeAspect="1"/>
        </xdr:cNvPicPr>
      </xdr:nvPicPr>
      <xdr:blipFill>
        <a:blip xmlns:r="http://schemas.openxmlformats.org/officeDocument/2006/relationships" r:embed="rId1502"/>
        <a:stretch>
          <a:fillRect/>
        </a:stretch>
      </xdr:blipFill>
      <xdr:spPr>
        <a:prstGeom prst="rect">
          <a:avLst/>
        </a:prstGeom>
        <a:ln w="9525">
          <a:solidFill>
            <a:srgbClr val="000000"/>
          </a:solidFill>
          <a:prstDash val="solid"/>
        </a:ln>
      </xdr:spPr>
    </xdr:pic>
    <xdr:clientData/>
  </xdr:twoCellAnchor>
  <xdr:twoCellAnchor>
    <xdr:from>
      <xdr:col>3</xdr:col>
      <xdr:colOff>114300</xdr:colOff>
      <xdr:row>4362</xdr:row>
      <xdr:rowOff>28575</xdr:rowOff>
    </xdr:from>
    <xdr:to>
      <xdr:col>3</xdr:col>
      <xdr:colOff>1552575</xdr:colOff>
      <xdr:row>4366</xdr:row>
      <xdr:rowOff>333375</xdr:rowOff>
    </xdr:to>
    <xdr:pic>
      <xdr:nvPicPr>
        <xdr:cNvPr id="1504" name="Имя " descr="Descr ">
          <a:extLst>
            <a:ext uri="{FF2B5EF4-FFF2-40B4-BE49-F238E27FC236}">
              <a16:creationId xmlns:a16="http://schemas.microsoft.com/office/drawing/2014/main" id="{00000000-0008-0000-0000-0000E0050000}"/>
            </a:ext>
          </a:extLst>
        </xdr:cNvPr>
        <xdr:cNvPicPr>
          <a:picLocks noChangeAspect="1"/>
        </xdr:cNvPicPr>
      </xdr:nvPicPr>
      <xdr:blipFill>
        <a:blip xmlns:r="http://schemas.openxmlformats.org/officeDocument/2006/relationships" r:embed="rId1503"/>
        <a:stretch>
          <a:fillRect/>
        </a:stretch>
      </xdr:blipFill>
      <xdr:spPr>
        <a:prstGeom prst="rect">
          <a:avLst/>
        </a:prstGeom>
        <a:ln w="9525">
          <a:solidFill>
            <a:srgbClr val="000000"/>
          </a:solidFill>
          <a:prstDash val="solid"/>
        </a:ln>
      </xdr:spPr>
    </xdr:pic>
    <xdr:clientData/>
  </xdr:twoCellAnchor>
  <xdr:twoCellAnchor>
    <xdr:from>
      <xdr:col>3</xdr:col>
      <xdr:colOff>114300</xdr:colOff>
      <xdr:row>4367</xdr:row>
      <xdr:rowOff>38100</xdr:rowOff>
    </xdr:from>
    <xdr:to>
      <xdr:col>3</xdr:col>
      <xdr:colOff>1552575</xdr:colOff>
      <xdr:row>4368</xdr:row>
      <xdr:rowOff>638175</xdr:rowOff>
    </xdr:to>
    <xdr:pic>
      <xdr:nvPicPr>
        <xdr:cNvPr id="1505" name="Имя " descr="Descr ">
          <a:extLst>
            <a:ext uri="{FF2B5EF4-FFF2-40B4-BE49-F238E27FC236}">
              <a16:creationId xmlns:a16="http://schemas.microsoft.com/office/drawing/2014/main" id="{00000000-0008-0000-0000-0000E1050000}"/>
            </a:ext>
          </a:extLst>
        </xdr:cNvPr>
        <xdr:cNvPicPr>
          <a:picLocks noChangeAspect="1"/>
        </xdr:cNvPicPr>
      </xdr:nvPicPr>
      <xdr:blipFill>
        <a:blip xmlns:r="http://schemas.openxmlformats.org/officeDocument/2006/relationships" r:embed="rId1504"/>
        <a:stretch>
          <a:fillRect/>
        </a:stretch>
      </xdr:blipFill>
      <xdr:spPr>
        <a:prstGeom prst="rect">
          <a:avLst/>
        </a:prstGeom>
        <a:ln w="9525">
          <a:solidFill>
            <a:srgbClr val="000000"/>
          </a:solidFill>
          <a:prstDash val="solid"/>
        </a:ln>
      </xdr:spPr>
    </xdr:pic>
    <xdr:clientData/>
  </xdr:twoCellAnchor>
  <xdr:twoCellAnchor>
    <xdr:from>
      <xdr:col>3</xdr:col>
      <xdr:colOff>114300</xdr:colOff>
      <xdr:row>4369</xdr:row>
      <xdr:rowOff>28575</xdr:rowOff>
    </xdr:from>
    <xdr:to>
      <xdr:col>3</xdr:col>
      <xdr:colOff>1552575</xdr:colOff>
      <xdr:row>4369</xdr:row>
      <xdr:rowOff>1266825</xdr:rowOff>
    </xdr:to>
    <xdr:pic>
      <xdr:nvPicPr>
        <xdr:cNvPr id="1506" name="Имя " descr="Descr ">
          <a:extLst>
            <a:ext uri="{FF2B5EF4-FFF2-40B4-BE49-F238E27FC236}">
              <a16:creationId xmlns:a16="http://schemas.microsoft.com/office/drawing/2014/main" id="{00000000-0008-0000-0000-0000E2050000}"/>
            </a:ext>
          </a:extLst>
        </xdr:cNvPr>
        <xdr:cNvPicPr>
          <a:picLocks noChangeAspect="1"/>
        </xdr:cNvPicPr>
      </xdr:nvPicPr>
      <xdr:blipFill>
        <a:blip xmlns:r="http://schemas.openxmlformats.org/officeDocument/2006/relationships" r:embed="rId1505"/>
        <a:stretch>
          <a:fillRect/>
        </a:stretch>
      </xdr:blipFill>
      <xdr:spPr>
        <a:prstGeom prst="rect">
          <a:avLst/>
        </a:prstGeom>
        <a:ln w="9525">
          <a:solidFill>
            <a:srgbClr val="000000"/>
          </a:solidFill>
          <a:prstDash val="solid"/>
        </a:ln>
      </xdr:spPr>
    </xdr:pic>
    <xdr:clientData/>
  </xdr:twoCellAnchor>
  <xdr:twoCellAnchor>
    <xdr:from>
      <xdr:col>3</xdr:col>
      <xdr:colOff>114300</xdr:colOff>
      <xdr:row>4370</xdr:row>
      <xdr:rowOff>28575</xdr:rowOff>
    </xdr:from>
    <xdr:to>
      <xdr:col>3</xdr:col>
      <xdr:colOff>1552575</xdr:colOff>
      <xdr:row>4370</xdr:row>
      <xdr:rowOff>1266825</xdr:rowOff>
    </xdr:to>
    <xdr:pic>
      <xdr:nvPicPr>
        <xdr:cNvPr id="1507" name="Имя " descr="Descr ">
          <a:extLst>
            <a:ext uri="{FF2B5EF4-FFF2-40B4-BE49-F238E27FC236}">
              <a16:creationId xmlns:a16="http://schemas.microsoft.com/office/drawing/2014/main" id="{00000000-0008-0000-0000-0000E3050000}"/>
            </a:ext>
          </a:extLst>
        </xdr:cNvPr>
        <xdr:cNvPicPr>
          <a:picLocks noChangeAspect="1"/>
        </xdr:cNvPicPr>
      </xdr:nvPicPr>
      <xdr:blipFill>
        <a:blip xmlns:r="http://schemas.openxmlformats.org/officeDocument/2006/relationships" r:embed="rId1506"/>
        <a:stretch>
          <a:fillRect/>
        </a:stretch>
      </xdr:blipFill>
      <xdr:spPr>
        <a:prstGeom prst="rect">
          <a:avLst/>
        </a:prstGeom>
        <a:ln w="9525">
          <a:solidFill>
            <a:srgbClr val="000000"/>
          </a:solidFill>
          <a:prstDash val="solid"/>
        </a:ln>
      </xdr:spPr>
    </xdr:pic>
    <xdr:clientData/>
  </xdr:twoCellAnchor>
  <xdr:twoCellAnchor>
    <xdr:from>
      <xdr:col>3</xdr:col>
      <xdr:colOff>114300</xdr:colOff>
      <xdr:row>4371</xdr:row>
      <xdr:rowOff>28575</xdr:rowOff>
    </xdr:from>
    <xdr:to>
      <xdr:col>3</xdr:col>
      <xdr:colOff>1552575</xdr:colOff>
      <xdr:row>4375</xdr:row>
      <xdr:rowOff>333375</xdr:rowOff>
    </xdr:to>
    <xdr:pic>
      <xdr:nvPicPr>
        <xdr:cNvPr id="1508" name="Имя " descr="Descr ">
          <a:extLst>
            <a:ext uri="{FF2B5EF4-FFF2-40B4-BE49-F238E27FC236}">
              <a16:creationId xmlns:a16="http://schemas.microsoft.com/office/drawing/2014/main" id="{00000000-0008-0000-0000-0000E4050000}"/>
            </a:ext>
          </a:extLst>
        </xdr:cNvPr>
        <xdr:cNvPicPr>
          <a:picLocks noChangeAspect="1"/>
        </xdr:cNvPicPr>
      </xdr:nvPicPr>
      <xdr:blipFill>
        <a:blip xmlns:r="http://schemas.openxmlformats.org/officeDocument/2006/relationships" r:embed="rId1507"/>
        <a:stretch>
          <a:fillRect/>
        </a:stretch>
      </xdr:blipFill>
      <xdr:spPr>
        <a:prstGeom prst="rect">
          <a:avLst/>
        </a:prstGeom>
        <a:ln w="9525">
          <a:solidFill>
            <a:srgbClr val="000000"/>
          </a:solidFill>
          <a:prstDash val="solid"/>
        </a:ln>
      </xdr:spPr>
    </xdr:pic>
    <xdr:clientData/>
  </xdr:twoCellAnchor>
  <xdr:twoCellAnchor>
    <xdr:from>
      <xdr:col>3</xdr:col>
      <xdr:colOff>114300</xdr:colOff>
      <xdr:row>4376</xdr:row>
      <xdr:rowOff>28575</xdr:rowOff>
    </xdr:from>
    <xdr:to>
      <xdr:col>3</xdr:col>
      <xdr:colOff>1552575</xdr:colOff>
      <xdr:row>4380</xdr:row>
      <xdr:rowOff>333375</xdr:rowOff>
    </xdr:to>
    <xdr:pic>
      <xdr:nvPicPr>
        <xdr:cNvPr id="1509" name="Имя " descr="Descr ">
          <a:extLst>
            <a:ext uri="{FF2B5EF4-FFF2-40B4-BE49-F238E27FC236}">
              <a16:creationId xmlns:a16="http://schemas.microsoft.com/office/drawing/2014/main" id="{00000000-0008-0000-0000-0000E5050000}"/>
            </a:ext>
          </a:extLst>
        </xdr:cNvPr>
        <xdr:cNvPicPr>
          <a:picLocks noChangeAspect="1"/>
        </xdr:cNvPicPr>
      </xdr:nvPicPr>
      <xdr:blipFill>
        <a:blip xmlns:r="http://schemas.openxmlformats.org/officeDocument/2006/relationships" r:embed="rId1508"/>
        <a:stretch>
          <a:fillRect/>
        </a:stretch>
      </xdr:blipFill>
      <xdr:spPr>
        <a:prstGeom prst="rect">
          <a:avLst/>
        </a:prstGeom>
        <a:ln w="9525">
          <a:solidFill>
            <a:srgbClr val="000000"/>
          </a:solidFill>
          <a:prstDash val="solid"/>
        </a:ln>
      </xdr:spPr>
    </xdr:pic>
    <xdr:clientData/>
  </xdr:twoCellAnchor>
  <xdr:twoCellAnchor>
    <xdr:from>
      <xdr:col>3</xdr:col>
      <xdr:colOff>114300</xdr:colOff>
      <xdr:row>4381</xdr:row>
      <xdr:rowOff>28575</xdr:rowOff>
    </xdr:from>
    <xdr:to>
      <xdr:col>3</xdr:col>
      <xdr:colOff>1552575</xdr:colOff>
      <xdr:row>4385</xdr:row>
      <xdr:rowOff>333375</xdr:rowOff>
    </xdr:to>
    <xdr:pic>
      <xdr:nvPicPr>
        <xdr:cNvPr id="1510" name="Имя " descr="Descr ">
          <a:extLst>
            <a:ext uri="{FF2B5EF4-FFF2-40B4-BE49-F238E27FC236}">
              <a16:creationId xmlns:a16="http://schemas.microsoft.com/office/drawing/2014/main" id="{00000000-0008-0000-0000-0000E6050000}"/>
            </a:ext>
          </a:extLst>
        </xdr:cNvPr>
        <xdr:cNvPicPr>
          <a:picLocks noChangeAspect="1"/>
        </xdr:cNvPicPr>
      </xdr:nvPicPr>
      <xdr:blipFill>
        <a:blip xmlns:r="http://schemas.openxmlformats.org/officeDocument/2006/relationships" r:embed="rId1509"/>
        <a:stretch>
          <a:fillRect/>
        </a:stretch>
      </xdr:blipFill>
      <xdr:spPr>
        <a:prstGeom prst="rect">
          <a:avLst/>
        </a:prstGeom>
        <a:ln w="9525">
          <a:solidFill>
            <a:srgbClr val="000000"/>
          </a:solidFill>
          <a:prstDash val="solid"/>
        </a:ln>
      </xdr:spPr>
    </xdr:pic>
    <xdr:clientData/>
  </xdr:twoCellAnchor>
  <xdr:twoCellAnchor>
    <xdr:from>
      <xdr:col>3</xdr:col>
      <xdr:colOff>114300</xdr:colOff>
      <xdr:row>4386</xdr:row>
      <xdr:rowOff>28575</xdr:rowOff>
    </xdr:from>
    <xdr:to>
      <xdr:col>3</xdr:col>
      <xdr:colOff>1552575</xdr:colOff>
      <xdr:row>4390</xdr:row>
      <xdr:rowOff>333375</xdr:rowOff>
    </xdr:to>
    <xdr:pic>
      <xdr:nvPicPr>
        <xdr:cNvPr id="1511" name="Имя " descr="Descr ">
          <a:extLst>
            <a:ext uri="{FF2B5EF4-FFF2-40B4-BE49-F238E27FC236}">
              <a16:creationId xmlns:a16="http://schemas.microsoft.com/office/drawing/2014/main" id="{00000000-0008-0000-0000-0000E7050000}"/>
            </a:ext>
          </a:extLst>
        </xdr:cNvPr>
        <xdr:cNvPicPr>
          <a:picLocks noChangeAspect="1"/>
        </xdr:cNvPicPr>
      </xdr:nvPicPr>
      <xdr:blipFill>
        <a:blip xmlns:r="http://schemas.openxmlformats.org/officeDocument/2006/relationships" r:embed="rId1510"/>
        <a:stretch>
          <a:fillRect/>
        </a:stretch>
      </xdr:blipFill>
      <xdr:spPr>
        <a:prstGeom prst="rect">
          <a:avLst/>
        </a:prstGeom>
        <a:ln w="9525">
          <a:solidFill>
            <a:srgbClr val="000000"/>
          </a:solidFill>
          <a:prstDash val="solid"/>
        </a:ln>
      </xdr:spPr>
    </xdr:pic>
    <xdr:clientData/>
  </xdr:twoCellAnchor>
  <xdr:twoCellAnchor>
    <xdr:from>
      <xdr:col>3</xdr:col>
      <xdr:colOff>114300</xdr:colOff>
      <xdr:row>4391</xdr:row>
      <xdr:rowOff>28575</xdr:rowOff>
    </xdr:from>
    <xdr:to>
      <xdr:col>3</xdr:col>
      <xdr:colOff>1552575</xdr:colOff>
      <xdr:row>4396</xdr:row>
      <xdr:rowOff>209550</xdr:rowOff>
    </xdr:to>
    <xdr:pic>
      <xdr:nvPicPr>
        <xdr:cNvPr id="1512" name="Имя " descr="Descr ">
          <a:extLst>
            <a:ext uri="{FF2B5EF4-FFF2-40B4-BE49-F238E27FC236}">
              <a16:creationId xmlns:a16="http://schemas.microsoft.com/office/drawing/2014/main" id="{00000000-0008-0000-0000-0000E8050000}"/>
            </a:ext>
          </a:extLst>
        </xdr:cNvPr>
        <xdr:cNvPicPr>
          <a:picLocks noChangeAspect="1"/>
        </xdr:cNvPicPr>
      </xdr:nvPicPr>
      <xdr:blipFill>
        <a:blip xmlns:r="http://schemas.openxmlformats.org/officeDocument/2006/relationships" r:embed="rId1511"/>
        <a:stretch>
          <a:fillRect/>
        </a:stretch>
      </xdr:blipFill>
      <xdr:spPr>
        <a:prstGeom prst="rect">
          <a:avLst/>
        </a:prstGeom>
        <a:ln w="9525">
          <a:solidFill>
            <a:srgbClr val="000000"/>
          </a:solidFill>
          <a:prstDash val="solid"/>
        </a:ln>
      </xdr:spPr>
    </xdr:pic>
    <xdr:clientData/>
  </xdr:twoCellAnchor>
  <xdr:twoCellAnchor>
    <xdr:from>
      <xdr:col>3</xdr:col>
      <xdr:colOff>114300</xdr:colOff>
      <xdr:row>4397</xdr:row>
      <xdr:rowOff>28575</xdr:rowOff>
    </xdr:from>
    <xdr:to>
      <xdr:col>3</xdr:col>
      <xdr:colOff>1552575</xdr:colOff>
      <xdr:row>4401</xdr:row>
      <xdr:rowOff>333375</xdr:rowOff>
    </xdr:to>
    <xdr:pic>
      <xdr:nvPicPr>
        <xdr:cNvPr id="1513" name="Имя " descr="Descr ">
          <a:extLst>
            <a:ext uri="{FF2B5EF4-FFF2-40B4-BE49-F238E27FC236}">
              <a16:creationId xmlns:a16="http://schemas.microsoft.com/office/drawing/2014/main" id="{00000000-0008-0000-0000-0000E9050000}"/>
            </a:ext>
          </a:extLst>
        </xdr:cNvPr>
        <xdr:cNvPicPr>
          <a:picLocks noChangeAspect="1"/>
        </xdr:cNvPicPr>
      </xdr:nvPicPr>
      <xdr:blipFill>
        <a:blip xmlns:r="http://schemas.openxmlformats.org/officeDocument/2006/relationships" r:embed="rId1512"/>
        <a:stretch>
          <a:fillRect/>
        </a:stretch>
      </xdr:blipFill>
      <xdr:spPr>
        <a:prstGeom prst="rect">
          <a:avLst/>
        </a:prstGeom>
        <a:ln w="9525">
          <a:solidFill>
            <a:srgbClr val="000000"/>
          </a:solidFill>
          <a:prstDash val="solid"/>
        </a:ln>
      </xdr:spPr>
    </xdr:pic>
    <xdr:clientData/>
  </xdr:twoCellAnchor>
  <xdr:twoCellAnchor>
    <xdr:from>
      <xdr:col>3</xdr:col>
      <xdr:colOff>114300</xdr:colOff>
      <xdr:row>4402</xdr:row>
      <xdr:rowOff>28575</xdr:rowOff>
    </xdr:from>
    <xdr:to>
      <xdr:col>3</xdr:col>
      <xdr:colOff>1552575</xdr:colOff>
      <xdr:row>4407</xdr:row>
      <xdr:rowOff>209550</xdr:rowOff>
    </xdr:to>
    <xdr:pic>
      <xdr:nvPicPr>
        <xdr:cNvPr id="1514" name="Имя " descr="Descr ">
          <a:extLst>
            <a:ext uri="{FF2B5EF4-FFF2-40B4-BE49-F238E27FC236}">
              <a16:creationId xmlns:a16="http://schemas.microsoft.com/office/drawing/2014/main" id="{00000000-0008-0000-0000-0000EA050000}"/>
            </a:ext>
          </a:extLst>
        </xdr:cNvPr>
        <xdr:cNvPicPr>
          <a:picLocks noChangeAspect="1"/>
        </xdr:cNvPicPr>
      </xdr:nvPicPr>
      <xdr:blipFill>
        <a:blip xmlns:r="http://schemas.openxmlformats.org/officeDocument/2006/relationships" r:embed="rId1513"/>
        <a:stretch>
          <a:fillRect/>
        </a:stretch>
      </xdr:blipFill>
      <xdr:spPr>
        <a:prstGeom prst="rect">
          <a:avLst/>
        </a:prstGeom>
        <a:ln w="9525">
          <a:solidFill>
            <a:srgbClr val="000000"/>
          </a:solidFill>
          <a:prstDash val="solid"/>
        </a:ln>
      </xdr:spPr>
    </xdr:pic>
    <xdr:clientData/>
  </xdr:twoCellAnchor>
  <xdr:twoCellAnchor>
    <xdr:from>
      <xdr:col>3</xdr:col>
      <xdr:colOff>114300</xdr:colOff>
      <xdr:row>4408</xdr:row>
      <xdr:rowOff>28575</xdr:rowOff>
    </xdr:from>
    <xdr:to>
      <xdr:col>3</xdr:col>
      <xdr:colOff>1552575</xdr:colOff>
      <xdr:row>4408</xdr:row>
      <xdr:rowOff>1266825</xdr:rowOff>
    </xdr:to>
    <xdr:pic>
      <xdr:nvPicPr>
        <xdr:cNvPr id="1515" name="Имя " descr="Descr ">
          <a:extLst>
            <a:ext uri="{FF2B5EF4-FFF2-40B4-BE49-F238E27FC236}">
              <a16:creationId xmlns:a16="http://schemas.microsoft.com/office/drawing/2014/main" id="{00000000-0008-0000-0000-0000EB050000}"/>
            </a:ext>
          </a:extLst>
        </xdr:cNvPr>
        <xdr:cNvPicPr>
          <a:picLocks noChangeAspect="1"/>
        </xdr:cNvPicPr>
      </xdr:nvPicPr>
      <xdr:blipFill>
        <a:blip xmlns:r="http://schemas.openxmlformats.org/officeDocument/2006/relationships" r:embed="rId1514"/>
        <a:stretch>
          <a:fillRect/>
        </a:stretch>
      </xdr:blipFill>
      <xdr:spPr>
        <a:prstGeom prst="rect">
          <a:avLst/>
        </a:prstGeom>
        <a:ln w="9525">
          <a:solidFill>
            <a:srgbClr val="000000"/>
          </a:solidFill>
          <a:prstDash val="solid"/>
        </a:ln>
      </xdr:spPr>
    </xdr:pic>
    <xdr:clientData/>
  </xdr:twoCellAnchor>
  <xdr:twoCellAnchor>
    <xdr:from>
      <xdr:col>3</xdr:col>
      <xdr:colOff>114300</xdr:colOff>
      <xdr:row>4409</xdr:row>
      <xdr:rowOff>28575</xdr:rowOff>
    </xdr:from>
    <xdr:to>
      <xdr:col>3</xdr:col>
      <xdr:colOff>1552575</xdr:colOff>
      <xdr:row>4411</xdr:row>
      <xdr:rowOff>419100</xdr:rowOff>
    </xdr:to>
    <xdr:pic>
      <xdr:nvPicPr>
        <xdr:cNvPr id="1516" name="Имя " descr="Descr ">
          <a:extLst>
            <a:ext uri="{FF2B5EF4-FFF2-40B4-BE49-F238E27FC236}">
              <a16:creationId xmlns:a16="http://schemas.microsoft.com/office/drawing/2014/main" id="{00000000-0008-0000-0000-0000EC050000}"/>
            </a:ext>
          </a:extLst>
        </xdr:cNvPr>
        <xdr:cNvPicPr>
          <a:picLocks noChangeAspect="1"/>
        </xdr:cNvPicPr>
      </xdr:nvPicPr>
      <xdr:blipFill>
        <a:blip xmlns:r="http://schemas.openxmlformats.org/officeDocument/2006/relationships" r:embed="rId1515"/>
        <a:stretch>
          <a:fillRect/>
        </a:stretch>
      </xdr:blipFill>
      <xdr:spPr>
        <a:prstGeom prst="rect">
          <a:avLst/>
        </a:prstGeom>
        <a:ln w="9525">
          <a:solidFill>
            <a:srgbClr val="000000"/>
          </a:solidFill>
          <a:prstDash val="solid"/>
        </a:ln>
      </xdr:spPr>
    </xdr:pic>
    <xdr:clientData/>
  </xdr:twoCellAnchor>
  <xdr:twoCellAnchor>
    <xdr:from>
      <xdr:col>3</xdr:col>
      <xdr:colOff>114300</xdr:colOff>
      <xdr:row>4412</xdr:row>
      <xdr:rowOff>28575</xdr:rowOff>
    </xdr:from>
    <xdr:to>
      <xdr:col>3</xdr:col>
      <xdr:colOff>1552575</xdr:colOff>
      <xdr:row>4416</xdr:row>
      <xdr:rowOff>333375</xdr:rowOff>
    </xdr:to>
    <xdr:pic>
      <xdr:nvPicPr>
        <xdr:cNvPr id="1517" name="Имя " descr="Descr ">
          <a:extLst>
            <a:ext uri="{FF2B5EF4-FFF2-40B4-BE49-F238E27FC236}">
              <a16:creationId xmlns:a16="http://schemas.microsoft.com/office/drawing/2014/main" id="{00000000-0008-0000-0000-0000ED050000}"/>
            </a:ext>
          </a:extLst>
        </xdr:cNvPr>
        <xdr:cNvPicPr>
          <a:picLocks noChangeAspect="1"/>
        </xdr:cNvPicPr>
      </xdr:nvPicPr>
      <xdr:blipFill>
        <a:blip xmlns:r="http://schemas.openxmlformats.org/officeDocument/2006/relationships" r:embed="rId1516"/>
        <a:stretch>
          <a:fillRect/>
        </a:stretch>
      </xdr:blipFill>
      <xdr:spPr>
        <a:prstGeom prst="rect">
          <a:avLst/>
        </a:prstGeom>
        <a:ln w="9525">
          <a:solidFill>
            <a:srgbClr val="000000"/>
          </a:solidFill>
          <a:prstDash val="solid"/>
        </a:ln>
      </xdr:spPr>
    </xdr:pic>
    <xdr:clientData/>
  </xdr:twoCellAnchor>
  <xdr:twoCellAnchor>
    <xdr:from>
      <xdr:col>3</xdr:col>
      <xdr:colOff>114300</xdr:colOff>
      <xdr:row>4417</xdr:row>
      <xdr:rowOff>28575</xdr:rowOff>
    </xdr:from>
    <xdr:to>
      <xdr:col>3</xdr:col>
      <xdr:colOff>1552575</xdr:colOff>
      <xdr:row>4421</xdr:row>
      <xdr:rowOff>333375</xdr:rowOff>
    </xdr:to>
    <xdr:pic>
      <xdr:nvPicPr>
        <xdr:cNvPr id="1518" name="Имя " descr="Descr ">
          <a:extLst>
            <a:ext uri="{FF2B5EF4-FFF2-40B4-BE49-F238E27FC236}">
              <a16:creationId xmlns:a16="http://schemas.microsoft.com/office/drawing/2014/main" id="{00000000-0008-0000-0000-0000EE050000}"/>
            </a:ext>
          </a:extLst>
        </xdr:cNvPr>
        <xdr:cNvPicPr>
          <a:picLocks noChangeAspect="1"/>
        </xdr:cNvPicPr>
      </xdr:nvPicPr>
      <xdr:blipFill>
        <a:blip xmlns:r="http://schemas.openxmlformats.org/officeDocument/2006/relationships" r:embed="rId1517"/>
        <a:stretch>
          <a:fillRect/>
        </a:stretch>
      </xdr:blipFill>
      <xdr:spPr>
        <a:prstGeom prst="rect">
          <a:avLst/>
        </a:prstGeom>
        <a:ln w="9525">
          <a:solidFill>
            <a:srgbClr val="000000"/>
          </a:solidFill>
          <a:prstDash val="solid"/>
        </a:ln>
      </xdr:spPr>
    </xdr:pic>
    <xdr:clientData/>
  </xdr:twoCellAnchor>
  <xdr:twoCellAnchor>
    <xdr:from>
      <xdr:col>3</xdr:col>
      <xdr:colOff>114300</xdr:colOff>
      <xdr:row>4422</xdr:row>
      <xdr:rowOff>28575</xdr:rowOff>
    </xdr:from>
    <xdr:to>
      <xdr:col>3</xdr:col>
      <xdr:colOff>1552575</xdr:colOff>
      <xdr:row>4428</xdr:row>
      <xdr:rowOff>171450</xdr:rowOff>
    </xdr:to>
    <xdr:pic>
      <xdr:nvPicPr>
        <xdr:cNvPr id="1519" name="Имя " descr="Descr ">
          <a:extLst>
            <a:ext uri="{FF2B5EF4-FFF2-40B4-BE49-F238E27FC236}">
              <a16:creationId xmlns:a16="http://schemas.microsoft.com/office/drawing/2014/main" id="{00000000-0008-0000-0000-0000EF050000}"/>
            </a:ext>
          </a:extLst>
        </xdr:cNvPr>
        <xdr:cNvPicPr>
          <a:picLocks noChangeAspect="1"/>
        </xdr:cNvPicPr>
      </xdr:nvPicPr>
      <xdr:blipFill>
        <a:blip xmlns:r="http://schemas.openxmlformats.org/officeDocument/2006/relationships" r:embed="rId1518"/>
        <a:stretch>
          <a:fillRect/>
        </a:stretch>
      </xdr:blipFill>
      <xdr:spPr>
        <a:prstGeom prst="rect">
          <a:avLst/>
        </a:prstGeom>
        <a:ln w="9525">
          <a:solidFill>
            <a:srgbClr val="000000"/>
          </a:solidFill>
          <a:prstDash val="solid"/>
        </a:ln>
      </xdr:spPr>
    </xdr:pic>
    <xdr:clientData/>
  </xdr:twoCellAnchor>
  <xdr:twoCellAnchor>
    <xdr:from>
      <xdr:col>3</xdr:col>
      <xdr:colOff>114300</xdr:colOff>
      <xdr:row>4429</xdr:row>
      <xdr:rowOff>28575</xdr:rowOff>
    </xdr:from>
    <xdr:to>
      <xdr:col>3</xdr:col>
      <xdr:colOff>1552575</xdr:colOff>
      <xdr:row>4433</xdr:row>
      <xdr:rowOff>333375</xdr:rowOff>
    </xdr:to>
    <xdr:pic>
      <xdr:nvPicPr>
        <xdr:cNvPr id="1520" name="Имя " descr="Descr ">
          <a:extLst>
            <a:ext uri="{FF2B5EF4-FFF2-40B4-BE49-F238E27FC236}">
              <a16:creationId xmlns:a16="http://schemas.microsoft.com/office/drawing/2014/main" id="{00000000-0008-0000-0000-0000F0050000}"/>
            </a:ext>
          </a:extLst>
        </xdr:cNvPr>
        <xdr:cNvPicPr>
          <a:picLocks noChangeAspect="1"/>
        </xdr:cNvPicPr>
      </xdr:nvPicPr>
      <xdr:blipFill>
        <a:blip xmlns:r="http://schemas.openxmlformats.org/officeDocument/2006/relationships" r:embed="rId1519"/>
        <a:stretch>
          <a:fillRect/>
        </a:stretch>
      </xdr:blipFill>
      <xdr:spPr>
        <a:prstGeom prst="rect">
          <a:avLst/>
        </a:prstGeom>
        <a:ln w="9525">
          <a:solidFill>
            <a:srgbClr val="000000"/>
          </a:solidFill>
          <a:prstDash val="solid"/>
        </a:ln>
      </xdr:spPr>
    </xdr:pic>
    <xdr:clientData/>
  </xdr:twoCellAnchor>
  <xdr:twoCellAnchor>
    <xdr:from>
      <xdr:col>3</xdr:col>
      <xdr:colOff>114300</xdr:colOff>
      <xdr:row>4434</xdr:row>
      <xdr:rowOff>28575</xdr:rowOff>
    </xdr:from>
    <xdr:to>
      <xdr:col>3</xdr:col>
      <xdr:colOff>1552575</xdr:colOff>
      <xdr:row>4434</xdr:row>
      <xdr:rowOff>1266825</xdr:rowOff>
    </xdr:to>
    <xdr:pic>
      <xdr:nvPicPr>
        <xdr:cNvPr id="1521" name="Имя " descr="Descr ">
          <a:extLst>
            <a:ext uri="{FF2B5EF4-FFF2-40B4-BE49-F238E27FC236}">
              <a16:creationId xmlns:a16="http://schemas.microsoft.com/office/drawing/2014/main" id="{00000000-0008-0000-0000-0000F1050000}"/>
            </a:ext>
          </a:extLst>
        </xdr:cNvPr>
        <xdr:cNvPicPr>
          <a:picLocks noChangeAspect="1"/>
        </xdr:cNvPicPr>
      </xdr:nvPicPr>
      <xdr:blipFill>
        <a:blip xmlns:r="http://schemas.openxmlformats.org/officeDocument/2006/relationships" r:embed="rId1520"/>
        <a:stretch>
          <a:fillRect/>
        </a:stretch>
      </xdr:blipFill>
      <xdr:spPr>
        <a:prstGeom prst="rect">
          <a:avLst/>
        </a:prstGeom>
        <a:ln w="9525">
          <a:solidFill>
            <a:srgbClr val="000000"/>
          </a:solidFill>
          <a:prstDash val="solid"/>
        </a:ln>
      </xdr:spPr>
    </xdr:pic>
    <xdr:clientData/>
  </xdr:twoCellAnchor>
  <xdr:twoCellAnchor>
    <xdr:from>
      <xdr:col>3</xdr:col>
      <xdr:colOff>114300</xdr:colOff>
      <xdr:row>4435</xdr:row>
      <xdr:rowOff>38100</xdr:rowOff>
    </xdr:from>
    <xdr:to>
      <xdr:col>3</xdr:col>
      <xdr:colOff>1552575</xdr:colOff>
      <xdr:row>4436</xdr:row>
      <xdr:rowOff>638175</xdr:rowOff>
    </xdr:to>
    <xdr:pic>
      <xdr:nvPicPr>
        <xdr:cNvPr id="1522" name="Имя " descr="Descr ">
          <a:extLst>
            <a:ext uri="{FF2B5EF4-FFF2-40B4-BE49-F238E27FC236}">
              <a16:creationId xmlns:a16="http://schemas.microsoft.com/office/drawing/2014/main" id="{00000000-0008-0000-0000-0000F2050000}"/>
            </a:ext>
          </a:extLst>
        </xdr:cNvPr>
        <xdr:cNvPicPr>
          <a:picLocks noChangeAspect="1"/>
        </xdr:cNvPicPr>
      </xdr:nvPicPr>
      <xdr:blipFill>
        <a:blip xmlns:r="http://schemas.openxmlformats.org/officeDocument/2006/relationships" r:embed="rId1521"/>
        <a:stretch>
          <a:fillRect/>
        </a:stretch>
      </xdr:blipFill>
      <xdr:spPr>
        <a:prstGeom prst="rect">
          <a:avLst/>
        </a:prstGeom>
        <a:ln w="9525">
          <a:solidFill>
            <a:srgbClr val="000000"/>
          </a:solidFill>
          <a:prstDash val="solid"/>
        </a:ln>
      </xdr:spPr>
    </xdr:pic>
    <xdr:clientData/>
  </xdr:twoCellAnchor>
  <xdr:twoCellAnchor>
    <xdr:from>
      <xdr:col>3</xdr:col>
      <xdr:colOff>114300</xdr:colOff>
      <xdr:row>4437</xdr:row>
      <xdr:rowOff>38100</xdr:rowOff>
    </xdr:from>
    <xdr:to>
      <xdr:col>3</xdr:col>
      <xdr:colOff>1552575</xdr:colOff>
      <xdr:row>4438</xdr:row>
      <xdr:rowOff>638175</xdr:rowOff>
    </xdr:to>
    <xdr:pic>
      <xdr:nvPicPr>
        <xdr:cNvPr id="1523" name="Имя " descr="Descr ">
          <a:extLst>
            <a:ext uri="{FF2B5EF4-FFF2-40B4-BE49-F238E27FC236}">
              <a16:creationId xmlns:a16="http://schemas.microsoft.com/office/drawing/2014/main" id="{00000000-0008-0000-0000-0000F3050000}"/>
            </a:ext>
          </a:extLst>
        </xdr:cNvPr>
        <xdr:cNvPicPr>
          <a:picLocks noChangeAspect="1"/>
        </xdr:cNvPicPr>
      </xdr:nvPicPr>
      <xdr:blipFill>
        <a:blip xmlns:r="http://schemas.openxmlformats.org/officeDocument/2006/relationships" r:embed="rId1522"/>
        <a:stretch>
          <a:fillRect/>
        </a:stretch>
      </xdr:blipFill>
      <xdr:spPr>
        <a:prstGeom prst="rect">
          <a:avLst/>
        </a:prstGeom>
        <a:ln w="9525">
          <a:solidFill>
            <a:srgbClr val="000000"/>
          </a:solidFill>
          <a:prstDash val="solid"/>
        </a:ln>
      </xdr:spPr>
    </xdr:pic>
    <xdr:clientData/>
  </xdr:twoCellAnchor>
  <xdr:twoCellAnchor>
    <xdr:from>
      <xdr:col>3</xdr:col>
      <xdr:colOff>114300</xdr:colOff>
      <xdr:row>4439</xdr:row>
      <xdr:rowOff>28575</xdr:rowOff>
    </xdr:from>
    <xdr:to>
      <xdr:col>3</xdr:col>
      <xdr:colOff>1552575</xdr:colOff>
      <xdr:row>4443</xdr:row>
      <xdr:rowOff>333375</xdr:rowOff>
    </xdr:to>
    <xdr:pic>
      <xdr:nvPicPr>
        <xdr:cNvPr id="1524" name="Имя " descr="Descr ">
          <a:extLst>
            <a:ext uri="{FF2B5EF4-FFF2-40B4-BE49-F238E27FC236}">
              <a16:creationId xmlns:a16="http://schemas.microsoft.com/office/drawing/2014/main" id="{00000000-0008-0000-0000-0000F4050000}"/>
            </a:ext>
          </a:extLst>
        </xdr:cNvPr>
        <xdr:cNvPicPr>
          <a:picLocks noChangeAspect="1"/>
        </xdr:cNvPicPr>
      </xdr:nvPicPr>
      <xdr:blipFill>
        <a:blip xmlns:r="http://schemas.openxmlformats.org/officeDocument/2006/relationships" r:embed="rId1523"/>
        <a:stretch>
          <a:fillRect/>
        </a:stretch>
      </xdr:blipFill>
      <xdr:spPr>
        <a:prstGeom prst="rect">
          <a:avLst/>
        </a:prstGeom>
        <a:ln w="9525">
          <a:solidFill>
            <a:srgbClr val="000000"/>
          </a:solidFill>
          <a:prstDash val="solid"/>
        </a:ln>
      </xdr:spPr>
    </xdr:pic>
    <xdr:clientData/>
  </xdr:twoCellAnchor>
  <xdr:twoCellAnchor>
    <xdr:from>
      <xdr:col>3</xdr:col>
      <xdr:colOff>114300</xdr:colOff>
      <xdr:row>4444</xdr:row>
      <xdr:rowOff>38100</xdr:rowOff>
    </xdr:from>
    <xdr:to>
      <xdr:col>3</xdr:col>
      <xdr:colOff>1552575</xdr:colOff>
      <xdr:row>4445</xdr:row>
      <xdr:rowOff>638175</xdr:rowOff>
    </xdr:to>
    <xdr:pic>
      <xdr:nvPicPr>
        <xdr:cNvPr id="1525" name="Имя " descr="Descr ">
          <a:extLst>
            <a:ext uri="{FF2B5EF4-FFF2-40B4-BE49-F238E27FC236}">
              <a16:creationId xmlns:a16="http://schemas.microsoft.com/office/drawing/2014/main" id="{00000000-0008-0000-0000-0000F5050000}"/>
            </a:ext>
          </a:extLst>
        </xdr:cNvPr>
        <xdr:cNvPicPr>
          <a:picLocks noChangeAspect="1"/>
        </xdr:cNvPicPr>
      </xdr:nvPicPr>
      <xdr:blipFill>
        <a:blip xmlns:r="http://schemas.openxmlformats.org/officeDocument/2006/relationships" r:embed="rId1524"/>
        <a:stretch>
          <a:fillRect/>
        </a:stretch>
      </xdr:blipFill>
      <xdr:spPr>
        <a:prstGeom prst="rect">
          <a:avLst/>
        </a:prstGeom>
        <a:ln w="9525">
          <a:solidFill>
            <a:srgbClr val="000000"/>
          </a:solidFill>
          <a:prstDash val="solid"/>
        </a:ln>
      </xdr:spPr>
    </xdr:pic>
    <xdr:clientData/>
  </xdr:twoCellAnchor>
  <xdr:twoCellAnchor>
    <xdr:from>
      <xdr:col>3</xdr:col>
      <xdr:colOff>114300</xdr:colOff>
      <xdr:row>4446</xdr:row>
      <xdr:rowOff>28575</xdr:rowOff>
    </xdr:from>
    <xdr:to>
      <xdr:col>3</xdr:col>
      <xdr:colOff>1552575</xdr:colOff>
      <xdr:row>4448</xdr:row>
      <xdr:rowOff>419100</xdr:rowOff>
    </xdr:to>
    <xdr:pic>
      <xdr:nvPicPr>
        <xdr:cNvPr id="1526" name="Имя " descr="Descr ">
          <a:extLst>
            <a:ext uri="{FF2B5EF4-FFF2-40B4-BE49-F238E27FC236}">
              <a16:creationId xmlns:a16="http://schemas.microsoft.com/office/drawing/2014/main" id="{00000000-0008-0000-0000-0000F6050000}"/>
            </a:ext>
          </a:extLst>
        </xdr:cNvPr>
        <xdr:cNvPicPr>
          <a:picLocks noChangeAspect="1"/>
        </xdr:cNvPicPr>
      </xdr:nvPicPr>
      <xdr:blipFill>
        <a:blip xmlns:r="http://schemas.openxmlformats.org/officeDocument/2006/relationships" r:embed="rId1525"/>
        <a:stretch>
          <a:fillRect/>
        </a:stretch>
      </xdr:blipFill>
      <xdr:spPr>
        <a:prstGeom prst="rect">
          <a:avLst/>
        </a:prstGeom>
        <a:ln w="9525">
          <a:solidFill>
            <a:srgbClr val="000000"/>
          </a:solidFill>
          <a:prstDash val="solid"/>
        </a:ln>
      </xdr:spPr>
    </xdr:pic>
    <xdr:clientData/>
  </xdr:twoCellAnchor>
  <xdr:twoCellAnchor>
    <xdr:from>
      <xdr:col>3</xdr:col>
      <xdr:colOff>114300</xdr:colOff>
      <xdr:row>4449</xdr:row>
      <xdr:rowOff>28575</xdr:rowOff>
    </xdr:from>
    <xdr:to>
      <xdr:col>3</xdr:col>
      <xdr:colOff>1552575</xdr:colOff>
      <xdr:row>4451</xdr:row>
      <xdr:rowOff>419100</xdr:rowOff>
    </xdr:to>
    <xdr:pic>
      <xdr:nvPicPr>
        <xdr:cNvPr id="1527" name="Имя " descr="Descr ">
          <a:extLst>
            <a:ext uri="{FF2B5EF4-FFF2-40B4-BE49-F238E27FC236}">
              <a16:creationId xmlns:a16="http://schemas.microsoft.com/office/drawing/2014/main" id="{00000000-0008-0000-0000-0000F7050000}"/>
            </a:ext>
          </a:extLst>
        </xdr:cNvPr>
        <xdr:cNvPicPr>
          <a:picLocks noChangeAspect="1"/>
        </xdr:cNvPicPr>
      </xdr:nvPicPr>
      <xdr:blipFill>
        <a:blip xmlns:r="http://schemas.openxmlformats.org/officeDocument/2006/relationships" r:embed="rId1526"/>
        <a:stretch>
          <a:fillRect/>
        </a:stretch>
      </xdr:blipFill>
      <xdr:spPr>
        <a:prstGeom prst="rect">
          <a:avLst/>
        </a:prstGeom>
        <a:ln w="9525">
          <a:solidFill>
            <a:srgbClr val="000000"/>
          </a:solidFill>
          <a:prstDash val="solid"/>
        </a:ln>
      </xdr:spPr>
    </xdr:pic>
    <xdr:clientData/>
  </xdr:twoCellAnchor>
  <xdr:twoCellAnchor>
    <xdr:from>
      <xdr:col>3</xdr:col>
      <xdr:colOff>114300</xdr:colOff>
      <xdr:row>4452</xdr:row>
      <xdr:rowOff>28575</xdr:rowOff>
    </xdr:from>
    <xdr:to>
      <xdr:col>3</xdr:col>
      <xdr:colOff>1552575</xdr:colOff>
      <xdr:row>4452</xdr:row>
      <xdr:rowOff>1266825</xdr:rowOff>
    </xdr:to>
    <xdr:pic>
      <xdr:nvPicPr>
        <xdr:cNvPr id="1528" name="Имя " descr="Descr ">
          <a:extLst>
            <a:ext uri="{FF2B5EF4-FFF2-40B4-BE49-F238E27FC236}">
              <a16:creationId xmlns:a16="http://schemas.microsoft.com/office/drawing/2014/main" id="{00000000-0008-0000-0000-0000F8050000}"/>
            </a:ext>
          </a:extLst>
        </xdr:cNvPr>
        <xdr:cNvPicPr>
          <a:picLocks noChangeAspect="1"/>
        </xdr:cNvPicPr>
      </xdr:nvPicPr>
      <xdr:blipFill>
        <a:blip xmlns:r="http://schemas.openxmlformats.org/officeDocument/2006/relationships" r:embed="rId1527"/>
        <a:stretch>
          <a:fillRect/>
        </a:stretch>
      </xdr:blipFill>
      <xdr:spPr>
        <a:prstGeom prst="rect">
          <a:avLst/>
        </a:prstGeom>
        <a:ln w="9525">
          <a:solidFill>
            <a:srgbClr val="000000"/>
          </a:solidFill>
          <a:prstDash val="solid"/>
        </a:ln>
      </xdr:spPr>
    </xdr:pic>
    <xdr:clientData/>
  </xdr:twoCellAnchor>
  <xdr:twoCellAnchor>
    <xdr:from>
      <xdr:col>3</xdr:col>
      <xdr:colOff>114300</xdr:colOff>
      <xdr:row>4453</xdr:row>
      <xdr:rowOff>28575</xdr:rowOff>
    </xdr:from>
    <xdr:to>
      <xdr:col>3</xdr:col>
      <xdr:colOff>1552575</xdr:colOff>
      <xdr:row>4453</xdr:row>
      <xdr:rowOff>1266825</xdr:rowOff>
    </xdr:to>
    <xdr:pic>
      <xdr:nvPicPr>
        <xdr:cNvPr id="1529" name="Имя " descr="Descr ">
          <a:extLst>
            <a:ext uri="{FF2B5EF4-FFF2-40B4-BE49-F238E27FC236}">
              <a16:creationId xmlns:a16="http://schemas.microsoft.com/office/drawing/2014/main" id="{00000000-0008-0000-0000-0000F9050000}"/>
            </a:ext>
          </a:extLst>
        </xdr:cNvPr>
        <xdr:cNvPicPr>
          <a:picLocks noChangeAspect="1"/>
        </xdr:cNvPicPr>
      </xdr:nvPicPr>
      <xdr:blipFill>
        <a:blip xmlns:r="http://schemas.openxmlformats.org/officeDocument/2006/relationships" r:embed="rId1528"/>
        <a:stretch>
          <a:fillRect/>
        </a:stretch>
      </xdr:blipFill>
      <xdr:spPr>
        <a:prstGeom prst="rect">
          <a:avLst/>
        </a:prstGeom>
        <a:ln w="9525">
          <a:solidFill>
            <a:srgbClr val="000000"/>
          </a:solidFill>
          <a:prstDash val="solid"/>
        </a:ln>
      </xdr:spPr>
    </xdr:pic>
    <xdr:clientData/>
  </xdr:twoCellAnchor>
  <xdr:twoCellAnchor>
    <xdr:from>
      <xdr:col>3</xdr:col>
      <xdr:colOff>114300</xdr:colOff>
      <xdr:row>4454</xdr:row>
      <xdr:rowOff>38100</xdr:rowOff>
    </xdr:from>
    <xdr:to>
      <xdr:col>3</xdr:col>
      <xdr:colOff>1552575</xdr:colOff>
      <xdr:row>4455</xdr:row>
      <xdr:rowOff>638175</xdr:rowOff>
    </xdr:to>
    <xdr:pic>
      <xdr:nvPicPr>
        <xdr:cNvPr id="1530" name="Имя " descr="Descr ">
          <a:extLst>
            <a:ext uri="{FF2B5EF4-FFF2-40B4-BE49-F238E27FC236}">
              <a16:creationId xmlns:a16="http://schemas.microsoft.com/office/drawing/2014/main" id="{00000000-0008-0000-0000-0000FA050000}"/>
            </a:ext>
          </a:extLst>
        </xdr:cNvPr>
        <xdr:cNvPicPr>
          <a:picLocks noChangeAspect="1"/>
        </xdr:cNvPicPr>
      </xdr:nvPicPr>
      <xdr:blipFill>
        <a:blip xmlns:r="http://schemas.openxmlformats.org/officeDocument/2006/relationships" r:embed="rId1529"/>
        <a:stretch>
          <a:fillRect/>
        </a:stretch>
      </xdr:blipFill>
      <xdr:spPr>
        <a:prstGeom prst="rect">
          <a:avLst/>
        </a:prstGeom>
        <a:ln w="9525">
          <a:solidFill>
            <a:srgbClr val="000000"/>
          </a:solidFill>
          <a:prstDash val="solid"/>
        </a:ln>
      </xdr:spPr>
    </xdr:pic>
    <xdr:clientData/>
  </xdr:twoCellAnchor>
  <xdr:twoCellAnchor>
    <xdr:from>
      <xdr:col>3</xdr:col>
      <xdr:colOff>114300</xdr:colOff>
      <xdr:row>4456</xdr:row>
      <xdr:rowOff>28575</xdr:rowOff>
    </xdr:from>
    <xdr:to>
      <xdr:col>3</xdr:col>
      <xdr:colOff>1552575</xdr:colOff>
      <xdr:row>4456</xdr:row>
      <xdr:rowOff>1266825</xdr:rowOff>
    </xdr:to>
    <xdr:pic>
      <xdr:nvPicPr>
        <xdr:cNvPr id="1531" name="Имя " descr="Descr ">
          <a:extLst>
            <a:ext uri="{FF2B5EF4-FFF2-40B4-BE49-F238E27FC236}">
              <a16:creationId xmlns:a16="http://schemas.microsoft.com/office/drawing/2014/main" id="{00000000-0008-0000-0000-0000FB050000}"/>
            </a:ext>
          </a:extLst>
        </xdr:cNvPr>
        <xdr:cNvPicPr>
          <a:picLocks noChangeAspect="1"/>
        </xdr:cNvPicPr>
      </xdr:nvPicPr>
      <xdr:blipFill>
        <a:blip xmlns:r="http://schemas.openxmlformats.org/officeDocument/2006/relationships" r:embed="rId1530"/>
        <a:stretch>
          <a:fillRect/>
        </a:stretch>
      </xdr:blipFill>
      <xdr:spPr>
        <a:prstGeom prst="rect">
          <a:avLst/>
        </a:prstGeom>
        <a:ln w="9525">
          <a:solidFill>
            <a:srgbClr val="000000"/>
          </a:solidFill>
          <a:prstDash val="solid"/>
        </a:ln>
      </xdr:spPr>
    </xdr:pic>
    <xdr:clientData/>
  </xdr:twoCellAnchor>
  <xdr:twoCellAnchor>
    <xdr:from>
      <xdr:col>3</xdr:col>
      <xdr:colOff>114300</xdr:colOff>
      <xdr:row>4457</xdr:row>
      <xdr:rowOff>38100</xdr:rowOff>
    </xdr:from>
    <xdr:to>
      <xdr:col>3</xdr:col>
      <xdr:colOff>1552575</xdr:colOff>
      <xdr:row>4458</xdr:row>
      <xdr:rowOff>638175</xdr:rowOff>
    </xdr:to>
    <xdr:pic>
      <xdr:nvPicPr>
        <xdr:cNvPr id="1532" name="Имя " descr="Descr ">
          <a:extLst>
            <a:ext uri="{FF2B5EF4-FFF2-40B4-BE49-F238E27FC236}">
              <a16:creationId xmlns:a16="http://schemas.microsoft.com/office/drawing/2014/main" id="{00000000-0008-0000-0000-0000FC050000}"/>
            </a:ext>
          </a:extLst>
        </xdr:cNvPr>
        <xdr:cNvPicPr>
          <a:picLocks noChangeAspect="1"/>
        </xdr:cNvPicPr>
      </xdr:nvPicPr>
      <xdr:blipFill>
        <a:blip xmlns:r="http://schemas.openxmlformats.org/officeDocument/2006/relationships" r:embed="rId1531"/>
        <a:stretch>
          <a:fillRect/>
        </a:stretch>
      </xdr:blipFill>
      <xdr:spPr>
        <a:prstGeom prst="rect">
          <a:avLst/>
        </a:prstGeom>
        <a:ln w="9525">
          <a:solidFill>
            <a:srgbClr val="000000"/>
          </a:solidFill>
          <a:prstDash val="solid"/>
        </a:ln>
      </xdr:spPr>
    </xdr:pic>
    <xdr:clientData/>
  </xdr:twoCellAnchor>
  <xdr:twoCellAnchor>
    <xdr:from>
      <xdr:col>3</xdr:col>
      <xdr:colOff>114300</xdr:colOff>
      <xdr:row>4459</xdr:row>
      <xdr:rowOff>38100</xdr:rowOff>
    </xdr:from>
    <xdr:to>
      <xdr:col>3</xdr:col>
      <xdr:colOff>1552575</xdr:colOff>
      <xdr:row>4460</xdr:row>
      <xdr:rowOff>638175</xdr:rowOff>
    </xdr:to>
    <xdr:pic>
      <xdr:nvPicPr>
        <xdr:cNvPr id="1533" name="Имя " descr="Descr ">
          <a:extLst>
            <a:ext uri="{FF2B5EF4-FFF2-40B4-BE49-F238E27FC236}">
              <a16:creationId xmlns:a16="http://schemas.microsoft.com/office/drawing/2014/main" id="{00000000-0008-0000-0000-0000FD050000}"/>
            </a:ext>
          </a:extLst>
        </xdr:cNvPr>
        <xdr:cNvPicPr>
          <a:picLocks noChangeAspect="1"/>
        </xdr:cNvPicPr>
      </xdr:nvPicPr>
      <xdr:blipFill>
        <a:blip xmlns:r="http://schemas.openxmlformats.org/officeDocument/2006/relationships" r:embed="rId1532"/>
        <a:stretch>
          <a:fillRect/>
        </a:stretch>
      </xdr:blipFill>
      <xdr:spPr>
        <a:prstGeom prst="rect">
          <a:avLst/>
        </a:prstGeom>
        <a:ln w="9525">
          <a:solidFill>
            <a:srgbClr val="000000"/>
          </a:solidFill>
          <a:prstDash val="solid"/>
        </a:ln>
      </xdr:spPr>
    </xdr:pic>
    <xdr:clientData/>
  </xdr:twoCellAnchor>
  <xdr:twoCellAnchor>
    <xdr:from>
      <xdr:col>3</xdr:col>
      <xdr:colOff>114300</xdr:colOff>
      <xdr:row>4461</xdr:row>
      <xdr:rowOff>28575</xdr:rowOff>
    </xdr:from>
    <xdr:to>
      <xdr:col>3</xdr:col>
      <xdr:colOff>1552575</xdr:colOff>
      <xdr:row>4463</xdr:row>
      <xdr:rowOff>419100</xdr:rowOff>
    </xdr:to>
    <xdr:pic>
      <xdr:nvPicPr>
        <xdr:cNvPr id="1534" name="Имя " descr="Descr ">
          <a:extLst>
            <a:ext uri="{FF2B5EF4-FFF2-40B4-BE49-F238E27FC236}">
              <a16:creationId xmlns:a16="http://schemas.microsoft.com/office/drawing/2014/main" id="{00000000-0008-0000-0000-0000FE050000}"/>
            </a:ext>
          </a:extLst>
        </xdr:cNvPr>
        <xdr:cNvPicPr>
          <a:picLocks noChangeAspect="1"/>
        </xdr:cNvPicPr>
      </xdr:nvPicPr>
      <xdr:blipFill>
        <a:blip xmlns:r="http://schemas.openxmlformats.org/officeDocument/2006/relationships" r:embed="rId1533"/>
        <a:stretch>
          <a:fillRect/>
        </a:stretch>
      </xdr:blipFill>
      <xdr:spPr>
        <a:prstGeom prst="rect">
          <a:avLst/>
        </a:prstGeom>
        <a:ln w="9525">
          <a:solidFill>
            <a:srgbClr val="000000"/>
          </a:solidFill>
          <a:prstDash val="solid"/>
        </a:ln>
      </xdr:spPr>
    </xdr:pic>
    <xdr:clientData/>
  </xdr:twoCellAnchor>
  <xdr:twoCellAnchor>
    <xdr:from>
      <xdr:col>3</xdr:col>
      <xdr:colOff>114300</xdr:colOff>
      <xdr:row>4464</xdr:row>
      <xdr:rowOff>28575</xdr:rowOff>
    </xdr:from>
    <xdr:to>
      <xdr:col>3</xdr:col>
      <xdr:colOff>1552575</xdr:colOff>
      <xdr:row>4469</xdr:row>
      <xdr:rowOff>209550</xdr:rowOff>
    </xdr:to>
    <xdr:pic>
      <xdr:nvPicPr>
        <xdr:cNvPr id="1535" name="Имя " descr="Descr ">
          <a:extLst>
            <a:ext uri="{FF2B5EF4-FFF2-40B4-BE49-F238E27FC236}">
              <a16:creationId xmlns:a16="http://schemas.microsoft.com/office/drawing/2014/main" id="{00000000-0008-0000-0000-0000FF050000}"/>
            </a:ext>
          </a:extLst>
        </xdr:cNvPr>
        <xdr:cNvPicPr>
          <a:picLocks noChangeAspect="1"/>
        </xdr:cNvPicPr>
      </xdr:nvPicPr>
      <xdr:blipFill>
        <a:blip xmlns:r="http://schemas.openxmlformats.org/officeDocument/2006/relationships" r:embed="rId1534"/>
        <a:stretch>
          <a:fillRect/>
        </a:stretch>
      </xdr:blipFill>
      <xdr:spPr>
        <a:prstGeom prst="rect">
          <a:avLst/>
        </a:prstGeom>
        <a:ln w="9525">
          <a:solidFill>
            <a:srgbClr val="000000"/>
          </a:solidFill>
          <a:prstDash val="solid"/>
        </a:ln>
      </xdr:spPr>
    </xdr:pic>
    <xdr:clientData/>
  </xdr:twoCellAnchor>
  <xdr:twoCellAnchor>
    <xdr:from>
      <xdr:col>3</xdr:col>
      <xdr:colOff>114300</xdr:colOff>
      <xdr:row>4470</xdr:row>
      <xdr:rowOff>28575</xdr:rowOff>
    </xdr:from>
    <xdr:to>
      <xdr:col>3</xdr:col>
      <xdr:colOff>1552575</xdr:colOff>
      <xdr:row>4472</xdr:row>
      <xdr:rowOff>419100</xdr:rowOff>
    </xdr:to>
    <xdr:pic>
      <xdr:nvPicPr>
        <xdr:cNvPr id="1536" name="Имя " descr="Descr ">
          <a:extLst>
            <a:ext uri="{FF2B5EF4-FFF2-40B4-BE49-F238E27FC236}">
              <a16:creationId xmlns:a16="http://schemas.microsoft.com/office/drawing/2014/main" id="{00000000-0008-0000-0000-000000060000}"/>
            </a:ext>
          </a:extLst>
        </xdr:cNvPr>
        <xdr:cNvPicPr>
          <a:picLocks noChangeAspect="1"/>
        </xdr:cNvPicPr>
      </xdr:nvPicPr>
      <xdr:blipFill>
        <a:blip xmlns:r="http://schemas.openxmlformats.org/officeDocument/2006/relationships" r:embed="rId1535"/>
        <a:stretch>
          <a:fillRect/>
        </a:stretch>
      </xdr:blipFill>
      <xdr:spPr>
        <a:prstGeom prst="rect">
          <a:avLst/>
        </a:prstGeom>
        <a:ln w="9525">
          <a:solidFill>
            <a:srgbClr val="000000"/>
          </a:solidFill>
          <a:prstDash val="solid"/>
        </a:ln>
      </xdr:spPr>
    </xdr:pic>
    <xdr:clientData/>
  </xdr:twoCellAnchor>
  <xdr:twoCellAnchor>
    <xdr:from>
      <xdr:col>3</xdr:col>
      <xdr:colOff>114300</xdr:colOff>
      <xdr:row>4473</xdr:row>
      <xdr:rowOff>28575</xdr:rowOff>
    </xdr:from>
    <xdr:to>
      <xdr:col>3</xdr:col>
      <xdr:colOff>1552575</xdr:colOff>
      <xdr:row>4473</xdr:row>
      <xdr:rowOff>1266825</xdr:rowOff>
    </xdr:to>
    <xdr:pic>
      <xdr:nvPicPr>
        <xdr:cNvPr id="1537" name="Имя " descr="Descr ">
          <a:extLst>
            <a:ext uri="{FF2B5EF4-FFF2-40B4-BE49-F238E27FC236}">
              <a16:creationId xmlns:a16="http://schemas.microsoft.com/office/drawing/2014/main" id="{00000000-0008-0000-0000-000001060000}"/>
            </a:ext>
          </a:extLst>
        </xdr:cNvPr>
        <xdr:cNvPicPr>
          <a:picLocks noChangeAspect="1"/>
        </xdr:cNvPicPr>
      </xdr:nvPicPr>
      <xdr:blipFill>
        <a:blip xmlns:r="http://schemas.openxmlformats.org/officeDocument/2006/relationships" r:embed="rId1536"/>
        <a:stretch>
          <a:fillRect/>
        </a:stretch>
      </xdr:blipFill>
      <xdr:spPr>
        <a:prstGeom prst="rect">
          <a:avLst/>
        </a:prstGeom>
        <a:ln w="9525">
          <a:solidFill>
            <a:srgbClr val="000000"/>
          </a:solidFill>
          <a:prstDash val="solid"/>
        </a:ln>
      </xdr:spPr>
    </xdr:pic>
    <xdr:clientData/>
  </xdr:twoCellAnchor>
  <xdr:twoCellAnchor>
    <xdr:from>
      <xdr:col>3</xdr:col>
      <xdr:colOff>114300</xdr:colOff>
      <xdr:row>4474</xdr:row>
      <xdr:rowOff>38100</xdr:rowOff>
    </xdr:from>
    <xdr:to>
      <xdr:col>3</xdr:col>
      <xdr:colOff>1552575</xdr:colOff>
      <xdr:row>4475</xdr:row>
      <xdr:rowOff>638175</xdr:rowOff>
    </xdr:to>
    <xdr:pic>
      <xdr:nvPicPr>
        <xdr:cNvPr id="1538" name="Имя " descr="Descr ">
          <a:extLst>
            <a:ext uri="{FF2B5EF4-FFF2-40B4-BE49-F238E27FC236}">
              <a16:creationId xmlns:a16="http://schemas.microsoft.com/office/drawing/2014/main" id="{00000000-0008-0000-0000-000002060000}"/>
            </a:ext>
          </a:extLst>
        </xdr:cNvPr>
        <xdr:cNvPicPr>
          <a:picLocks noChangeAspect="1"/>
        </xdr:cNvPicPr>
      </xdr:nvPicPr>
      <xdr:blipFill>
        <a:blip xmlns:r="http://schemas.openxmlformats.org/officeDocument/2006/relationships" r:embed="rId1537"/>
        <a:stretch>
          <a:fillRect/>
        </a:stretch>
      </xdr:blipFill>
      <xdr:spPr>
        <a:prstGeom prst="rect">
          <a:avLst/>
        </a:prstGeom>
        <a:ln w="9525">
          <a:solidFill>
            <a:srgbClr val="000000"/>
          </a:solidFill>
          <a:prstDash val="solid"/>
        </a:ln>
      </xdr:spPr>
    </xdr:pic>
    <xdr:clientData/>
  </xdr:twoCellAnchor>
  <xdr:twoCellAnchor>
    <xdr:from>
      <xdr:col>3</xdr:col>
      <xdr:colOff>114300</xdr:colOff>
      <xdr:row>4476</xdr:row>
      <xdr:rowOff>28575</xdr:rowOff>
    </xdr:from>
    <xdr:to>
      <xdr:col>3</xdr:col>
      <xdr:colOff>1552575</xdr:colOff>
      <xdr:row>4476</xdr:row>
      <xdr:rowOff>1266825</xdr:rowOff>
    </xdr:to>
    <xdr:pic>
      <xdr:nvPicPr>
        <xdr:cNvPr id="1539" name="Имя " descr="Descr ">
          <a:extLst>
            <a:ext uri="{FF2B5EF4-FFF2-40B4-BE49-F238E27FC236}">
              <a16:creationId xmlns:a16="http://schemas.microsoft.com/office/drawing/2014/main" id="{00000000-0008-0000-0000-000003060000}"/>
            </a:ext>
          </a:extLst>
        </xdr:cNvPr>
        <xdr:cNvPicPr>
          <a:picLocks noChangeAspect="1"/>
        </xdr:cNvPicPr>
      </xdr:nvPicPr>
      <xdr:blipFill>
        <a:blip xmlns:r="http://schemas.openxmlformats.org/officeDocument/2006/relationships" r:embed="rId1538"/>
        <a:stretch>
          <a:fillRect/>
        </a:stretch>
      </xdr:blipFill>
      <xdr:spPr>
        <a:prstGeom prst="rect">
          <a:avLst/>
        </a:prstGeom>
        <a:ln w="9525">
          <a:solidFill>
            <a:srgbClr val="000000"/>
          </a:solidFill>
          <a:prstDash val="solid"/>
        </a:ln>
      </xdr:spPr>
    </xdr:pic>
    <xdr:clientData/>
  </xdr:twoCellAnchor>
  <xdr:twoCellAnchor>
    <xdr:from>
      <xdr:col>3</xdr:col>
      <xdr:colOff>114300</xdr:colOff>
      <xdr:row>4477</xdr:row>
      <xdr:rowOff>28575</xdr:rowOff>
    </xdr:from>
    <xdr:to>
      <xdr:col>3</xdr:col>
      <xdr:colOff>1552575</xdr:colOff>
      <xdr:row>4477</xdr:row>
      <xdr:rowOff>1266825</xdr:rowOff>
    </xdr:to>
    <xdr:pic>
      <xdr:nvPicPr>
        <xdr:cNvPr id="1540" name="Имя " descr="Descr ">
          <a:extLst>
            <a:ext uri="{FF2B5EF4-FFF2-40B4-BE49-F238E27FC236}">
              <a16:creationId xmlns:a16="http://schemas.microsoft.com/office/drawing/2014/main" id="{00000000-0008-0000-0000-000004060000}"/>
            </a:ext>
          </a:extLst>
        </xdr:cNvPr>
        <xdr:cNvPicPr>
          <a:picLocks noChangeAspect="1"/>
        </xdr:cNvPicPr>
      </xdr:nvPicPr>
      <xdr:blipFill>
        <a:blip xmlns:r="http://schemas.openxmlformats.org/officeDocument/2006/relationships" r:embed="rId1539"/>
        <a:stretch>
          <a:fillRect/>
        </a:stretch>
      </xdr:blipFill>
      <xdr:spPr>
        <a:prstGeom prst="rect">
          <a:avLst/>
        </a:prstGeom>
        <a:ln w="9525">
          <a:solidFill>
            <a:srgbClr val="000000"/>
          </a:solidFill>
          <a:prstDash val="solid"/>
        </a:ln>
      </xdr:spPr>
    </xdr:pic>
    <xdr:clientData/>
  </xdr:twoCellAnchor>
  <xdr:twoCellAnchor>
    <xdr:from>
      <xdr:col>3</xdr:col>
      <xdr:colOff>114300</xdr:colOff>
      <xdr:row>4478</xdr:row>
      <xdr:rowOff>28575</xdr:rowOff>
    </xdr:from>
    <xdr:to>
      <xdr:col>3</xdr:col>
      <xdr:colOff>1552575</xdr:colOff>
      <xdr:row>4481</xdr:row>
      <xdr:rowOff>209550</xdr:rowOff>
    </xdr:to>
    <xdr:pic>
      <xdr:nvPicPr>
        <xdr:cNvPr id="1541" name="Имя " descr="Descr ">
          <a:extLst>
            <a:ext uri="{FF2B5EF4-FFF2-40B4-BE49-F238E27FC236}">
              <a16:creationId xmlns:a16="http://schemas.microsoft.com/office/drawing/2014/main" id="{00000000-0008-0000-0000-000005060000}"/>
            </a:ext>
          </a:extLst>
        </xdr:cNvPr>
        <xdr:cNvPicPr>
          <a:picLocks noChangeAspect="1"/>
        </xdr:cNvPicPr>
      </xdr:nvPicPr>
      <xdr:blipFill>
        <a:blip xmlns:r="http://schemas.openxmlformats.org/officeDocument/2006/relationships" r:embed="rId1540"/>
        <a:stretch>
          <a:fillRect/>
        </a:stretch>
      </xdr:blipFill>
      <xdr:spPr>
        <a:prstGeom prst="rect">
          <a:avLst/>
        </a:prstGeom>
        <a:ln w="9525">
          <a:solidFill>
            <a:srgbClr val="000000"/>
          </a:solidFill>
          <a:prstDash val="solid"/>
        </a:ln>
      </xdr:spPr>
    </xdr:pic>
    <xdr:clientData/>
  </xdr:twoCellAnchor>
  <xdr:twoCellAnchor>
    <xdr:from>
      <xdr:col>3</xdr:col>
      <xdr:colOff>114300</xdr:colOff>
      <xdr:row>4482</xdr:row>
      <xdr:rowOff>28575</xdr:rowOff>
    </xdr:from>
    <xdr:to>
      <xdr:col>3</xdr:col>
      <xdr:colOff>1552575</xdr:colOff>
      <xdr:row>4484</xdr:row>
      <xdr:rowOff>419100</xdr:rowOff>
    </xdr:to>
    <xdr:pic>
      <xdr:nvPicPr>
        <xdr:cNvPr id="1542" name="Имя " descr="Descr ">
          <a:extLst>
            <a:ext uri="{FF2B5EF4-FFF2-40B4-BE49-F238E27FC236}">
              <a16:creationId xmlns:a16="http://schemas.microsoft.com/office/drawing/2014/main" id="{00000000-0008-0000-0000-000006060000}"/>
            </a:ext>
          </a:extLst>
        </xdr:cNvPr>
        <xdr:cNvPicPr>
          <a:picLocks noChangeAspect="1"/>
        </xdr:cNvPicPr>
      </xdr:nvPicPr>
      <xdr:blipFill>
        <a:blip xmlns:r="http://schemas.openxmlformats.org/officeDocument/2006/relationships" r:embed="rId1541"/>
        <a:stretch>
          <a:fillRect/>
        </a:stretch>
      </xdr:blipFill>
      <xdr:spPr>
        <a:prstGeom prst="rect">
          <a:avLst/>
        </a:prstGeom>
        <a:ln w="9525">
          <a:solidFill>
            <a:srgbClr val="000000"/>
          </a:solidFill>
          <a:prstDash val="solid"/>
        </a:ln>
      </xdr:spPr>
    </xdr:pic>
    <xdr:clientData/>
  </xdr:twoCellAnchor>
  <xdr:twoCellAnchor>
    <xdr:from>
      <xdr:col>3</xdr:col>
      <xdr:colOff>114300</xdr:colOff>
      <xdr:row>4485</xdr:row>
      <xdr:rowOff>28575</xdr:rowOff>
    </xdr:from>
    <xdr:to>
      <xdr:col>3</xdr:col>
      <xdr:colOff>1552575</xdr:colOff>
      <xdr:row>4487</xdr:row>
      <xdr:rowOff>419100</xdr:rowOff>
    </xdr:to>
    <xdr:pic>
      <xdr:nvPicPr>
        <xdr:cNvPr id="1543" name="Имя " descr="Descr ">
          <a:extLst>
            <a:ext uri="{FF2B5EF4-FFF2-40B4-BE49-F238E27FC236}">
              <a16:creationId xmlns:a16="http://schemas.microsoft.com/office/drawing/2014/main" id="{00000000-0008-0000-0000-000007060000}"/>
            </a:ext>
          </a:extLst>
        </xdr:cNvPr>
        <xdr:cNvPicPr>
          <a:picLocks noChangeAspect="1"/>
        </xdr:cNvPicPr>
      </xdr:nvPicPr>
      <xdr:blipFill>
        <a:blip xmlns:r="http://schemas.openxmlformats.org/officeDocument/2006/relationships" r:embed="rId1542"/>
        <a:stretch>
          <a:fillRect/>
        </a:stretch>
      </xdr:blipFill>
      <xdr:spPr>
        <a:prstGeom prst="rect">
          <a:avLst/>
        </a:prstGeom>
        <a:ln w="9525">
          <a:solidFill>
            <a:srgbClr val="000000"/>
          </a:solidFill>
          <a:prstDash val="solid"/>
        </a:ln>
      </xdr:spPr>
    </xdr:pic>
    <xdr:clientData/>
  </xdr:twoCellAnchor>
  <xdr:twoCellAnchor>
    <xdr:from>
      <xdr:col>3</xdr:col>
      <xdr:colOff>114300</xdr:colOff>
      <xdr:row>4488</xdr:row>
      <xdr:rowOff>28575</xdr:rowOff>
    </xdr:from>
    <xdr:to>
      <xdr:col>3</xdr:col>
      <xdr:colOff>1552575</xdr:colOff>
      <xdr:row>4488</xdr:row>
      <xdr:rowOff>1266825</xdr:rowOff>
    </xdr:to>
    <xdr:pic>
      <xdr:nvPicPr>
        <xdr:cNvPr id="1544" name="Имя " descr="Descr ">
          <a:extLst>
            <a:ext uri="{FF2B5EF4-FFF2-40B4-BE49-F238E27FC236}">
              <a16:creationId xmlns:a16="http://schemas.microsoft.com/office/drawing/2014/main" id="{00000000-0008-0000-0000-000008060000}"/>
            </a:ext>
          </a:extLst>
        </xdr:cNvPr>
        <xdr:cNvPicPr>
          <a:picLocks noChangeAspect="1"/>
        </xdr:cNvPicPr>
      </xdr:nvPicPr>
      <xdr:blipFill>
        <a:blip xmlns:r="http://schemas.openxmlformats.org/officeDocument/2006/relationships" r:embed="rId1543"/>
        <a:stretch>
          <a:fillRect/>
        </a:stretch>
      </xdr:blipFill>
      <xdr:spPr>
        <a:prstGeom prst="rect">
          <a:avLst/>
        </a:prstGeom>
        <a:ln w="9525">
          <a:solidFill>
            <a:srgbClr val="000000"/>
          </a:solidFill>
          <a:prstDash val="solid"/>
        </a:ln>
      </xdr:spPr>
    </xdr:pic>
    <xdr:clientData/>
  </xdr:twoCellAnchor>
  <xdr:twoCellAnchor>
    <xdr:from>
      <xdr:col>3</xdr:col>
      <xdr:colOff>114300</xdr:colOff>
      <xdr:row>4489</xdr:row>
      <xdr:rowOff>38100</xdr:rowOff>
    </xdr:from>
    <xdr:to>
      <xdr:col>3</xdr:col>
      <xdr:colOff>1552575</xdr:colOff>
      <xdr:row>4490</xdr:row>
      <xdr:rowOff>638175</xdr:rowOff>
    </xdr:to>
    <xdr:pic>
      <xdr:nvPicPr>
        <xdr:cNvPr id="1545" name="Имя " descr="Descr ">
          <a:extLst>
            <a:ext uri="{FF2B5EF4-FFF2-40B4-BE49-F238E27FC236}">
              <a16:creationId xmlns:a16="http://schemas.microsoft.com/office/drawing/2014/main" id="{00000000-0008-0000-0000-000009060000}"/>
            </a:ext>
          </a:extLst>
        </xdr:cNvPr>
        <xdr:cNvPicPr>
          <a:picLocks noChangeAspect="1"/>
        </xdr:cNvPicPr>
      </xdr:nvPicPr>
      <xdr:blipFill>
        <a:blip xmlns:r="http://schemas.openxmlformats.org/officeDocument/2006/relationships" r:embed="rId1544"/>
        <a:stretch>
          <a:fillRect/>
        </a:stretch>
      </xdr:blipFill>
      <xdr:spPr>
        <a:prstGeom prst="rect">
          <a:avLst/>
        </a:prstGeom>
        <a:ln w="9525">
          <a:solidFill>
            <a:srgbClr val="000000"/>
          </a:solidFill>
          <a:prstDash val="solid"/>
        </a:ln>
      </xdr:spPr>
    </xdr:pic>
    <xdr:clientData/>
  </xdr:twoCellAnchor>
  <xdr:twoCellAnchor>
    <xdr:from>
      <xdr:col>3</xdr:col>
      <xdr:colOff>114300</xdr:colOff>
      <xdr:row>4491</xdr:row>
      <xdr:rowOff>28575</xdr:rowOff>
    </xdr:from>
    <xdr:to>
      <xdr:col>3</xdr:col>
      <xdr:colOff>1552575</xdr:colOff>
      <xdr:row>4493</xdr:row>
      <xdr:rowOff>419100</xdr:rowOff>
    </xdr:to>
    <xdr:pic>
      <xdr:nvPicPr>
        <xdr:cNvPr id="1546" name="Имя " descr="Descr ">
          <a:extLst>
            <a:ext uri="{FF2B5EF4-FFF2-40B4-BE49-F238E27FC236}">
              <a16:creationId xmlns:a16="http://schemas.microsoft.com/office/drawing/2014/main" id="{00000000-0008-0000-0000-00000A060000}"/>
            </a:ext>
          </a:extLst>
        </xdr:cNvPr>
        <xdr:cNvPicPr>
          <a:picLocks noChangeAspect="1"/>
        </xdr:cNvPicPr>
      </xdr:nvPicPr>
      <xdr:blipFill>
        <a:blip xmlns:r="http://schemas.openxmlformats.org/officeDocument/2006/relationships" r:embed="rId1545"/>
        <a:stretch>
          <a:fillRect/>
        </a:stretch>
      </xdr:blipFill>
      <xdr:spPr>
        <a:prstGeom prst="rect">
          <a:avLst/>
        </a:prstGeom>
        <a:ln w="9525">
          <a:solidFill>
            <a:srgbClr val="000000"/>
          </a:solidFill>
          <a:prstDash val="solid"/>
        </a:ln>
      </xdr:spPr>
    </xdr:pic>
    <xdr:clientData/>
  </xdr:twoCellAnchor>
  <xdr:twoCellAnchor>
    <xdr:from>
      <xdr:col>3</xdr:col>
      <xdr:colOff>114300</xdr:colOff>
      <xdr:row>4494</xdr:row>
      <xdr:rowOff>28575</xdr:rowOff>
    </xdr:from>
    <xdr:to>
      <xdr:col>3</xdr:col>
      <xdr:colOff>1552575</xdr:colOff>
      <xdr:row>4498</xdr:row>
      <xdr:rowOff>333375</xdr:rowOff>
    </xdr:to>
    <xdr:pic>
      <xdr:nvPicPr>
        <xdr:cNvPr id="1547" name="Имя " descr="Descr ">
          <a:extLst>
            <a:ext uri="{FF2B5EF4-FFF2-40B4-BE49-F238E27FC236}">
              <a16:creationId xmlns:a16="http://schemas.microsoft.com/office/drawing/2014/main" id="{00000000-0008-0000-0000-00000B060000}"/>
            </a:ext>
          </a:extLst>
        </xdr:cNvPr>
        <xdr:cNvPicPr>
          <a:picLocks noChangeAspect="1"/>
        </xdr:cNvPicPr>
      </xdr:nvPicPr>
      <xdr:blipFill>
        <a:blip xmlns:r="http://schemas.openxmlformats.org/officeDocument/2006/relationships" r:embed="rId1546"/>
        <a:stretch>
          <a:fillRect/>
        </a:stretch>
      </xdr:blipFill>
      <xdr:spPr>
        <a:prstGeom prst="rect">
          <a:avLst/>
        </a:prstGeom>
        <a:ln w="9525">
          <a:solidFill>
            <a:srgbClr val="000000"/>
          </a:solidFill>
          <a:prstDash val="solid"/>
        </a:ln>
      </xdr:spPr>
    </xdr:pic>
    <xdr:clientData/>
  </xdr:twoCellAnchor>
  <xdr:twoCellAnchor>
    <xdr:from>
      <xdr:col>3</xdr:col>
      <xdr:colOff>114300</xdr:colOff>
      <xdr:row>4499</xdr:row>
      <xdr:rowOff>28575</xdr:rowOff>
    </xdr:from>
    <xdr:to>
      <xdr:col>3</xdr:col>
      <xdr:colOff>1552575</xdr:colOff>
      <xdr:row>4502</xdr:row>
      <xdr:rowOff>209550</xdr:rowOff>
    </xdr:to>
    <xdr:pic>
      <xdr:nvPicPr>
        <xdr:cNvPr id="1548" name="Имя " descr="Descr ">
          <a:extLst>
            <a:ext uri="{FF2B5EF4-FFF2-40B4-BE49-F238E27FC236}">
              <a16:creationId xmlns:a16="http://schemas.microsoft.com/office/drawing/2014/main" id="{00000000-0008-0000-0000-00000C060000}"/>
            </a:ext>
          </a:extLst>
        </xdr:cNvPr>
        <xdr:cNvPicPr>
          <a:picLocks noChangeAspect="1"/>
        </xdr:cNvPicPr>
      </xdr:nvPicPr>
      <xdr:blipFill>
        <a:blip xmlns:r="http://schemas.openxmlformats.org/officeDocument/2006/relationships" r:embed="rId1547"/>
        <a:stretch>
          <a:fillRect/>
        </a:stretch>
      </xdr:blipFill>
      <xdr:spPr>
        <a:prstGeom prst="rect">
          <a:avLst/>
        </a:prstGeom>
        <a:ln w="9525">
          <a:solidFill>
            <a:srgbClr val="000000"/>
          </a:solidFill>
          <a:prstDash val="solid"/>
        </a:ln>
      </xdr:spPr>
    </xdr:pic>
    <xdr:clientData/>
  </xdr:twoCellAnchor>
  <xdr:twoCellAnchor>
    <xdr:from>
      <xdr:col>3</xdr:col>
      <xdr:colOff>114300</xdr:colOff>
      <xdr:row>4503</xdr:row>
      <xdr:rowOff>38100</xdr:rowOff>
    </xdr:from>
    <xdr:to>
      <xdr:col>3</xdr:col>
      <xdr:colOff>1552575</xdr:colOff>
      <xdr:row>4504</xdr:row>
      <xdr:rowOff>638175</xdr:rowOff>
    </xdr:to>
    <xdr:pic>
      <xdr:nvPicPr>
        <xdr:cNvPr id="1549" name="Имя " descr="Descr ">
          <a:extLst>
            <a:ext uri="{FF2B5EF4-FFF2-40B4-BE49-F238E27FC236}">
              <a16:creationId xmlns:a16="http://schemas.microsoft.com/office/drawing/2014/main" id="{00000000-0008-0000-0000-00000D060000}"/>
            </a:ext>
          </a:extLst>
        </xdr:cNvPr>
        <xdr:cNvPicPr>
          <a:picLocks noChangeAspect="1"/>
        </xdr:cNvPicPr>
      </xdr:nvPicPr>
      <xdr:blipFill>
        <a:blip xmlns:r="http://schemas.openxmlformats.org/officeDocument/2006/relationships" r:embed="rId1548"/>
        <a:stretch>
          <a:fillRect/>
        </a:stretch>
      </xdr:blipFill>
      <xdr:spPr>
        <a:prstGeom prst="rect">
          <a:avLst/>
        </a:prstGeom>
        <a:ln w="9525">
          <a:solidFill>
            <a:srgbClr val="000000"/>
          </a:solidFill>
          <a:prstDash val="solid"/>
        </a:ln>
      </xdr:spPr>
    </xdr:pic>
    <xdr:clientData/>
  </xdr:twoCellAnchor>
  <xdr:twoCellAnchor>
    <xdr:from>
      <xdr:col>3</xdr:col>
      <xdr:colOff>114300</xdr:colOff>
      <xdr:row>4505</xdr:row>
      <xdr:rowOff>28575</xdr:rowOff>
    </xdr:from>
    <xdr:to>
      <xdr:col>3</xdr:col>
      <xdr:colOff>1552575</xdr:colOff>
      <xdr:row>4505</xdr:row>
      <xdr:rowOff>1266825</xdr:rowOff>
    </xdr:to>
    <xdr:pic>
      <xdr:nvPicPr>
        <xdr:cNvPr id="1550" name="Имя " descr="Descr ">
          <a:extLst>
            <a:ext uri="{FF2B5EF4-FFF2-40B4-BE49-F238E27FC236}">
              <a16:creationId xmlns:a16="http://schemas.microsoft.com/office/drawing/2014/main" id="{00000000-0008-0000-0000-00000E060000}"/>
            </a:ext>
          </a:extLst>
        </xdr:cNvPr>
        <xdr:cNvPicPr>
          <a:picLocks noChangeAspect="1"/>
        </xdr:cNvPicPr>
      </xdr:nvPicPr>
      <xdr:blipFill>
        <a:blip xmlns:r="http://schemas.openxmlformats.org/officeDocument/2006/relationships" r:embed="rId1549"/>
        <a:stretch>
          <a:fillRect/>
        </a:stretch>
      </xdr:blipFill>
      <xdr:spPr>
        <a:prstGeom prst="rect">
          <a:avLst/>
        </a:prstGeom>
        <a:ln w="9525">
          <a:solidFill>
            <a:srgbClr val="000000"/>
          </a:solidFill>
          <a:prstDash val="solid"/>
        </a:ln>
      </xdr:spPr>
    </xdr:pic>
    <xdr:clientData/>
  </xdr:twoCellAnchor>
  <xdr:twoCellAnchor>
    <xdr:from>
      <xdr:col>3</xdr:col>
      <xdr:colOff>114300</xdr:colOff>
      <xdr:row>4506</xdr:row>
      <xdr:rowOff>28575</xdr:rowOff>
    </xdr:from>
    <xdr:to>
      <xdr:col>3</xdr:col>
      <xdr:colOff>1552575</xdr:colOff>
      <xdr:row>4509</xdr:row>
      <xdr:rowOff>209550</xdr:rowOff>
    </xdr:to>
    <xdr:pic>
      <xdr:nvPicPr>
        <xdr:cNvPr id="1551" name="Имя " descr="Descr ">
          <a:extLst>
            <a:ext uri="{FF2B5EF4-FFF2-40B4-BE49-F238E27FC236}">
              <a16:creationId xmlns:a16="http://schemas.microsoft.com/office/drawing/2014/main" id="{00000000-0008-0000-0000-00000F060000}"/>
            </a:ext>
          </a:extLst>
        </xdr:cNvPr>
        <xdr:cNvPicPr>
          <a:picLocks noChangeAspect="1"/>
        </xdr:cNvPicPr>
      </xdr:nvPicPr>
      <xdr:blipFill>
        <a:blip xmlns:r="http://schemas.openxmlformats.org/officeDocument/2006/relationships" r:embed="rId1550"/>
        <a:stretch>
          <a:fillRect/>
        </a:stretch>
      </xdr:blipFill>
      <xdr:spPr>
        <a:prstGeom prst="rect">
          <a:avLst/>
        </a:prstGeom>
        <a:ln w="9525">
          <a:solidFill>
            <a:srgbClr val="000000"/>
          </a:solidFill>
          <a:prstDash val="solid"/>
        </a:ln>
      </xdr:spPr>
    </xdr:pic>
    <xdr:clientData/>
  </xdr:twoCellAnchor>
  <xdr:twoCellAnchor>
    <xdr:from>
      <xdr:col>3</xdr:col>
      <xdr:colOff>114300</xdr:colOff>
      <xdr:row>4510</xdr:row>
      <xdr:rowOff>28575</xdr:rowOff>
    </xdr:from>
    <xdr:to>
      <xdr:col>3</xdr:col>
      <xdr:colOff>1552575</xdr:colOff>
      <xdr:row>4510</xdr:row>
      <xdr:rowOff>1266825</xdr:rowOff>
    </xdr:to>
    <xdr:pic>
      <xdr:nvPicPr>
        <xdr:cNvPr id="1552" name="Имя " descr="Descr ">
          <a:extLst>
            <a:ext uri="{FF2B5EF4-FFF2-40B4-BE49-F238E27FC236}">
              <a16:creationId xmlns:a16="http://schemas.microsoft.com/office/drawing/2014/main" id="{00000000-0008-0000-0000-000010060000}"/>
            </a:ext>
          </a:extLst>
        </xdr:cNvPr>
        <xdr:cNvPicPr>
          <a:picLocks noChangeAspect="1"/>
        </xdr:cNvPicPr>
      </xdr:nvPicPr>
      <xdr:blipFill>
        <a:blip xmlns:r="http://schemas.openxmlformats.org/officeDocument/2006/relationships" r:embed="rId1551"/>
        <a:stretch>
          <a:fillRect/>
        </a:stretch>
      </xdr:blipFill>
      <xdr:spPr>
        <a:prstGeom prst="rect">
          <a:avLst/>
        </a:prstGeom>
        <a:ln w="9525">
          <a:solidFill>
            <a:srgbClr val="000000"/>
          </a:solidFill>
          <a:prstDash val="solid"/>
        </a:ln>
      </xdr:spPr>
    </xdr:pic>
    <xdr:clientData/>
  </xdr:twoCellAnchor>
  <xdr:twoCellAnchor>
    <xdr:from>
      <xdr:col>3</xdr:col>
      <xdr:colOff>114300</xdr:colOff>
      <xdr:row>4511</xdr:row>
      <xdr:rowOff>28575</xdr:rowOff>
    </xdr:from>
    <xdr:to>
      <xdr:col>3</xdr:col>
      <xdr:colOff>1552575</xdr:colOff>
      <xdr:row>4515</xdr:row>
      <xdr:rowOff>333375</xdr:rowOff>
    </xdr:to>
    <xdr:pic>
      <xdr:nvPicPr>
        <xdr:cNvPr id="1553" name="Имя " descr="Descr ">
          <a:extLst>
            <a:ext uri="{FF2B5EF4-FFF2-40B4-BE49-F238E27FC236}">
              <a16:creationId xmlns:a16="http://schemas.microsoft.com/office/drawing/2014/main" id="{00000000-0008-0000-0000-000011060000}"/>
            </a:ext>
          </a:extLst>
        </xdr:cNvPr>
        <xdr:cNvPicPr>
          <a:picLocks noChangeAspect="1"/>
        </xdr:cNvPicPr>
      </xdr:nvPicPr>
      <xdr:blipFill>
        <a:blip xmlns:r="http://schemas.openxmlformats.org/officeDocument/2006/relationships" r:embed="rId1552"/>
        <a:stretch>
          <a:fillRect/>
        </a:stretch>
      </xdr:blipFill>
      <xdr:spPr>
        <a:prstGeom prst="rect">
          <a:avLst/>
        </a:prstGeom>
        <a:ln w="9525">
          <a:solidFill>
            <a:srgbClr val="000000"/>
          </a:solidFill>
          <a:prstDash val="solid"/>
        </a:ln>
      </xdr:spPr>
    </xdr:pic>
    <xdr:clientData/>
  </xdr:twoCellAnchor>
  <xdr:twoCellAnchor>
    <xdr:from>
      <xdr:col>3</xdr:col>
      <xdr:colOff>114300</xdr:colOff>
      <xdr:row>4516</xdr:row>
      <xdr:rowOff>28575</xdr:rowOff>
    </xdr:from>
    <xdr:to>
      <xdr:col>3</xdr:col>
      <xdr:colOff>1552575</xdr:colOff>
      <xdr:row>4521</xdr:row>
      <xdr:rowOff>209550</xdr:rowOff>
    </xdr:to>
    <xdr:pic>
      <xdr:nvPicPr>
        <xdr:cNvPr id="1554" name="Имя " descr="Descr ">
          <a:extLst>
            <a:ext uri="{FF2B5EF4-FFF2-40B4-BE49-F238E27FC236}">
              <a16:creationId xmlns:a16="http://schemas.microsoft.com/office/drawing/2014/main" id="{00000000-0008-0000-0000-000012060000}"/>
            </a:ext>
          </a:extLst>
        </xdr:cNvPr>
        <xdr:cNvPicPr>
          <a:picLocks noChangeAspect="1"/>
        </xdr:cNvPicPr>
      </xdr:nvPicPr>
      <xdr:blipFill>
        <a:blip xmlns:r="http://schemas.openxmlformats.org/officeDocument/2006/relationships" r:embed="rId1553"/>
        <a:stretch>
          <a:fillRect/>
        </a:stretch>
      </xdr:blipFill>
      <xdr:spPr>
        <a:prstGeom prst="rect">
          <a:avLst/>
        </a:prstGeom>
        <a:ln w="9525">
          <a:solidFill>
            <a:srgbClr val="000000"/>
          </a:solidFill>
          <a:prstDash val="solid"/>
        </a:ln>
      </xdr:spPr>
    </xdr:pic>
    <xdr:clientData/>
  </xdr:twoCellAnchor>
  <xdr:twoCellAnchor>
    <xdr:from>
      <xdr:col>3</xdr:col>
      <xdr:colOff>114300</xdr:colOff>
      <xdr:row>4522</xdr:row>
      <xdr:rowOff>28575</xdr:rowOff>
    </xdr:from>
    <xdr:to>
      <xdr:col>3</xdr:col>
      <xdr:colOff>1552575</xdr:colOff>
      <xdr:row>4524</xdr:row>
      <xdr:rowOff>419100</xdr:rowOff>
    </xdr:to>
    <xdr:pic>
      <xdr:nvPicPr>
        <xdr:cNvPr id="1555" name="Имя " descr="Descr ">
          <a:extLst>
            <a:ext uri="{FF2B5EF4-FFF2-40B4-BE49-F238E27FC236}">
              <a16:creationId xmlns:a16="http://schemas.microsoft.com/office/drawing/2014/main" id="{00000000-0008-0000-0000-000013060000}"/>
            </a:ext>
          </a:extLst>
        </xdr:cNvPr>
        <xdr:cNvPicPr>
          <a:picLocks noChangeAspect="1"/>
        </xdr:cNvPicPr>
      </xdr:nvPicPr>
      <xdr:blipFill>
        <a:blip xmlns:r="http://schemas.openxmlformats.org/officeDocument/2006/relationships" r:embed="rId1554"/>
        <a:stretch>
          <a:fillRect/>
        </a:stretch>
      </xdr:blipFill>
      <xdr:spPr>
        <a:prstGeom prst="rect">
          <a:avLst/>
        </a:prstGeom>
        <a:ln w="9525">
          <a:solidFill>
            <a:srgbClr val="000000"/>
          </a:solidFill>
          <a:prstDash val="solid"/>
        </a:ln>
      </xdr:spPr>
    </xdr:pic>
    <xdr:clientData/>
  </xdr:twoCellAnchor>
  <xdr:twoCellAnchor>
    <xdr:from>
      <xdr:col>3</xdr:col>
      <xdr:colOff>114300</xdr:colOff>
      <xdr:row>4525</xdr:row>
      <xdr:rowOff>28575</xdr:rowOff>
    </xdr:from>
    <xdr:to>
      <xdr:col>3</xdr:col>
      <xdr:colOff>1552575</xdr:colOff>
      <xdr:row>4528</xdr:row>
      <xdr:rowOff>209550</xdr:rowOff>
    </xdr:to>
    <xdr:pic>
      <xdr:nvPicPr>
        <xdr:cNvPr id="1556" name="Имя " descr="Descr ">
          <a:extLst>
            <a:ext uri="{FF2B5EF4-FFF2-40B4-BE49-F238E27FC236}">
              <a16:creationId xmlns:a16="http://schemas.microsoft.com/office/drawing/2014/main" id="{00000000-0008-0000-0000-000014060000}"/>
            </a:ext>
          </a:extLst>
        </xdr:cNvPr>
        <xdr:cNvPicPr>
          <a:picLocks noChangeAspect="1"/>
        </xdr:cNvPicPr>
      </xdr:nvPicPr>
      <xdr:blipFill>
        <a:blip xmlns:r="http://schemas.openxmlformats.org/officeDocument/2006/relationships" r:embed="rId1555"/>
        <a:stretch>
          <a:fillRect/>
        </a:stretch>
      </xdr:blipFill>
      <xdr:spPr>
        <a:prstGeom prst="rect">
          <a:avLst/>
        </a:prstGeom>
        <a:ln w="9525">
          <a:solidFill>
            <a:srgbClr val="000000"/>
          </a:solidFill>
          <a:prstDash val="solid"/>
        </a:ln>
      </xdr:spPr>
    </xdr:pic>
    <xdr:clientData/>
  </xdr:twoCellAnchor>
  <xdr:twoCellAnchor>
    <xdr:from>
      <xdr:col>3</xdr:col>
      <xdr:colOff>114300</xdr:colOff>
      <xdr:row>4529</xdr:row>
      <xdr:rowOff>38100</xdr:rowOff>
    </xdr:from>
    <xdr:to>
      <xdr:col>3</xdr:col>
      <xdr:colOff>1552575</xdr:colOff>
      <xdr:row>4530</xdr:row>
      <xdr:rowOff>638175</xdr:rowOff>
    </xdr:to>
    <xdr:pic>
      <xdr:nvPicPr>
        <xdr:cNvPr id="1557" name="Имя " descr="Descr ">
          <a:extLst>
            <a:ext uri="{FF2B5EF4-FFF2-40B4-BE49-F238E27FC236}">
              <a16:creationId xmlns:a16="http://schemas.microsoft.com/office/drawing/2014/main" id="{00000000-0008-0000-0000-000015060000}"/>
            </a:ext>
          </a:extLst>
        </xdr:cNvPr>
        <xdr:cNvPicPr>
          <a:picLocks noChangeAspect="1"/>
        </xdr:cNvPicPr>
      </xdr:nvPicPr>
      <xdr:blipFill>
        <a:blip xmlns:r="http://schemas.openxmlformats.org/officeDocument/2006/relationships" r:embed="rId1556"/>
        <a:stretch>
          <a:fillRect/>
        </a:stretch>
      </xdr:blipFill>
      <xdr:spPr>
        <a:prstGeom prst="rect">
          <a:avLst/>
        </a:prstGeom>
        <a:ln w="9525">
          <a:solidFill>
            <a:srgbClr val="000000"/>
          </a:solidFill>
          <a:prstDash val="solid"/>
        </a:ln>
      </xdr:spPr>
    </xdr:pic>
    <xdr:clientData/>
  </xdr:twoCellAnchor>
  <xdr:twoCellAnchor>
    <xdr:from>
      <xdr:col>3</xdr:col>
      <xdr:colOff>114300</xdr:colOff>
      <xdr:row>4531</xdr:row>
      <xdr:rowOff>38100</xdr:rowOff>
    </xdr:from>
    <xdr:to>
      <xdr:col>3</xdr:col>
      <xdr:colOff>1552575</xdr:colOff>
      <xdr:row>4532</xdr:row>
      <xdr:rowOff>638175</xdr:rowOff>
    </xdr:to>
    <xdr:pic>
      <xdr:nvPicPr>
        <xdr:cNvPr id="1558" name="Имя " descr="Descr ">
          <a:extLst>
            <a:ext uri="{FF2B5EF4-FFF2-40B4-BE49-F238E27FC236}">
              <a16:creationId xmlns:a16="http://schemas.microsoft.com/office/drawing/2014/main" id="{00000000-0008-0000-0000-000016060000}"/>
            </a:ext>
          </a:extLst>
        </xdr:cNvPr>
        <xdr:cNvPicPr>
          <a:picLocks noChangeAspect="1"/>
        </xdr:cNvPicPr>
      </xdr:nvPicPr>
      <xdr:blipFill>
        <a:blip xmlns:r="http://schemas.openxmlformats.org/officeDocument/2006/relationships" r:embed="rId1557"/>
        <a:stretch>
          <a:fillRect/>
        </a:stretch>
      </xdr:blipFill>
      <xdr:spPr>
        <a:prstGeom prst="rect">
          <a:avLst/>
        </a:prstGeom>
        <a:ln w="9525">
          <a:solidFill>
            <a:srgbClr val="000000"/>
          </a:solidFill>
          <a:prstDash val="solid"/>
        </a:ln>
      </xdr:spPr>
    </xdr:pic>
    <xdr:clientData/>
  </xdr:twoCellAnchor>
  <xdr:twoCellAnchor>
    <xdr:from>
      <xdr:col>3</xdr:col>
      <xdr:colOff>114300</xdr:colOff>
      <xdr:row>4533</xdr:row>
      <xdr:rowOff>28575</xdr:rowOff>
    </xdr:from>
    <xdr:to>
      <xdr:col>3</xdr:col>
      <xdr:colOff>1552575</xdr:colOff>
      <xdr:row>4533</xdr:row>
      <xdr:rowOff>1266825</xdr:rowOff>
    </xdr:to>
    <xdr:pic>
      <xdr:nvPicPr>
        <xdr:cNvPr id="1559" name="Имя " descr="Descr ">
          <a:extLst>
            <a:ext uri="{FF2B5EF4-FFF2-40B4-BE49-F238E27FC236}">
              <a16:creationId xmlns:a16="http://schemas.microsoft.com/office/drawing/2014/main" id="{00000000-0008-0000-0000-000017060000}"/>
            </a:ext>
          </a:extLst>
        </xdr:cNvPr>
        <xdr:cNvPicPr>
          <a:picLocks noChangeAspect="1"/>
        </xdr:cNvPicPr>
      </xdr:nvPicPr>
      <xdr:blipFill>
        <a:blip xmlns:r="http://schemas.openxmlformats.org/officeDocument/2006/relationships" r:embed="rId1558"/>
        <a:stretch>
          <a:fillRect/>
        </a:stretch>
      </xdr:blipFill>
      <xdr:spPr>
        <a:prstGeom prst="rect">
          <a:avLst/>
        </a:prstGeom>
        <a:ln w="9525">
          <a:solidFill>
            <a:srgbClr val="000000"/>
          </a:solidFill>
          <a:prstDash val="solid"/>
        </a:ln>
      </xdr:spPr>
    </xdr:pic>
    <xdr:clientData/>
  </xdr:twoCellAnchor>
  <xdr:twoCellAnchor>
    <xdr:from>
      <xdr:col>3</xdr:col>
      <xdr:colOff>114300</xdr:colOff>
      <xdr:row>4534</xdr:row>
      <xdr:rowOff>38100</xdr:rowOff>
    </xdr:from>
    <xdr:to>
      <xdr:col>3</xdr:col>
      <xdr:colOff>1552575</xdr:colOff>
      <xdr:row>4535</xdr:row>
      <xdr:rowOff>638175</xdr:rowOff>
    </xdr:to>
    <xdr:pic>
      <xdr:nvPicPr>
        <xdr:cNvPr id="1560" name="Имя " descr="Descr ">
          <a:extLst>
            <a:ext uri="{FF2B5EF4-FFF2-40B4-BE49-F238E27FC236}">
              <a16:creationId xmlns:a16="http://schemas.microsoft.com/office/drawing/2014/main" id="{00000000-0008-0000-0000-000018060000}"/>
            </a:ext>
          </a:extLst>
        </xdr:cNvPr>
        <xdr:cNvPicPr>
          <a:picLocks noChangeAspect="1"/>
        </xdr:cNvPicPr>
      </xdr:nvPicPr>
      <xdr:blipFill>
        <a:blip xmlns:r="http://schemas.openxmlformats.org/officeDocument/2006/relationships" r:embed="rId1559"/>
        <a:stretch>
          <a:fillRect/>
        </a:stretch>
      </xdr:blipFill>
      <xdr:spPr>
        <a:prstGeom prst="rect">
          <a:avLst/>
        </a:prstGeom>
        <a:ln w="9525">
          <a:solidFill>
            <a:srgbClr val="000000"/>
          </a:solidFill>
          <a:prstDash val="solid"/>
        </a:ln>
      </xdr:spPr>
    </xdr:pic>
    <xdr:clientData/>
  </xdr:twoCellAnchor>
  <xdr:twoCellAnchor>
    <xdr:from>
      <xdr:col>3</xdr:col>
      <xdr:colOff>114300</xdr:colOff>
      <xdr:row>4536</xdr:row>
      <xdr:rowOff>28575</xdr:rowOff>
    </xdr:from>
    <xdr:to>
      <xdr:col>3</xdr:col>
      <xdr:colOff>1552575</xdr:colOff>
      <xdr:row>4539</xdr:row>
      <xdr:rowOff>209550</xdr:rowOff>
    </xdr:to>
    <xdr:pic>
      <xdr:nvPicPr>
        <xdr:cNvPr id="1561" name="Имя " descr="Descr ">
          <a:extLst>
            <a:ext uri="{FF2B5EF4-FFF2-40B4-BE49-F238E27FC236}">
              <a16:creationId xmlns:a16="http://schemas.microsoft.com/office/drawing/2014/main" id="{00000000-0008-0000-0000-000019060000}"/>
            </a:ext>
          </a:extLst>
        </xdr:cNvPr>
        <xdr:cNvPicPr>
          <a:picLocks noChangeAspect="1"/>
        </xdr:cNvPicPr>
      </xdr:nvPicPr>
      <xdr:blipFill>
        <a:blip xmlns:r="http://schemas.openxmlformats.org/officeDocument/2006/relationships" r:embed="rId1560"/>
        <a:stretch>
          <a:fillRect/>
        </a:stretch>
      </xdr:blipFill>
      <xdr:spPr>
        <a:prstGeom prst="rect">
          <a:avLst/>
        </a:prstGeom>
        <a:ln w="9525">
          <a:solidFill>
            <a:srgbClr val="000000"/>
          </a:solidFill>
          <a:prstDash val="solid"/>
        </a:ln>
      </xdr:spPr>
    </xdr:pic>
    <xdr:clientData/>
  </xdr:twoCellAnchor>
  <xdr:twoCellAnchor>
    <xdr:from>
      <xdr:col>3</xdr:col>
      <xdr:colOff>114300</xdr:colOff>
      <xdr:row>4540</xdr:row>
      <xdr:rowOff>28575</xdr:rowOff>
    </xdr:from>
    <xdr:to>
      <xdr:col>3</xdr:col>
      <xdr:colOff>1552575</xdr:colOff>
      <xdr:row>4542</xdr:row>
      <xdr:rowOff>419100</xdr:rowOff>
    </xdr:to>
    <xdr:pic>
      <xdr:nvPicPr>
        <xdr:cNvPr id="1562" name="Имя " descr="Descr ">
          <a:extLst>
            <a:ext uri="{FF2B5EF4-FFF2-40B4-BE49-F238E27FC236}">
              <a16:creationId xmlns:a16="http://schemas.microsoft.com/office/drawing/2014/main" id="{00000000-0008-0000-0000-00001A060000}"/>
            </a:ext>
          </a:extLst>
        </xdr:cNvPr>
        <xdr:cNvPicPr>
          <a:picLocks noChangeAspect="1"/>
        </xdr:cNvPicPr>
      </xdr:nvPicPr>
      <xdr:blipFill>
        <a:blip xmlns:r="http://schemas.openxmlformats.org/officeDocument/2006/relationships" r:embed="rId1561"/>
        <a:stretch>
          <a:fillRect/>
        </a:stretch>
      </xdr:blipFill>
      <xdr:spPr>
        <a:prstGeom prst="rect">
          <a:avLst/>
        </a:prstGeom>
        <a:ln w="9525">
          <a:solidFill>
            <a:srgbClr val="000000"/>
          </a:solidFill>
          <a:prstDash val="solid"/>
        </a:ln>
      </xdr:spPr>
    </xdr:pic>
    <xdr:clientData/>
  </xdr:twoCellAnchor>
  <xdr:twoCellAnchor>
    <xdr:from>
      <xdr:col>3</xdr:col>
      <xdr:colOff>114300</xdr:colOff>
      <xdr:row>4543</xdr:row>
      <xdr:rowOff>28575</xdr:rowOff>
    </xdr:from>
    <xdr:to>
      <xdr:col>3</xdr:col>
      <xdr:colOff>1552575</xdr:colOff>
      <xdr:row>4546</xdr:row>
      <xdr:rowOff>209550</xdr:rowOff>
    </xdr:to>
    <xdr:pic>
      <xdr:nvPicPr>
        <xdr:cNvPr id="1563" name="Имя " descr="Descr ">
          <a:extLst>
            <a:ext uri="{FF2B5EF4-FFF2-40B4-BE49-F238E27FC236}">
              <a16:creationId xmlns:a16="http://schemas.microsoft.com/office/drawing/2014/main" id="{00000000-0008-0000-0000-00001B060000}"/>
            </a:ext>
          </a:extLst>
        </xdr:cNvPr>
        <xdr:cNvPicPr>
          <a:picLocks noChangeAspect="1"/>
        </xdr:cNvPicPr>
      </xdr:nvPicPr>
      <xdr:blipFill>
        <a:blip xmlns:r="http://schemas.openxmlformats.org/officeDocument/2006/relationships" r:embed="rId1562"/>
        <a:stretch>
          <a:fillRect/>
        </a:stretch>
      </xdr:blipFill>
      <xdr:spPr>
        <a:prstGeom prst="rect">
          <a:avLst/>
        </a:prstGeom>
        <a:ln w="9525">
          <a:solidFill>
            <a:srgbClr val="000000"/>
          </a:solidFill>
          <a:prstDash val="solid"/>
        </a:ln>
      </xdr:spPr>
    </xdr:pic>
    <xdr:clientData/>
  </xdr:twoCellAnchor>
  <xdr:twoCellAnchor>
    <xdr:from>
      <xdr:col>3</xdr:col>
      <xdr:colOff>114300</xdr:colOff>
      <xdr:row>4547</xdr:row>
      <xdr:rowOff>28575</xdr:rowOff>
    </xdr:from>
    <xdr:to>
      <xdr:col>3</xdr:col>
      <xdr:colOff>1552575</xdr:colOff>
      <xdr:row>4547</xdr:row>
      <xdr:rowOff>1266825</xdr:rowOff>
    </xdr:to>
    <xdr:pic>
      <xdr:nvPicPr>
        <xdr:cNvPr id="1564" name="Имя " descr="Descr ">
          <a:extLst>
            <a:ext uri="{FF2B5EF4-FFF2-40B4-BE49-F238E27FC236}">
              <a16:creationId xmlns:a16="http://schemas.microsoft.com/office/drawing/2014/main" id="{00000000-0008-0000-0000-00001C060000}"/>
            </a:ext>
          </a:extLst>
        </xdr:cNvPr>
        <xdr:cNvPicPr>
          <a:picLocks noChangeAspect="1"/>
        </xdr:cNvPicPr>
      </xdr:nvPicPr>
      <xdr:blipFill>
        <a:blip xmlns:r="http://schemas.openxmlformats.org/officeDocument/2006/relationships" r:embed="rId1563"/>
        <a:stretch>
          <a:fillRect/>
        </a:stretch>
      </xdr:blipFill>
      <xdr:spPr>
        <a:prstGeom prst="rect">
          <a:avLst/>
        </a:prstGeom>
        <a:ln w="9525">
          <a:solidFill>
            <a:srgbClr val="000000"/>
          </a:solidFill>
          <a:prstDash val="solid"/>
        </a:ln>
      </xdr:spPr>
    </xdr:pic>
    <xdr:clientData/>
  </xdr:twoCellAnchor>
  <xdr:twoCellAnchor>
    <xdr:from>
      <xdr:col>3</xdr:col>
      <xdr:colOff>114300</xdr:colOff>
      <xdr:row>4548</xdr:row>
      <xdr:rowOff>38100</xdr:rowOff>
    </xdr:from>
    <xdr:to>
      <xdr:col>3</xdr:col>
      <xdr:colOff>1552575</xdr:colOff>
      <xdr:row>4549</xdr:row>
      <xdr:rowOff>638175</xdr:rowOff>
    </xdr:to>
    <xdr:pic>
      <xdr:nvPicPr>
        <xdr:cNvPr id="1565" name="Имя " descr="Descr ">
          <a:extLst>
            <a:ext uri="{FF2B5EF4-FFF2-40B4-BE49-F238E27FC236}">
              <a16:creationId xmlns:a16="http://schemas.microsoft.com/office/drawing/2014/main" id="{00000000-0008-0000-0000-00001D060000}"/>
            </a:ext>
          </a:extLst>
        </xdr:cNvPr>
        <xdr:cNvPicPr>
          <a:picLocks noChangeAspect="1"/>
        </xdr:cNvPicPr>
      </xdr:nvPicPr>
      <xdr:blipFill>
        <a:blip xmlns:r="http://schemas.openxmlformats.org/officeDocument/2006/relationships" r:embed="rId1564"/>
        <a:stretch>
          <a:fillRect/>
        </a:stretch>
      </xdr:blipFill>
      <xdr:spPr>
        <a:prstGeom prst="rect">
          <a:avLst/>
        </a:prstGeom>
        <a:ln w="9525">
          <a:solidFill>
            <a:srgbClr val="000000"/>
          </a:solidFill>
          <a:prstDash val="solid"/>
        </a:ln>
      </xdr:spPr>
    </xdr:pic>
    <xdr:clientData/>
  </xdr:twoCellAnchor>
  <xdr:twoCellAnchor>
    <xdr:from>
      <xdr:col>3</xdr:col>
      <xdr:colOff>114300</xdr:colOff>
      <xdr:row>4550</xdr:row>
      <xdr:rowOff>28575</xdr:rowOff>
    </xdr:from>
    <xdr:to>
      <xdr:col>3</xdr:col>
      <xdr:colOff>1552575</xdr:colOff>
      <xdr:row>4555</xdr:row>
      <xdr:rowOff>209550</xdr:rowOff>
    </xdr:to>
    <xdr:pic>
      <xdr:nvPicPr>
        <xdr:cNvPr id="1566" name="Имя " descr="Descr ">
          <a:extLst>
            <a:ext uri="{FF2B5EF4-FFF2-40B4-BE49-F238E27FC236}">
              <a16:creationId xmlns:a16="http://schemas.microsoft.com/office/drawing/2014/main" id="{00000000-0008-0000-0000-00001E060000}"/>
            </a:ext>
          </a:extLst>
        </xdr:cNvPr>
        <xdr:cNvPicPr>
          <a:picLocks noChangeAspect="1"/>
        </xdr:cNvPicPr>
      </xdr:nvPicPr>
      <xdr:blipFill>
        <a:blip xmlns:r="http://schemas.openxmlformats.org/officeDocument/2006/relationships" r:embed="rId1565"/>
        <a:stretch>
          <a:fillRect/>
        </a:stretch>
      </xdr:blipFill>
      <xdr:spPr>
        <a:prstGeom prst="rect">
          <a:avLst/>
        </a:prstGeom>
        <a:ln w="9525">
          <a:solidFill>
            <a:srgbClr val="000000"/>
          </a:solidFill>
          <a:prstDash val="solid"/>
        </a:ln>
      </xdr:spPr>
    </xdr:pic>
    <xdr:clientData/>
  </xdr:twoCellAnchor>
  <xdr:twoCellAnchor>
    <xdr:from>
      <xdr:col>3</xdr:col>
      <xdr:colOff>114300</xdr:colOff>
      <xdr:row>4556</xdr:row>
      <xdr:rowOff>28575</xdr:rowOff>
    </xdr:from>
    <xdr:to>
      <xdr:col>3</xdr:col>
      <xdr:colOff>1552575</xdr:colOff>
      <xdr:row>4561</xdr:row>
      <xdr:rowOff>209550</xdr:rowOff>
    </xdr:to>
    <xdr:pic>
      <xdr:nvPicPr>
        <xdr:cNvPr id="1567" name="Имя " descr="Descr ">
          <a:extLst>
            <a:ext uri="{FF2B5EF4-FFF2-40B4-BE49-F238E27FC236}">
              <a16:creationId xmlns:a16="http://schemas.microsoft.com/office/drawing/2014/main" id="{00000000-0008-0000-0000-00001F060000}"/>
            </a:ext>
          </a:extLst>
        </xdr:cNvPr>
        <xdr:cNvPicPr>
          <a:picLocks noChangeAspect="1"/>
        </xdr:cNvPicPr>
      </xdr:nvPicPr>
      <xdr:blipFill>
        <a:blip xmlns:r="http://schemas.openxmlformats.org/officeDocument/2006/relationships" r:embed="rId1566"/>
        <a:stretch>
          <a:fillRect/>
        </a:stretch>
      </xdr:blipFill>
      <xdr:spPr>
        <a:prstGeom prst="rect">
          <a:avLst/>
        </a:prstGeom>
        <a:ln w="9525">
          <a:solidFill>
            <a:srgbClr val="000000"/>
          </a:solidFill>
          <a:prstDash val="solid"/>
        </a:ln>
      </xdr:spPr>
    </xdr:pic>
    <xdr:clientData/>
  </xdr:twoCellAnchor>
  <xdr:twoCellAnchor>
    <xdr:from>
      <xdr:col>3</xdr:col>
      <xdr:colOff>114300</xdr:colOff>
      <xdr:row>4562</xdr:row>
      <xdr:rowOff>28575</xdr:rowOff>
    </xdr:from>
    <xdr:to>
      <xdr:col>3</xdr:col>
      <xdr:colOff>1552575</xdr:colOff>
      <xdr:row>4567</xdr:row>
      <xdr:rowOff>209550</xdr:rowOff>
    </xdr:to>
    <xdr:pic>
      <xdr:nvPicPr>
        <xdr:cNvPr id="1568" name="Имя " descr="Descr ">
          <a:extLst>
            <a:ext uri="{FF2B5EF4-FFF2-40B4-BE49-F238E27FC236}">
              <a16:creationId xmlns:a16="http://schemas.microsoft.com/office/drawing/2014/main" id="{00000000-0008-0000-0000-000020060000}"/>
            </a:ext>
          </a:extLst>
        </xdr:cNvPr>
        <xdr:cNvPicPr>
          <a:picLocks noChangeAspect="1"/>
        </xdr:cNvPicPr>
      </xdr:nvPicPr>
      <xdr:blipFill>
        <a:blip xmlns:r="http://schemas.openxmlformats.org/officeDocument/2006/relationships" r:embed="rId1567"/>
        <a:stretch>
          <a:fillRect/>
        </a:stretch>
      </xdr:blipFill>
      <xdr:spPr>
        <a:prstGeom prst="rect">
          <a:avLst/>
        </a:prstGeom>
        <a:ln w="9525">
          <a:solidFill>
            <a:srgbClr val="000000"/>
          </a:solidFill>
          <a:prstDash val="solid"/>
        </a:ln>
      </xdr:spPr>
    </xdr:pic>
    <xdr:clientData/>
  </xdr:twoCellAnchor>
  <xdr:twoCellAnchor>
    <xdr:from>
      <xdr:col>3</xdr:col>
      <xdr:colOff>114300</xdr:colOff>
      <xdr:row>4568</xdr:row>
      <xdr:rowOff>28575</xdr:rowOff>
    </xdr:from>
    <xdr:to>
      <xdr:col>3</xdr:col>
      <xdr:colOff>1552575</xdr:colOff>
      <xdr:row>4568</xdr:row>
      <xdr:rowOff>1266825</xdr:rowOff>
    </xdr:to>
    <xdr:pic>
      <xdr:nvPicPr>
        <xdr:cNvPr id="1569" name="Имя " descr="Descr ">
          <a:extLst>
            <a:ext uri="{FF2B5EF4-FFF2-40B4-BE49-F238E27FC236}">
              <a16:creationId xmlns:a16="http://schemas.microsoft.com/office/drawing/2014/main" id="{00000000-0008-0000-0000-000021060000}"/>
            </a:ext>
          </a:extLst>
        </xdr:cNvPr>
        <xdr:cNvPicPr>
          <a:picLocks noChangeAspect="1"/>
        </xdr:cNvPicPr>
      </xdr:nvPicPr>
      <xdr:blipFill>
        <a:blip xmlns:r="http://schemas.openxmlformats.org/officeDocument/2006/relationships" r:embed="rId1568"/>
        <a:stretch>
          <a:fillRect/>
        </a:stretch>
      </xdr:blipFill>
      <xdr:spPr>
        <a:prstGeom prst="rect">
          <a:avLst/>
        </a:prstGeom>
        <a:ln w="9525">
          <a:solidFill>
            <a:srgbClr val="000000"/>
          </a:solidFill>
          <a:prstDash val="solid"/>
        </a:ln>
      </xdr:spPr>
    </xdr:pic>
    <xdr:clientData/>
  </xdr:twoCellAnchor>
  <xdr:twoCellAnchor>
    <xdr:from>
      <xdr:col>3</xdr:col>
      <xdr:colOff>114300</xdr:colOff>
      <xdr:row>4569</xdr:row>
      <xdr:rowOff>28575</xdr:rowOff>
    </xdr:from>
    <xdr:to>
      <xdr:col>3</xdr:col>
      <xdr:colOff>1552575</xdr:colOff>
      <xdr:row>4571</xdr:row>
      <xdr:rowOff>419100</xdr:rowOff>
    </xdr:to>
    <xdr:pic>
      <xdr:nvPicPr>
        <xdr:cNvPr id="1570" name="Имя " descr="Descr ">
          <a:extLst>
            <a:ext uri="{FF2B5EF4-FFF2-40B4-BE49-F238E27FC236}">
              <a16:creationId xmlns:a16="http://schemas.microsoft.com/office/drawing/2014/main" id="{00000000-0008-0000-0000-000022060000}"/>
            </a:ext>
          </a:extLst>
        </xdr:cNvPr>
        <xdr:cNvPicPr>
          <a:picLocks noChangeAspect="1"/>
        </xdr:cNvPicPr>
      </xdr:nvPicPr>
      <xdr:blipFill>
        <a:blip xmlns:r="http://schemas.openxmlformats.org/officeDocument/2006/relationships" r:embed="rId1569"/>
        <a:stretch>
          <a:fillRect/>
        </a:stretch>
      </xdr:blipFill>
      <xdr:spPr>
        <a:prstGeom prst="rect">
          <a:avLst/>
        </a:prstGeom>
        <a:ln w="9525">
          <a:solidFill>
            <a:srgbClr val="000000"/>
          </a:solidFill>
          <a:prstDash val="solid"/>
        </a:ln>
      </xdr:spPr>
    </xdr:pic>
    <xdr:clientData/>
  </xdr:twoCellAnchor>
  <xdr:twoCellAnchor>
    <xdr:from>
      <xdr:col>3</xdr:col>
      <xdr:colOff>114300</xdr:colOff>
      <xdr:row>4572</xdr:row>
      <xdr:rowOff>28575</xdr:rowOff>
    </xdr:from>
    <xdr:to>
      <xdr:col>3</xdr:col>
      <xdr:colOff>1552575</xdr:colOff>
      <xdr:row>4572</xdr:row>
      <xdr:rowOff>1266825</xdr:rowOff>
    </xdr:to>
    <xdr:pic>
      <xdr:nvPicPr>
        <xdr:cNvPr id="1571" name="Имя " descr="Descr ">
          <a:extLst>
            <a:ext uri="{FF2B5EF4-FFF2-40B4-BE49-F238E27FC236}">
              <a16:creationId xmlns:a16="http://schemas.microsoft.com/office/drawing/2014/main" id="{00000000-0008-0000-0000-000023060000}"/>
            </a:ext>
          </a:extLst>
        </xdr:cNvPr>
        <xdr:cNvPicPr>
          <a:picLocks noChangeAspect="1"/>
        </xdr:cNvPicPr>
      </xdr:nvPicPr>
      <xdr:blipFill>
        <a:blip xmlns:r="http://schemas.openxmlformats.org/officeDocument/2006/relationships" r:embed="rId1570"/>
        <a:stretch>
          <a:fillRect/>
        </a:stretch>
      </xdr:blipFill>
      <xdr:spPr>
        <a:prstGeom prst="rect">
          <a:avLst/>
        </a:prstGeom>
        <a:ln w="9525">
          <a:solidFill>
            <a:srgbClr val="000000"/>
          </a:solidFill>
          <a:prstDash val="solid"/>
        </a:ln>
      </xdr:spPr>
    </xdr:pic>
    <xdr:clientData/>
  </xdr:twoCellAnchor>
  <xdr:twoCellAnchor>
    <xdr:from>
      <xdr:col>3</xdr:col>
      <xdr:colOff>114300</xdr:colOff>
      <xdr:row>4573</xdr:row>
      <xdr:rowOff>28575</xdr:rowOff>
    </xdr:from>
    <xdr:to>
      <xdr:col>3</xdr:col>
      <xdr:colOff>1552575</xdr:colOff>
      <xdr:row>4573</xdr:row>
      <xdr:rowOff>1266825</xdr:rowOff>
    </xdr:to>
    <xdr:pic>
      <xdr:nvPicPr>
        <xdr:cNvPr id="1572" name="Имя " descr="Descr ">
          <a:extLst>
            <a:ext uri="{FF2B5EF4-FFF2-40B4-BE49-F238E27FC236}">
              <a16:creationId xmlns:a16="http://schemas.microsoft.com/office/drawing/2014/main" id="{00000000-0008-0000-0000-000024060000}"/>
            </a:ext>
          </a:extLst>
        </xdr:cNvPr>
        <xdr:cNvPicPr>
          <a:picLocks noChangeAspect="1"/>
        </xdr:cNvPicPr>
      </xdr:nvPicPr>
      <xdr:blipFill>
        <a:blip xmlns:r="http://schemas.openxmlformats.org/officeDocument/2006/relationships" r:embed="rId1571"/>
        <a:stretch>
          <a:fillRect/>
        </a:stretch>
      </xdr:blipFill>
      <xdr:spPr>
        <a:prstGeom prst="rect">
          <a:avLst/>
        </a:prstGeom>
        <a:ln w="9525">
          <a:solidFill>
            <a:srgbClr val="000000"/>
          </a:solidFill>
          <a:prstDash val="solid"/>
        </a:ln>
      </xdr:spPr>
    </xdr:pic>
    <xdr:clientData/>
  </xdr:twoCellAnchor>
  <xdr:twoCellAnchor>
    <xdr:from>
      <xdr:col>3</xdr:col>
      <xdr:colOff>114300</xdr:colOff>
      <xdr:row>4574</xdr:row>
      <xdr:rowOff>28575</xdr:rowOff>
    </xdr:from>
    <xdr:to>
      <xdr:col>3</xdr:col>
      <xdr:colOff>1552575</xdr:colOff>
      <xdr:row>4578</xdr:row>
      <xdr:rowOff>333375</xdr:rowOff>
    </xdr:to>
    <xdr:pic>
      <xdr:nvPicPr>
        <xdr:cNvPr id="1573" name="Имя " descr="Descr ">
          <a:extLst>
            <a:ext uri="{FF2B5EF4-FFF2-40B4-BE49-F238E27FC236}">
              <a16:creationId xmlns:a16="http://schemas.microsoft.com/office/drawing/2014/main" id="{00000000-0008-0000-0000-000025060000}"/>
            </a:ext>
          </a:extLst>
        </xdr:cNvPr>
        <xdr:cNvPicPr>
          <a:picLocks noChangeAspect="1"/>
        </xdr:cNvPicPr>
      </xdr:nvPicPr>
      <xdr:blipFill>
        <a:blip xmlns:r="http://schemas.openxmlformats.org/officeDocument/2006/relationships" r:embed="rId1572"/>
        <a:stretch>
          <a:fillRect/>
        </a:stretch>
      </xdr:blipFill>
      <xdr:spPr>
        <a:prstGeom prst="rect">
          <a:avLst/>
        </a:prstGeom>
        <a:ln w="9525">
          <a:solidFill>
            <a:srgbClr val="000000"/>
          </a:solidFill>
          <a:prstDash val="solid"/>
        </a:ln>
      </xdr:spPr>
    </xdr:pic>
    <xdr:clientData/>
  </xdr:twoCellAnchor>
  <xdr:twoCellAnchor>
    <xdr:from>
      <xdr:col>3</xdr:col>
      <xdr:colOff>114300</xdr:colOff>
      <xdr:row>4579</xdr:row>
      <xdr:rowOff>28575</xdr:rowOff>
    </xdr:from>
    <xdr:to>
      <xdr:col>3</xdr:col>
      <xdr:colOff>1552575</xdr:colOff>
      <xdr:row>4583</xdr:row>
      <xdr:rowOff>333375</xdr:rowOff>
    </xdr:to>
    <xdr:pic>
      <xdr:nvPicPr>
        <xdr:cNvPr id="1574" name="Имя " descr="Descr ">
          <a:extLst>
            <a:ext uri="{FF2B5EF4-FFF2-40B4-BE49-F238E27FC236}">
              <a16:creationId xmlns:a16="http://schemas.microsoft.com/office/drawing/2014/main" id="{00000000-0008-0000-0000-000026060000}"/>
            </a:ext>
          </a:extLst>
        </xdr:cNvPr>
        <xdr:cNvPicPr>
          <a:picLocks noChangeAspect="1"/>
        </xdr:cNvPicPr>
      </xdr:nvPicPr>
      <xdr:blipFill>
        <a:blip xmlns:r="http://schemas.openxmlformats.org/officeDocument/2006/relationships" r:embed="rId1573"/>
        <a:stretch>
          <a:fillRect/>
        </a:stretch>
      </xdr:blipFill>
      <xdr:spPr>
        <a:prstGeom prst="rect">
          <a:avLst/>
        </a:prstGeom>
        <a:ln w="9525">
          <a:solidFill>
            <a:srgbClr val="000000"/>
          </a:solidFill>
          <a:prstDash val="solid"/>
        </a:ln>
      </xdr:spPr>
    </xdr:pic>
    <xdr:clientData/>
  </xdr:twoCellAnchor>
  <xdr:twoCellAnchor>
    <xdr:from>
      <xdr:col>3</xdr:col>
      <xdr:colOff>114300</xdr:colOff>
      <xdr:row>4584</xdr:row>
      <xdr:rowOff>38100</xdr:rowOff>
    </xdr:from>
    <xdr:to>
      <xdr:col>3</xdr:col>
      <xdr:colOff>1552575</xdr:colOff>
      <xdr:row>4585</xdr:row>
      <xdr:rowOff>638175</xdr:rowOff>
    </xdr:to>
    <xdr:pic>
      <xdr:nvPicPr>
        <xdr:cNvPr id="1575" name="Имя " descr="Descr ">
          <a:extLst>
            <a:ext uri="{FF2B5EF4-FFF2-40B4-BE49-F238E27FC236}">
              <a16:creationId xmlns:a16="http://schemas.microsoft.com/office/drawing/2014/main" id="{00000000-0008-0000-0000-000027060000}"/>
            </a:ext>
          </a:extLst>
        </xdr:cNvPr>
        <xdr:cNvPicPr>
          <a:picLocks noChangeAspect="1"/>
        </xdr:cNvPicPr>
      </xdr:nvPicPr>
      <xdr:blipFill>
        <a:blip xmlns:r="http://schemas.openxmlformats.org/officeDocument/2006/relationships" r:embed="rId1574"/>
        <a:stretch>
          <a:fillRect/>
        </a:stretch>
      </xdr:blipFill>
      <xdr:spPr>
        <a:prstGeom prst="rect">
          <a:avLst/>
        </a:prstGeom>
        <a:ln w="9525">
          <a:solidFill>
            <a:srgbClr val="000000"/>
          </a:solidFill>
          <a:prstDash val="solid"/>
        </a:ln>
      </xdr:spPr>
    </xdr:pic>
    <xdr:clientData/>
  </xdr:twoCellAnchor>
  <xdr:twoCellAnchor>
    <xdr:from>
      <xdr:col>3</xdr:col>
      <xdr:colOff>114300</xdr:colOff>
      <xdr:row>4586</xdr:row>
      <xdr:rowOff>28575</xdr:rowOff>
    </xdr:from>
    <xdr:to>
      <xdr:col>3</xdr:col>
      <xdr:colOff>1552575</xdr:colOff>
      <xdr:row>4590</xdr:row>
      <xdr:rowOff>333375</xdr:rowOff>
    </xdr:to>
    <xdr:pic>
      <xdr:nvPicPr>
        <xdr:cNvPr id="1576" name="Имя " descr="Descr ">
          <a:extLst>
            <a:ext uri="{FF2B5EF4-FFF2-40B4-BE49-F238E27FC236}">
              <a16:creationId xmlns:a16="http://schemas.microsoft.com/office/drawing/2014/main" id="{00000000-0008-0000-0000-000028060000}"/>
            </a:ext>
          </a:extLst>
        </xdr:cNvPr>
        <xdr:cNvPicPr>
          <a:picLocks noChangeAspect="1"/>
        </xdr:cNvPicPr>
      </xdr:nvPicPr>
      <xdr:blipFill>
        <a:blip xmlns:r="http://schemas.openxmlformats.org/officeDocument/2006/relationships" r:embed="rId1575"/>
        <a:stretch>
          <a:fillRect/>
        </a:stretch>
      </xdr:blipFill>
      <xdr:spPr>
        <a:prstGeom prst="rect">
          <a:avLst/>
        </a:prstGeom>
        <a:ln w="9525">
          <a:solidFill>
            <a:srgbClr val="000000"/>
          </a:solidFill>
          <a:prstDash val="solid"/>
        </a:ln>
      </xdr:spPr>
    </xdr:pic>
    <xdr:clientData/>
  </xdr:twoCellAnchor>
  <xdr:twoCellAnchor>
    <xdr:from>
      <xdr:col>3</xdr:col>
      <xdr:colOff>114300</xdr:colOff>
      <xdr:row>4591</xdr:row>
      <xdr:rowOff>28575</xdr:rowOff>
    </xdr:from>
    <xdr:to>
      <xdr:col>3</xdr:col>
      <xdr:colOff>1552575</xdr:colOff>
      <xdr:row>4591</xdr:row>
      <xdr:rowOff>1266825</xdr:rowOff>
    </xdr:to>
    <xdr:pic>
      <xdr:nvPicPr>
        <xdr:cNvPr id="1577" name="Имя " descr="Descr ">
          <a:extLst>
            <a:ext uri="{FF2B5EF4-FFF2-40B4-BE49-F238E27FC236}">
              <a16:creationId xmlns:a16="http://schemas.microsoft.com/office/drawing/2014/main" id="{00000000-0008-0000-0000-000029060000}"/>
            </a:ext>
          </a:extLst>
        </xdr:cNvPr>
        <xdr:cNvPicPr>
          <a:picLocks noChangeAspect="1"/>
        </xdr:cNvPicPr>
      </xdr:nvPicPr>
      <xdr:blipFill>
        <a:blip xmlns:r="http://schemas.openxmlformats.org/officeDocument/2006/relationships" r:embed="rId1576"/>
        <a:stretch>
          <a:fillRect/>
        </a:stretch>
      </xdr:blipFill>
      <xdr:spPr>
        <a:prstGeom prst="rect">
          <a:avLst/>
        </a:prstGeom>
        <a:ln w="9525">
          <a:solidFill>
            <a:srgbClr val="000000"/>
          </a:solidFill>
          <a:prstDash val="solid"/>
        </a:ln>
      </xdr:spPr>
    </xdr:pic>
    <xdr:clientData/>
  </xdr:twoCellAnchor>
  <xdr:twoCellAnchor>
    <xdr:from>
      <xdr:col>3</xdr:col>
      <xdr:colOff>114300</xdr:colOff>
      <xdr:row>4592</xdr:row>
      <xdr:rowOff>28575</xdr:rowOff>
    </xdr:from>
    <xdr:to>
      <xdr:col>3</xdr:col>
      <xdr:colOff>1552575</xdr:colOff>
      <xdr:row>4596</xdr:row>
      <xdr:rowOff>333375</xdr:rowOff>
    </xdr:to>
    <xdr:pic>
      <xdr:nvPicPr>
        <xdr:cNvPr id="1578" name="Имя " descr="Descr ">
          <a:extLst>
            <a:ext uri="{FF2B5EF4-FFF2-40B4-BE49-F238E27FC236}">
              <a16:creationId xmlns:a16="http://schemas.microsoft.com/office/drawing/2014/main" id="{00000000-0008-0000-0000-00002A060000}"/>
            </a:ext>
          </a:extLst>
        </xdr:cNvPr>
        <xdr:cNvPicPr>
          <a:picLocks noChangeAspect="1"/>
        </xdr:cNvPicPr>
      </xdr:nvPicPr>
      <xdr:blipFill>
        <a:blip xmlns:r="http://schemas.openxmlformats.org/officeDocument/2006/relationships" r:embed="rId1577"/>
        <a:stretch>
          <a:fillRect/>
        </a:stretch>
      </xdr:blipFill>
      <xdr:spPr>
        <a:prstGeom prst="rect">
          <a:avLst/>
        </a:prstGeom>
        <a:ln w="9525">
          <a:solidFill>
            <a:srgbClr val="000000"/>
          </a:solidFill>
          <a:prstDash val="solid"/>
        </a:ln>
      </xdr:spPr>
    </xdr:pic>
    <xdr:clientData/>
  </xdr:twoCellAnchor>
  <xdr:twoCellAnchor>
    <xdr:from>
      <xdr:col>3</xdr:col>
      <xdr:colOff>114300</xdr:colOff>
      <xdr:row>4597</xdr:row>
      <xdr:rowOff>28575</xdr:rowOff>
    </xdr:from>
    <xdr:to>
      <xdr:col>3</xdr:col>
      <xdr:colOff>1552575</xdr:colOff>
      <xdr:row>4601</xdr:row>
      <xdr:rowOff>333375</xdr:rowOff>
    </xdr:to>
    <xdr:pic>
      <xdr:nvPicPr>
        <xdr:cNvPr id="1579" name="Имя " descr="Descr ">
          <a:extLst>
            <a:ext uri="{FF2B5EF4-FFF2-40B4-BE49-F238E27FC236}">
              <a16:creationId xmlns:a16="http://schemas.microsoft.com/office/drawing/2014/main" id="{00000000-0008-0000-0000-00002B060000}"/>
            </a:ext>
          </a:extLst>
        </xdr:cNvPr>
        <xdr:cNvPicPr>
          <a:picLocks noChangeAspect="1"/>
        </xdr:cNvPicPr>
      </xdr:nvPicPr>
      <xdr:blipFill>
        <a:blip xmlns:r="http://schemas.openxmlformats.org/officeDocument/2006/relationships" r:embed="rId1578"/>
        <a:stretch>
          <a:fillRect/>
        </a:stretch>
      </xdr:blipFill>
      <xdr:spPr>
        <a:prstGeom prst="rect">
          <a:avLst/>
        </a:prstGeom>
        <a:ln w="9525">
          <a:solidFill>
            <a:srgbClr val="000000"/>
          </a:solidFill>
          <a:prstDash val="solid"/>
        </a:ln>
      </xdr:spPr>
    </xdr:pic>
    <xdr:clientData/>
  </xdr:twoCellAnchor>
  <xdr:twoCellAnchor>
    <xdr:from>
      <xdr:col>3</xdr:col>
      <xdr:colOff>114300</xdr:colOff>
      <xdr:row>4602</xdr:row>
      <xdr:rowOff>28575</xdr:rowOff>
    </xdr:from>
    <xdr:to>
      <xdr:col>3</xdr:col>
      <xdr:colOff>1552575</xdr:colOff>
      <xdr:row>4605</xdr:row>
      <xdr:rowOff>209550</xdr:rowOff>
    </xdr:to>
    <xdr:pic>
      <xdr:nvPicPr>
        <xdr:cNvPr id="1580" name="Имя " descr="Descr ">
          <a:extLst>
            <a:ext uri="{FF2B5EF4-FFF2-40B4-BE49-F238E27FC236}">
              <a16:creationId xmlns:a16="http://schemas.microsoft.com/office/drawing/2014/main" id="{00000000-0008-0000-0000-00002C060000}"/>
            </a:ext>
          </a:extLst>
        </xdr:cNvPr>
        <xdr:cNvPicPr>
          <a:picLocks noChangeAspect="1"/>
        </xdr:cNvPicPr>
      </xdr:nvPicPr>
      <xdr:blipFill>
        <a:blip xmlns:r="http://schemas.openxmlformats.org/officeDocument/2006/relationships" r:embed="rId1579"/>
        <a:stretch>
          <a:fillRect/>
        </a:stretch>
      </xdr:blipFill>
      <xdr:spPr>
        <a:prstGeom prst="rect">
          <a:avLst/>
        </a:prstGeom>
        <a:ln w="9525">
          <a:solidFill>
            <a:srgbClr val="000000"/>
          </a:solidFill>
          <a:prstDash val="solid"/>
        </a:ln>
      </xdr:spPr>
    </xdr:pic>
    <xdr:clientData/>
  </xdr:twoCellAnchor>
  <xdr:twoCellAnchor>
    <xdr:from>
      <xdr:col>3</xdr:col>
      <xdr:colOff>114300</xdr:colOff>
      <xdr:row>4606</xdr:row>
      <xdr:rowOff>28575</xdr:rowOff>
    </xdr:from>
    <xdr:to>
      <xdr:col>3</xdr:col>
      <xdr:colOff>1552575</xdr:colOff>
      <xdr:row>4609</xdr:row>
      <xdr:rowOff>209550</xdr:rowOff>
    </xdr:to>
    <xdr:pic>
      <xdr:nvPicPr>
        <xdr:cNvPr id="1581" name="Имя " descr="Descr ">
          <a:extLst>
            <a:ext uri="{FF2B5EF4-FFF2-40B4-BE49-F238E27FC236}">
              <a16:creationId xmlns:a16="http://schemas.microsoft.com/office/drawing/2014/main" id="{00000000-0008-0000-0000-00002D060000}"/>
            </a:ext>
          </a:extLst>
        </xdr:cNvPr>
        <xdr:cNvPicPr>
          <a:picLocks noChangeAspect="1"/>
        </xdr:cNvPicPr>
      </xdr:nvPicPr>
      <xdr:blipFill>
        <a:blip xmlns:r="http://schemas.openxmlformats.org/officeDocument/2006/relationships" r:embed="rId1580"/>
        <a:stretch>
          <a:fillRect/>
        </a:stretch>
      </xdr:blipFill>
      <xdr:spPr>
        <a:prstGeom prst="rect">
          <a:avLst/>
        </a:prstGeom>
        <a:ln w="9525">
          <a:solidFill>
            <a:srgbClr val="000000"/>
          </a:solidFill>
          <a:prstDash val="solid"/>
        </a:ln>
      </xdr:spPr>
    </xdr:pic>
    <xdr:clientData/>
  </xdr:twoCellAnchor>
  <xdr:twoCellAnchor>
    <xdr:from>
      <xdr:col>3</xdr:col>
      <xdr:colOff>114300</xdr:colOff>
      <xdr:row>4610</xdr:row>
      <xdr:rowOff>28575</xdr:rowOff>
    </xdr:from>
    <xdr:to>
      <xdr:col>3</xdr:col>
      <xdr:colOff>1552575</xdr:colOff>
      <xdr:row>4610</xdr:row>
      <xdr:rowOff>1266825</xdr:rowOff>
    </xdr:to>
    <xdr:pic>
      <xdr:nvPicPr>
        <xdr:cNvPr id="1582" name="Имя " descr="Descr ">
          <a:extLst>
            <a:ext uri="{FF2B5EF4-FFF2-40B4-BE49-F238E27FC236}">
              <a16:creationId xmlns:a16="http://schemas.microsoft.com/office/drawing/2014/main" id="{00000000-0008-0000-0000-00002E060000}"/>
            </a:ext>
          </a:extLst>
        </xdr:cNvPr>
        <xdr:cNvPicPr>
          <a:picLocks noChangeAspect="1"/>
        </xdr:cNvPicPr>
      </xdr:nvPicPr>
      <xdr:blipFill>
        <a:blip xmlns:r="http://schemas.openxmlformats.org/officeDocument/2006/relationships" r:embed="rId1581"/>
        <a:stretch>
          <a:fillRect/>
        </a:stretch>
      </xdr:blipFill>
      <xdr:spPr>
        <a:prstGeom prst="rect">
          <a:avLst/>
        </a:prstGeom>
        <a:ln w="9525">
          <a:solidFill>
            <a:srgbClr val="000000"/>
          </a:solidFill>
          <a:prstDash val="solid"/>
        </a:ln>
      </xdr:spPr>
    </xdr:pic>
    <xdr:clientData/>
  </xdr:twoCellAnchor>
  <xdr:twoCellAnchor>
    <xdr:from>
      <xdr:col>3</xdr:col>
      <xdr:colOff>114300</xdr:colOff>
      <xdr:row>4611</xdr:row>
      <xdr:rowOff>28575</xdr:rowOff>
    </xdr:from>
    <xdr:to>
      <xdr:col>3</xdr:col>
      <xdr:colOff>1552575</xdr:colOff>
      <xdr:row>4614</xdr:row>
      <xdr:rowOff>209550</xdr:rowOff>
    </xdr:to>
    <xdr:pic>
      <xdr:nvPicPr>
        <xdr:cNvPr id="1583" name="Имя " descr="Descr ">
          <a:extLst>
            <a:ext uri="{FF2B5EF4-FFF2-40B4-BE49-F238E27FC236}">
              <a16:creationId xmlns:a16="http://schemas.microsoft.com/office/drawing/2014/main" id="{00000000-0008-0000-0000-00002F060000}"/>
            </a:ext>
          </a:extLst>
        </xdr:cNvPr>
        <xdr:cNvPicPr>
          <a:picLocks noChangeAspect="1"/>
        </xdr:cNvPicPr>
      </xdr:nvPicPr>
      <xdr:blipFill>
        <a:blip xmlns:r="http://schemas.openxmlformats.org/officeDocument/2006/relationships" r:embed="rId1582"/>
        <a:stretch>
          <a:fillRect/>
        </a:stretch>
      </xdr:blipFill>
      <xdr:spPr>
        <a:prstGeom prst="rect">
          <a:avLst/>
        </a:prstGeom>
        <a:ln w="9525">
          <a:solidFill>
            <a:srgbClr val="000000"/>
          </a:solidFill>
          <a:prstDash val="solid"/>
        </a:ln>
      </xdr:spPr>
    </xdr:pic>
    <xdr:clientData/>
  </xdr:twoCellAnchor>
  <xdr:twoCellAnchor>
    <xdr:from>
      <xdr:col>3</xdr:col>
      <xdr:colOff>114300</xdr:colOff>
      <xdr:row>4615</xdr:row>
      <xdr:rowOff>38100</xdr:rowOff>
    </xdr:from>
    <xdr:to>
      <xdr:col>3</xdr:col>
      <xdr:colOff>1552575</xdr:colOff>
      <xdr:row>4616</xdr:row>
      <xdr:rowOff>638175</xdr:rowOff>
    </xdr:to>
    <xdr:pic>
      <xdr:nvPicPr>
        <xdr:cNvPr id="1584" name="Имя " descr="Descr ">
          <a:extLst>
            <a:ext uri="{FF2B5EF4-FFF2-40B4-BE49-F238E27FC236}">
              <a16:creationId xmlns:a16="http://schemas.microsoft.com/office/drawing/2014/main" id="{00000000-0008-0000-0000-000030060000}"/>
            </a:ext>
          </a:extLst>
        </xdr:cNvPr>
        <xdr:cNvPicPr>
          <a:picLocks noChangeAspect="1"/>
        </xdr:cNvPicPr>
      </xdr:nvPicPr>
      <xdr:blipFill>
        <a:blip xmlns:r="http://schemas.openxmlformats.org/officeDocument/2006/relationships" r:embed="rId1583"/>
        <a:stretch>
          <a:fillRect/>
        </a:stretch>
      </xdr:blipFill>
      <xdr:spPr>
        <a:prstGeom prst="rect">
          <a:avLst/>
        </a:prstGeom>
        <a:ln w="9525">
          <a:solidFill>
            <a:srgbClr val="000000"/>
          </a:solidFill>
          <a:prstDash val="solid"/>
        </a:ln>
      </xdr:spPr>
    </xdr:pic>
    <xdr:clientData/>
  </xdr:twoCellAnchor>
  <xdr:twoCellAnchor>
    <xdr:from>
      <xdr:col>3</xdr:col>
      <xdr:colOff>114300</xdr:colOff>
      <xdr:row>4617</xdr:row>
      <xdr:rowOff>28575</xdr:rowOff>
    </xdr:from>
    <xdr:to>
      <xdr:col>3</xdr:col>
      <xdr:colOff>1552575</xdr:colOff>
      <xdr:row>4621</xdr:row>
      <xdr:rowOff>333375</xdr:rowOff>
    </xdr:to>
    <xdr:pic>
      <xdr:nvPicPr>
        <xdr:cNvPr id="1585" name="Имя " descr="Descr ">
          <a:extLst>
            <a:ext uri="{FF2B5EF4-FFF2-40B4-BE49-F238E27FC236}">
              <a16:creationId xmlns:a16="http://schemas.microsoft.com/office/drawing/2014/main" id="{00000000-0008-0000-0000-000031060000}"/>
            </a:ext>
          </a:extLst>
        </xdr:cNvPr>
        <xdr:cNvPicPr>
          <a:picLocks noChangeAspect="1"/>
        </xdr:cNvPicPr>
      </xdr:nvPicPr>
      <xdr:blipFill>
        <a:blip xmlns:r="http://schemas.openxmlformats.org/officeDocument/2006/relationships" r:embed="rId1584"/>
        <a:stretch>
          <a:fillRect/>
        </a:stretch>
      </xdr:blipFill>
      <xdr:spPr>
        <a:prstGeom prst="rect">
          <a:avLst/>
        </a:prstGeom>
        <a:ln w="9525">
          <a:solidFill>
            <a:srgbClr val="000000"/>
          </a:solidFill>
          <a:prstDash val="solid"/>
        </a:ln>
      </xdr:spPr>
    </xdr:pic>
    <xdr:clientData/>
  </xdr:twoCellAnchor>
  <xdr:twoCellAnchor>
    <xdr:from>
      <xdr:col>3</xdr:col>
      <xdr:colOff>114300</xdr:colOff>
      <xdr:row>4622</xdr:row>
      <xdr:rowOff>28575</xdr:rowOff>
    </xdr:from>
    <xdr:to>
      <xdr:col>3</xdr:col>
      <xdr:colOff>1552575</xdr:colOff>
      <xdr:row>4625</xdr:row>
      <xdr:rowOff>209550</xdr:rowOff>
    </xdr:to>
    <xdr:pic>
      <xdr:nvPicPr>
        <xdr:cNvPr id="1586" name="Имя " descr="Descr ">
          <a:extLst>
            <a:ext uri="{FF2B5EF4-FFF2-40B4-BE49-F238E27FC236}">
              <a16:creationId xmlns:a16="http://schemas.microsoft.com/office/drawing/2014/main" id="{00000000-0008-0000-0000-000032060000}"/>
            </a:ext>
          </a:extLst>
        </xdr:cNvPr>
        <xdr:cNvPicPr>
          <a:picLocks noChangeAspect="1"/>
        </xdr:cNvPicPr>
      </xdr:nvPicPr>
      <xdr:blipFill>
        <a:blip xmlns:r="http://schemas.openxmlformats.org/officeDocument/2006/relationships" r:embed="rId1585"/>
        <a:stretch>
          <a:fillRect/>
        </a:stretch>
      </xdr:blipFill>
      <xdr:spPr>
        <a:prstGeom prst="rect">
          <a:avLst/>
        </a:prstGeom>
        <a:ln w="9525">
          <a:solidFill>
            <a:srgbClr val="000000"/>
          </a:solidFill>
          <a:prstDash val="solid"/>
        </a:ln>
      </xdr:spPr>
    </xdr:pic>
    <xdr:clientData/>
  </xdr:twoCellAnchor>
  <xdr:twoCellAnchor>
    <xdr:from>
      <xdr:col>3</xdr:col>
      <xdr:colOff>114300</xdr:colOff>
      <xdr:row>4626</xdr:row>
      <xdr:rowOff>28575</xdr:rowOff>
    </xdr:from>
    <xdr:to>
      <xdr:col>3</xdr:col>
      <xdr:colOff>1552575</xdr:colOff>
      <xdr:row>4630</xdr:row>
      <xdr:rowOff>333375</xdr:rowOff>
    </xdr:to>
    <xdr:pic>
      <xdr:nvPicPr>
        <xdr:cNvPr id="1587" name="Имя " descr="Descr ">
          <a:extLst>
            <a:ext uri="{FF2B5EF4-FFF2-40B4-BE49-F238E27FC236}">
              <a16:creationId xmlns:a16="http://schemas.microsoft.com/office/drawing/2014/main" id="{00000000-0008-0000-0000-000033060000}"/>
            </a:ext>
          </a:extLst>
        </xdr:cNvPr>
        <xdr:cNvPicPr>
          <a:picLocks noChangeAspect="1"/>
        </xdr:cNvPicPr>
      </xdr:nvPicPr>
      <xdr:blipFill>
        <a:blip xmlns:r="http://schemas.openxmlformats.org/officeDocument/2006/relationships" r:embed="rId1586"/>
        <a:stretch>
          <a:fillRect/>
        </a:stretch>
      </xdr:blipFill>
      <xdr:spPr>
        <a:prstGeom prst="rect">
          <a:avLst/>
        </a:prstGeom>
        <a:ln w="9525">
          <a:solidFill>
            <a:srgbClr val="000000"/>
          </a:solidFill>
          <a:prstDash val="solid"/>
        </a:ln>
      </xdr:spPr>
    </xdr:pic>
    <xdr:clientData/>
  </xdr:twoCellAnchor>
  <xdr:twoCellAnchor>
    <xdr:from>
      <xdr:col>3</xdr:col>
      <xdr:colOff>114300</xdr:colOff>
      <xdr:row>4631</xdr:row>
      <xdr:rowOff>38100</xdr:rowOff>
    </xdr:from>
    <xdr:to>
      <xdr:col>3</xdr:col>
      <xdr:colOff>1552575</xdr:colOff>
      <xdr:row>4632</xdr:row>
      <xdr:rowOff>638175</xdr:rowOff>
    </xdr:to>
    <xdr:pic>
      <xdr:nvPicPr>
        <xdr:cNvPr id="1588" name="Имя " descr="Descr ">
          <a:extLst>
            <a:ext uri="{FF2B5EF4-FFF2-40B4-BE49-F238E27FC236}">
              <a16:creationId xmlns:a16="http://schemas.microsoft.com/office/drawing/2014/main" id="{00000000-0008-0000-0000-000034060000}"/>
            </a:ext>
          </a:extLst>
        </xdr:cNvPr>
        <xdr:cNvPicPr>
          <a:picLocks noChangeAspect="1"/>
        </xdr:cNvPicPr>
      </xdr:nvPicPr>
      <xdr:blipFill>
        <a:blip xmlns:r="http://schemas.openxmlformats.org/officeDocument/2006/relationships" r:embed="rId1587"/>
        <a:stretch>
          <a:fillRect/>
        </a:stretch>
      </xdr:blipFill>
      <xdr:spPr>
        <a:prstGeom prst="rect">
          <a:avLst/>
        </a:prstGeom>
        <a:ln w="9525">
          <a:solidFill>
            <a:srgbClr val="000000"/>
          </a:solidFill>
          <a:prstDash val="solid"/>
        </a:ln>
      </xdr:spPr>
    </xdr:pic>
    <xdr:clientData/>
  </xdr:twoCellAnchor>
  <xdr:twoCellAnchor>
    <xdr:from>
      <xdr:col>3</xdr:col>
      <xdr:colOff>114300</xdr:colOff>
      <xdr:row>4633</xdr:row>
      <xdr:rowOff>28575</xdr:rowOff>
    </xdr:from>
    <xdr:to>
      <xdr:col>3</xdr:col>
      <xdr:colOff>1552575</xdr:colOff>
      <xdr:row>4635</xdr:row>
      <xdr:rowOff>419100</xdr:rowOff>
    </xdr:to>
    <xdr:pic>
      <xdr:nvPicPr>
        <xdr:cNvPr id="1589" name="Имя " descr="Descr ">
          <a:extLst>
            <a:ext uri="{FF2B5EF4-FFF2-40B4-BE49-F238E27FC236}">
              <a16:creationId xmlns:a16="http://schemas.microsoft.com/office/drawing/2014/main" id="{00000000-0008-0000-0000-000035060000}"/>
            </a:ext>
          </a:extLst>
        </xdr:cNvPr>
        <xdr:cNvPicPr>
          <a:picLocks noChangeAspect="1"/>
        </xdr:cNvPicPr>
      </xdr:nvPicPr>
      <xdr:blipFill>
        <a:blip xmlns:r="http://schemas.openxmlformats.org/officeDocument/2006/relationships" r:embed="rId1588"/>
        <a:stretch>
          <a:fillRect/>
        </a:stretch>
      </xdr:blipFill>
      <xdr:spPr>
        <a:prstGeom prst="rect">
          <a:avLst/>
        </a:prstGeom>
        <a:ln w="9525">
          <a:solidFill>
            <a:srgbClr val="000000"/>
          </a:solidFill>
          <a:prstDash val="solid"/>
        </a:ln>
      </xdr:spPr>
    </xdr:pic>
    <xdr:clientData/>
  </xdr:twoCellAnchor>
  <xdr:twoCellAnchor>
    <xdr:from>
      <xdr:col>3</xdr:col>
      <xdr:colOff>114300</xdr:colOff>
      <xdr:row>4636</xdr:row>
      <xdr:rowOff>28575</xdr:rowOff>
    </xdr:from>
    <xdr:to>
      <xdr:col>3</xdr:col>
      <xdr:colOff>1552575</xdr:colOff>
      <xdr:row>4636</xdr:row>
      <xdr:rowOff>1266825</xdr:rowOff>
    </xdr:to>
    <xdr:pic>
      <xdr:nvPicPr>
        <xdr:cNvPr id="1590" name="Имя " descr="Descr ">
          <a:extLst>
            <a:ext uri="{FF2B5EF4-FFF2-40B4-BE49-F238E27FC236}">
              <a16:creationId xmlns:a16="http://schemas.microsoft.com/office/drawing/2014/main" id="{00000000-0008-0000-0000-000036060000}"/>
            </a:ext>
          </a:extLst>
        </xdr:cNvPr>
        <xdr:cNvPicPr>
          <a:picLocks noChangeAspect="1"/>
        </xdr:cNvPicPr>
      </xdr:nvPicPr>
      <xdr:blipFill>
        <a:blip xmlns:r="http://schemas.openxmlformats.org/officeDocument/2006/relationships" r:embed="rId1589"/>
        <a:stretch>
          <a:fillRect/>
        </a:stretch>
      </xdr:blipFill>
      <xdr:spPr>
        <a:prstGeom prst="rect">
          <a:avLst/>
        </a:prstGeom>
        <a:ln w="9525">
          <a:solidFill>
            <a:srgbClr val="000000"/>
          </a:solidFill>
          <a:prstDash val="solid"/>
        </a:ln>
      </xdr:spPr>
    </xdr:pic>
    <xdr:clientData/>
  </xdr:twoCellAnchor>
  <xdr:twoCellAnchor>
    <xdr:from>
      <xdr:col>3</xdr:col>
      <xdr:colOff>114300</xdr:colOff>
      <xdr:row>4637</xdr:row>
      <xdr:rowOff>28575</xdr:rowOff>
    </xdr:from>
    <xdr:to>
      <xdr:col>3</xdr:col>
      <xdr:colOff>1552575</xdr:colOff>
      <xdr:row>4641</xdr:row>
      <xdr:rowOff>333375</xdr:rowOff>
    </xdr:to>
    <xdr:pic>
      <xdr:nvPicPr>
        <xdr:cNvPr id="1591" name="Имя " descr="Descr ">
          <a:extLst>
            <a:ext uri="{FF2B5EF4-FFF2-40B4-BE49-F238E27FC236}">
              <a16:creationId xmlns:a16="http://schemas.microsoft.com/office/drawing/2014/main" id="{00000000-0008-0000-0000-000037060000}"/>
            </a:ext>
          </a:extLst>
        </xdr:cNvPr>
        <xdr:cNvPicPr>
          <a:picLocks noChangeAspect="1"/>
        </xdr:cNvPicPr>
      </xdr:nvPicPr>
      <xdr:blipFill>
        <a:blip xmlns:r="http://schemas.openxmlformats.org/officeDocument/2006/relationships" r:embed="rId1590"/>
        <a:stretch>
          <a:fillRect/>
        </a:stretch>
      </xdr:blipFill>
      <xdr:spPr>
        <a:prstGeom prst="rect">
          <a:avLst/>
        </a:prstGeom>
        <a:ln w="9525">
          <a:solidFill>
            <a:srgbClr val="000000"/>
          </a:solidFill>
          <a:prstDash val="solid"/>
        </a:ln>
      </xdr:spPr>
    </xdr:pic>
    <xdr:clientData/>
  </xdr:twoCellAnchor>
  <xdr:twoCellAnchor>
    <xdr:from>
      <xdr:col>3</xdr:col>
      <xdr:colOff>114300</xdr:colOff>
      <xdr:row>4642</xdr:row>
      <xdr:rowOff>28575</xdr:rowOff>
    </xdr:from>
    <xdr:to>
      <xdr:col>3</xdr:col>
      <xdr:colOff>1552575</xdr:colOff>
      <xdr:row>4647</xdr:row>
      <xdr:rowOff>209550</xdr:rowOff>
    </xdr:to>
    <xdr:pic>
      <xdr:nvPicPr>
        <xdr:cNvPr id="1592" name="Имя " descr="Descr ">
          <a:extLst>
            <a:ext uri="{FF2B5EF4-FFF2-40B4-BE49-F238E27FC236}">
              <a16:creationId xmlns:a16="http://schemas.microsoft.com/office/drawing/2014/main" id="{00000000-0008-0000-0000-000038060000}"/>
            </a:ext>
          </a:extLst>
        </xdr:cNvPr>
        <xdr:cNvPicPr>
          <a:picLocks noChangeAspect="1"/>
        </xdr:cNvPicPr>
      </xdr:nvPicPr>
      <xdr:blipFill>
        <a:blip xmlns:r="http://schemas.openxmlformats.org/officeDocument/2006/relationships" r:embed="rId1591"/>
        <a:stretch>
          <a:fillRect/>
        </a:stretch>
      </xdr:blipFill>
      <xdr:spPr>
        <a:prstGeom prst="rect">
          <a:avLst/>
        </a:prstGeom>
        <a:ln w="9525">
          <a:solidFill>
            <a:srgbClr val="000000"/>
          </a:solidFill>
          <a:prstDash val="solid"/>
        </a:ln>
      </xdr:spPr>
    </xdr:pic>
    <xdr:clientData/>
  </xdr:twoCellAnchor>
  <xdr:twoCellAnchor>
    <xdr:from>
      <xdr:col>3</xdr:col>
      <xdr:colOff>114300</xdr:colOff>
      <xdr:row>4648</xdr:row>
      <xdr:rowOff>28575</xdr:rowOff>
    </xdr:from>
    <xdr:to>
      <xdr:col>3</xdr:col>
      <xdr:colOff>1552575</xdr:colOff>
      <xdr:row>4654</xdr:row>
      <xdr:rowOff>171450</xdr:rowOff>
    </xdr:to>
    <xdr:pic>
      <xdr:nvPicPr>
        <xdr:cNvPr id="1593" name="Имя " descr="Descr ">
          <a:extLst>
            <a:ext uri="{FF2B5EF4-FFF2-40B4-BE49-F238E27FC236}">
              <a16:creationId xmlns:a16="http://schemas.microsoft.com/office/drawing/2014/main" id="{00000000-0008-0000-0000-000039060000}"/>
            </a:ext>
          </a:extLst>
        </xdr:cNvPr>
        <xdr:cNvPicPr>
          <a:picLocks noChangeAspect="1"/>
        </xdr:cNvPicPr>
      </xdr:nvPicPr>
      <xdr:blipFill>
        <a:blip xmlns:r="http://schemas.openxmlformats.org/officeDocument/2006/relationships" r:embed="rId1592"/>
        <a:stretch>
          <a:fillRect/>
        </a:stretch>
      </xdr:blipFill>
      <xdr:spPr>
        <a:prstGeom prst="rect">
          <a:avLst/>
        </a:prstGeom>
        <a:ln w="9525">
          <a:solidFill>
            <a:srgbClr val="000000"/>
          </a:solidFill>
          <a:prstDash val="solid"/>
        </a:ln>
      </xdr:spPr>
    </xdr:pic>
    <xdr:clientData/>
  </xdr:twoCellAnchor>
  <xdr:twoCellAnchor>
    <xdr:from>
      <xdr:col>3</xdr:col>
      <xdr:colOff>114300</xdr:colOff>
      <xdr:row>4655</xdr:row>
      <xdr:rowOff>28575</xdr:rowOff>
    </xdr:from>
    <xdr:to>
      <xdr:col>3</xdr:col>
      <xdr:colOff>1552575</xdr:colOff>
      <xdr:row>4655</xdr:row>
      <xdr:rowOff>1266825</xdr:rowOff>
    </xdr:to>
    <xdr:pic>
      <xdr:nvPicPr>
        <xdr:cNvPr id="1594" name="Имя " descr="Descr ">
          <a:extLst>
            <a:ext uri="{FF2B5EF4-FFF2-40B4-BE49-F238E27FC236}">
              <a16:creationId xmlns:a16="http://schemas.microsoft.com/office/drawing/2014/main" id="{00000000-0008-0000-0000-00003A060000}"/>
            </a:ext>
          </a:extLst>
        </xdr:cNvPr>
        <xdr:cNvPicPr>
          <a:picLocks noChangeAspect="1"/>
        </xdr:cNvPicPr>
      </xdr:nvPicPr>
      <xdr:blipFill>
        <a:blip xmlns:r="http://schemas.openxmlformats.org/officeDocument/2006/relationships" r:embed="rId1593"/>
        <a:stretch>
          <a:fillRect/>
        </a:stretch>
      </xdr:blipFill>
      <xdr:spPr>
        <a:prstGeom prst="rect">
          <a:avLst/>
        </a:prstGeom>
        <a:ln w="9525">
          <a:solidFill>
            <a:srgbClr val="000000"/>
          </a:solidFill>
          <a:prstDash val="solid"/>
        </a:ln>
      </xdr:spPr>
    </xdr:pic>
    <xdr:clientData/>
  </xdr:twoCellAnchor>
  <xdr:twoCellAnchor>
    <xdr:from>
      <xdr:col>3</xdr:col>
      <xdr:colOff>114300</xdr:colOff>
      <xdr:row>4656</xdr:row>
      <xdr:rowOff>28575</xdr:rowOff>
    </xdr:from>
    <xdr:to>
      <xdr:col>3</xdr:col>
      <xdr:colOff>1552575</xdr:colOff>
      <xdr:row>4656</xdr:row>
      <xdr:rowOff>1266825</xdr:rowOff>
    </xdr:to>
    <xdr:pic>
      <xdr:nvPicPr>
        <xdr:cNvPr id="1595" name="Имя " descr="Descr ">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594"/>
        <a:stretch>
          <a:fillRect/>
        </a:stretch>
      </xdr:blipFill>
      <xdr:spPr>
        <a:prstGeom prst="rect">
          <a:avLst/>
        </a:prstGeom>
        <a:ln w="9525">
          <a:solidFill>
            <a:srgbClr val="000000"/>
          </a:solidFill>
          <a:prstDash val="solid"/>
        </a:ln>
      </xdr:spPr>
    </xdr:pic>
    <xdr:clientData/>
  </xdr:twoCellAnchor>
  <xdr:twoCellAnchor>
    <xdr:from>
      <xdr:col>3</xdr:col>
      <xdr:colOff>114300</xdr:colOff>
      <xdr:row>4657</xdr:row>
      <xdr:rowOff>28575</xdr:rowOff>
    </xdr:from>
    <xdr:to>
      <xdr:col>3</xdr:col>
      <xdr:colOff>1552575</xdr:colOff>
      <xdr:row>4659</xdr:row>
      <xdr:rowOff>419100</xdr:rowOff>
    </xdr:to>
    <xdr:pic>
      <xdr:nvPicPr>
        <xdr:cNvPr id="1596" name="Имя " descr="Descr ">
          <a:extLst>
            <a:ext uri="{FF2B5EF4-FFF2-40B4-BE49-F238E27FC236}">
              <a16:creationId xmlns:a16="http://schemas.microsoft.com/office/drawing/2014/main" id="{00000000-0008-0000-0000-00003C060000}"/>
            </a:ext>
          </a:extLst>
        </xdr:cNvPr>
        <xdr:cNvPicPr>
          <a:picLocks noChangeAspect="1"/>
        </xdr:cNvPicPr>
      </xdr:nvPicPr>
      <xdr:blipFill>
        <a:blip xmlns:r="http://schemas.openxmlformats.org/officeDocument/2006/relationships" r:embed="rId1595"/>
        <a:stretch>
          <a:fillRect/>
        </a:stretch>
      </xdr:blipFill>
      <xdr:spPr>
        <a:prstGeom prst="rect">
          <a:avLst/>
        </a:prstGeom>
        <a:ln w="9525">
          <a:solidFill>
            <a:srgbClr val="000000"/>
          </a:solidFill>
          <a:prstDash val="solid"/>
        </a:ln>
      </xdr:spPr>
    </xdr:pic>
    <xdr:clientData/>
  </xdr:twoCellAnchor>
  <xdr:twoCellAnchor>
    <xdr:from>
      <xdr:col>3</xdr:col>
      <xdr:colOff>114300</xdr:colOff>
      <xdr:row>4660</xdr:row>
      <xdr:rowOff>28575</xdr:rowOff>
    </xdr:from>
    <xdr:to>
      <xdr:col>3</xdr:col>
      <xdr:colOff>1552575</xdr:colOff>
      <xdr:row>4660</xdr:row>
      <xdr:rowOff>1266825</xdr:rowOff>
    </xdr:to>
    <xdr:pic>
      <xdr:nvPicPr>
        <xdr:cNvPr id="1597" name="Имя " descr="Descr ">
          <a:extLst>
            <a:ext uri="{FF2B5EF4-FFF2-40B4-BE49-F238E27FC236}">
              <a16:creationId xmlns:a16="http://schemas.microsoft.com/office/drawing/2014/main" id="{00000000-0008-0000-0000-00003D060000}"/>
            </a:ext>
          </a:extLst>
        </xdr:cNvPr>
        <xdr:cNvPicPr>
          <a:picLocks noChangeAspect="1"/>
        </xdr:cNvPicPr>
      </xdr:nvPicPr>
      <xdr:blipFill>
        <a:blip xmlns:r="http://schemas.openxmlformats.org/officeDocument/2006/relationships" r:embed="rId1596"/>
        <a:stretch>
          <a:fillRect/>
        </a:stretch>
      </xdr:blipFill>
      <xdr:spPr>
        <a:prstGeom prst="rect">
          <a:avLst/>
        </a:prstGeom>
        <a:ln w="9525">
          <a:solidFill>
            <a:srgbClr val="000000"/>
          </a:solidFill>
          <a:prstDash val="solid"/>
        </a:ln>
      </xdr:spPr>
    </xdr:pic>
    <xdr:clientData/>
  </xdr:twoCellAnchor>
  <xdr:twoCellAnchor>
    <xdr:from>
      <xdr:col>3</xdr:col>
      <xdr:colOff>114300</xdr:colOff>
      <xdr:row>4661</xdr:row>
      <xdr:rowOff>28575</xdr:rowOff>
    </xdr:from>
    <xdr:to>
      <xdr:col>3</xdr:col>
      <xdr:colOff>1552575</xdr:colOff>
      <xdr:row>4661</xdr:row>
      <xdr:rowOff>1266825</xdr:rowOff>
    </xdr:to>
    <xdr:pic>
      <xdr:nvPicPr>
        <xdr:cNvPr id="1598" name="Имя " descr="Descr ">
          <a:extLst>
            <a:ext uri="{FF2B5EF4-FFF2-40B4-BE49-F238E27FC236}">
              <a16:creationId xmlns:a16="http://schemas.microsoft.com/office/drawing/2014/main" id="{00000000-0008-0000-0000-00003E060000}"/>
            </a:ext>
          </a:extLst>
        </xdr:cNvPr>
        <xdr:cNvPicPr>
          <a:picLocks noChangeAspect="1"/>
        </xdr:cNvPicPr>
      </xdr:nvPicPr>
      <xdr:blipFill>
        <a:blip xmlns:r="http://schemas.openxmlformats.org/officeDocument/2006/relationships" r:embed="rId1597"/>
        <a:stretch>
          <a:fillRect/>
        </a:stretch>
      </xdr:blipFill>
      <xdr:spPr>
        <a:prstGeom prst="rect">
          <a:avLst/>
        </a:prstGeom>
        <a:ln w="9525">
          <a:solidFill>
            <a:srgbClr val="000000"/>
          </a:solidFill>
          <a:prstDash val="solid"/>
        </a:ln>
      </xdr:spPr>
    </xdr:pic>
    <xdr:clientData/>
  </xdr:twoCellAnchor>
  <xdr:twoCellAnchor>
    <xdr:from>
      <xdr:col>3</xdr:col>
      <xdr:colOff>114300</xdr:colOff>
      <xdr:row>4662</xdr:row>
      <xdr:rowOff>28575</xdr:rowOff>
    </xdr:from>
    <xdr:to>
      <xdr:col>3</xdr:col>
      <xdr:colOff>1552575</xdr:colOff>
      <xdr:row>4666</xdr:row>
      <xdr:rowOff>333375</xdr:rowOff>
    </xdr:to>
    <xdr:pic>
      <xdr:nvPicPr>
        <xdr:cNvPr id="1599" name="Имя " descr="Descr ">
          <a:extLst>
            <a:ext uri="{FF2B5EF4-FFF2-40B4-BE49-F238E27FC236}">
              <a16:creationId xmlns:a16="http://schemas.microsoft.com/office/drawing/2014/main" id="{00000000-0008-0000-0000-00003F060000}"/>
            </a:ext>
          </a:extLst>
        </xdr:cNvPr>
        <xdr:cNvPicPr>
          <a:picLocks noChangeAspect="1"/>
        </xdr:cNvPicPr>
      </xdr:nvPicPr>
      <xdr:blipFill>
        <a:blip xmlns:r="http://schemas.openxmlformats.org/officeDocument/2006/relationships" r:embed="rId1598"/>
        <a:stretch>
          <a:fillRect/>
        </a:stretch>
      </xdr:blipFill>
      <xdr:spPr>
        <a:prstGeom prst="rect">
          <a:avLst/>
        </a:prstGeom>
        <a:ln w="9525">
          <a:solidFill>
            <a:srgbClr val="000000"/>
          </a:solidFill>
          <a:prstDash val="solid"/>
        </a:ln>
      </xdr:spPr>
    </xdr:pic>
    <xdr:clientData/>
  </xdr:twoCellAnchor>
  <xdr:twoCellAnchor>
    <xdr:from>
      <xdr:col>3</xdr:col>
      <xdr:colOff>114300</xdr:colOff>
      <xdr:row>4667</xdr:row>
      <xdr:rowOff>28575</xdr:rowOff>
    </xdr:from>
    <xdr:to>
      <xdr:col>3</xdr:col>
      <xdr:colOff>1552575</xdr:colOff>
      <xdr:row>4671</xdr:row>
      <xdr:rowOff>333375</xdr:rowOff>
    </xdr:to>
    <xdr:pic>
      <xdr:nvPicPr>
        <xdr:cNvPr id="1600" name="Имя " descr="Descr ">
          <a:extLst>
            <a:ext uri="{FF2B5EF4-FFF2-40B4-BE49-F238E27FC236}">
              <a16:creationId xmlns:a16="http://schemas.microsoft.com/office/drawing/2014/main" id="{00000000-0008-0000-0000-000040060000}"/>
            </a:ext>
          </a:extLst>
        </xdr:cNvPr>
        <xdr:cNvPicPr>
          <a:picLocks noChangeAspect="1"/>
        </xdr:cNvPicPr>
      </xdr:nvPicPr>
      <xdr:blipFill>
        <a:blip xmlns:r="http://schemas.openxmlformats.org/officeDocument/2006/relationships" r:embed="rId1599"/>
        <a:stretch>
          <a:fillRect/>
        </a:stretch>
      </xdr:blipFill>
      <xdr:spPr>
        <a:prstGeom prst="rect">
          <a:avLst/>
        </a:prstGeom>
        <a:ln w="9525">
          <a:solidFill>
            <a:srgbClr val="000000"/>
          </a:solidFill>
          <a:prstDash val="solid"/>
        </a:ln>
      </xdr:spPr>
    </xdr:pic>
    <xdr:clientData/>
  </xdr:twoCellAnchor>
  <xdr:twoCellAnchor>
    <xdr:from>
      <xdr:col>3</xdr:col>
      <xdr:colOff>114300</xdr:colOff>
      <xdr:row>4672</xdr:row>
      <xdr:rowOff>28575</xdr:rowOff>
    </xdr:from>
    <xdr:to>
      <xdr:col>3</xdr:col>
      <xdr:colOff>1552575</xdr:colOff>
      <xdr:row>4675</xdr:row>
      <xdr:rowOff>209550</xdr:rowOff>
    </xdr:to>
    <xdr:pic>
      <xdr:nvPicPr>
        <xdr:cNvPr id="1601" name="Имя " descr="Descr ">
          <a:extLst>
            <a:ext uri="{FF2B5EF4-FFF2-40B4-BE49-F238E27FC236}">
              <a16:creationId xmlns:a16="http://schemas.microsoft.com/office/drawing/2014/main" id="{00000000-0008-0000-0000-000041060000}"/>
            </a:ext>
          </a:extLst>
        </xdr:cNvPr>
        <xdr:cNvPicPr>
          <a:picLocks noChangeAspect="1"/>
        </xdr:cNvPicPr>
      </xdr:nvPicPr>
      <xdr:blipFill>
        <a:blip xmlns:r="http://schemas.openxmlformats.org/officeDocument/2006/relationships" r:embed="rId1600"/>
        <a:stretch>
          <a:fillRect/>
        </a:stretch>
      </xdr:blipFill>
      <xdr:spPr>
        <a:prstGeom prst="rect">
          <a:avLst/>
        </a:prstGeom>
        <a:ln w="9525">
          <a:solidFill>
            <a:srgbClr val="000000"/>
          </a:solidFill>
          <a:prstDash val="solid"/>
        </a:ln>
      </xdr:spPr>
    </xdr:pic>
    <xdr:clientData/>
  </xdr:twoCellAnchor>
  <xdr:twoCellAnchor>
    <xdr:from>
      <xdr:col>3</xdr:col>
      <xdr:colOff>114300</xdr:colOff>
      <xdr:row>4676</xdr:row>
      <xdr:rowOff>28575</xdr:rowOff>
    </xdr:from>
    <xdr:to>
      <xdr:col>3</xdr:col>
      <xdr:colOff>1552575</xdr:colOff>
      <xdr:row>4680</xdr:row>
      <xdr:rowOff>333375</xdr:rowOff>
    </xdr:to>
    <xdr:pic>
      <xdr:nvPicPr>
        <xdr:cNvPr id="1602" name="Имя " descr="Descr ">
          <a:extLst>
            <a:ext uri="{FF2B5EF4-FFF2-40B4-BE49-F238E27FC236}">
              <a16:creationId xmlns:a16="http://schemas.microsoft.com/office/drawing/2014/main" id="{00000000-0008-0000-0000-000042060000}"/>
            </a:ext>
          </a:extLst>
        </xdr:cNvPr>
        <xdr:cNvPicPr>
          <a:picLocks noChangeAspect="1"/>
        </xdr:cNvPicPr>
      </xdr:nvPicPr>
      <xdr:blipFill>
        <a:blip xmlns:r="http://schemas.openxmlformats.org/officeDocument/2006/relationships" r:embed="rId1601"/>
        <a:stretch>
          <a:fillRect/>
        </a:stretch>
      </xdr:blipFill>
      <xdr:spPr>
        <a:prstGeom prst="rect">
          <a:avLst/>
        </a:prstGeom>
        <a:ln w="9525">
          <a:solidFill>
            <a:srgbClr val="000000"/>
          </a:solidFill>
          <a:prstDash val="solid"/>
        </a:ln>
      </xdr:spPr>
    </xdr:pic>
    <xdr:clientData/>
  </xdr:twoCellAnchor>
  <xdr:twoCellAnchor>
    <xdr:from>
      <xdr:col>3</xdr:col>
      <xdr:colOff>114300</xdr:colOff>
      <xdr:row>4681</xdr:row>
      <xdr:rowOff>28575</xdr:rowOff>
    </xdr:from>
    <xdr:to>
      <xdr:col>3</xdr:col>
      <xdr:colOff>1552575</xdr:colOff>
      <xdr:row>4684</xdr:row>
      <xdr:rowOff>209550</xdr:rowOff>
    </xdr:to>
    <xdr:pic>
      <xdr:nvPicPr>
        <xdr:cNvPr id="1603" name="Имя " descr="Descr ">
          <a:extLst>
            <a:ext uri="{FF2B5EF4-FFF2-40B4-BE49-F238E27FC236}">
              <a16:creationId xmlns:a16="http://schemas.microsoft.com/office/drawing/2014/main" id="{00000000-0008-0000-0000-000043060000}"/>
            </a:ext>
          </a:extLst>
        </xdr:cNvPr>
        <xdr:cNvPicPr>
          <a:picLocks noChangeAspect="1"/>
        </xdr:cNvPicPr>
      </xdr:nvPicPr>
      <xdr:blipFill>
        <a:blip xmlns:r="http://schemas.openxmlformats.org/officeDocument/2006/relationships" r:embed="rId1602"/>
        <a:stretch>
          <a:fillRect/>
        </a:stretch>
      </xdr:blipFill>
      <xdr:spPr>
        <a:prstGeom prst="rect">
          <a:avLst/>
        </a:prstGeom>
        <a:ln w="9525">
          <a:solidFill>
            <a:srgbClr val="000000"/>
          </a:solidFill>
          <a:prstDash val="solid"/>
        </a:ln>
      </xdr:spPr>
    </xdr:pic>
    <xdr:clientData/>
  </xdr:twoCellAnchor>
  <xdr:twoCellAnchor>
    <xdr:from>
      <xdr:col>3</xdr:col>
      <xdr:colOff>114300</xdr:colOff>
      <xdr:row>4685</xdr:row>
      <xdr:rowOff>28575</xdr:rowOff>
    </xdr:from>
    <xdr:to>
      <xdr:col>3</xdr:col>
      <xdr:colOff>1552575</xdr:colOff>
      <xdr:row>4688</xdr:row>
      <xdr:rowOff>209550</xdr:rowOff>
    </xdr:to>
    <xdr:pic>
      <xdr:nvPicPr>
        <xdr:cNvPr id="1604" name="Имя " descr="Descr ">
          <a:extLst>
            <a:ext uri="{FF2B5EF4-FFF2-40B4-BE49-F238E27FC236}">
              <a16:creationId xmlns:a16="http://schemas.microsoft.com/office/drawing/2014/main" id="{00000000-0008-0000-0000-000044060000}"/>
            </a:ext>
          </a:extLst>
        </xdr:cNvPr>
        <xdr:cNvPicPr>
          <a:picLocks noChangeAspect="1"/>
        </xdr:cNvPicPr>
      </xdr:nvPicPr>
      <xdr:blipFill>
        <a:blip xmlns:r="http://schemas.openxmlformats.org/officeDocument/2006/relationships" r:embed="rId1603"/>
        <a:stretch>
          <a:fillRect/>
        </a:stretch>
      </xdr:blipFill>
      <xdr:spPr>
        <a:prstGeom prst="rect">
          <a:avLst/>
        </a:prstGeom>
        <a:ln w="9525">
          <a:solidFill>
            <a:srgbClr val="000000"/>
          </a:solidFill>
          <a:prstDash val="solid"/>
        </a:ln>
      </xdr:spPr>
    </xdr:pic>
    <xdr:clientData/>
  </xdr:twoCellAnchor>
  <xdr:twoCellAnchor>
    <xdr:from>
      <xdr:col>3</xdr:col>
      <xdr:colOff>114300</xdr:colOff>
      <xdr:row>4689</xdr:row>
      <xdr:rowOff>28575</xdr:rowOff>
    </xdr:from>
    <xdr:to>
      <xdr:col>3</xdr:col>
      <xdr:colOff>1552575</xdr:colOff>
      <xdr:row>4692</xdr:row>
      <xdr:rowOff>209550</xdr:rowOff>
    </xdr:to>
    <xdr:pic>
      <xdr:nvPicPr>
        <xdr:cNvPr id="1605" name="Имя " descr="Descr ">
          <a:extLst>
            <a:ext uri="{FF2B5EF4-FFF2-40B4-BE49-F238E27FC236}">
              <a16:creationId xmlns:a16="http://schemas.microsoft.com/office/drawing/2014/main" id="{00000000-0008-0000-0000-000045060000}"/>
            </a:ext>
          </a:extLst>
        </xdr:cNvPr>
        <xdr:cNvPicPr>
          <a:picLocks noChangeAspect="1"/>
        </xdr:cNvPicPr>
      </xdr:nvPicPr>
      <xdr:blipFill>
        <a:blip xmlns:r="http://schemas.openxmlformats.org/officeDocument/2006/relationships" r:embed="rId1604"/>
        <a:stretch>
          <a:fillRect/>
        </a:stretch>
      </xdr:blipFill>
      <xdr:spPr>
        <a:prstGeom prst="rect">
          <a:avLst/>
        </a:prstGeom>
        <a:ln w="9525">
          <a:solidFill>
            <a:srgbClr val="000000"/>
          </a:solidFill>
          <a:prstDash val="solid"/>
        </a:ln>
      </xdr:spPr>
    </xdr:pic>
    <xdr:clientData/>
  </xdr:twoCellAnchor>
  <xdr:twoCellAnchor>
    <xdr:from>
      <xdr:col>3</xdr:col>
      <xdr:colOff>114300</xdr:colOff>
      <xdr:row>4693</xdr:row>
      <xdr:rowOff>28575</xdr:rowOff>
    </xdr:from>
    <xdr:to>
      <xdr:col>3</xdr:col>
      <xdr:colOff>1552575</xdr:colOff>
      <xdr:row>4697</xdr:row>
      <xdr:rowOff>333375</xdr:rowOff>
    </xdr:to>
    <xdr:pic>
      <xdr:nvPicPr>
        <xdr:cNvPr id="1606" name="Имя " descr="Descr ">
          <a:extLst>
            <a:ext uri="{FF2B5EF4-FFF2-40B4-BE49-F238E27FC236}">
              <a16:creationId xmlns:a16="http://schemas.microsoft.com/office/drawing/2014/main" id="{00000000-0008-0000-0000-000046060000}"/>
            </a:ext>
          </a:extLst>
        </xdr:cNvPr>
        <xdr:cNvPicPr>
          <a:picLocks noChangeAspect="1"/>
        </xdr:cNvPicPr>
      </xdr:nvPicPr>
      <xdr:blipFill>
        <a:blip xmlns:r="http://schemas.openxmlformats.org/officeDocument/2006/relationships" r:embed="rId1605"/>
        <a:stretch>
          <a:fillRect/>
        </a:stretch>
      </xdr:blipFill>
      <xdr:spPr>
        <a:prstGeom prst="rect">
          <a:avLst/>
        </a:prstGeom>
        <a:ln w="9525">
          <a:solidFill>
            <a:srgbClr val="000000"/>
          </a:solidFill>
          <a:prstDash val="solid"/>
        </a:ln>
      </xdr:spPr>
    </xdr:pic>
    <xdr:clientData/>
  </xdr:twoCellAnchor>
  <xdr:twoCellAnchor>
    <xdr:from>
      <xdr:col>3</xdr:col>
      <xdr:colOff>114300</xdr:colOff>
      <xdr:row>4698</xdr:row>
      <xdr:rowOff>38100</xdr:rowOff>
    </xdr:from>
    <xdr:to>
      <xdr:col>3</xdr:col>
      <xdr:colOff>1552575</xdr:colOff>
      <xdr:row>4699</xdr:row>
      <xdr:rowOff>638175</xdr:rowOff>
    </xdr:to>
    <xdr:pic>
      <xdr:nvPicPr>
        <xdr:cNvPr id="1607" name="Имя " descr="Descr ">
          <a:extLst>
            <a:ext uri="{FF2B5EF4-FFF2-40B4-BE49-F238E27FC236}">
              <a16:creationId xmlns:a16="http://schemas.microsoft.com/office/drawing/2014/main" id="{00000000-0008-0000-0000-000047060000}"/>
            </a:ext>
          </a:extLst>
        </xdr:cNvPr>
        <xdr:cNvPicPr>
          <a:picLocks noChangeAspect="1"/>
        </xdr:cNvPicPr>
      </xdr:nvPicPr>
      <xdr:blipFill>
        <a:blip xmlns:r="http://schemas.openxmlformats.org/officeDocument/2006/relationships" r:embed="rId1606"/>
        <a:stretch>
          <a:fillRect/>
        </a:stretch>
      </xdr:blipFill>
      <xdr:spPr>
        <a:prstGeom prst="rect">
          <a:avLst/>
        </a:prstGeom>
        <a:ln w="9525">
          <a:solidFill>
            <a:srgbClr val="000000"/>
          </a:solidFill>
          <a:prstDash val="solid"/>
        </a:ln>
      </xdr:spPr>
    </xdr:pic>
    <xdr:clientData/>
  </xdr:twoCellAnchor>
  <xdr:twoCellAnchor>
    <xdr:from>
      <xdr:col>3</xdr:col>
      <xdr:colOff>114300</xdr:colOff>
      <xdr:row>4700</xdr:row>
      <xdr:rowOff>28575</xdr:rowOff>
    </xdr:from>
    <xdr:to>
      <xdr:col>3</xdr:col>
      <xdr:colOff>1552575</xdr:colOff>
      <xdr:row>4706</xdr:row>
      <xdr:rowOff>171450</xdr:rowOff>
    </xdr:to>
    <xdr:pic>
      <xdr:nvPicPr>
        <xdr:cNvPr id="1608" name="Имя " descr="Descr ">
          <a:extLst>
            <a:ext uri="{FF2B5EF4-FFF2-40B4-BE49-F238E27FC236}">
              <a16:creationId xmlns:a16="http://schemas.microsoft.com/office/drawing/2014/main" id="{00000000-0008-0000-0000-000048060000}"/>
            </a:ext>
          </a:extLst>
        </xdr:cNvPr>
        <xdr:cNvPicPr>
          <a:picLocks noChangeAspect="1"/>
        </xdr:cNvPicPr>
      </xdr:nvPicPr>
      <xdr:blipFill>
        <a:blip xmlns:r="http://schemas.openxmlformats.org/officeDocument/2006/relationships" r:embed="rId1607"/>
        <a:stretch>
          <a:fillRect/>
        </a:stretch>
      </xdr:blipFill>
      <xdr:spPr>
        <a:prstGeom prst="rect">
          <a:avLst/>
        </a:prstGeom>
        <a:ln w="9525">
          <a:solidFill>
            <a:srgbClr val="000000"/>
          </a:solidFill>
          <a:prstDash val="solid"/>
        </a:ln>
      </xdr:spPr>
    </xdr:pic>
    <xdr:clientData/>
  </xdr:twoCellAnchor>
  <xdr:twoCellAnchor>
    <xdr:from>
      <xdr:col>3</xdr:col>
      <xdr:colOff>114300</xdr:colOff>
      <xdr:row>4707</xdr:row>
      <xdr:rowOff>28575</xdr:rowOff>
    </xdr:from>
    <xdr:to>
      <xdr:col>3</xdr:col>
      <xdr:colOff>1552575</xdr:colOff>
      <xdr:row>4712</xdr:row>
      <xdr:rowOff>209550</xdr:rowOff>
    </xdr:to>
    <xdr:pic>
      <xdr:nvPicPr>
        <xdr:cNvPr id="1609" name="Имя " descr="Descr ">
          <a:extLst>
            <a:ext uri="{FF2B5EF4-FFF2-40B4-BE49-F238E27FC236}">
              <a16:creationId xmlns:a16="http://schemas.microsoft.com/office/drawing/2014/main" id="{00000000-0008-0000-0000-000049060000}"/>
            </a:ext>
          </a:extLst>
        </xdr:cNvPr>
        <xdr:cNvPicPr>
          <a:picLocks noChangeAspect="1"/>
        </xdr:cNvPicPr>
      </xdr:nvPicPr>
      <xdr:blipFill>
        <a:blip xmlns:r="http://schemas.openxmlformats.org/officeDocument/2006/relationships" r:embed="rId1608"/>
        <a:stretch>
          <a:fillRect/>
        </a:stretch>
      </xdr:blipFill>
      <xdr:spPr>
        <a:prstGeom prst="rect">
          <a:avLst/>
        </a:prstGeom>
        <a:ln w="9525">
          <a:solidFill>
            <a:srgbClr val="000000"/>
          </a:solidFill>
          <a:prstDash val="solid"/>
        </a:ln>
      </xdr:spPr>
    </xdr:pic>
    <xdr:clientData/>
  </xdr:twoCellAnchor>
  <xdr:twoCellAnchor>
    <xdr:from>
      <xdr:col>3</xdr:col>
      <xdr:colOff>114300</xdr:colOff>
      <xdr:row>4713</xdr:row>
      <xdr:rowOff>28575</xdr:rowOff>
    </xdr:from>
    <xdr:to>
      <xdr:col>3</xdr:col>
      <xdr:colOff>1552575</xdr:colOff>
      <xdr:row>4718</xdr:row>
      <xdr:rowOff>209550</xdr:rowOff>
    </xdr:to>
    <xdr:pic>
      <xdr:nvPicPr>
        <xdr:cNvPr id="1610" name="Имя " descr="Descr ">
          <a:extLst>
            <a:ext uri="{FF2B5EF4-FFF2-40B4-BE49-F238E27FC236}">
              <a16:creationId xmlns:a16="http://schemas.microsoft.com/office/drawing/2014/main" id="{00000000-0008-0000-0000-00004A060000}"/>
            </a:ext>
          </a:extLst>
        </xdr:cNvPr>
        <xdr:cNvPicPr>
          <a:picLocks noChangeAspect="1"/>
        </xdr:cNvPicPr>
      </xdr:nvPicPr>
      <xdr:blipFill>
        <a:blip xmlns:r="http://schemas.openxmlformats.org/officeDocument/2006/relationships" r:embed="rId1609"/>
        <a:stretch>
          <a:fillRect/>
        </a:stretch>
      </xdr:blipFill>
      <xdr:spPr>
        <a:prstGeom prst="rect">
          <a:avLst/>
        </a:prstGeom>
        <a:ln w="9525">
          <a:solidFill>
            <a:srgbClr val="000000"/>
          </a:solidFill>
          <a:prstDash val="solid"/>
        </a:ln>
      </xdr:spPr>
    </xdr:pic>
    <xdr:clientData/>
  </xdr:twoCellAnchor>
  <xdr:twoCellAnchor>
    <xdr:from>
      <xdr:col>3</xdr:col>
      <xdr:colOff>114300</xdr:colOff>
      <xdr:row>4719</xdr:row>
      <xdr:rowOff>28575</xdr:rowOff>
    </xdr:from>
    <xdr:to>
      <xdr:col>3</xdr:col>
      <xdr:colOff>1552575</xdr:colOff>
      <xdr:row>4724</xdr:row>
      <xdr:rowOff>209550</xdr:rowOff>
    </xdr:to>
    <xdr:pic>
      <xdr:nvPicPr>
        <xdr:cNvPr id="1611" name="Имя " descr="Descr ">
          <a:extLst>
            <a:ext uri="{FF2B5EF4-FFF2-40B4-BE49-F238E27FC236}">
              <a16:creationId xmlns:a16="http://schemas.microsoft.com/office/drawing/2014/main" id="{00000000-0008-0000-0000-00004B060000}"/>
            </a:ext>
          </a:extLst>
        </xdr:cNvPr>
        <xdr:cNvPicPr>
          <a:picLocks noChangeAspect="1"/>
        </xdr:cNvPicPr>
      </xdr:nvPicPr>
      <xdr:blipFill>
        <a:blip xmlns:r="http://schemas.openxmlformats.org/officeDocument/2006/relationships" r:embed="rId1610"/>
        <a:stretch>
          <a:fillRect/>
        </a:stretch>
      </xdr:blipFill>
      <xdr:spPr>
        <a:prstGeom prst="rect">
          <a:avLst/>
        </a:prstGeom>
        <a:ln w="9525">
          <a:solidFill>
            <a:srgbClr val="000000"/>
          </a:solidFill>
          <a:prstDash val="solid"/>
        </a:ln>
      </xdr:spPr>
    </xdr:pic>
    <xdr:clientData/>
  </xdr:twoCellAnchor>
  <xdr:twoCellAnchor>
    <xdr:from>
      <xdr:col>3</xdr:col>
      <xdr:colOff>114300</xdr:colOff>
      <xdr:row>4725</xdr:row>
      <xdr:rowOff>28575</xdr:rowOff>
    </xdr:from>
    <xdr:to>
      <xdr:col>3</xdr:col>
      <xdr:colOff>1552575</xdr:colOff>
      <xdr:row>4727</xdr:row>
      <xdr:rowOff>419100</xdr:rowOff>
    </xdr:to>
    <xdr:pic>
      <xdr:nvPicPr>
        <xdr:cNvPr id="1612" name="Имя " descr="Descr ">
          <a:extLst>
            <a:ext uri="{FF2B5EF4-FFF2-40B4-BE49-F238E27FC236}">
              <a16:creationId xmlns:a16="http://schemas.microsoft.com/office/drawing/2014/main" id="{00000000-0008-0000-0000-00004C060000}"/>
            </a:ext>
          </a:extLst>
        </xdr:cNvPr>
        <xdr:cNvPicPr>
          <a:picLocks noChangeAspect="1"/>
        </xdr:cNvPicPr>
      </xdr:nvPicPr>
      <xdr:blipFill>
        <a:blip xmlns:r="http://schemas.openxmlformats.org/officeDocument/2006/relationships" r:embed="rId1611"/>
        <a:stretch>
          <a:fillRect/>
        </a:stretch>
      </xdr:blipFill>
      <xdr:spPr>
        <a:prstGeom prst="rect">
          <a:avLst/>
        </a:prstGeom>
        <a:ln w="9525">
          <a:solidFill>
            <a:srgbClr val="000000"/>
          </a:solidFill>
          <a:prstDash val="solid"/>
        </a:ln>
      </xdr:spPr>
    </xdr:pic>
    <xdr:clientData/>
  </xdr:twoCellAnchor>
  <xdr:twoCellAnchor>
    <xdr:from>
      <xdr:col>3</xdr:col>
      <xdr:colOff>114300</xdr:colOff>
      <xdr:row>4728</xdr:row>
      <xdr:rowOff>28575</xdr:rowOff>
    </xdr:from>
    <xdr:to>
      <xdr:col>3</xdr:col>
      <xdr:colOff>1552575</xdr:colOff>
      <xdr:row>4732</xdr:row>
      <xdr:rowOff>333375</xdr:rowOff>
    </xdr:to>
    <xdr:pic>
      <xdr:nvPicPr>
        <xdr:cNvPr id="1613" name="Имя " descr="Descr ">
          <a:extLst>
            <a:ext uri="{FF2B5EF4-FFF2-40B4-BE49-F238E27FC236}">
              <a16:creationId xmlns:a16="http://schemas.microsoft.com/office/drawing/2014/main" id="{00000000-0008-0000-0000-00004D060000}"/>
            </a:ext>
          </a:extLst>
        </xdr:cNvPr>
        <xdr:cNvPicPr>
          <a:picLocks noChangeAspect="1"/>
        </xdr:cNvPicPr>
      </xdr:nvPicPr>
      <xdr:blipFill>
        <a:blip xmlns:r="http://schemas.openxmlformats.org/officeDocument/2006/relationships" r:embed="rId1612"/>
        <a:stretch>
          <a:fillRect/>
        </a:stretch>
      </xdr:blipFill>
      <xdr:spPr>
        <a:prstGeom prst="rect">
          <a:avLst/>
        </a:prstGeom>
        <a:ln w="9525">
          <a:solidFill>
            <a:srgbClr val="000000"/>
          </a:solidFill>
          <a:prstDash val="solid"/>
        </a:ln>
      </xdr:spPr>
    </xdr:pic>
    <xdr:clientData/>
  </xdr:twoCellAnchor>
  <xdr:twoCellAnchor>
    <xdr:from>
      <xdr:col>3</xdr:col>
      <xdr:colOff>114300</xdr:colOff>
      <xdr:row>4733</xdr:row>
      <xdr:rowOff>28575</xdr:rowOff>
    </xdr:from>
    <xdr:to>
      <xdr:col>3</xdr:col>
      <xdr:colOff>1552575</xdr:colOff>
      <xdr:row>4737</xdr:row>
      <xdr:rowOff>333375</xdr:rowOff>
    </xdr:to>
    <xdr:pic>
      <xdr:nvPicPr>
        <xdr:cNvPr id="1614" name="Имя " descr="Descr ">
          <a:extLst>
            <a:ext uri="{FF2B5EF4-FFF2-40B4-BE49-F238E27FC236}">
              <a16:creationId xmlns:a16="http://schemas.microsoft.com/office/drawing/2014/main" id="{00000000-0008-0000-0000-00004E060000}"/>
            </a:ext>
          </a:extLst>
        </xdr:cNvPr>
        <xdr:cNvPicPr>
          <a:picLocks noChangeAspect="1"/>
        </xdr:cNvPicPr>
      </xdr:nvPicPr>
      <xdr:blipFill>
        <a:blip xmlns:r="http://schemas.openxmlformats.org/officeDocument/2006/relationships" r:embed="rId1613"/>
        <a:stretch>
          <a:fillRect/>
        </a:stretch>
      </xdr:blipFill>
      <xdr:spPr>
        <a:prstGeom prst="rect">
          <a:avLst/>
        </a:prstGeom>
        <a:ln w="9525">
          <a:solidFill>
            <a:srgbClr val="000000"/>
          </a:solidFill>
          <a:prstDash val="solid"/>
        </a:ln>
      </xdr:spPr>
    </xdr:pic>
    <xdr:clientData/>
  </xdr:twoCellAnchor>
  <xdr:twoCellAnchor>
    <xdr:from>
      <xdr:col>3</xdr:col>
      <xdr:colOff>114300</xdr:colOff>
      <xdr:row>4738</xdr:row>
      <xdr:rowOff>28575</xdr:rowOff>
    </xdr:from>
    <xdr:to>
      <xdr:col>3</xdr:col>
      <xdr:colOff>1552575</xdr:colOff>
      <xdr:row>4742</xdr:row>
      <xdr:rowOff>333375</xdr:rowOff>
    </xdr:to>
    <xdr:pic>
      <xdr:nvPicPr>
        <xdr:cNvPr id="1615" name="Имя " descr="Descr ">
          <a:extLst>
            <a:ext uri="{FF2B5EF4-FFF2-40B4-BE49-F238E27FC236}">
              <a16:creationId xmlns:a16="http://schemas.microsoft.com/office/drawing/2014/main" id="{00000000-0008-0000-0000-00004F060000}"/>
            </a:ext>
          </a:extLst>
        </xdr:cNvPr>
        <xdr:cNvPicPr>
          <a:picLocks noChangeAspect="1"/>
        </xdr:cNvPicPr>
      </xdr:nvPicPr>
      <xdr:blipFill>
        <a:blip xmlns:r="http://schemas.openxmlformats.org/officeDocument/2006/relationships" r:embed="rId1614"/>
        <a:stretch>
          <a:fillRect/>
        </a:stretch>
      </xdr:blipFill>
      <xdr:spPr>
        <a:prstGeom prst="rect">
          <a:avLst/>
        </a:prstGeom>
        <a:ln w="9525">
          <a:solidFill>
            <a:srgbClr val="000000"/>
          </a:solidFill>
          <a:prstDash val="solid"/>
        </a:ln>
      </xdr:spPr>
    </xdr:pic>
    <xdr:clientData/>
  </xdr:twoCellAnchor>
  <xdr:twoCellAnchor>
    <xdr:from>
      <xdr:col>3</xdr:col>
      <xdr:colOff>114300</xdr:colOff>
      <xdr:row>4743</xdr:row>
      <xdr:rowOff>28575</xdr:rowOff>
    </xdr:from>
    <xdr:to>
      <xdr:col>3</xdr:col>
      <xdr:colOff>1552575</xdr:colOff>
      <xdr:row>4748</xdr:row>
      <xdr:rowOff>209550</xdr:rowOff>
    </xdr:to>
    <xdr:pic>
      <xdr:nvPicPr>
        <xdr:cNvPr id="1616" name="Имя " descr="Descr ">
          <a:extLst>
            <a:ext uri="{FF2B5EF4-FFF2-40B4-BE49-F238E27FC236}">
              <a16:creationId xmlns:a16="http://schemas.microsoft.com/office/drawing/2014/main" id="{00000000-0008-0000-0000-000050060000}"/>
            </a:ext>
          </a:extLst>
        </xdr:cNvPr>
        <xdr:cNvPicPr>
          <a:picLocks noChangeAspect="1"/>
        </xdr:cNvPicPr>
      </xdr:nvPicPr>
      <xdr:blipFill>
        <a:blip xmlns:r="http://schemas.openxmlformats.org/officeDocument/2006/relationships" r:embed="rId1615"/>
        <a:stretch>
          <a:fillRect/>
        </a:stretch>
      </xdr:blipFill>
      <xdr:spPr>
        <a:prstGeom prst="rect">
          <a:avLst/>
        </a:prstGeom>
        <a:ln w="9525">
          <a:solidFill>
            <a:srgbClr val="000000"/>
          </a:solidFill>
          <a:prstDash val="solid"/>
        </a:ln>
      </xdr:spPr>
    </xdr:pic>
    <xdr:clientData/>
  </xdr:twoCellAnchor>
  <xdr:twoCellAnchor>
    <xdr:from>
      <xdr:col>3</xdr:col>
      <xdr:colOff>114300</xdr:colOff>
      <xdr:row>4749</xdr:row>
      <xdr:rowOff>28575</xdr:rowOff>
    </xdr:from>
    <xdr:to>
      <xdr:col>3</xdr:col>
      <xdr:colOff>1552575</xdr:colOff>
      <xdr:row>4754</xdr:row>
      <xdr:rowOff>209550</xdr:rowOff>
    </xdr:to>
    <xdr:pic>
      <xdr:nvPicPr>
        <xdr:cNvPr id="1617" name="Имя " descr="Descr ">
          <a:extLst>
            <a:ext uri="{FF2B5EF4-FFF2-40B4-BE49-F238E27FC236}">
              <a16:creationId xmlns:a16="http://schemas.microsoft.com/office/drawing/2014/main" id="{00000000-0008-0000-0000-000051060000}"/>
            </a:ext>
          </a:extLst>
        </xdr:cNvPr>
        <xdr:cNvPicPr>
          <a:picLocks noChangeAspect="1"/>
        </xdr:cNvPicPr>
      </xdr:nvPicPr>
      <xdr:blipFill>
        <a:blip xmlns:r="http://schemas.openxmlformats.org/officeDocument/2006/relationships" r:embed="rId1616"/>
        <a:stretch>
          <a:fillRect/>
        </a:stretch>
      </xdr:blipFill>
      <xdr:spPr>
        <a:prstGeom prst="rect">
          <a:avLst/>
        </a:prstGeom>
        <a:ln w="9525">
          <a:solidFill>
            <a:srgbClr val="000000"/>
          </a:solidFill>
          <a:prstDash val="solid"/>
        </a:ln>
      </xdr:spPr>
    </xdr:pic>
    <xdr:clientData/>
  </xdr:twoCellAnchor>
  <xdr:twoCellAnchor>
    <xdr:from>
      <xdr:col>3</xdr:col>
      <xdr:colOff>114300</xdr:colOff>
      <xdr:row>4755</xdr:row>
      <xdr:rowOff>28575</xdr:rowOff>
    </xdr:from>
    <xdr:to>
      <xdr:col>3</xdr:col>
      <xdr:colOff>1552575</xdr:colOff>
      <xdr:row>4759</xdr:row>
      <xdr:rowOff>333375</xdr:rowOff>
    </xdr:to>
    <xdr:pic>
      <xdr:nvPicPr>
        <xdr:cNvPr id="1618" name="Имя " descr="Descr ">
          <a:extLst>
            <a:ext uri="{FF2B5EF4-FFF2-40B4-BE49-F238E27FC236}">
              <a16:creationId xmlns:a16="http://schemas.microsoft.com/office/drawing/2014/main" id="{00000000-0008-0000-0000-000052060000}"/>
            </a:ext>
          </a:extLst>
        </xdr:cNvPr>
        <xdr:cNvPicPr>
          <a:picLocks noChangeAspect="1"/>
        </xdr:cNvPicPr>
      </xdr:nvPicPr>
      <xdr:blipFill>
        <a:blip xmlns:r="http://schemas.openxmlformats.org/officeDocument/2006/relationships" r:embed="rId1617"/>
        <a:stretch>
          <a:fillRect/>
        </a:stretch>
      </xdr:blipFill>
      <xdr:spPr>
        <a:prstGeom prst="rect">
          <a:avLst/>
        </a:prstGeom>
        <a:ln w="9525">
          <a:solidFill>
            <a:srgbClr val="000000"/>
          </a:solidFill>
          <a:prstDash val="solid"/>
        </a:ln>
      </xdr:spPr>
    </xdr:pic>
    <xdr:clientData/>
  </xdr:twoCellAnchor>
  <xdr:twoCellAnchor>
    <xdr:from>
      <xdr:col>3</xdr:col>
      <xdr:colOff>114300</xdr:colOff>
      <xdr:row>4760</xdr:row>
      <xdr:rowOff>28575</xdr:rowOff>
    </xdr:from>
    <xdr:to>
      <xdr:col>3</xdr:col>
      <xdr:colOff>1552575</xdr:colOff>
      <xdr:row>4760</xdr:row>
      <xdr:rowOff>1266825</xdr:rowOff>
    </xdr:to>
    <xdr:pic>
      <xdr:nvPicPr>
        <xdr:cNvPr id="1619" name="Имя " descr="Descr ">
          <a:extLst>
            <a:ext uri="{FF2B5EF4-FFF2-40B4-BE49-F238E27FC236}">
              <a16:creationId xmlns:a16="http://schemas.microsoft.com/office/drawing/2014/main" id="{00000000-0008-0000-0000-000053060000}"/>
            </a:ext>
          </a:extLst>
        </xdr:cNvPr>
        <xdr:cNvPicPr>
          <a:picLocks noChangeAspect="1"/>
        </xdr:cNvPicPr>
      </xdr:nvPicPr>
      <xdr:blipFill>
        <a:blip xmlns:r="http://schemas.openxmlformats.org/officeDocument/2006/relationships" r:embed="rId1618"/>
        <a:stretch>
          <a:fillRect/>
        </a:stretch>
      </xdr:blipFill>
      <xdr:spPr>
        <a:prstGeom prst="rect">
          <a:avLst/>
        </a:prstGeom>
        <a:ln w="9525">
          <a:solidFill>
            <a:srgbClr val="000000"/>
          </a:solidFill>
          <a:prstDash val="solid"/>
        </a:ln>
      </xdr:spPr>
    </xdr:pic>
    <xdr:clientData/>
  </xdr:twoCellAnchor>
  <xdr:twoCellAnchor>
    <xdr:from>
      <xdr:col>3</xdr:col>
      <xdr:colOff>114300</xdr:colOff>
      <xdr:row>4761</xdr:row>
      <xdr:rowOff>28575</xdr:rowOff>
    </xdr:from>
    <xdr:to>
      <xdr:col>3</xdr:col>
      <xdr:colOff>1552575</xdr:colOff>
      <xdr:row>4764</xdr:row>
      <xdr:rowOff>209550</xdr:rowOff>
    </xdr:to>
    <xdr:pic>
      <xdr:nvPicPr>
        <xdr:cNvPr id="1620" name="Имя " descr="Descr ">
          <a:extLst>
            <a:ext uri="{FF2B5EF4-FFF2-40B4-BE49-F238E27FC236}">
              <a16:creationId xmlns:a16="http://schemas.microsoft.com/office/drawing/2014/main" id="{00000000-0008-0000-0000-000054060000}"/>
            </a:ext>
          </a:extLst>
        </xdr:cNvPr>
        <xdr:cNvPicPr>
          <a:picLocks noChangeAspect="1"/>
        </xdr:cNvPicPr>
      </xdr:nvPicPr>
      <xdr:blipFill>
        <a:blip xmlns:r="http://schemas.openxmlformats.org/officeDocument/2006/relationships" r:embed="rId1619"/>
        <a:stretch>
          <a:fillRect/>
        </a:stretch>
      </xdr:blipFill>
      <xdr:spPr>
        <a:prstGeom prst="rect">
          <a:avLst/>
        </a:prstGeom>
        <a:ln w="9525">
          <a:solidFill>
            <a:srgbClr val="000000"/>
          </a:solidFill>
          <a:prstDash val="solid"/>
        </a:ln>
      </xdr:spPr>
    </xdr:pic>
    <xdr:clientData/>
  </xdr:twoCellAnchor>
  <xdr:twoCellAnchor>
    <xdr:from>
      <xdr:col>3</xdr:col>
      <xdr:colOff>114300</xdr:colOff>
      <xdr:row>4765</xdr:row>
      <xdr:rowOff>28575</xdr:rowOff>
    </xdr:from>
    <xdr:to>
      <xdr:col>3</xdr:col>
      <xdr:colOff>1552575</xdr:colOff>
      <xdr:row>4768</xdr:row>
      <xdr:rowOff>209550</xdr:rowOff>
    </xdr:to>
    <xdr:pic>
      <xdr:nvPicPr>
        <xdr:cNvPr id="1621" name="Имя " descr="Descr ">
          <a:extLst>
            <a:ext uri="{FF2B5EF4-FFF2-40B4-BE49-F238E27FC236}">
              <a16:creationId xmlns:a16="http://schemas.microsoft.com/office/drawing/2014/main" id="{00000000-0008-0000-0000-000055060000}"/>
            </a:ext>
          </a:extLst>
        </xdr:cNvPr>
        <xdr:cNvPicPr>
          <a:picLocks noChangeAspect="1"/>
        </xdr:cNvPicPr>
      </xdr:nvPicPr>
      <xdr:blipFill>
        <a:blip xmlns:r="http://schemas.openxmlformats.org/officeDocument/2006/relationships" r:embed="rId1620"/>
        <a:stretch>
          <a:fillRect/>
        </a:stretch>
      </xdr:blipFill>
      <xdr:spPr>
        <a:prstGeom prst="rect">
          <a:avLst/>
        </a:prstGeom>
        <a:ln w="9525">
          <a:solidFill>
            <a:srgbClr val="000000"/>
          </a:solidFill>
          <a:prstDash val="solid"/>
        </a:ln>
      </xdr:spPr>
    </xdr:pic>
    <xdr:clientData/>
  </xdr:twoCellAnchor>
  <xdr:twoCellAnchor>
    <xdr:from>
      <xdr:col>3</xdr:col>
      <xdr:colOff>114300</xdr:colOff>
      <xdr:row>4769</xdr:row>
      <xdr:rowOff>28575</xdr:rowOff>
    </xdr:from>
    <xdr:to>
      <xdr:col>3</xdr:col>
      <xdr:colOff>1552575</xdr:colOff>
      <xdr:row>4773</xdr:row>
      <xdr:rowOff>333375</xdr:rowOff>
    </xdr:to>
    <xdr:pic>
      <xdr:nvPicPr>
        <xdr:cNvPr id="1622" name="Имя " descr="Descr ">
          <a:extLst>
            <a:ext uri="{FF2B5EF4-FFF2-40B4-BE49-F238E27FC236}">
              <a16:creationId xmlns:a16="http://schemas.microsoft.com/office/drawing/2014/main" id="{00000000-0008-0000-0000-000056060000}"/>
            </a:ext>
          </a:extLst>
        </xdr:cNvPr>
        <xdr:cNvPicPr>
          <a:picLocks noChangeAspect="1"/>
        </xdr:cNvPicPr>
      </xdr:nvPicPr>
      <xdr:blipFill>
        <a:blip xmlns:r="http://schemas.openxmlformats.org/officeDocument/2006/relationships" r:embed="rId1621"/>
        <a:stretch>
          <a:fillRect/>
        </a:stretch>
      </xdr:blipFill>
      <xdr:spPr>
        <a:prstGeom prst="rect">
          <a:avLst/>
        </a:prstGeom>
        <a:ln w="9525">
          <a:solidFill>
            <a:srgbClr val="000000"/>
          </a:solidFill>
          <a:prstDash val="solid"/>
        </a:ln>
      </xdr:spPr>
    </xdr:pic>
    <xdr:clientData/>
  </xdr:twoCellAnchor>
  <xdr:twoCellAnchor>
    <xdr:from>
      <xdr:col>3</xdr:col>
      <xdr:colOff>114300</xdr:colOff>
      <xdr:row>4774</xdr:row>
      <xdr:rowOff>28575</xdr:rowOff>
    </xdr:from>
    <xdr:to>
      <xdr:col>3</xdr:col>
      <xdr:colOff>1552575</xdr:colOff>
      <xdr:row>4778</xdr:row>
      <xdr:rowOff>333375</xdr:rowOff>
    </xdr:to>
    <xdr:pic>
      <xdr:nvPicPr>
        <xdr:cNvPr id="1623" name="Имя " descr="Descr ">
          <a:extLst>
            <a:ext uri="{FF2B5EF4-FFF2-40B4-BE49-F238E27FC236}">
              <a16:creationId xmlns:a16="http://schemas.microsoft.com/office/drawing/2014/main" id="{00000000-0008-0000-0000-000057060000}"/>
            </a:ext>
          </a:extLst>
        </xdr:cNvPr>
        <xdr:cNvPicPr>
          <a:picLocks noChangeAspect="1"/>
        </xdr:cNvPicPr>
      </xdr:nvPicPr>
      <xdr:blipFill>
        <a:blip xmlns:r="http://schemas.openxmlformats.org/officeDocument/2006/relationships" r:embed="rId1622"/>
        <a:stretch>
          <a:fillRect/>
        </a:stretch>
      </xdr:blipFill>
      <xdr:spPr>
        <a:prstGeom prst="rect">
          <a:avLst/>
        </a:prstGeom>
        <a:ln w="9525">
          <a:solidFill>
            <a:srgbClr val="000000"/>
          </a:solidFill>
          <a:prstDash val="solid"/>
        </a:ln>
      </xdr:spPr>
    </xdr:pic>
    <xdr:clientData/>
  </xdr:twoCellAnchor>
  <xdr:twoCellAnchor>
    <xdr:from>
      <xdr:col>3</xdr:col>
      <xdr:colOff>114300</xdr:colOff>
      <xdr:row>4779</xdr:row>
      <xdr:rowOff>28575</xdr:rowOff>
    </xdr:from>
    <xdr:to>
      <xdr:col>3</xdr:col>
      <xdr:colOff>1552575</xdr:colOff>
      <xdr:row>4783</xdr:row>
      <xdr:rowOff>333375</xdr:rowOff>
    </xdr:to>
    <xdr:pic>
      <xdr:nvPicPr>
        <xdr:cNvPr id="1624" name="Имя " descr="Descr ">
          <a:extLst>
            <a:ext uri="{FF2B5EF4-FFF2-40B4-BE49-F238E27FC236}">
              <a16:creationId xmlns:a16="http://schemas.microsoft.com/office/drawing/2014/main" id="{00000000-0008-0000-0000-000058060000}"/>
            </a:ext>
          </a:extLst>
        </xdr:cNvPr>
        <xdr:cNvPicPr>
          <a:picLocks noChangeAspect="1"/>
        </xdr:cNvPicPr>
      </xdr:nvPicPr>
      <xdr:blipFill>
        <a:blip xmlns:r="http://schemas.openxmlformats.org/officeDocument/2006/relationships" r:embed="rId1623"/>
        <a:stretch>
          <a:fillRect/>
        </a:stretch>
      </xdr:blipFill>
      <xdr:spPr>
        <a:prstGeom prst="rect">
          <a:avLst/>
        </a:prstGeom>
        <a:ln w="9525">
          <a:solidFill>
            <a:srgbClr val="000000"/>
          </a:solidFill>
          <a:prstDash val="solid"/>
        </a:ln>
      </xdr:spPr>
    </xdr:pic>
    <xdr:clientData/>
  </xdr:twoCellAnchor>
  <xdr:twoCellAnchor>
    <xdr:from>
      <xdr:col>3</xdr:col>
      <xdr:colOff>114300</xdr:colOff>
      <xdr:row>4784</xdr:row>
      <xdr:rowOff>28575</xdr:rowOff>
    </xdr:from>
    <xdr:to>
      <xdr:col>3</xdr:col>
      <xdr:colOff>1552575</xdr:colOff>
      <xdr:row>4788</xdr:row>
      <xdr:rowOff>333375</xdr:rowOff>
    </xdr:to>
    <xdr:pic>
      <xdr:nvPicPr>
        <xdr:cNvPr id="1625" name="Имя " descr="Descr ">
          <a:extLst>
            <a:ext uri="{FF2B5EF4-FFF2-40B4-BE49-F238E27FC236}">
              <a16:creationId xmlns:a16="http://schemas.microsoft.com/office/drawing/2014/main" id="{00000000-0008-0000-0000-000059060000}"/>
            </a:ext>
          </a:extLst>
        </xdr:cNvPr>
        <xdr:cNvPicPr>
          <a:picLocks noChangeAspect="1"/>
        </xdr:cNvPicPr>
      </xdr:nvPicPr>
      <xdr:blipFill>
        <a:blip xmlns:r="http://schemas.openxmlformats.org/officeDocument/2006/relationships" r:embed="rId1624"/>
        <a:stretch>
          <a:fillRect/>
        </a:stretch>
      </xdr:blipFill>
      <xdr:spPr>
        <a:prstGeom prst="rect">
          <a:avLst/>
        </a:prstGeom>
        <a:ln w="9525">
          <a:solidFill>
            <a:srgbClr val="000000"/>
          </a:solidFill>
          <a:prstDash val="solid"/>
        </a:ln>
      </xdr:spPr>
    </xdr:pic>
    <xdr:clientData/>
  </xdr:twoCellAnchor>
  <xdr:twoCellAnchor>
    <xdr:from>
      <xdr:col>3</xdr:col>
      <xdr:colOff>114300</xdr:colOff>
      <xdr:row>4789</xdr:row>
      <xdr:rowOff>28575</xdr:rowOff>
    </xdr:from>
    <xdr:to>
      <xdr:col>3</xdr:col>
      <xdr:colOff>1552575</xdr:colOff>
      <xdr:row>4794</xdr:row>
      <xdr:rowOff>209550</xdr:rowOff>
    </xdr:to>
    <xdr:pic>
      <xdr:nvPicPr>
        <xdr:cNvPr id="1626" name="Имя " descr="Descr ">
          <a:extLst>
            <a:ext uri="{FF2B5EF4-FFF2-40B4-BE49-F238E27FC236}">
              <a16:creationId xmlns:a16="http://schemas.microsoft.com/office/drawing/2014/main" id="{00000000-0008-0000-0000-00005A060000}"/>
            </a:ext>
          </a:extLst>
        </xdr:cNvPr>
        <xdr:cNvPicPr>
          <a:picLocks noChangeAspect="1"/>
        </xdr:cNvPicPr>
      </xdr:nvPicPr>
      <xdr:blipFill>
        <a:blip xmlns:r="http://schemas.openxmlformats.org/officeDocument/2006/relationships" r:embed="rId1625"/>
        <a:stretch>
          <a:fillRect/>
        </a:stretch>
      </xdr:blipFill>
      <xdr:spPr>
        <a:prstGeom prst="rect">
          <a:avLst/>
        </a:prstGeom>
        <a:ln w="9525">
          <a:solidFill>
            <a:srgbClr val="000000"/>
          </a:solidFill>
          <a:prstDash val="solid"/>
        </a:ln>
      </xdr:spPr>
    </xdr:pic>
    <xdr:clientData/>
  </xdr:twoCellAnchor>
  <xdr:twoCellAnchor>
    <xdr:from>
      <xdr:col>3</xdr:col>
      <xdr:colOff>114300</xdr:colOff>
      <xdr:row>4795</xdr:row>
      <xdr:rowOff>28575</xdr:rowOff>
    </xdr:from>
    <xdr:to>
      <xdr:col>3</xdr:col>
      <xdr:colOff>1552575</xdr:colOff>
      <xdr:row>4799</xdr:row>
      <xdr:rowOff>333375</xdr:rowOff>
    </xdr:to>
    <xdr:pic>
      <xdr:nvPicPr>
        <xdr:cNvPr id="1627" name="Имя " descr="Descr ">
          <a:extLst>
            <a:ext uri="{FF2B5EF4-FFF2-40B4-BE49-F238E27FC236}">
              <a16:creationId xmlns:a16="http://schemas.microsoft.com/office/drawing/2014/main" id="{00000000-0008-0000-0000-00005B060000}"/>
            </a:ext>
          </a:extLst>
        </xdr:cNvPr>
        <xdr:cNvPicPr>
          <a:picLocks noChangeAspect="1"/>
        </xdr:cNvPicPr>
      </xdr:nvPicPr>
      <xdr:blipFill>
        <a:blip xmlns:r="http://schemas.openxmlformats.org/officeDocument/2006/relationships" r:embed="rId1626"/>
        <a:stretch>
          <a:fillRect/>
        </a:stretch>
      </xdr:blipFill>
      <xdr:spPr>
        <a:prstGeom prst="rect">
          <a:avLst/>
        </a:prstGeom>
        <a:ln w="9525">
          <a:solidFill>
            <a:srgbClr val="000000"/>
          </a:solidFill>
          <a:prstDash val="solid"/>
        </a:ln>
      </xdr:spPr>
    </xdr:pic>
    <xdr:clientData/>
  </xdr:twoCellAnchor>
  <xdr:twoCellAnchor>
    <xdr:from>
      <xdr:col>3</xdr:col>
      <xdr:colOff>114300</xdr:colOff>
      <xdr:row>4800</xdr:row>
      <xdr:rowOff>28575</xdr:rowOff>
    </xdr:from>
    <xdr:to>
      <xdr:col>3</xdr:col>
      <xdr:colOff>1552575</xdr:colOff>
      <xdr:row>4804</xdr:row>
      <xdr:rowOff>333375</xdr:rowOff>
    </xdr:to>
    <xdr:pic>
      <xdr:nvPicPr>
        <xdr:cNvPr id="1628" name="Имя " descr="Descr ">
          <a:extLst>
            <a:ext uri="{FF2B5EF4-FFF2-40B4-BE49-F238E27FC236}">
              <a16:creationId xmlns:a16="http://schemas.microsoft.com/office/drawing/2014/main" id="{00000000-0008-0000-0000-00005C060000}"/>
            </a:ext>
          </a:extLst>
        </xdr:cNvPr>
        <xdr:cNvPicPr>
          <a:picLocks noChangeAspect="1"/>
        </xdr:cNvPicPr>
      </xdr:nvPicPr>
      <xdr:blipFill>
        <a:blip xmlns:r="http://schemas.openxmlformats.org/officeDocument/2006/relationships" r:embed="rId1627"/>
        <a:stretch>
          <a:fillRect/>
        </a:stretch>
      </xdr:blipFill>
      <xdr:spPr>
        <a:prstGeom prst="rect">
          <a:avLst/>
        </a:prstGeom>
        <a:ln w="9525">
          <a:solidFill>
            <a:srgbClr val="000000"/>
          </a:solidFill>
          <a:prstDash val="solid"/>
        </a:ln>
      </xdr:spPr>
    </xdr:pic>
    <xdr:clientData/>
  </xdr:twoCellAnchor>
  <xdr:twoCellAnchor>
    <xdr:from>
      <xdr:col>3</xdr:col>
      <xdr:colOff>114300</xdr:colOff>
      <xdr:row>4805</xdr:row>
      <xdr:rowOff>28575</xdr:rowOff>
    </xdr:from>
    <xdr:to>
      <xdr:col>3</xdr:col>
      <xdr:colOff>1552575</xdr:colOff>
      <xdr:row>4810</xdr:row>
      <xdr:rowOff>209550</xdr:rowOff>
    </xdr:to>
    <xdr:pic>
      <xdr:nvPicPr>
        <xdr:cNvPr id="1629" name="Имя " descr="Descr ">
          <a:extLst>
            <a:ext uri="{FF2B5EF4-FFF2-40B4-BE49-F238E27FC236}">
              <a16:creationId xmlns:a16="http://schemas.microsoft.com/office/drawing/2014/main" id="{00000000-0008-0000-0000-00005D060000}"/>
            </a:ext>
          </a:extLst>
        </xdr:cNvPr>
        <xdr:cNvPicPr>
          <a:picLocks noChangeAspect="1"/>
        </xdr:cNvPicPr>
      </xdr:nvPicPr>
      <xdr:blipFill>
        <a:blip xmlns:r="http://schemas.openxmlformats.org/officeDocument/2006/relationships" r:embed="rId1628"/>
        <a:stretch>
          <a:fillRect/>
        </a:stretch>
      </xdr:blipFill>
      <xdr:spPr>
        <a:prstGeom prst="rect">
          <a:avLst/>
        </a:prstGeom>
        <a:ln w="9525">
          <a:solidFill>
            <a:srgbClr val="000000"/>
          </a:solidFill>
          <a:prstDash val="solid"/>
        </a:ln>
      </xdr:spPr>
    </xdr:pic>
    <xdr:clientData/>
  </xdr:twoCellAnchor>
  <xdr:twoCellAnchor>
    <xdr:from>
      <xdr:col>3</xdr:col>
      <xdr:colOff>114300</xdr:colOff>
      <xdr:row>4811</xdr:row>
      <xdr:rowOff>28575</xdr:rowOff>
    </xdr:from>
    <xdr:to>
      <xdr:col>3</xdr:col>
      <xdr:colOff>1552575</xdr:colOff>
      <xdr:row>4815</xdr:row>
      <xdr:rowOff>333375</xdr:rowOff>
    </xdr:to>
    <xdr:pic>
      <xdr:nvPicPr>
        <xdr:cNvPr id="1630" name="Имя " descr="Descr ">
          <a:extLst>
            <a:ext uri="{FF2B5EF4-FFF2-40B4-BE49-F238E27FC236}">
              <a16:creationId xmlns:a16="http://schemas.microsoft.com/office/drawing/2014/main" id="{00000000-0008-0000-0000-00005E060000}"/>
            </a:ext>
          </a:extLst>
        </xdr:cNvPr>
        <xdr:cNvPicPr>
          <a:picLocks noChangeAspect="1"/>
        </xdr:cNvPicPr>
      </xdr:nvPicPr>
      <xdr:blipFill>
        <a:blip xmlns:r="http://schemas.openxmlformats.org/officeDocument/2006/relationships" r:embed="rId1629"/>
        <a:stretch>
          <a:fillRect/>
        </a:stretch>
      </xdr:blipFill>
      <xdr:spPr>
        <a:prstGeom prst="rect">
          <a:avLst/>
        </a:prstGeom>
        <a:ln w="9525">
          <a:solidFill>
            <a:srgbClr val="000000"/>
          </a:solidFill>
          <a:prstDash val="solid"/>
        </a:ln>
      </xdr:spPr>
    </xdr:pic>
    <xdr:clientData/>
  </xdr:twoCellAnchor>
  <xdr:twoCellAnchor>
    <xdr:from>
      <xdr:col>3</xdr:col>
      <xdr:colOff>114300</xdr:colOff>
      <xdr:row>4816</xdr:row>
      <xdr:rowOff>28575</xdr:rowOff>
    </xdr:from>
    <xdr:to>
      <xdr:col>3</xdr:col>
      <xdr:colOff>1552575</xdr:colOff>
      <xdr:row>4819</xdr:row>
      <xdr:rowOff>209550</xdr:rowOff>
    </xdr:to>
    <xdr:pic>
      <xdr:nvPicPr>
        <xdr:cNvPr id="1631" name="Имя " descr="Descr ">
          <a:extLst>
            <a:ext uri="{FF2B5EF4-FFF2-40B4-BE49-F238E27FC236}">
              <a16:creationId xmlns:a16="http://schemas.microsoft.com/office/drawing/2014/main" id="{00000000-0008-0000-0000-00005F060000}"/>
            </a:ext>
          </a:extLst>
        </xdr:cNvPr>
        <xdr:cNvPicPr>
          <a:picLocks noChangeAspect="1"/>
        </xdr:cNvPicPr>
      </xdr:nvPicPr>
      <xdr:blipFill>
        <a:blip xmlns:r="http://schemas.openxmlformats.org/officeDocument/2006/relationships" r:embed="rId1630"/>
        <a:stretch>
          <a:fillRect/>
        </a:stretch>
      </xdr:blipFill>
      <xdr:spPr>
        <a:prstGeom prst="rect">
          <a:avLst/>
        </a:prstGeom>
        <a:ln w="9525">
          <a:solidFill>
            <a:srgbClr val="000000"/>
          </a:solidFill>
          <a:prstDash val="solid"/>
        </a:ln>
      </xdr:spPr>
    </xdr:pic>
    <xdr:clientData/>
  </xdr:twoCellAnchor>
  <xdr:twoCellAnchor>
    <xdr:from>
      <xdr:col>3</xdr:col>
      <xdr:colOff>114300</xdr:colOff>
      <xdr:row>4820</xdr:row>
      <xdr:rowOff>28575</xdr:rowOff>
    </xdr:from>
    <xdr:to>
      <xdr:col>3</xdr:col>
      <xdr:colOff>1552575</xdr:colOff>
      <xdr:row>4823</xdr:row>
      <xdr:rowOff>209550</xdr:rowOff>
    </xdr:to>
    <xdr:pic>
      <xdr:nvPicPr>
        <xdr:cNvPr id="1632" name="Имя " descr="Descr ">
          <a:extLst>
            <a:ext uri="{FF2B5EF4-FFF2-40B4-BE49-F238E27FC236}">
              <a16:creationId xmlns:a16="http://schemas.microsoft.com/office/drawing/2014/main" id="{00000000-0008-0000-0000-000060060000}"/>
            </a:ext>
          </a:extLst>
        </xdr:cNvPr>
        <xdr:cNvPicPr>
          <a:picLocks noChangeAspect="1"/>
        </xdr:cNvPicPr>
      </xdr:nvPicPr>
      <xdr:blipFill>
        <a:blip xmlns:r="http://schemas.openxmlformats.org/officeDocument/2006/relationships" r:embed="rId1631"/>
        <a:stretch>
          <a:fillRect/>
        </a:stretch>
      </xdr:blipFill>
      <xdr:spPr>
        <a:prstGeom prst="rect">
          <a:avLst/>
        </a:prstGeom>
        <a:ln w="9525">
          <a:solidFill>
            <a:srgbClr val="000000"/>
          </a:solidFill>
          <a:prstDash val="solid"/>
        </a:ln>
      </xdr:spPr>
    </xdr:pic>
    <xdr:clientData/>
  </xdr:twoCellAnchor>
  <xdr:twoCellAnchor>
    <xdr:from>
      <xdr:col>3</xdr:col>
      <xdr:colOff>114300</xdr:colOff>
      <xdr:row>4824</xdr:row>
      <xdr:rowOff>28575</xdr:rowOff>
    </xdr:from>
    <xdr:to>
      <xdr:col>3</xdr:col>
      <xdr:colOff>1552575</xdr:colOff>
      <xdr:row>4827</xdr:row>
      <xdr:rowOff>209550</xdr:rowOff>
    </xdr:to>
    <xdr:pic>
      <xdr:nvPicPr>
        <xdr:cNvPr id="1633" name="Имя " descr="Descr ">
          <a:extLst>
            <a:ext uri="{FF2B5EF4-FFF2-40B4-BE49-F238E27FC236}">
              <a16:creationId xmlns:a16="http://schemas.microsoft.com/office/drawing/2014/main" id="{00000000-0008-0000-0000-000061060000}"/>
            </a:ext>
          </a:extLst>
        </xdr:cNvPr>
        <xdr:cNvPicPr>
          <a:picLocks noChangeAspect="1"/>
        </xdr:cNvPicPr>
      </xdr:nvPicPr>
      <xdr:blipFill>
        <a:blip xmlns:r="http://schemas.openxmlformats.org/officeDocument/2006/relationships" r:embed="rId1632"/>
        <a:stretch>
          <a:fillRect/>
        </a:stretch>
      </xdr:blipFill>
      <xdr:spPr>
        <a:prstGeom prst="rect">
          <a:avLst/>
        </a:prstGeom>
        <a:ln w="9525">
          <a:solidFill>
            <a:srgbClr val="000000"/>
          </a:solidFill>
          <a:prstDash val="solid"/>
        </a:ln>
      </xdr:spPr>
    </xdr:pic>
    <xdr:clientData/>
  </xdr:twoCellAnchor>
  <xdr:twoCellAnchor>
    <xdr:from>
      <xdr:col>3</xdr:col>
      <xdr:colOff>114300</xdr:colOff>
      <xdr:row>4828</xdr:row>
      <xdr:rowOff>28575</xdr:rowOff>
    </xdr:from>
    <xdr:to>
      <xdr:col>3</xdr:col>
      <xdr:colOff>1552575</xdr:colOff>
      <xdr:row>4831</xdr:row>
      <xdr:rowOff>209550</xdr:rowOff>
    </xdr:to>
    <xdr:pic>
      <xdr:nvPicPr>
        <xdr:cNvPr id="1634" name="Имя " descr="Descr ">
          <a:extLst>
            <a:ext uri="{FF2B5EF4-FFF2-40B4-BE49-F238E27FC236}">
              <a16:creationId xmlns:a16="http://schemas.microsoft.com/office/drawing/2014/main" id="{00000000-0008-0000-0000-000062060000}"/>
            </a:ext>
          </a:extLst>
        </xdr:cNvPr>
        <xdr:cNvPicPr>
          <a:picLocks noChangeAspect="1"/>
        </xdr:cNvPicPr>
      </xdr:nvPicPr>
      <xdr:blipFill>
        <a:blip xmlns:r="http://schemas.openxmlformats.org/officeDocument/2006/relationships" r:embed="rId1633"/>
        <a:stretch>
          <a:fillRect/>
        </a:stretch>
      </xdr:blipFill>
      <xdr:spPr>
        <a:prstGeom prst="rect">
          <a:avLst/>
        </a:prstGeom>
        <a:ln w="9525">
          <a:solidFill>
            <a:srgbClr val="000000"/>
          </a:solidFill>
          <a:prstDash val="solid"/>
        </a:ln>
      </xdr:spPr>
    </xdr:pic>
    <xdr:clientData/>
  </xdr:twoCellAnchor>
  <xdr:twoCellAnchor>
    <xdr:from>
      <xdr:col>3</xdr:col>
      <xdr:colOff>114300</xdr:colOff>
      <xdr:row>4832</xdr:row>
      <xdr:rowOff>38100</xdr:rowOff>
    </xdr:from>
    <xdr:to>
      <xdr:col>3</xdr:col>
      <xdr:colOff>1552575</xdr:colOff>
      <xdr:row>4833</xdr:row>
      <xdr:rowOff>638175</xdr:rowOff>
    </xdr:to>
    <xdr:pic>
      <xdr:nvPicPr>
        <xdr:cNvPr id="1635" name="Имя " descr="Descr ">
          <a:extLst>
            <a:ext uri="{FF2B5EF4-FFF2-40B4-BE49-F238E27FC236}">
              <a16:creationId xmlns:a16="http://schemas.microsoft.com/office/drawing/2014/main" id="{00000000-0008-0000-0000-000063060000}"/>
            </a:ext>
          </a:extLst>
        </xdr:cNvPr>
        <xdr:cNvPicPr>
          <a:picLocks noChangeAspect="1"/>
        </xdr:cNvPicPr>
      </xdr:nvPicPr>
      <xdr:blipFill>
        <a:blip xmlns:r="http://schemas.openxmlformats.org/officeDocument/2006/relationships" r:embed="rId1634"/>
        <a:stretch>
          <a:fillRect/>
        </a:stretch>
      </xdr:blipFill>
      <xdr:spPr>
        <a:prstGeom prst="rect">
          <a:avLst/>
        </a:prstGeom>
        <a:ln w="9525">
          <a:solidFill>
            <a:srgbClr val="000000"/>
          </a:solidFill>
          <a:prstDash val="solid"/>
        </a:ln>
      </xdr:spPr>
    </xdr:pic>
    <xdr:clientData/>
  </xdr:twoCellAnchor>
  <xdr:twoCellAnchor>
    <xdr:from>
      <xdr:col>3</xdr:col>
      <xdr:colOff>114300</xdr:colOff>
      <xdr:row>4834</xdr:row>
      <xdr:rowOff>28575</xdr:rowOff>
    </xdr:from>
    <xdr:to>
      <xdr:col>3</xdr:col>
      <xdr:colOff>1552575</xdr:colOff>
      <xdr:row>4836</xdr:row>
      <xdr:rowOff>419100</xdr:rowOff>
    </xdr:to>
    <xdr:pic>
      <xdr:nvPicPr>
        <xdr:cNvPr id="1636" name="Имя " descr="Descr ">
          <a:extLst>
            <a:ext uri="{FF2B5EF4-FFF2-40B4-BE49-F238E27FC236}">
              <a16:creationId xmlns:a16="http://schemas.microsoft.com/office/drawing/2014/main" id="{00000000-0008-0000-0000-000064060000}"/>
            </a:ext>
          </a:extLst>
        </xdr:cNvPr>
        <xdr:cNvPicPr>
          <a:picLocks noChangeAspect="1"/>
        </xdr:cNvPicPr>
      </xdr:nvPicPr>
      <xdr:blipFill>
        <a:blip xmlns:r="http://schemas.openxmlformats.org/officeDocument/2006/relationships" r:embed="rId1635"/>
        <a:stretch>
          <a:fillRect/>
        </a:stretch>
      </xdr:blipFill>
      <xdr:spPr>
        <a:prstGeom prst="rect">
          <a:avLst/>
        </a:prstGeom>
        <a:ln w="9525">
          <a:solidFill>
            <a:srgbClr val="000000"/>
          </a:solidFill>
          <a:prstDash val="solid"/>
        </a:ln>
      </xdr:spPr>
    </xdr:pic>
    <xdr:clientData/>
  </xdr:twoCellAnchor>
  <xdr:twoCellAnchor>
    <xdr:from>
      <xdr:col>3</xdr:col>
      <xdr:colOff>114300</xdr:colOff>
      <xdr:row>4837</xdr:row>
      <xdr:rowOff>28575</xdr:rowOff>
    </xdr:from>
    <xdr:to>
      <xdr:col>3</xdr:col>
      <xdr:colOff>1552575</xdr:colOff>
      <xdr:row>4841</xdr:row>
      <xdr:rowOff>333375</xdr:rowOff>
    </xdr:to>
    <xdr:pic>
      <xdr:nvPicPr>
        <xdr:cNvPr id="1637" name="Имя " descr="Descr ">
          <a:extLst>
            <a:ext uri="{FF2B5EF4-FFF2-40B4-BE49-F238E27FC236}">
              <a16:creationId xmlns:a16="http://schemas.microsoft.com/office/drawing/2014/main" id="{00000000-0008-0000-0000-000065060000}"/>
            </a:ext>
          </a:extLst>
        </xdr:cNvPr>
        <xdr:cNvPicPr>
          <a:picLocks noChangeAspect="1"/>
        </xdr:cNvPicPr>
      </xdr:nvPicPr>
      <xdr:blipFill>
        <a:blip xmlns:r="http://schemas.openxmlformats.org/officeDocument/2006/relationships" r:embed="rId1636"/>
        <a:stretch>
          <a:fillRect/>
        </a:stretch>
      </xdr:blipFill>
      <xdr:spPr>
        <a:prstGeom prst="rect">
          <a:avLst/>
        </a:prstGeom>
        <a:ln w="9525">
          <a:solidFill>
            <a:srgbClr val="000000"/>
          </a:solidFill>
          <a:prstDash val="solid"/>
        </a:ln>
      </xdr:spPr>
    </xdr:pic>
    <xdr:clientData/>
  </xdr:twoCellAnchor>
  <xdr:twoCellAnchor>
    <xdr:from>
      <xdr:col>3</xdr:col>
      <xdr:colOff>114300</xdr:colOff>
      <xdr:row>4842</xdr:row>
      <xdr:rowOff>28575</xdr:rowOff>
    </xdr:from>
    <xdr:to>
      <xdr:col>3</xdr:col>
      <xdr:colOff>1552575</xdr:colOff>
      <xdr:row>4846</xdr:row>
      <xdr:rowOff>333375</xdr:rowOff>
    </xdr:to>
    <xdr:pic>
      <xdr:nvPicPr>
        <xdr:cNvPr id="1638" name="Имя " descr="Descr ">
          <a:extLst>
            <a:ext uri="{FF2B5EF4-FFF2-40B4-BE49-F238E27FC236}">
              <a16:creationId xmlns:a16="http://schemas.microsoft.com/office/drawing/2014/main" id="{00000000-0008-0000-0000-000066060000}"/>
            </a:ext>
          </a:extLst>
        </xdr:cNvPr>
        <xdr:cNvPicPr>
          <a:picLocks noChangeAspect="1"/>
        </xdr:cNvPicPr>
      </xdr:nvPicPr>
      <xdr:blipFill>
        <a:blip xmlns:r="http://schemas.openxmlformats.org/officeDocument/2006/relationships" r:embed="rId1637"/>
        <a:stretch>
          <a:fillRect/>
        </a:stretch>
      </xdr:blipFill>
      <xdr:spPr>
        <a:prstGeom prst="rect">
          <a:avLst/>
        </a:prstGeom>
        <a:ln w="9525">
          <a:solidFill>
            <a:srgbClr val="000000"/>
          </a:solidFill>
          <a:prstDash val="solid"/>
        </a:ln>
      </xdr:spPr>
    </xdr:pic>
    <xdr:clientData/>
  </xdr:twoCellAnchor>
  <xdr:twoCellAnchor>
    <xdr:from>
      <xdr:col>3</xdr:col>
      <xdr:colOff>114300</xdr:colOff>
      <xdr:row>4847</xdr:row>
      <xdr:rowOff>38100</xdr:rowOff>
    </xdr:from>
    <xdr:to>
      <xdr:col>3</xdr:col>
      <xdr:colOff>1552575</xdr:colOff>
      <xdr:row>4848</xdr:row>
      <xdr:rowOff>638175</xdr:rowOff>
    </xdr:to>
    <xdr:pic>
      <xdr:nvPicPr>
        <xdr:cNvPr id="1639" name="Имя " descr="Descr ">
          <a:extLst>
            <a:ext uri="{FF2B5EF4-FFF2-40B4-BE49-F238E27FC236}">
              <a16:creationId xmlns:a16="http://schemas.microsoft.com/office/drawing/2014/main" id="{00000000-0008-0000-0000-000067060000}"/>
            </a:ext>
          </a:extLst>
        </xdr:cNvPr>
        <xdr:cNvPicPr>
          <a:picLocks noChangeAspect="1"/>
        </xdr:cNvPicPr>
      </xdr:nvPicPr>
      <xdr:blipFill>
        <a:blip xmlns:r="http://schemas.openxmlformats.org/officeDocument/2006/relationships" r:embed="rId1638"/>
        <a:stretch>
          <a:fillRect/>
        </a:stretch>
      </xdr:blipFill>
      <xdr:spPr>
        <a:prstGeom prst="rect">
          <a:avLst/>
        </a:prstGeom>
        <a:ln w="9525">
          <a:solidFill>
            <a:srgbClr val="000000"/>
          </a:solidFill>
          <a:prstDash val="solid"/>
        </a:ln>
      </xdr:spPr>
    </xdr:pic>
    <xdr:clientData/>
  </xdr:twoCellAnchor>
  <xdr:twoCellAnchor>
    <xdr:from>
      <xdr:col>3</xdr:col>
      <xdr:colOff>114300</xdr:colOff>
      <xdr:row>4849</xdr:row>
      <xdr:rowOff>38100</xdr:rowOff>
    </xdr:from>
    <xdr:to>
      <xdr:col>3</xdr:col>
      <xdr:colOff>1552575</xdr:colOff>
      <xdr:row>4850</xdr:row>
      <xdr:rowOff>638175</xdr:rowOff>
    </xdr:to>
    <xdr:pic>
      <xdr:nvPicPr>
        <xdr:cNvPr id="1640" name="Имя " descr="Descr ">
          <a:extLst>
            <a:ext uri="{FF2B5EF4-FFF2-40B4-BE49-F238E27FC236}">
              <a16:creationId xmlns:a16="http://schemas.microsoft.com/office/drawing/2014/main" id="{00000000-0008-0000-0000-000068060000}"/>
            </a:ext>
          </a:extLst>
        </xdr:cNvPr>
        <xdr:cNvPicPr>
          <a:picLocks noChangeAspect="1"/>
        </xdr:cNvPicPr>
      </xdr:nvPicPr>
      <xdr:blipFill>
        <a:blip xmlns:r="http://schemas.openxmlformats.org/officeDocument/2006/relationships" r:embed="rId1639"/>
        <a:stretch>
          <a:fillRect/>
        </a:stretch>
      </xdr:blipFill>
      <xdr:spPr>
        <a:prstGeom prst="rect">
          <a:avLst/>
        </a:prstGeom>
        <a:ln w="9525">
          <a:solidFill>
            <a:srgbClr val="000000"/>
          </a:solidFill>
          <a:prstDash val="solid"/>
        </a:ln>
      </xdr:spPr>
    </xdr:pic>
    <xdr:clientData/>
  </xdr:twoCellAnchor>
  <xdr:twoCellAnchor>
    <xdr:from>
      <xdr:col>3</xdr:col>
      <xdr:colOff>114300</xdr:colOff>
      <xdr:row>4851</xdr:row>
      <xdr:rowOff>38100</xdr:rowOff>
    </xdr:from>
    <xdr:to>
      <xdr:col>3</xdr:col>
      <xdr:colOff>1552575</xdr:colOff>
      <xdr:row>4852</xdr:row>
      <xdr:rowOff>638175</xdr:rowOff>
    </xdr:to>
    <xdr:pic>
      <xdr:nvPicPr>
        <xdr:cNvPr id="1641" name="Имя " descr="Descr ">
          <a:extLst>
            <a:ext uri="{FF2B5EF4-FFF2-40B4-BE49-F238E27FC236}">
              <a16:creationId xmlns:a16="http://schemas.microsoft.com/office/drawing/2014/main" id="{00000000-0008-0000-0000-000069060000}"/>
            </a:ext>
          </a:extLst>
        </xdr:cNvPr>
        <xdr:cNvPicPr>
          <a:picLocks noChangeAspect="1"/>
        </xdr:cNvPicPr>
      </xdr:nvPicPr>
      <xdr:blipFill>
        <a:blip xmlns:r="http://schemas.openxmlformats.org/officeDocument/2006/relationships" r:embed="rId1640"/>
        <a:stretch>
          <a:fillRect/>
        </a:stretch>
      </xdr:blipFill>
      <xdr:spPr>
        <a:prstGeom prst="rect">
          <a:avLst/>
        </a:prstGeom>
        <a:ln w="9525">
          <a:solidFill>
            <a:srgbClr val="000000"/>
          </a:solidFill>
          <a:prstDash val="solid"/>
        </a:ln>
      </xdr:spPr>
    </xdr:pic>
    <xdr:clientData/>
  </xdr:twoCellAnchor>
  <xdr:twoCellAnchor>
    <xdr:from>
      <xdr:col>3</xdr:col>
      <xdr:colOff>114300</xdr:colOff>
      <xdr:row>4853</xdr:row>
      <xdr:rowOff>28575</xdr:rowOff>
    </xdr:from>
    <xdr:to>
      <xdr:col>3</xdr:col>
      <xdr:colOff>1552575</xdr:colOff>
      <xdr:row>4855</xdr:row>
      <xdr:rowOff>419100</xdr:rowOff>
    </xdr:to>
    <xdr:pic>
      <xdr:nvPicPr>
        <xdr:cNvPr id="1642" name="Имя " descr="Descr ">
          <a:extLst>
            <a:ext uri="{FF2B5EF4-FFF2-40B4-BE49-F238E27FC236}">
              <a16:creationId xmlns:a16="http://schemas.microsoft.com/office/drawing/2014/main" id="{00000000-0008-0000-0000-00006A060000}"/>
            </a:ext>
          </a:extLst>
        </xdr:cNvPr>
        <xdr:cNvPicPr>
          <a:picLocks noChangeAspect="1"/>
        </xdr:cNvPicPr>
      </xdr:nvPicPr>
      <xdr:blipFill>
        <a:blip xmlns:r="http://schemas.openxmlformats.org/officeDocument/2006/relationships" r:embed="rId1641"/>
        <a:stretch>
          <a:fillRect/>
        </a:stretch>
      </xdr:blipFill>
      <xdr:spPr>
        <a:prstGeom prst="rect">
          <a:avLst/>
        </a:prstGeom>
        <a:ln w="9525">
          <a:solidFill>
            <a:srgbClr val="000000"/>
          </a:solidFill>
          <a:prstDash val="solid"/>
        </a:ln>
      </xdr:spPr>
    </xdr:pic>
    <xdr:clientData/>
  </xdr:twoCellAnchor>
  <xdr:twoCellAnchor>
    <xdr:from>
      <xdr:col>3</xdr:col>
      <xdr:colOff>114300</xdr:colOff>
      <xdr:row>4856</xdr:row>
      <xdr:rowOff>28575</xdr:rowOff>
    </xdr:from>
    <xdr:to>
      <xdr:col>3</xdr:col>
      <xdr:colOff>1552575</xdr:colOff>
      <xdr:row>4860</xdr:row>
      <xdr:rowOff>333375</xdr:rowOff>
    </xdr:to>
    <xdr:pic>
      <xdr:nvPicPr>
        <xdr:cNvPr id="1643" name="Имя " descr="Descr ">
          <a:extLst>
            <a:ext uri="{FF2B5EF4-FFF2-40B4-BE49-F238E27FC236}">
              <a16:creationId xmlns:a16="http://schemas.microsoft.com/office/drawing/2014/main" id="{00000000-0008-0000-0000-00006B060000}"/>
            </a:ext>
          </a:extLst>
        </xdr:cNvPr>
        <xdr:cNvPicPr>
          <a:picLocks noChangeAspect="1"/>
        </xdr:cNvPicPr>
      </xdr:nvPicPr>
      <xdr:blipFill>
        <a:blip xmlns:r="http://schemas.openxmlformats.org/officeDocument/2006/relationships" r:embed="rId1642"/>
        <a:stretch>
          <a:fillRect/>
        </a:stretch>
      </xdr:blipFill>
      <xdr:spPr>
        <a:prstGeom prst="rect">
          <a:avLst/>
        </a:prstGeom>
        <a:ln w="9525">
          <a:solidFill>
            <a:srgbClr val="000000"/>
          </a:solidFill>
          <a:prstDash val="solid"/>
        </a:ln>
      </xdr:spPr>
    </xdr:pic>
    <xdr:clientData/>
  </xdr:twoCellAnchor>
  <xdr:twoCellAnchor>
    <xdr:from>
      <xdr:col>3</xdr:col>
      <xdr:colOff>114300</xdr:colOff>
      <xdr:row>4861</xdr:row>
      <xdr:rowOff>28575</xdr:rowOff>
    </xdr:from>
    <xdr:to>
      <xdr:col>3</xdr:col>
      <xdr:colOff>1552575</xdr:colOff>
      <xdr:row>4861</xdr:row>
      <xdr:rowOff>1266825</xdr:rowOff>
    </xdr:to>
    <xdr:pic>
      <xdr:nvPicPr>
        <xdr:cNvPr id="1644" name="Имя " descr="Descr ">
          <a:extLst>
            <a:ext uri="{FF2B5EF4-FFF2-40B4-BE49-F238E27FC236}">
              <a16:creationId xmlns:a16="http://schemas.microsoft.com/office/drawing/2014/main" id="{00000000-0008-0000-0000-00006C060000}"/>
            </a:ext>
          </a:extLst>
        </xdr:cNvPr>
        <xdr:cNvPicPr>
          <a:picLocks noChangeAspect="1"/>
        </xdr:cNvPicPr>
      </xdr:nvPicPr>
      <xdr:blipFill>
        <a:blip xmlns:r="http://schemas.openxmlformats.org/officeDocument/2006/relationships" r:embed="rId1643"/>
        <a:stretch>
          <a:fillRect/>
        </a:stretch>
      </xdr:blipFill>
      <xdr:spPr>
        <a:prstGeom prst="rect">
          <a:avLst/>
        </a:prstGeom>
        <a:ln w="9525">
          <a:solidFill>
            <a:srgbClr val="000000"/>
          </a:solidFill>
          <a:prstDash val="solid"/>
        </a:ln>
      </xdr:spPr>
    </xdr:pic>
    <xdr:clientData/>
  </xdr:twoCellAnchor>
  <xdr:twoCellAnchor>
    <xdr:from>
      <xdr:col>3</xdr:col>
      <xdr:colOff>114300</xdr:colOff>
      <xdr:row>4862</xdr:row>
      <xdr:rowOff>28575</xdr:rowOff>
    </xdr:from>
    <xdr:to>
      <xdr:col>3</xdr:col>
      <xdr:colOff>1552575</xdr:colOff>
      <xdr:row>4865</xdr:row>
      <xdr:rowOff>209550</xdr:rowOff>
    </xdr:to>
    <xdr:pic>
      <xdr:nvPicPr>
        <xdr:cNvPr id="1645" name="Имя " descr="Descr ">
          <a:extLst>
            <a:ext uri="{FF2B5EF4-FFF2-40B4-BE49-F238E27FC236}">
              <a16:creationId xmlns:a16="http://schemas.microsoft.com/office/drawing/2014/main" id="{00000000-0008-0000-0000-00006D060000}"/>
            </a:ext>
          </a:extLst>
        </xdr:cNvPr>
        <xdr:cNvPicPr>
          <a:picLocks noChangeAspect="1"/>
        </xdr:cNvPicPr>
      </xdr:nvPicPr>
      <xdr:blipFill>
        <a:blip xmlns:r="http://schemas.openxmlformats.org/officeDocument/2006/relationships" r:embed="rId1644"/>
        <a:stretch>
          <a:fillRect/>
        </a:stretch>
      </xdr:blipFill>
      <xdr:spPr>
        <a:prstGeom prst="rect">
          <a:avLst/>
        </a:prstGeom>
        <a:ln w="9525">
          <a:solidFill>
            <a:srgbClr val="000000"/>
          </a:solidFill>
          <a:prstDash val="solid"/>
        </a:ln>
      </xdr:spPr>
    </xdr:pic>
    <xdr:clientData/>
  </xdr:twoCellAnchor>
  <xdr:twoCellAnchor>
    <xdr:from>
      <xdr:col>3</xdr:col>
      <xdr:colOff>114300</xdr:colOff>
      <xdr:row>4866</xdr:row>
      <xdr:rowOff>28575</xdr:rowOff>
    </xdr:from>
    <xdr:to>
      <xdr:col>3</xdr:col>
      <xdr:colOff>1552575</xdr:colOff>
      <xdr:row>4869</xdr:row>
      <xdr:rowOff>209550</xdr:rowOff>
    </xdr:to>
    <xdr:pic>
      <xdr:nvPicPr>
        <xdr:cNvPr id="1646" name="Имя " descr="Descr ">
          <a:extLst>
            <a:ext uri="{FF2B5EF4-FFF2-40B4-BE49-F238E27FC236}">
              <a16:creationId xmlns:a16="http://schemas.microsoft.com/office/drawing/2014/main" id="{00000000-0008-0000-0000-00006E060000}"/>
            </a:ext>
          </a:extLst>
        </xdr:cNvPr>
        <xdr:cNvPicPr>
          <a:picLocks noChangeAspect="1"/>
        </xdr:cNvPicPr>
      </xdr:nvPicPr>
      <xdr:blipFill>
        <a:blip xmlns:r="http://schemas.openxmlformats.org/officeDocument/2006/relationships" r:embed="rId1645"/>
        <a:stretch>
          <a:fillRect/>
        </a:stretch>
      </xdr:blipFill>
      <xdr:spPr>
        <a:prstGeom prst="rect">
          <a:avLst/>
        </a:prstGeom>
        <a:ln w="9525">
          <a:solidFill>
            <a:srgbClr val="000000"/>
          </a:solidFill>
          <a:prstDash val="solid"/>
        </a:ln>
      </xdr:spPr>
    </xdr:pic>
    <xdr:clientData/>
  </xdr:twoCellAnchor>
  <xdr:twoCellAnchor>
    <xdr:from>
      <xdr:col>3</xdr:col>
      <xdr:colOff>114300</xdr:colOff>
      <xdr:row>4870</xdr:row>
      <xdr:rowOff>28575</xdr:rowOff>
    </xdr:from>
    <xdr:to>
      <xdr:col>3</xdr:col>
      <xdr:colOff>1552575</xdr:colOff>
      <xdr:row>4874</xdr:row>
      <xdr:rowOff>333375</xdr:rowOff>
    </xdr:to>
    <xdr:pic>
      <xdr:nvPicPr>
        <xdr:cNvPr id="1647" name="Имя " descr="Descr ">
          <a:extLst>
            <a:ext uri="{FF2B5EF4-FFF2-40B4-BE49-F238E27FC236}">
              <a16:creationId xmlns:a16="http://schemas.microsoft.com/office/drawing/2014/main" id="{00000000-0008-0000-0000-00006F060000}"/>
            </a:ext>
          </a:extLst>
        </xdr:cNvPr>
        <xdr:cNvPicPr>
          <a:picLocks noChangeAspect="1"/>
        </xdr:cNvPicPr>
      </xdr:nvPicPr>
      <xdr:blipFill>
        <a:blip xmlns:r="http://schemas.openxmlformats.org/officeDocument/2006/relationships" r:embed="rId1646"/>
        <a:stretch>
          <a:fillRect/>
        </a:stretch>
      </xdr:blipFill>
      <xdr:spPr>
        <a:prstGeom prst="rect">
          <a:avLst/>
        </a:prstGeom>
        <a:ln w="9525">
          <a:solidFill>
            <a:srgbClr val="000000"/>
          </a:solidFill>
          <a:prstDash val="solid"/>
        </a:ln>
      </xdr:spPr>
    </xdr:pic>
    <xdr:clientData/>
  </xdr:twoCellAnchor>
  <xdr:twoCellAnchor>
    <xdr:from>
      <xdr:col>3</xdr:col>
      <xdr:colOff>114300</xdr:colOff>
      <xdr:row>4875</xdr:row>
      <xdr:rowOff>28575</xdr:rowOff>
    </xdr:from>
    <xdr:to>
      <xdr:col>3</xdr:col>
      <xdr:colOff>1552575</xdr:colOff>
      <xdr:row>4879</xdr:row>
      <xdr:rowOff>333375</xdr:rowOff>
    </xdr:to>
    <xdr:pic>
      <xdr:nvPicPr>
        <xdr:cNvPr id="1648" name="Имя " descr="Descr ">
          <a:extLst>
            <a:ext uri="{FF2B5EF4-FFF2-40B4-BE49-F238E27FC236}">
              <a16:creationId xmlns:a16="http://schemas.microsoft.com/office/drawing/2014/main" id="{00000000-0008-0000-0000-000070060000}"/>
            </a:ext>
          </a:extLst>
        </xdr:cNvPr>
        <xdr:cNvPicPr>
          <a:picLocks noChangeAspect="1"/>
        </xdr:cNvPicPr>
      </xdr:nvPicPr>
      <xdr:blipFill>
        <a:blip xmlns:r="http://schemas.openxmlformats.org/officeDocument/2006/relationships" r:embed="rId1647"/>
        <a:stretch>
          <a:fillRect/>
        </a:stretch>
      </xdr:blipFill>
      <xdr:spPr>
        <a:prstGeom prst="rect">
          <a:avLst/>
        </a:prstGeom>
        <a:ln w="9525">
          <a:solidFill>
            <a:srgbClr val="000000"/>
          </a:solidFill>
          <a:prstDash val="solid"/>
        </a:ln>
      </xdr:spPr>
    </xdr:pic>
    <xdr:clientData/>
  </xdr:twoCellAnchor>
  <xdr:twoCellAnchor>
    <xdr:from>
      <xdr:col>3</xdr:col>
      <xdr:colOff>114300</xdr:colOff>
      <xdr:row>4880</xdr:row>
      <xdr:rowOff>38100</xdr:rowOff>
    </xdr:from>
    <xdr:to>
      <xdr:col>3</xdr:col>
      <xdr:colOff>1552575</xdr:colOff>
      <xdr:row>4881</xdr:row>
      <xdr:rowOff>638175</xdr:rowOff>
    </xdr:to>
    <xdr:pic>
      <xdr:nvPicPr>
        <xdr:cNvPr id="1649" name="Имя " descr="Descr ">
          <a:extLst>
            <a:ext uri="{FF2B5EF4-FFF2-40B4-BE49-F238E27FC236}">
              <a16:creationId xmlns:a16="http://schemas.microsoft.com/office/drawing/2014/main" id="{00000000-0008-0000-0000-000071060000}"/>
            </a:ext>
          </a:extLst>
        </xdr:cNvPr>
        <xdr:cNvPicPr>
          <a:picLocks noChangeAspect="1"/>
        </xdr:cNvPicPr>
      </xdr:nvPicPr>
      <xdr:blipFill>
        <a:blip xmlns:r="http://schemas.openxmlformats.org/officeDocument/2006/relationships" r:embed="rId1648"/>
        <a:stretch>
          <a:fillRect/>
        </a:stretch>
      </xdr:blipFill>
      <xdr:spPr>
        <a:prstGeom prst="rect">
          <a:avLst/>
        </a:prstGeom>
        <a:ln w="9525">
          <a:solidFill>
            <a:srgbClr val="000000"/>
          </a:solidFill>
          <a:prstDash val="solid"/>
        </a:ln>
      </xdr:spPr>
    </xdr:pic>
    <xdr:clientData/>
  </xdr:twoCellAnchor>
  <xdr:twoCellAnchor>
    <xdr:from>
      <xdr:col>3</xdr:col>
      <xdr:colOff>114300</xdr:colOff>
      <xdr:row>4882</xdr:row>
      <xdr:rowOff>28575</xdr:rowOff>
    </xdr:from>
    <xdr:to>
      <xdr:col>3</xdr:col>
      <xdr:colOff>1552575</xdr:colOff>
      <xdr:row>4884</xdr:row>
      <xdr:rowOff>419100</xdr:rowOff>
    </xdr:to>
    <xdr:pic>
      <xdr:nvPicPr>
        <xdr:cNvPr id="1650" name="Имя " descr="Descr ">
          <a:extLst>
            <a:ext uri="{FF2B5EF4-FFF2-40B4-BE49-F238E27FC236}">
              <a16:creationId xmlns:a16="http://schemas.microsoft.com/office/drawing/2014/main" id="{00000000-0008-0000-0000-000072060000}"/>
            </a:ext>
          </a:extLst>
        </xdr:cNvPr>
        <xdr:cNvPicPr>
          <a:picLocks noChangeAspect="1"/>
        </xdr:cNvPicPr>
      </xdr:nvPicPr>
      <xdr:blipFill>
        <a:blip xmlns:r="http://schemas.openxmlformats.org/officeDocument/2006/relationships" r:embed="rId1649"/>
        <a:stretch>
          <a:fillRect/>
        </a:stretch>
      </xdr:blipFill>
      <xdr:spPr>
        <a:prstGeom prst="rect">
          <a:avLst/>
        </a:prstGeom>
        <a:ln w="9525">
          <a:solidFill>
            <a:srgbClr val="000000"/>
          </a:solidFill>
          <a:prstDash val="solid"/>
        </a:ln>
      </xdr:spPr>
    </xdr:pic>
    <xdr:clientData/>
  </xdr:twoCellAnchor>
  <xdr:twoCellAnchor>
    <xdr:from>
      <xdr:col>3</xdr:col>
      <xdr:colOff>114300</xdr:colOff>
      <xdr:row>4885</xdr:row>
      <xdr:rowOff>28575</xdr:rowOff>
    </xdr:from>
    <xdr:to>
      <xdr:col>3</xdr:col>
      <xdr:colOff>1552575</xdr:colOff>
      <xdr:row>4887</xdr:row>
      <xdr:rowOff>419100</xdr:rowOff>
    </xdr:to>
    <xdr:pic>
      <xdr:nvPicPr>
        <xdr:cNvPr id="1651" name="Имя " descr="Descr ">
          <a:extLst>
            <a:ext uri="{FF2B5EF4-FFF2-40B4-BE49-F238E27FC236}">
              <a16:creationId xmlns:a16="http://schemas.microsoft.com/office/drawing/2014/main" id="{00000000-0008-0000-0000-000073060000}"/>
            </a:ext>
          </a:extLst>
        </xdr:cNvPr>
        <xdr:cNvPicPr>
          <a:picLocks noChangeAspect="1"/>
        </xdr:cNvPicPr>
      </xdr:nvPicPr>
      <xdr:blipFill>
        <a:blip xmlns:r="http://schemas.openxmlformats.org/officeDocument/2006/relationships" r:embed="rId1650"/>
        <a:stretch>
          <a:fillRect/>
        </a:stretch>
      </xdr:blipFill>
      <xdr:spPr>
        <a:prstGeom prst="rect">
          <a:avLst/>
        </a:prstGeom>
        <a:ln w="9525">
          <a:solidFill>
            <a:srgbClr val="000000"/>
          </a:solidFill>
          <a:prstDash val="solid"/>
        </a:ln>
      </xdr:spPr>
    </xdr:pic>
    <xdr:clientData/>
  </xdr:twoCellAnchor>
  <xdr:twoCellAnchor>
    <xdr:from>
      <xdr:col>3</xdr:col>
      <xdr:colOff>114300</xdr:colOff>
      <xdr:row>4888</xdr:row>
      <xdr:rowOff>28575</xdr:rowOff>
    </xdr:from>
    <xdr:to>
      <xdr:col>3</xdr:col>
      <xdr:colOff>1552575</xdr:colOff>
      <xdr:row>4891</xdr:row>
      <xdr:rowOff>209550</xdr:rowOff>
    </xdr:to>
    <xdr:pic>
      <xdr:nvPicPr>
        <xdr:cNvPr id="1652" name="Имя " descr="Descr ">
          <a:extLst>
            <a:ext uri="{FF2B5EF4-FFF2-40B4-BE49-F238E27FC236}">
              <a16:creationId xmlns:a16="http://schemas.microsoft.com/office/drawing/2014/main" id="{00000000-0008-0000-0000-000074060000}"/>
            </a:ext>
          </a:extLst>
        </xdr:cNvPr>
        <xdr:cNvPicPr>
          <a:picLocks noChangeAspect="1"/>
        </xdr:cNvPicPr>
      </xdr:nvPicPr>
      <xdr:blipFill>
        <a:blip xmlns:r="http://schemas.openxmlformats.org/officeDocument/2006/relationships" r:embed="rId1651"/>
        <a:stretch>
          <a:fillRect/>
        </a:stretch>
      </xdr:blipFill>
      <xdr:spPr>
        <a:prstGeom prst="rect">
          <a:avLst/>
        </a:prstGeom>
        <a:ln w="9525">
          <a:solidFill>
            <a:srgbClr val="000000"/>
          </a:solidFill>
          <a:prstDash val="solid"/>
        </a:ln>
      </xdr:spPr>
    </xdr:pic>
    <xdr:clientData/>
  </xdr:twoCellAnchor>
  <xdr:twoCellAnchor>
    <xdr:from>
      <xdr:col>3</xdr:col>
      <xdr:colOff>114300</xdr:colOff>
      <xdr:row>4892</xdr:row>
      <xdr:rowOff>28575</xdr:rowOff>
    </xdr:from>
    <xdr:to>
      <xdr:col>3</xdr:col>
      <xdr:colOff>1552575</xdr:colOff>
      <xdr:row>4896</xdr:row>
      <xdr:rowOff>333375</xdr:rowOff>
    </xdr:to>
    <xdr:pic>
      <xdr:nvPicPr>
        <xdr:cNvPr id="1653" name="Имя " descr="Descr ">
          <a:extLst>
            <a:ext uri="{FF2B5EF4-FFF2-40B4-BE49-F238E27FC236}">
              <a16:creationId xmlns:a16="http://schemas.microsoft.com/office/drawing/2014/main" id="{00000000-0008-0000-0000-000075060000}"/>
            </a:ext>
          </a:extLst>
        </xdr:cNvPr>
        <xdr:cNvPicPr>
          <a:picLocks noChangeAspect="1"/>
        </xdr:cNvPicPr>
      </xdr:nvPicPr>
      <xdr:blipFill>
        <a:blip xmlns:r="http://schemas.openxmlformats.org/officeDocument/2006/relationships" r:embed="rId1652"/>
        <a:stretch>
          <a:fillRect/>
        </a:stretch>
      </xdr:blipFill>
      <xdr:spPr>
        <a:prstGeom prst="rect">
          <a:avLst/>
        </a:prstGeom>
        <a:ln w="9525">
          <a:solidFill>
            <a:srgbClr val="000000"/>
          </a:solidFill>
          <a:prstDash val="solid"/>
        </a:ln>
      </xdr:spPr>
    </xdr:pic>
    <xdr:clientData/>
  </xdr:twoCellAnchor>
  <xdr:twoCellAnchor>
    <xdr:from>
      <xdr:col>3</xdr:col>
      <xdr:colOff>114300</xdr:colOff>
      <xdr:row>4897</xdr:row>
      <xdr:rowOff>28575</xdr:rowOff>
    </xdr:from>
    <xdr:to>
      <xdr:col>3</xdr:col>
      <xdr:colOff>1552575</xdr:colOff>
      <xdr:row>4900</xdr:row>
      <xdr:rowOff>209550</xdr:rowOff>
    </xdr:to>
    <xdr:pic>
      <xdr:nvPicPr>
        <xdr:cNvPr id="1654" name="Имя " descr="Descr ">
          <a:extLst>
            <a:ext uri="{FF2B5EF4-FFF2-40B4-BE49-F238E27FC236}">
              <a16:creationId xmlns:a16="http://schemas.microsoft.com/office/drawing/2014/main" id="{00000000-0008-0000-0000-000076060000}"/>
            </a:ext>
          </a:extLst>
        </xdr:cNvPr>
        <xdr:cNvPicPr>
          <a:picLocks noChangeAspect="1"/>
        </xdr:cNvPicPr>
      </xdr:nvPicPr>
      <xdr:blipFill>
        <a:blip xmlns:r="http://schemas.openxmlformats.org/officeDocument/2006/relationships" r:embed="rId1653"/>
        <a:stretch>
          <a:fillRect/>
        </a:stretch>
      </xdr:blipFill>
      <xdr:spPr>
        <a:prstGeom prst="rect">
          <a:avLst/>
        </a:prstGeom>
        <a:ln w="9525">
          <a:solidFill>
            <a:srgbClr val="000000"/>
          </a:solidFill>
          <a:prstDash val="solid"/>
        </a:ln>
      </xdr:spPr>
    </xdr:pic>
    <xdr:clientData/>
  </xdr:twoCellAnchor>
  <xdr:twoCellAnchor>
    <xdr:from>
      <xdr:col>3</xdr:col>
      <xdr:colOff>114300</xdr:colOff>
      <xdr:row>4901</xdr:row>
      <xdr:rowOff>28575</xdr:rowOff>
    </xdr:from>
    <xdr:to>
      <xdr:col>3</xdr:col>
      <xdr:colOff>1552575</xdr:colOff>
      <xdr:row>4905</xdr:row>
      <xdr:rowOff>333375</xdr:rowOff>
    </xdr:to>
    <xdr:pic>
      <xdr:nvPicPr>
        <xdr:cNvPr id="1655" name="Имя " descr="Descr ">
          <a:extLst>
            <a:ext uri="{FF2B5EF4-FFF2-40B4-BE49-F238E27FC236}">
              <a16:creationId xmlns:a16="http://schemas.microsoft.com/office/drawing/2014/main" id="{00000000-0008-0000-0000-000077060000}"/>
            </a:ext>
          </a:extLst>
        </xdr:cNvPr>
        <xdr:cNvPicPr>
          <a:picLocks noChangeAspect="1"/>
        </xdr:cNvPicPr>
      </xdr:nvPicPr>
      <xdr:blipFill>
        <a:blip xmlns:r="http://schemas.openxmlformats.org/officeDocument/2006/relationships" r:embed="rId1654"/>
        <a:stretch>
          <a:fillRect/>
        </a:stretch>
      </xdr:blipFill>
      <xdr:spPr>
        <a:prstGeom prst="rect">
          <a:avLst/>
        </a:prstGeom>
        <a:ln w="9525">
          <a:solidFill>
            <a:srgbClr val="000000"/>
          </a:solidFill>
          <a:prstDash val="solid"/>
        </a:ln>
      </xdr:spPr>
    </xdr:pic>
    <xdr:clientData/>
  </xdr:twoCellAnchor>
  <xdr:twoCellAnchor>
    <xdr:from>
      <xdr:col>3</xdr:col>
      <xdr:colOff>114300</xdr:colOff>
      <xdr:row>4906</xdr:row>
      <xdr:rowOff>38100</xdr:rowOff>
    </xdr:from>
    <xdr:to>
      <xdr:col>3</xdr:col>
      <xdr:colOff>1552575</xdr:colOff>
      <xdr:row>4907</xdr:row>
      <xdr:rowOff>638175</xdr:rowOff>
    </xdr:to>
    <xdr:pic>
      <xdr:nvPicPr>
        <xdr:cNvPr id="1656" name="Имя " descr="Descr ">
          <a:extLst>
            <a:ext uri="{FF2B5EF4-FFF2-40B4-BE49-F238E27FC236}">
              <a16:creationId xmlns:a16="http://schemas.microsoft.com/office/drawing/2014/main" id="{00000000-0008-0000-0000-000078060000}"/>
            </a:ext>
          </a:extLst>
        </xdr:cNvPr>
        <xdr:cNvPicPr>
          <a:picLocks noChangeAspect="1"/>
        </xdr:cNvPicPr>
      </xdr:nvPicPr>
      <xdr:blipFill>
        <a:blip xmlns:r="http://schemas.openxmlformats.org/officeDocument/2006/relationships" r:embed="rId1655"/>
        <a:stretch>
          <a:fillRect/>
        </a:stretch>
      </xdr:blipFill>
      <xdr:spPr>
        <a:prstGeom prst="rect">
          <a:avLst/>
        </a:prstGeom>
        <a:ln w="9525">
          <a:solidFill>
            <a:srgbClr val="000000"/>
          </a:solidFill>
          <a:prstDash val="solid"/>
        </a:ln>
      </xdr:spPr>
    </xdr:pic>
    <xdr:clientData/>
  </xdr:twoCellAnchor>
  <xdr:twoCellAnchor>
    <xdr:from>
      <xdr:col>3</xdr:col>
      <xdr:colOff>114300</xdr:colOff>
      <xdr:row>4908</xdr:row>
      <xdr:rowOff>28575</xdr:rowOff>
    </xdr:from>
    <xdr:to>
      <xdr:col>3</xdr:col>
      <xdr:colOff>1552575</xdr:colOff>
      <xdr:row>4910</xdr:row>
      <xdr:rowOff>419100</xdr:rowOff>
    </xdr:to>
    <xdr:pic>
      <xdr:nvPicPr>
        <xdr:cNvPr id="1657" name="Имя " descr="Descr ">
          <a:extLst>
            <a:ext uri="{FF2B5EF4-FFF2-40B4-BE49-F238E27FC236}">
              <a16:creationId xmlns:a16="http://schemas.microsoft.com/office/drawing/2014/main" id="{00000000-0008-0000-0000-000079060000}"/>
            </a:ext>
          </a:extLst>
        </xdr:cNvPr>
        <xdr:cNvPicPr>
          <a:picLocks noChangeAspect="1"/>
        </xdr:cNvPicPr>
      </xdr:nvPicPr>
      <xdr:blipFill>
        <a:blip xmlns:r="http://schemas.openxmlformats.org/officeDocument/2006/relationships" r:embed="rId1656"/>
        <a:stretch>
          <a:fillRect/>
        </a:stretch>
      </xdr:blipFill>
      <xdr:spPr>
        <a:prstGeom prst="rect">
          <a:avLst/>
        </a:prstGeom>
        <a:ln w="9525">
          <a:solidFill>
            <a:srgbClr val="000000"/>
          </a:solidFill>
          <a:prstDash val="solid"/>
        </a:ln>
      </xdr:spPr>
    </xdr:pic>
    <xdr:clientData/>
  </xdr:twoCellAnchor>
  <xdr:twoCellAnchor>
    <xdr:from>
      <xdr:col>3</xdr:col>
      <xdr:colOff>114300</xdr:colOff>
      <xdr:row>4911</xdr:row>
      <xdr:rowOff>38100</xdr:rowOff>
    </xdr:from>
    <xdr:to>
      <xdr:col>3</xdr:col>
      <xdr:colOff>1552575</xdr:colOff>
      <xdr:row>4912</xdr:row>
      <xdr:rowOff>638175</xdr:rowOff>
    </xdr:to>
    <xdr:pic>
      <xdr:nvPicPr>
        <xdr:cNvPr id="1658" name="Имя " descr="Descr ">
          <a:extLst>
            <a:ext uri="{FF2B5EF4-FFF2-40B4-BE49-F238E27FC236}">
              <a16:creationId xmlns:a16="http://schemas.microsoft.com/office/drawing/2014/main" id="{00000000-0008-0000-0000-00007A060000}"/>
            </a:ext>
          </a:extLst>
        </xdr:cNvPr>
        <xdr:cNvPicPr>
          <a:picLocks noChangeAspect="1"/>
        </xdr:cNvPicPr>
      </xdr:nvPicPr>
      <xdr:blipFill>
        <a:blip xmlns:r="http://schemas.openxmlformats.org/officeDocument/2006/relationships" r:embed="rId1657"/>
        <a:stretch>
          <a:fillRect/>
        </a:stretch>
      </xdr:blipFill>
      <xdr:spPr>
        <a:prstGeom prst="rect">
          <a:avLst/>
        </a:prstGeom>
        <a:ln w="9525">
          <a:solidFill>
            <a:srgbClr val="000000"/>
          </a:solidFill>
          <a:prstDash val="solid"/>
        </a:ln>
      </xdr:spPr>
    </xdr:pic>
    <xdr:clientData/>
  </xdr:twoCellAnchor>
  <xdr:twoCellAnchor>
    <xdr:from>
      <xdr:col>3</xdr:col>
      <xdr:colOff>114300</xdr:colOff>
      <xdr:row>4913</xdr:row>
      <xdr:rowOff>28575</xdr:rowOff>
    </xdr:from>
    <xdr:to>
      <xdr:col>3</xdr:col>
      <xdr:colOff>1552575</xdr:colOff>
      <xdr:row>4913</xdr:row>
      <xdr:rowOff>1266825</xdr:rowOff>
    </xdr:to>
    <xdr:pic>
      <xdr:nvPicPr>
        <xdr:cNvPr id="1659" name="Имя " descr="Descr ">
          <a:extLst>
            <a:ext uri="{FF2B5EF4-FFF2-40B4-BE49-F238E27FC236}">
              <a16:creationId xmlns:a16="http://schemas.microsoft.com/office/drawing/2014/main" id="{00000000-0008-0000-0000-00007B060000}"/>
            </a:ext>
          </a:extLst>
        </xdr:cNvPr>
        <xdr:cNvPicPr>
          <a:picLocks noChangeAspect="1"/>
        </xdr:cNvPicPr>
      </xdr:nvPicPr>
      <xdr:blipFill>
        <a:blip xmlns:r="http://schemas.openxmlformats.org/officeDocument/2006/relationships" r:embed="rId1658"/>
        <a:stretch>
          <a:fillRect/>
        </a:stretch>
      </xdr:blipFill>
      <xdr:spPr>
        <a:prstGeom prst="rect">
          <a:avLst/>
        </a:prstGeom>
        <a:ln w="9525">
          <a:solidFill>
            <a:srgbClr val="000000"/>
          </a:solidFill>
          <a:prstDash val="solid"/>
        </a:ln>
      </xdr:spPr>
    </xdr:pic>
    <xdr:clientData/>
  </xdr:twoCellAnchor>
  <xdr:twoCellAnchor>
    <xdr:from>
      <xdr:col>3</xdr:col>
      <xdr:colOff>114300</xdr:colOff>
      <xdr:row>4914</xdr:row>
      <xdr:rowOff>28575</xdr:rowOff>
    </xdr:from>
    <xdr:to>
      <xdr:col>3</xdr:col>
      <xdr:colOff>1552575</xdr:colOff>
      <xdr:row>4914</xdr:row>
      <xdr:rowOff>1266825</xdr:rowOff>
    </xdr:to>
    <xdr:pic>
      <xdr:nvPicPr>
        <xdr:cNvPr id="1660" name="Имя " descr="Descr ">
          <a:extLst>
            <a:ext uri="{FF2B5EF4-FFF2-40B4-BE49-F238E27FC236}">
              <a16:creationId xmlns:a16="http://schemas.microsoft.com/office/drawing/2014/main" id="{00000000-0008-0000-0000-00007C060000}"/>
            </a:ext>
          </a:extLst>
        </xdr:cNvPr>
        <xdr:cNvPicPr>
          <a:picLocks noChangeAspect="1"/>
        </xdr:cNvPicPr>
      </xdr:nvPicPr>
      <xdr:blipFill>
        <a:blip xmlns:r="http://schemas.openxmlformats.org/officeDocument/2006/relationships" r:embed="rId1659"/>
        <a:stretch>
          <a:fillRect/>
        </a:stretch>
      </xdr:blipFill>
      <xdr:spPr>
        <a:prstGeom prst="rect">
          <a:avLst/>
        </a:prstGeom>
        <a:ln w="9525">
          <a:solidFill>
            <a:srgbClr val="000000"/>
          </a:solidFill>
          <a:prstDash val="solid"/>
        </a:ln>
      </xdr:spPr>
    </xdr:pic>
    <xdr:clientData/>
  </xdr:twoCellAnchor>
  <xdr:twoCellAnchor>
    <xdr:from>
      <xdr:col>3</xdr:col>
      <xdr:colOff>114300</xdr:colOff>
      <xdr:row>4915</xdr:row>
      <xdr:rowOff>28575</xdr:rowOff>
    </xdr:from>
    <xdr:to>
      <xdr:col>3</xdr:col>
      <xdr:colOff>1552575</xdr:colOff>
      <xdr:row>4917</xdr:row>
      <xdr:rowOff>419100</xdr:rowOff>
    </xdr:to>
    <xdr:pic>
      <xdr:nvPicPr>
        <xdr:cNvPr id="1661" name="Имя " descr="Descr ">
          <a:extLst>
            <a:ext uri="{FF2B5EF4-FFF2-40B4-BE49-F238E27FC236}">
              <a16:creationId xmlns:a16="http://schemas.microsoft.com/office/drawing/2014/main" id="{00000000-0008-0000-0000-00007D060000}"/>
            </a:ext>
          </a:extLst>
        </xdr:cNvPr>
        <xdr:cNvPicPr>
          <a:picLocks noChangeAspect="1"/>
        </xdr:cNvPicPr>
      </xdr:nvPicPr>
      <xdr:blipFill>
        <a:blip xmlns:r="http://schemas.openxmlformats.org/officeDocument/2006/relationships" r:embed="rId1660"/>
        <a:stretch>
          <a:fillRect/>
        </a:stretch>
      </xdr:blipFill>
      <xdr:spPr>
        <a:prstGeom prst="rect">
          <a:avLst/>
        </a:prstGeom>
        <a:ln w="9525">
          <a:solidFill>
            <a:srgbClr val="000000"/>
          </a:solidFill>
          <a:prstDash val="solid"/>
        </a:ln>
      </xdr:spPr>
    </xdr:pic>
    <xdr:clientData/>
  </xdr:twoCellAnchor>
  <xdr:twoCellAnchor>
    <xdr:from>
      <xdr:col>3</xdr:col>
      <xdr:colOff>114300</xdr:colOff>
      <xdr:row>4918</xdr:row>
      <xdr:rowOff>28575</xdr:rowOff>
    </xdr:from>
    <xdr:to>
      <xdr:col>3</xdr:col>
      <xdr:colOff>1552575</xdr:colOff>
      <xdr:row>4923</xdr:row>
      <xdr:rowOff>209550</xdr:rowOff>
    </xdr:to>
    <xdr:pic>
      <xdr:nvPicPr>
        <xdr:cNvPr id="1662" name="Имя " descr="Descr ">
          <a:extLst>
            <a:ext uri="{FF2B5EF4-FFF2-40B4-BE49-F238E27FC236}">
              <a16:creationId xmlns:a16="http://schemas.microsoft.com/office/drawing/2014/main" id="{00000000-0008-0000-0000-00007E060000}"/>
            </a:ext>
          </a:extLst>
        </xdr:cNvPr>
        <xdr:cNvPicPr>
          <a:picLocks noChangeAspect="1"/>
        </xdr:cNvPicPr>
      </xdr:nvPicPr>
      <xdr:blipFill>
        <a:blip xmlns:r="http://schemas.openxmlformats.org/officeDocument/2006/relationships" r:embed="rId1661"/>
        <a:stretch>
          <a:fillRect/>
        </a:stretch>
      </xdr:blipFill>
      <xdr:spPr>
        <a:prstGeom prst="rect">
          <a:avLst/>
        </a:prstGeom>
        <a:ln w="9525">
          <a:solidFill>
            <a:srgbClr val="000000"/>
          </a:solidFill>
          <a:prstDash val="solid"/>
        </a:ln>
      </xdr:spPr>
    </xdr:pic>
    <xdr:clientData/>
  </xdr:twoCellAnchor>
  <xdr:twoCellAnchor>
    <xdr:from>
      <xdr:col>3</xdr:col>
      <xdr:colOff>114300</xdr:colOff>
      <xdr:row>4924</xdr:row>
      <xdr:rowOff>38100</xdr:rowOff>
    </xdr:from>
    <xdr:to>
      <xdr:col>3</xdr:col>
      <xdr:colOff>1552575</xdr:colOff>
      <xdr:row>4925</xdr:row>
      <xdr:rowOff>638175</xdr:rowOff>
    </xdr:to>
    <xdr:pic>
      <xdr:nvPicPr>
        <xdr:cNvPr id="1663" name="Имя " descr="Descr ">
          <a:extLst>
            <a:ext uri="{FF2B5EF4-FFF2-40B4-BE49-F238E27FC236}">
              <a16:creationId xmlns:a16="http://schemas.microsoft.com/office/drawing/2014/main" id="{00000000-0008-0000-0000-00007F060000}"/>
            </a:ext>
          </a:extLst>
        </xdr:cNvPr>
        <xdr:cNvPicPr>
          <a:picLocks noChangeAspect="1"/>
        </xdr:cNvPicPr>
      </xdr:nvPicPr>
      <xdr:blipFill>
        <a:blip xmlns:r="http://schemas.openxmlformats.org/officeDocument/2006/relationships" r:embed="rId1662"/>
        <a:stretch>
          <a:fillRect/>
        </a:stretch>
      </xdr:blipFill>
      <xdr:spPr>
        <a:prstGeom prst="rect">
          <a:avLst/>
        </a:prstGeom>
        <a:ln w="9525">
          <a:solidFill>
            <a:srgbClr val="000000"/>
          </a:solidFill>
          <a:prstDash val="solid"/>
        </a:ln>
      </xdr:spPr>
    </xdr:pic>
    <xdr:clientData/>
  </xdr:twoCellAnchor>
  <xdr:twoCellAnchor>
    <xdr:from>
      <xdr:col>3</xdr:col>
      <xdr:colOff>114300</xdr:colOff>
      <xdr:row>4926</xdr:row>
      <xdr:rowOff>28575</xdr:rowOff>
    </xdr:from>
    <xdr:to>
      <xdr:col>3</xdr:col>
      <xdr:colOff>1552575</xdr:colOff>
      <xdr:row>4930</xdr:row>
      <xdr:rowOff>333375</xdr:rowOff>
    </xdr:to>
    <xdr:pic>
      <xdr:nvPicPr>
        <xdr:cNvPr id="1664" name="Имя " descr="Descr ">
          <a:extLst>
            <a:ext uri="{FF2B5EF4-FFF2-40B4-BE49-F238E27FC236}">
              <a16:creationId xmlns:a16="http://schemas.microsoft.com/office/drawing/2014/main" id="{00000000-0008-0000-0000-000080060000}"/>
            </a:ext>
          </a:extLst>
        </xdr:cNvPr>
        <xdr:cNvPicPr>
          <a:picLocks noChangeAspect="1"/>
        </xdr:cNvPicPr>
      </xdr:nvPicPr>
      <xdr:blipFill>
        <a:blip xmlns:r="http://schemas.openxmlformats.org/officeDocument/2006/relationships" r:embed="rId1663"/>
        <a:stretch>
          <a:fillRect/>
        </a:stretch>
      </xdr:blipFill>
      <xdr:spPr>
        <a:prstGeom prst="rect">
          <a:avLst/>
        </a:prstGeom>
        <a:ln w="9525">
          <a:solidFill>
            <a:srgbClr val="000000"/>
          </a:solidFill>
          <a:prstDash val="solid"/>
        </a:ln>
      </xdr:spPr>
    </xdr:pic>
    <xdr:clientData/>
  </xdr:twoCellAnchor>
  <xdr:twoCellAnchor>
    <xdr:from>
      <xdr:col>3</xdr:col>
      <xdr:colOff>114300</xdr:colOff>
      <xdr:row>4931</xdr:row>
      <xdr:rowOff>28575</xdr:rowOff>
    </xdr:from>
    <xdr:to>
      <xdr:col>3</xdr:col>
      <xdr:colOff>1552575</xdr:colOff>
      <xdr:row>4934</xdr:row>
      <xdr:rowOff>209550</xdr:rowOff>
    </xdr:to>
    <xdr:pic>
      <xdr:nvPicPr>
        <xdr:cNvPr id="1665" name="Имя " descr="Descr ">
          <a:extLst>
            <a:ext uri="{FF2B5EF4-FFF2-40B4-BE49-F238E27FC236}">
              <a16:creationId xmlns:a16="http://schemas.microsoft.com/office/drawing/2014/main" id="{00000000-0008-0000-0000-000081060000}"/>
            </a:ext>
          </a:extLst>
        </xdr:cNvPr>
        <xdr:cNvPicPr>
          <a:picLocks noChangeAspect="1"/>
        </xdr:cNvPicPr>
      </xdr:nvPicPr>
      <xdr:blipFill>
        <a:blip xmlns:r="http://schemas.openxmlformats.org/officeDocument/2006/relationships" r:embed="rId1664"/>
        <a:stretch>
          <a:fillRect/>
        </a:stretch>
      </xdr:blipFill>
      <xdr:spPr>
        <a:prstGeom prst="rect">
          <a:avLst/>
        </a:prstGeom>
        <a:ln w="9525">
          <a:solidFill>
            <a:srgbClr val="000000"/>
          </a:solidFill>
          <a:prstDash val="solid"/>
        </a:ln>
      </xdr:spPr>
    </xdr:pic>
    <xdr:clientData/>
  </xdr:twoCellAnchor>
  <xdr:twoCellAnchor>
    <xdr:from>
      <xdr:col>3</xdr:col>
      <xdr:colOff>114300</xdr:colOff>
      <xdr:row>4935</xdr:row>
      <xdr:rowOff>28575</xdr:rowOff>
    </xdr:from>
    <xdr:to>
      <xdr:col>3</xdr:col>
      <xdr:colOff>1552575</xdr:colOff>
      <xdr:row>4937</xdr:row>
      <xdr:rowOff>419100</xdr:rowOff>
    </xdr:to>
    <xdr:pic>
      <xdr:nvPicPr>
        <xdr:cNvPr id="1666" name="Имя " descr="Descr ">
          <a:extLst>
            <a:ext uri="{FF2B5EF4-FFF2-40B4-BE49-F238E27FC236}">
              <a16:creationId xmlns:a16="http://schemas.microsoft.com/office/drawing/2014/main" id="{00000000-0008-0000-0000-000082060000}"/>
            </a:ext>
          </a:extLst>
        </xdr:cNvPr>
        <xdr:cNvPicPr>
          <a:picLocks noChangeAspect="1"/>
        </xdr:cNvPicPr>
      </xdr:nvPicPr>
      <xdr:blipFill>
        <a:blip xmlns:r="http://schemas.openxmlformats.org/officeDocument/2006/relationships" r:embed="rId1665"/>
        <a:stretch>
          <a:fillRect/>
        </a:stretch>
      </xdr:blipFill>
      <xdr:spPr>
        <a:prstGeom prst="rect">
          <a:avLst/>
        </a:prstGeom>
        <a:ln w="9525">
          <a:solidFill>
            <a:srgbClr val="000000"/>
          </a:solidFill>
          <a:prstDash val="solid"/>
        </a:ln>
      </xdr:spPr>
    </xdr:pic>
    <xdr:clientData/>
  </xdr:twoCellAnchor>
  <xdr:twoCellAnchor>
    <xdr:from>
      <xdr:col>3</xdr:col>
      <xdr:colOff>114300</xdr:colOff>
      <xdr:row>4938</xdr:row>
      <xdr:rowOff>28575</xdr:rowOff>
    </xdr:from>
    <xdr:to>
      <xdr:col>3</xdr:col>
      <xdr:colOff>1552575</xdr:colOff>
      <xdr:row>4938</xdr:row>
      <xdr:rowOff>1266825</xdr:rowOff>
    </xdr:to>
    <xdr:pic>
      <xdr:nvPicPr>
        <xdr:cNvPr id="1667" name="Имя " descr="Descr ">
          <a:extLst>
            <a:ext uri="{FF2B5EF4-FFF2-40B4-BE49-F238E27FC236}">
              <a16:creationId xmlns:a16="http://schemas.microsoft.com/office/drawing/2014/main" id="{00000000-0008-0000-0000-000083060000}"/>
            </a:ext>
          </a:extLst>
        </xdr:cNvPr>
        <xdr:cNvPicPr>
          <a:picLocks noChangeAspect="1"/>
        </xdr:cNvPicPr>
      </xdr:nvPicPr>
      <xdr:blipFill>
        <a:blip xmlns:r="http://schemas.openxmlformats.org/officeDocument/2006/relationships" r:embed="rId1666"/>
        <a:stretch>
          <a:fillRect/>
        </a:stretch>
      </xdr:blipFill>
      <xdr:spPr>
        <a:prstGeom prst="rect">
          <a:avLst/>
        </a:prstGeom>
        <a:ln w="9525">
          <a:solidFill>
            <a:srgbClr val="000000"/>
          </a:solidFill>
          <a:prstDash val="solid"/>
        </a:ln>
      </xdr:spPr>
    </xdr:pic>
    <xdr:clientData/>
  </xdr:twoCellAnchor>
  <xdr:twoCellAnchor>
    <xdr:from>
      <xdr:col>3</xdr:col>
      <xdr:colOff>114300</xdr:colOff>
      <xdr:row>4939</xdr:row>
      <xdr:rowOff>38100</xdr:rowOff>
    </xdr:from>
    <xdr:to>
      <xdr:col>3</xdr:col>
      <xdr:colOff>1552575</xdr:colOff>
      <xdr:row>4940</xdr:row>
      <xdr:rowOff>638175</xdr:rowOff>
    </xdr:to>
    <xdr:pic>
      <xdr:nvPicPr>
        <xdr:cNvPr id="1668" name="Имя " descr="Descr ">
          <a:extLst>
            <a:ext uri="{FF2B5EF4-FFF2-40B4-BE49-F238E27FC236}">
              <a16:creationId xmlns:a16="http://schemas.microsoft.com/office/drawing/2014/main" id="{00000000-0008-0000-0000-000084060000}"/>
            </a:ext>
          </a:extLst>
        </xdr:cNvPr>
        <xdr:cNvPicPr>
          <a:picLocks noChangeAspect="1"/>
        </xdr:cNvPicPr>
      </xdr:nvPicPr>
      <xdr:blipFill>
        <a:blip xmlns:r="http://schemas.openxmlformats.org/officeDocument/2006/relationships" r:embed="rId1667"/>
        <a:stretch>
          <a:fillRect/>
        </a:stretch>
      </xdr:blipFill>
      <xdr:spPr>
        <a:prstGeom prst="rect">
          <a:avLst/>
        </a:prstGeom>
        <a:ln w="9525">
          <a:solidFill>
            <a:srgbClr val="000000"/>
          </a:solidFill>
          <a:prstDash val="solid"/>
        </a:ln>
      </xdr:spPr>
    </xdr:pic>
    <xdr:clientData/>
  </xdr:twoCellAnchor>
  <xdr:twoCellAnchor>
    <xdr:from>
      <xdr:col>3</xdr:col>
      <xdr:colOff>114300</xdr:colOff>
      <xdr:row>4941</xdr:row>
      <xdr:rowOff>28575</xdr:rowOff>
    </xdr:from>
    <xdr:to>
      <xdr:col>3</xdr:col>
      <xdr:colOff>1552575</xdr:colOff>
      <xdr:row>4944</xdr:row>
      <xdr:rowOff>209550</xdr:rowOff>
    </xdr:to>
    <xdr:pic>
      <xdr:nvPicPr>
        <xdr:cNvPr id="1669" name="Имя " descr="Descr ">
          <a:extLst>
            <a:ext uri="{FF2B5EF4-FFF2-40B4-BE49-F238E27FC236}">
              <a16:creationId xmlns:a16="http://schemas.microsoft.com/office/drawing/2014/main" id="{00000000-0008-0000-0000-000085060000}"/>
            </a:ext>
          </a:extLst>
        </xdr:cNvPr>
        <xdr:cNvPicPr>
          <a:picLocks noChangeAspect="1"/>
        </xdr:cNvPicPr>
      </xdr:nvPicPr>
      <xdr:blipFill>
        <a:blip xmlns:r="http://schemas.openxmlformats.org/officeDocument/2006/relationships" r:embed="rId1668"/>
        <a:stretch>
          <a:fillRect/>
        </a:stretch>
      </xdr:blipFill>
      <xdr:spPr>
        <a:prstGeom prst="rect">
          <a:avLst/>
        </a:prstGeom>
        <a:ln w="9525">
          <a:solidFill>
            <a:srgbClr val="000000"/>
          </a:solidFill>
          <a:prstDash val="solid"/>
        </a:ln>
      </xdr:spPr>
    </xdr:pic>
    <xdr:clientData/>
  </xdr:twoCellAnchor>
  <xdr:twoCellAnchor>
    <xdr:from>
      <xdr:col>3</xdr:col>
      <xdr:colOff>114300</xdr:colOff>
      <xdr:row>4945</xdr:row>
      <xdr:rowOff>28575</xdr:rowOff>
    </xdr:from>
    <xdr:to>
      <xdr:col>3</xdr:col>
      <xdr:colOff>1552575</xdr:colOff>
      <xdr:row>4949</xdr:row>
      <xdr:rowOff>333375</xdr:rowOff>
    </xdr:to>
    <xdr:pic>
      <xdr:nvPicPr>
        <xdr:cNvPr id="1670" name="Имя " descr="Descr ">
          <a:extLst>
            <a:ext uri="{FF2B5EF4-FFF2-40B4-BE49-F238E27FC236}">
              <a16:creationId xmlns:a16="http://schemas.microsoft.com/office/drawing/2014/main" id="{00000000-0008-0000-0000-000086060000}"/>
            </a:ext>
          </a:extLst>
        </xdr:cNvPr>
        <xdr:cNvPicPr>
          <a:picLocks noChangeAspect="1"/>
        </xdr:cNvPicPr>
      </xdr:nvPicPr>
      <xdr:blipFill>
        <a:blip xmlns:r="http://schemas.openxmlformats.org/officeDocument/2006/relationships" r:embed="rId1669"/>
        <a:stretch>
          <a:fillRect/>
        </a:stretch>
      </xdr:blipFill>
      <xdr:spPr>
        <a:prstGeom prst="rect">
          <a:avLst/>
        </a:prstGeom>
        <a:ln w="9525">
          <a:solidFill>
            <a:srgbClr val="000000"/>
          </a:solidFill>
          <a:prstDash val="solid"/>
        </a:ln>
      </xdr:spPr>
    </xdr:pic>
    <xdr:clientData/>
  </xdr:twoCellAnchor>
  <xdr:twoCellAnchor>
    <xdr:from>
      <xdr:col>3</xdr:col>
      <xdr:colOff>114300</xdr:colOff>
      <xdr:row>4950</xdr:row>
      <xdr:rowOff>28575</xdr:rowOff>
    </xdr:from>
    <xdr:to>
      <xdr:col>3</xdr:col>
      <xdr:colOff>1552575</xdr:colOff>
      <xdr:row>4953</xdr:row>
      <xdr:rowOff>209550</xdr:rowOff>
    </xdr:to>
    <xdr:pic>
      <xdr:nvPicPr>
        <xdr:cNvPr id="1671" name="Имя " descr="Descr ">
          <a:extLst>
            <a:ext uri="{FF2B5EF4-FFF2-40B4-BE49-F238E27FC236}">
              <a16:creationId xmlns:a16="http://schemas.microsoft.com/office/drawing/2014/main" id="{00000000-0008-0000-0000-000087060000}"/>
            </a:ext>
          </a:extLst>
        </xdr:cNvPr>
        <xdr:cNvPicPr>
          <a:picLocks noChangeAspect="1"/>
        </xdr:cNvPicPr>
      </xdr:nvPicPr>
      <xdr:blipFill>
        <a:blip xmlns:r="http://schemas.openxmlformats.org/officeDocument/2006/relationships" r:embed="rId1670"/>
        <a:stretch>
          <a:fillRect/>
        </a:stretch>
      </xdr:blipFill>
      <xdr:spPr>
        <a:prstGeom prst="rect">
          <a:avLst/>
        </a:prstGeom>
        <a:ln w="9525">
          <a:solidFill>
            <a:srgbClr val="000000"/>
          </a:solidFill>
          <a:prstDash val="solid"/>
        </a:ln>
      </xdr:spPr>
    </xdr:pic>
    <xdr:clientData/>
  </xdr:twoCellAnchor>
  <xdr:twoCellAnchor>
    <xdr:from>
      <xdr:col>3</xdr:col>
      <xdr:colOff>114300</xdr:colOff>
      <xdr:row>4954</xdr:row>
      <xdr:rowOff>28575</xdr:rowOff>
    </xdr:from>
    <xdr:to>
      <xdr:col>3</xdr:col>
      <xdr:colOff>1552575</xdr:colOff>
      <xdr:row>4954</xdr:row>
      <xdr:rowOff>1266825</xdr:rowOff>
    </xdr:to>
    <xdr:pic>
      <xdr:nvPicPr>
        <xdr:cNvPr id="1672" name="Имя " descr="Descr ">
          <a:extLst>
            <a:ext uri="{FF2B5EF4-FFF2-40B4-BE49-F238E27FC236}">
              <a16:creationId xmlns:a16="http://schemas.microsoft.com/office/drawing/2014/main" id="{00000000-0008-0000-0000-000088060000}"/>
            </a:ext>
          </a:extLst>
        </xdr:cNvPr>
        <xdr:cNvPicPr>
          <a:picLocks noChangeAspect="1"/>
        </xdr:cNvPicPr>
      </xdr:nvPicPr>
      <xdr:blipFill>
        <a:blip xmlns:r="http://schemas.openxmlformats.org/officeDocument/2006/relationships" r:embed="rId1671"/>
        <a:stretch>
          <a:fillRect/>
        </a:stretch>
      </xdr:blipFill>
      <xdr:spPr>
        <a:prstGeom prst="rect">
          <a:avLst/>
        </a:prstGeom>
        <a:ln w="9525">
          <a:solidFill>
            <a:srgbClr val="000000"/>
          </a:solidFill>
          <a:prstDash val="solid"/>
        </a:ln>
      </xdr:spPr>
    </xdr:pic>
    <xdr:clientData/>
  </xdr:twoCellAnchor>
  <xdr:twoCellAnchor>
    <xdr:from>
      <xdr:col>3</xdr:col>
      <xdr:colOff>114300</xdr:colOff>
      <xdr:row>4955</xdr:row>
      <xdr:rowOff>28575</xdr:rowOff>
    </xdr:from>
    <xdr:to>
      <xdr:col>3</xdr:col>
      <xdr:colOff>1552575</xdr:colOff>
      <xdr:row>4955</xdr:row>
      <xdr:rowOff>1266825</xdr:rowOff>
    </xdr:to>
    <xdr:pic>
      <xdr:nvPicPr>
        <xdr:cNvPr id="1673" name="Имя " descr="Descr ">
          <a:extLst>
            <a:ext uri="{FF2B5EF4-FFF2-40B4-BE49-F238E27FC236}">
              <a16:creationId xmlns:a16="http://schemas.microsoft.com/office/drawing/2014/main" id="{00000000-0008-0000-0000-000089060000}"/>
            </a:ext>
          </a:extLst>
        </xdr:cNvPr>
        <xdr:cNvPicPr>
          <a:picLocks noChangeAspect="1"/>
        </xdr:cNvPicPr>
      </xdr:nvPicPr>
      <xdr:blipFill>
        <a:blip xmlns:r="http://schemas.openxmlformats.org/officeDocument/2006/relationships" r:embed="rId1672"/>
        <a:stretch>
          <a:fillRect/>
        </a:stretch>
      </xdr:blipFill>
      <xdr:spPr>
        <a:prstGeom prst="rect">
          <a:avLst/>
        </a:prstGeom>
        <a:ln w="9525">
          <a:solidFill>
            <a:srgbClr val="000000"/>
          </a:solidFill>
          <a:prstDash val="solid"/>
        </a:ln>
      </xdr:spPr>
    </xdr:pic>
    <xdr:clientData/>
  </xdr:twoCellAnchor>
  <xdr:twoCellAnchor>
    <xdr:from>
      <xdr:col>3</xdr:col>
      <xdr:colOff>114300</xdr:colOff>
      <xdr:row>4956</xdr:row>
      <xdr:rowOff>28575</xdr:rowOff>
    </xdr:from>
    <xdr:to>
      <xdr:col>3</xdr:col>
      <xdr:colOff>1552575</xdr:colOff>
      <xdr:row>4956</xdr:row>
      <xdr:rowOff>1266825</xdr:rowOff>
    </xdr:to>
    <xdr:pic>
      <xdr:nvPicPr>
        <xdr:cNvPr id="1674" name="Имя " descr="Descr ">
          <a:extLst>
            <a:ext uri="{FF2B5EF4-FFF2-40B4-BE49-F238E27FC236}">
              <a16:creationId xmlns:a16="http://schemas.microsoft.com/office/drawing/2014/main" id="{00000000-0008-0000-0000-00008A060000}"/>
            </a:ext>
          </a:extLst>
        </xdr:cNvPr>
        <xdr:cNvPicPr>
          <a:picLocks noChangeAspect="1"/>
        </xdr:cNvPicPr>
      </xdr:nvPicPr>
      <xdr:blipFill>
        <a:blip xmlns:r="http://schemas.openxmlformats.org/officeDocument/2006/relationships" r:embed="rId1673"/>
        <a:stretch>
          <a:fillRect/>
        </a:stretch>
      </xdr:blipFill>
      <xdr:spPr>
        <a:prstGeom prst="rect">
          <a:avLst/>
        </a:prstGeom>
        <a:ln w="9525">
          <a:solidFill>
            <a:srgbClr val="000000"/>
          </a:solidFill>
          <a:prstDash val="solid"/>
        </a:ln>
      </xdr:spPr>
    </xdr:pic>
    <xdr:clientData/>
  </xdr:twoCellAnchor>
  <xdr:twoCellAnchor>
    <xdr:from>
      <xdr:col>3</xdr:col>
      <xdr:colOff>114300</xdr:colOff>
      <xdr:row>4957</xdr:row>
      <xdr:rowOff>28575</xdr:rowOff>
    </xdr:from>
    <xdr:to>
      <xdr:col>3</xdr:col>
      <xdr:colOff>1552575</xdr:colOff>
      <xdr:row>4957</xdr:row>
      <xdr:rowOff>1266825</xdr:rowOff>
    </xdr:to>
    <xdr:pic>
      <xdr:nvPicPr>
        <xdr:cNvPr id="1675" name="Имя " descr="Descr ">
          <a:extLst>
            <a:ext uri="{FF2B5EF4-FFF2-40B4-BE49-F238E27FC236}">
              <a16:creationId xmlns:a16="http://schemas.microsoft.com/office/drawing/2014/main" id="{00000000-0008-0000-0000-00008B060000}"/>
            </a:ext>
          </a:extLst>
        </xdr:cNvPr>
        <xdr:cNvPicPr>
          <a:picLocks noChangeAspect="1"/>
        </xdr:cNvPicPr>
      </xdr:nvPicPr>
      <xdr:blipFill>
        <a:blip xmlns:r="http://schemas.openxmlformats.org/officeDocument/2006/relationships" r:embed="rId1674"/>
        <a:stretch>
          <a:fillRect/>
        </a:stretch>
      </xdr:blipFill>
      <xdr:spPr>
        <a:prstGeom prst="rect">
          <a:avLst/>
        </a:prstGeom>
        <a:ln w="9525">
          <a:solidFill>
            <a:srgbClr val="000000"/>
          </a:solidFill>
          <a:prstDash val="solid"/>
        </a:ln>
      </xdr:spPr>
    </xdr:pic>
    <xdr:clientData/>
  </xdr:twoCellAnchor>
  <xdr:twoCellAnchor>
    <xdr:from>
      <xdr:col>3</xdr:col>
      <xdr:colOff>114300</xdr:colOff>
      <xdr:row>4958</xdr:row>
      <xdr:rowOff>28575</xdr:rowOff>
    </xdr:from>
    <xdr:to>
      <xdr:col>3</xdr:col>
      <xdr:colOff>1552575</xdr:colOff>
      <xdr:row>4958</xdr:row>
      <xdr:rowOff>1266825</xdr:rowOff>
    </xdr:to>
    <xdr:pic>
      <xdr:nvPicPr>
        <xdr:cNvPr id="1676" name="Имя " descr="Descr ">
          <a:extLst>
            <a:ext uri="{FF2B5EF4-FFF2-40B4-BE49-F238E27FC236}">
              <a16:creationId xmlns:a16="http://schemas.microsoft.com/office/drawing/2014/main" id="{00000000-0008-0000-0000-00008C060000}"/>
            </a:ext>
          </a:extLst>
        </xdr:cNvPr>
        <xdr:cNvPicPr>
          <a:picLocks noChangeAspect="1"/>
        </xdr:cNvPicPr>
      </xdr:nvPicPr>
      <xdr:blipFill>
        <a:blip xmlns:r="http://schemas.openxmlformats.org/officeDocument/2006/relationships" r:embed="rId1675"/>
        <a:stretch>
          <a:fillRect/>
        </a:stretch>
      </xdr:blipFill>
      <xdr:spPr>
        <a:prstGeom prst="rect">
          <a:avLst/>
        </a:prstGeom>
        <a:ln w="9525">
          <a:solidFill>
            <a:srgbClr val="000000"/>
          </a:solidFill>
          <a:prstDash val="solid"/>
        </a:ln>
      </xdr:spPr>
    </xdr:pic>
    <xdr:clientData/>
  </xdr:twoCellAnchor>
  <xdr:twoCellAnchor>
    <xdr:from>
      <xdr:col>3</xdr:col>
      <xdr:colOff>114300</xdr:colOff>
      <xdr:row>4959</xdr:row>
      <xdr:rowOff>28575</xdr:rowOff>
    </xdr:from>
    <xdr:to>
      <xdr:col>3</xdr:col>
      <xdr:colOff>1552575</xdr:colOff>
      <xdr:row>4959</xdr:row>
      <xdr:rowOff>1266825</xdr:rowOff>
    </xdr:to>
    <xdr:pic>
      <xdr:nvPicPr>
        <xdr:cNvPr id="1677" name="Имя " descr="Descr ">
          <a:extLst>
            <a:ext uri="{FF2B5EF4-FFF2-40B4-BE49-F238E27FC236}">
              <a16:creationId xmlns:a16="http://schemas.microsoft.com/office/drawing/2014/main" id="{00000000-0008-0000-0000-00008D060000}"/>
            </a:ext>
          </a:extLst>
        </xdr:cNvPr>
        <xdr:cNvPicPr>
          <a:picLocks noChangeAspect="1"/>
        </xdr:cNvPicPr>
      </xdr:nvPicPr>
      <xdr:blipFill>
        <a:blip xmlns:r="http://schemas.openxmlformats.org/officeDocument/2006/relationships" r:embed="rId1676"/>
        <a:stretch>
          <a:fillRect/>
        </a:stretch>
      </xdr:blipFill>
      <xdr:spPr>
        <a:prstGeom prst="rect">
          <a:avLst/>
        </a:prstGeom>
        <a:ln w="9525">
          <a:solidFill>
            <a:srgbClr val="000000"/>
          </a:solidFill>
          <a:prstDash val="solid"/>
        </a:ln>
      </xdr:spPr>
    </xdr:pic>
    <xdr:clientData/>
  </xdr:twoCellAnchor>
  <xdr:twoCellAnchor>
    <xdr:from>
      <xdr:col>3</xdr:col>
      <xdr:colOff>114300</xdr:colOff>
      <xdr:row>4960</xdr:row>
      <xdr:rowOff>28575</xdr:rowOff>
    </xdr:from>
    <xdr:to>
      <xdr:col>3</xdr:col>
      <xdr:colOff>1552575</xdr:colOff>
      <xdr:row>4960</xdr:row>
      <xdr:rowOff>1266825</xdr:rowOff>
    </xdr:to>
    <xdr:pic>
      <xdr:nvPicPr>
        <xdr:cNvPr id="1678" name="Имя " descr="Descr ">
          <a:extLst>
            <a:ext uri="{FF2B5EF4-FFF2-40B4-BE49-F238E27FC236}">
              <a16:creationId xmlns:a16="http://schemas.microsoft.com/office/drawing/2014/main" id="{00000000-0008-0000-0000-00008E060000}"/>
            </a:ext>
          </a:extLst>
        </xdr:cNvPr>
        <xdr:cNvPicPr>
          <a:picLocks noChangeAspect="1"/>
        </xdr:cNvPicPr>
      </xdr:nvPicPr>
      <xdr:blipFill>
        <a:blip xmlns:r="http://schemas.openxmlformats.org/officeDocument/2006/relationships" r:embed="rId1677"/>
        <a:stretch>
          <a:fillRect/>
        </a:stretch>
      </xdr:blipFill>
      <xdr:spPr>
        <a:prstGeom prst="rect">
          <a:avLst/>
        </a:prstGeom>
        <a:ln w="9525">
          <a:solidFill>
            <a:srgbClr val="000000"/>
          </a:solidFill>
          <a:prstDash val="solid"/>
        </a:ln>
      </xdr:spPr>
    </xdr:pic>
    <xdr:clientData/>
  </xdr:twoCellAnchor>
  <xdr:twoCellAnchor>
    <xdr:from>
      <xdr:col>3</xdr:col>
      <xdr:colOff>114300</xdr:colOff>
      <xdr:row>4961</xdr:row>
      <xdr:rowOff>28575</xdr:rowOff>
    </xdr:from>
    <xdr:to>
      <xdr:col>3</xdr:col>
      <xdr:colOff>1552575</xdr:colOff>
      <xdr:row>4961</xdr:row>
      <xdr:rowOff>1266825</xdr:rowOff>
    </xdr:to>
    <xdr:pic>
      <xdr:nvPicPr>
        <xdr:cNvPr id="1679" name="Имя " descr="Descr ">
          <a:extLst>
            <a:ext uri="{FF2B5EF4-FFF2-40B4-BE49-F238E27FC236}">
              <a16:creationId xmlns:a16="http://schemas.microsoft.com/office/drawing/2014/main" id="{00000000-0008-0000-0000-00008F060000}"/>
            </a:ext>
          </a:extLst>
        </xdr:cNvPr>
        <xdr:cNvPicPr>
          <a:picLocks noChangeAspect="1"/>
        </xdr:cNvPicPr>
      </xdr:nvPicPr>
      <xdr:blipFill>
        <a:blip xmlns:r="http://schemas.openxmlformats.org/officeDocument/2006/relationships" r:embed="rId1678"/>
        <a:stretch>
          <a:fillRect/>
        </a:stretch>
      </xdr:blipFill>
      <xdr:spPr>
        <a:prstGeom prst="rect">
          <a:avLst/>
        </a:prstGeom>
        <a:ln w="9525">
          <a:solidFill>
            <a:srgbClr val="000000"/>
          </a:solidFill>
          <a:prstDash val="solid"/>
        </a:ln>
      </xdr:spPr>
    </xdr:pic>
    <xdr:clientData/>
  </xdr:twoCellAnchor>
  <xdr:twoCellAnchor>
    <xdr:from>
      <xdr:col>3</xdr:col>
      <xdr:colOff>114300</xdr:colOff>
      <xdr:row>4962</xdr:row>
      <xdr:rowOff>28575</xdr:rowOff>
    </xdr:from>
    <xdr:to>
      <xdr:col>3</xdr:col>
      <xdr:colOff>1552575</xdr:colOff>
      <xdr:row>4962</xdr:row>
      <xdr:rowOff>1266825</xdr:rowOff>
    </xdr:to>
    <xdr:pic>
      <xdr:nvPicPr>
        <xdr:cNvPr id="1680" name="Имя " descr="Descr ">
          <a:extLst>
            <a:ext uri="{FF2B5EF4-FFF2-40B4-BE49-F238E27FC236}">
              <a16:creationId xmlns:a16="http://schemas.microsoft.com/office/drawing/2014/main" id="{00000000-0008-0000-0000-000090060000}"/>
            </a:ext>
          </a:extLst>
        </xdr:cNvPr>
        <xdr:cNvPicPr>
          <a:picLocks noChangeAspect="1"/>
        </xdr:cNvPicPr>
      </xdr:nvPicPr>
      <xdr:blipFill>
        <a:blip xmlns:r="http://schemas.openxmlformats.org/officeDocument/2006/relationships" r:embed="rId1679"/>
        <a:stretch>
          <a:fillRect/>
        </a:stretch>
      </xdr:blipFill>
      <xdr:spPr>
        <a:prstGeom prst="rect">
          <a:avLst/>
        </a:prstGeom>
        <a:ln w="9525">
          <a:solidFill>
            <a:srgbClr val="000000"/>
          </a:solidFill>
          <a:prstDash val="solid"/>
        </a:ln>
      </xdr:spPr>
    </xdr:pic>
    <xdr:clientData/>
  </xdr:twoCellAnchor>
  <xdr:twoCellAnchor>
    <xdr:from>
      <xdr:col>3</xdr:col>
      <xdr:colOff>114300</xdr:colOff>
      <xdr:row>4963</xdr:row>
      <xdr:rowOff>28575</xdr:rowOff>
    </xdr:from>
    <xdr:to>
      <xdr:col>3</xdr:col>
      <xdr:colOff>1552575</xdr:colOff>
      <xdr:row>4963</xdr:row>
      <xdr:rowOff>1266825</xdr:rowOff>
    </xdr:to>
    <xdr:pic>
      <xdr:nvPicPr>
        <xdr:cNvPr id="1681" name="Имя " descr="Descr ">
          <a:extLst>
            <a:ext uri="{FF2B5EF4-FFF2-40B4-BE49-F238E27FC236}">
              <a16:creationId xmlns:a16="http://schemas.microsoft.com/office/drawing/2014/main" id="{00000000-0008-0000-0000-000091060000}"/>
            </a:ext>
          </a:extLst>
        </xdr:cNvPr>
        <xdr:cNvPicPr>
          <a:picLocks noChangeAspect="1"/>
        </xdr:cNvPicPr>
      </xdr:nvPicPr>
      <xdr:blipFill>
        <a:blip xmlns:r="http://schemas.openxmlformats.org/officeDocument/2006/relationships" r:embed="rId1680"/>
        <a:stretch>
          <a:fillRect/>
        </a:stretch>
      </xdr:blipFill>
      <xdr:spPr>
        <a:prstGeom prst="rect">
          <a:avLst/>
        </a:prstGeom>
        <a:ln w="9525">
          <a:solidFill>
            <a:srgbClr val="000000"/>
          </a:solidFill>
          <a:prstDash val="solid"/>
        </a:ln>
      </xdr:spPr>
    </xdr:pic>
    <xdr:clientData/>
  </xdr:twoCellAnchor>
  <xdr:twoCellAnchor>
    <xdr:from>
      <xdr:col>3</xdr:col>
      <xdr:colOff>114300</xdr:colOff>
      <xdr:row>4964</xdr:row>
      <xdr:rowOff>28575</xdr:rowOff>
    </xdr:from>
    <xdr:to>
      <xdr:col>3</xdr:col>
      <xdr:colOff>1552575</xdr:colOff>
      <xdr:row>4964</xdr:row>
      <xdr:rowOff>1266825</xdr:rowOff>
    </xdr:to>
    <xdr:pic>
      <xdr:nvPicPr>
        <xdr:cNvPr id="1682" name="Имя " descr="Descr ">
          <a:extLst>
            <a:ext uri="{FF2B5EF4-FFF2-40B4-BE49-F238E27FC236}">
              <a16:creationId xmlns:a16="http://schemas.microsoft.com/office/drawing/2014/main" id="{00000000-0008-0000-0000-000092060000}"/>
            </a:ext>
          </a:extLst>
        </xdr:cNvPr>
        <xdr:cNvPicPr>
          <a:picLocks noChangeAspect="1"/>
        </xdr:cNvPicPr>
      </xdr:nvPicPr>
      <xdr:blipFill>
        <a:blip xmlns:r="http://schemas.openxmlformats.org/officeDocument/2006/relationships" r:embed="rId1681"/>
        <a:stretch>
          <a:fillRect/>
        </a:stretch>
      </xdr:blipFill>
      <xdr:spPr>
        <a:prstGeom prst="rect">
          <a:avLst/>
        </a:prstGeom>
        <a:ln w="9525">
          <a:solidFill>
            <a:srgbClr val="000000"/>
          </a:solidFill>
          <a:prstDash val="solid"/>
        </a:ln>
      </xdr:spPr>
    </xdr:pic>
    <xdr:clientData/>
  </xdr:twoCellAnchor>
  <xdr:twoCellAnchor>
    <xdr:from>
      <xdr:col>3</xdr:col>
      <xdr:colOff>114300</xdr:colOff>
      <xdr:row>4965</xdr:row>
      <xdr:rowOff>28575</xdr:rowOff>
    </xdr:from>
    <xdr:to>
      <xdr:col>3</xdr:col>
      <xdr:colOff>1552575</xdr:colOff>
      <xdr:row>4965</xdr:row>
      <xdr:rowOff>1266825</xdr:rowOff>
    </xdr:to>
    <xdr:pic>
      <xdr:nvPicPr>
        <xdr:cNvPr id="1683" name="Имя " descr="Descr ">
          <a:extLst>
            <a:ext uri="{FF2B5EF4-FFF2-40B4-BE49-F238E27FC236}">
              <a16:creationId xmlns:a16="http://schemas.microsoft.com/office/drawing/2014/main" id="{00000000-0008-0000-0000-000093060000}"/>
            </a:ext>
          </a:extLst>
        </xdr:cNvPr>
        <xdr:cNvPicPr>
          <a:picLocks noChangeAspect="1"/>
        </xdr:cNvPicPr>
      </xdr:nvPicPr>
      <xdr:blipFill>
        <a:blip xmlns:r="http://schemas.openxmlformats.org/officeDocument/2006/relationships" r:embed="rId1682"/>
        <a:stretch>
          <a:fillRect/>
        </a:stretch>
      </xdr:blipFill>
      <xdr:spPr>
        <a:prstGeom prst="rect">
          <a:avLst/>
        </a:prstGeom>
        <a:ln w="9525">
          <a:solidFill>
            <a:srgbClr val="000000"/>
          </a:solidFill>
          <a:prstDash val="solid"/>
        </a:ln>
      </xdr:spPr>
    </xdr:pic>
    <xdr:clientData/>
  </xdr:twoCellAnchor>
  <xdr:twoCellAnchor>
    <xdr:from>
      <xdr:col>3</xdr:col>
      <xdr:colOff>114300</xdr:colOff>
      <xdr:row>4966</xdr:row>
      <xdr:rowOff>28575</xdr:rowOff>
    </xdr:from>
    <xdr:to>
      <xdr:col>3</xdr:col>
      <xdr:colOff>1552575</xdr:colOff>
      <xdr:row>4966</xdr:row>
      <xdr:rowOff>1266825</xdr:rowOff>
    </xdr:to>
    <xdr:pic>
      <xdr:nvPicPr>
        <xdr:cNvPr id="1684" name="Имя " descr="Descr ">
          <a:extLst>
            <a:ext uri="{FF2B5EF4-FFF2-40B4-BE49-F238E27FC236}">
              <a16:creationId xmlns:a16="http://schemas.microsoft.com/office/drawing/2014/main" id="{00000000-0008-0000-0000-000094060000}"/>
            </a:ext>
          </a:extLst>
        </xdr:cNvPr>
        <xdr:cNvPicPr>
          <a:picLocks noChangeAspect="1"/>
        </xdr:cNvPicPr>
      </xdr:nvPicPr>
      <xdr:blipFill>
        <a:blip xmlns:r="http://schemas.openxmlformats.org/officeDocument/2006/relationships" r:embed="rId1683"/>
        <a:stretch>
          <a:fillRect/>
        </a:stretch>
      </xdr:blipFill>
      <xdr:spPr>
        <a:prstGeom prst="rect">
          <a:avLst/>
        </a:prstGeom>
        <a:ln w="9525">
          <a:solidFill>
            <a:srgbClr val="000000"/>
          </a:solidFill>
          <a:prstDash val="solid"/>
        </a:ln>
      </xdr:spPr>
    </xdr:pic>
    <xdr:clientData/>
  </xdr:twoCellAnchor>
  <xdr:twoCellAnchor>
    <xdr:from>
      <xdr:col>3</xdr:col>
      <xdr:colOff>114300</xdr:colOff>
      <xdr:row>4967</xdr:row>
      <xdr:rowOff>28575</xdr:rowOff>
    </xdr:from>
    <xdr:to>
      <xdr:col>3</xdr:col>
      <xdr:colOff>1552575</xdr:colOff>
      <xdr:row>4967</xdr:row>
      <xdr:rowOff>1266825</xdr:rowOff>
    </xdr:to>
    <xdr:pic>
      <xdr:nvPicPr>
        <xdr:cNvPr id="1685" name="Имя " descr="Descr ">
          <a:extLst>
            <a:ext uri="{FF2B5EF4-FFF2-40B4-BE49-F238E27FC236}">
              <a16:creationId xmlns:a16="http://schemas.microsoft.com/office/drawing/2014/main" id="{00000000-0008-0000-0000-000095060000}"/>
            </a:ext>
          </a:extLst>
        </xdr:cNvPr>
        <xdr:cNvPicPr>
          <a:picLocks noChangeAspect="1"/>
        </xdr:cNvPicPr>
      </xdr:nvPicPr>
      <xdr:blipFill>
        <a:blip xmlns:r="http://schemas.openxmlformats.org/officeDocument/2006/relationships" r:embed="rId1684"/>
        <a:stretch>
          <a:fillRect/>
        </a:stretch>
      </xdr:blipFill>
      <xdr:spPr>
        <a:prstGeom prst="rect">
          <a:avLst/>
        </a:prstGeom>
        <a:ln w="9525">
          <a:solidFill>
            <a:srgbClr val="000000"/>
          </a:solidFill>
          <a:prstDash val="solid"/>
        </a:ln>
      </xdr:spPr>
    </xdr:pic>
    <xdr:clientData/>
  </xdr:twoCellAnchor>
  <xdr:twoCellAnchor>
    <xdr:from>
      <xdr:col>3</xdr:col>
      <xdr:colOff>114300</xdr:colOff>
      <xdr:row>4968</xdr:row>
      <xdr:rowOff>28575</xdr:rowOff>
    </xdr:from>
    <xdr:to>
      <xdr:col>3</xdr:col>
      <xdr:colOff>1552575</xdr:colOff>
      <xdr:row>4968</xdr:row>
      <xdr:rowOff>1266825</xdr:rowOff>
    </xdr:to>
    <xdr:pic>
      <xdr:nvPicPr>
        <xdr:cNvPr id="1686" name="Имя " descr="Descr ">
          <a:extLst>
            <a:ext uri="{FF2B5EF4-FFF2-40B4-BE49-F238E27FC236}">
              <a16:creationId xmlns:a16="http://schemas.microsoft.com/office/drawing/2014/main" id="{00000000-0008-0000-0000-000096060000}"/>
            </a:ext>
          </a:extLst>
        </xdr:cNvPr>
        <xdr:cNvPicPr>
          <a:picLocks noChangeAspect="1"/>
        </xdr:cNvPicPr>
      </xdr:nvPicPr>
      <xdr:blipFill>
        <a:blip xmlns:r="http://schemas.openxmlformats.org/officeDocument/2006/relationships" r:embed="rId1685"/>
        <a:stretch>
          <a:fillRect/>
        </a:stretch>
      </xdr:blipFill>
      <xdr:spPr>
        <a:prstGeom prst="rect">
          <a:avLst/>
        </a:prstGeom>
        <a:ln w="9525">
          <a:solidFill>
            <a:srgbClr val="000000"/>
          </a:solidFill>
          <a:prstDash val="solid"/>
        </a:ln>
      </xdr:spPr>
    </xdr:pic>
    <xdr:clientData/>
  </xdr:twoCellAnchor>
  <xdr:twoCellAnchor>
    <xdr:from>
      <xdr:col>3</xdr:col>
      <xdr:colOff>114300</xdr:colOff>
      <xdr:row>4969</xdr:row>
      <xdr:rowOff>28575</xdr:rowOff>
    </xdr:from>
    <xdr:to>
      <xdr:col>3</xdr:col>
      <xdr:colOff>1552575</xdr:colOff>
      <xdr:row>4971</xdr:row>
      <xdr:rowOff>419100</xdr:rowOff>
    </xdr:to>
    <xdr:pic>
      <xdr:nvPicPr>
        <xdr:cNvPr id="1687" name="Имя " descr="Descr ">
          <a:extLst>
            <a:ext uri="{FF2B5EF4-FFF2-40B4-BE49-F238E27FC236}">
              <a16:creationId xmlns:a16="http://schemas.microsoft.com/office/drawing/2014/main" id="{00000000-0008-0000-0000-000097060000}"/>
            </a:ext>
          </a:extLst>
        </xdr:cNvPr>
        <xdr:cNvPicPr>
          <a:picLocks noChangeAspect="1"/>
        </xdr:cNvPicPr>
      </xdr:nvPicPr>
      <xdr:blipFill>
        <a:blip xmlns:r="http://schemas.openxmlformats.org/officeDocument/2006/relationships" r:embed="rId1686"/>
        <a:stretch>
          <a:fillRect/>
        </a:stretch>
      </xdr:blipFill>
      <xdr:spPr>
        <a:prstGeom prst="rect">
          <a:avLst/>
        </a:prstGeom>
        <a:ln w="9525">
          <a:solidFill>
            <a:srgbClr val="000000"/>
          </a:solidFill>
          <a:prstDash val="solid"/>
        </a:ln>
      </xdr:spPr>
    </xdr:pic>
    <xdr:clientData/>
  </xdr:twoCellAnchor>
  <xdr:twoCellAnchor>
    <xdr:from>
      <xdr:col>3</xdr:col>
      <xdr:colOff>114300</xdr:colOff>
      <xdr:row>4972</xdr:row>
      <xdr:rowOff>28575</xdr:rowOff>
    </xdr:from>
    <xdr:to>
      <xdr:col>3</xdr:col>
      <xdr:colOff>1552575</xdr:colOff>
      <xdr:row>4974</xdr:row>
      <xdr:rowOff>419100</xdr:rowOff>
    </xdr:to>
    <xdr:pic>
      <xdr:nvPicPr>
        <xdr:cNvPr id="1688" name="Имя " descr="Descr ">
          <a:extLst>
            <a:ext uri="{FF2B5EF4-FFF2-40B4-BE49-F238E27FC236}">
              <a16:creationId xmlns:a16="http://schemas.microsoft.com/office/drawing/2014/main" id="{00000000-0008-0000-0000-000098060000}"/>
            </a:ext>
          </a:extLst>
        </xdr:cNvPr>
        <xdr:cNvPicPr>
          <a:picLocks noChangeAspect="1"/>
        </xdr:cNvPicPr>
      </xdr:nvPicPr>
      <xdr:blipFill>
        <a:blip xmlns:r="http://schemas.openxmlformats.org/officeDocument/2006/relationships" r:embed="rId1687"/>
        <a:stretch>
          <a:fillRect/>
        </a:stretch>
      </xdr:blipFill>
      <xdr:spPr>
        <a:prstGeom prst="rect">
          <a:avLst/>
        </a:prstGeom>
        <a:ln w="9525">
          <a:solidFill>
            <a:srgbClr val="000000"/>
          </a:solidFill>
          <a:prstDash val="solid"/>
        </a:ln>
      </xdr:spPr>
    </xdr:pic>
    <xdr:clientData/>
  </xdr:twoCellAnchor>
  <xdr:twoCellAnchor>
    <xdr:from>
      <xdr:col>3</xdr:col>
      <xdr:colOff>114300</xdr:colOff>
      <xdr:row>4975</xdr:row>
      <xdr:rowOff>28575</xdr:rowOff>
    </xdr:from>
    <xdr:to>
      <xdr:col>3</xdr:col>
      <xdr:colOff>1552575</xdr:colOff>
      <xdr:row>4978</xdr:row>
      <xdr:rowOff>209550</xdr:rowOff>
    </xdr:to>
    <xdr:pic>
      <xdr:nvPicPr>
        <xdr:cNvPr id="1689" name="Имя " descr="Descr ">
          <a:extLst>
            <a:ext uri="{FF2B5EF4-FFF2-40B4-BE49-F238E27FC236}">
              <a16:creationId xmlns:a16="http://schemas.microsoft.com/office/drawing/2014/main" id="{00000000-0008-0000-0000-000099060000}"/>
            </a:ext>
          </a:extLst>
        </xdr:cNvPr>
        <xdr:cNvPicPr>
          <a:picLocks noChangeAspect="1"/>
        </xdr:cNvPicPr>
      </xdr:nvPicPr>
      <xdr:blipFill>
        <a:blip xmlns:r="http://schemas.openxmlformats.org/officeDocument/2006/relationships" r:embed="rId1688"/>
        <a:stretch>
          <a:fillRect/>
        </a:stretch>
      </xdr:blipFill>
      <xdr:spPr>
        <a:prstGeom prst="rect">
          <a:avLst/>
        </a:prstGeom>
        <a:ln w="9525">
          <a:solidFill>
            <a:srgbClr val="000000"/>
          </a:solidFill>
          <a:prstDash val="solid"/>
        </a:ln>
      </xdr:spPr>
    </xdr:pic>
    <xdr:clientData/>
  </xdr:twoCellAnchor>
  <xdr:twoCellAnchor>
    <xdr:from>
      <xdr:col>3</xdr:col>
      <xdr:colOff>114300</xdr:colOff>
      <xdr:row>4979</xdr:row>
      <xdr:rowOff>38100</xdr:rowOff>
    </xdr:from>
    <xdr:to>
      <xdr:col>3</xdr:col>
      <xdr:colOff>1552575</xdr:colOff>
      <xdr:row>4980</xdr:row>
      <xdr:rowOff>638175</xdr:rowOff>
    </xdr:to>
    <xdr:pic>
      <xdr:nvPicPr>
        <xdr:cNvPr id="1690" name="Имя " descr="Descr ">
          <a:extLst>
            <a:ext uri="{FF2B5EF4-FFF2-40B4-BE49-F238E27FC236}">
              <a16:creationId xmlns:a16="http://schemas.microsoft.com/office/drawing/2014/main" id="{00000000-0008-0000-0000-00009A060000}"/>
            </a:ext>
          </a:extLst>
        </xdr:cNvPr>
        <xdr:cNvPicPr>
          <a:picLocks noChangeAspect="1"/>
        </xdr:cNvPicPr>
      </xdr:nvPicPr>
      <xdr:blipFill>
        <a:blip xmlns:r="http://schemas.openxmlformats.org/officeDocument/2006/relationships" r:embed="rId1689"/>
        <a:stretch>
          <a:fillRect/>
        </a:stretch>
      </xdr:blipFill>
      <xdr:spPr>
        <a:prstGeom prst="rect">
          <a:avLst/>
        </a:prstGeom>
        <a:ln w="9525">
          <a:solidFill>
            <a:srgbClr val="000000"/>
          </a:solidFill>
          <a:prstDash val="solid"/>
        </a:ln>
      </xdr:spPr>
    </xdr:pic>
    <xdr:clientData/>
  </xdr:twoCellAnchor>
  <xdr:twoCellAnchor>
    <xdr:from>
      <xdr:col>3</xdr:col>
      <xdr:colOff>114300</xdr:colOff>
      <xdr:row>4981</xdr:row>
      <xdr:rowOff>28575</xdr:rowOff>
    </xdr:from>
    <xdr:to>
      <xdr:col>3</xdr:col>
      <xdr:colOff>1552575</xdr:colOff>
      <xdr:row>4984</xdr:row>
      <xdr:rowOff>209550</xdr:rowOff>
    </xdr:to>
    <xdr:pic>
      <xdr:nvPicPr>
        <xdr:cNvPr id="1691" name="Имя " descr="Descr ">
          <a:extLst>
            <a:ext uri="{FF2B5EF4-FFF2-40B4-BE49-F238E27FC236}">
              <a16:creationId xmlns:a16="http://schemas.microsoft.com/office/drawing/2014/main" id="{00000000-0008-0000-0000-00009B060000}"/>
            </a:ext>
          </a:extLst>
        </xdr:cNvPr>
        <xdr:cNvPicPr>
          <a:picLocks noChangeAspect="1"/>
        </xdr:cNvPicPr>
      </xdr:nvPicPr>
      <xdr:blipFill>
        <a:blip xmlns:r="http://schemas.openxmlformats.org/officeDocument/2006/relationships" r:embed="rId1690"/>
        <a:stretch>
          <a:fillRect/>
        </a:stretch>
      </xdr:blipFill>
      <xdr:spPr>
        <a:prstGeom prst="rect">
          <a:avLst/>
        </a:prstGeom>
        <a:ln w="9525">
          <a:solidFill>
            <a:srgbClr val="000000"/>
          </a:solidFill>
          <a:prstDash val="solid"/>
        </a:ln>
      </xdr:spPr>
    </xdr:pic>
    <xdr:clientData/>
  </xdr:twoCellAnchor>
  <xdr:twoCellAnchor>
    <xdr:from>
      <xdr:col>3</xdr:col>
      <xdr:colOff>114300</xdr:colOff>
      <xdr:row>4985</xdr:row>
      <xdr:rowOff>38100</xdr:rowOff>
    </xdr:from>
    <xdr:to>
      <xdr:col>3</xdr:col>
      <xdr:colOff>1552575</xdr:colOff>
      <xdr:row>4986</xdr:row>
      <xdr:rowOff>638175</xdr:rowOff>
    </xdr:to>
    <xdr:pic>
      <xdr:nvPicPr>
        <xdr:cNvPr id="1692" name="Имя " descr="Descr ">
          <a:extLst>
            <a:ext uri="{FF2B5EF4-FFF2-40B4-BE49-F238E27FC236}">
              <a16:creationId xmlns:a16="http://schemas.microsoft.com/office/drawing/2014/main" id="{00000000-0008-0000-0000-00009C060000}"/>
            </a:ext>
          </a:extLst>
        </xdr:cNvPr>
        <xdr:cNvPicPr>
          <a:picLocks noChangeAspect="1"/>
        </xdr:cNvPicPr>
      </xdr:nvPicPr>
      <xdr:blipFill>
        <a:blip xmlns:r="http://schemas.openxmlformats.org/officeDocument/2006/relationships" r:embed="rId1691"/>
        <a:stretch>
          <a:fillRect/>
        </a:stretch>
      </xdr:blipFill>
      <xdr:spPr>
        <a:prstGeom prst="rect">
          <a:avLst/>
        </a:prstGeom>
        <a:ln w="9525">
          <a:solidFill>
            <a:srgbClr val="000000"/>
          </a:solidFill>
          <a:prstDash val="solid"/>
        </a:ln>
      </xdr:spPr>
    </xdr:pic>
    <xdr:clientData/>
  </xdr:twoCellAnchor>
  <xdr:twoCellAnchor>
    <xdr:from>
      <xdr:col>3</xdr:col>
      <xdr:colOff>114300</xdr:colOff>
      <xdr:row>4987</xdr:row>
      <xdr:rowOff>28575</xdr:rowOff>
    </xdr:from>
    <xdr:to>
      <xdr:col>3</xdr:col>
      <xdr:colOff>1552575</xdr:colOff>
      <xdr:row>4991</xdr:row>
      <xdr:rowOff>333375</xdr:rowOff>
    </xdr:to>
    <xdr:pic>
      <xdr:nvPicPr>
        <xdr:cNvPr id="1693" name="Имя " descr="Descr ">
          <a:extLst>
            <a:ext uri="{FF2B5EF4-FFF2-40B4-BE49-F238E27FC236}">
              <a16:creationId xmlns:a16="http://schemas.microsoft.com/office/drawing/2014/main" id="{00000000-0008-0000-0000-00009D060000}"/>
            </a:ext>
          </a:extLst>
        </xdr:cNvPr>
        <xdr:cNvPicPr>
          <a:picLocks noChangeAspect="1"/>
        </xdr:cNvPicPr>
      </xdr:nvPicPr>
      <xdr:blipFill>
        <a:blip xmlns:r="http://schemas.openxmlformats.org/officeDocument/2006/relationships" r:embed="rId1692"/>
        <a:stretch>
          <a:fillRect/>
        </a:stretch>
      </xdr:blipFill>
      <xdr:spPr>
        <a:prstGeom prst="rect">
          <a:avLst/>
        </a:prstGeom>
        <a:ln w="9525">
          <a:solidFill>
            <a:srgbClr val="000000"/>
          </a:solidFill>
          <a:prstDash val="solid"/>
        </a:ln>
      </xdr:spPr>
    </xdr:pic>
    <xdr:clientData/>
  </xdr:twoCellAnchor>
  <xdr:twoCellAnchor>
    <xdr:from>
      <xdr:col>3</xdr:col>
      <xdr:colOff>114300</xdr:colOff>
      <xdr:row>4992</xdr:row>
      <xdr:rowOff>38100</xdr:rowOff>
    </xdr:from>
    <xdr:to>
      <xdr:col>3</xdr:col>
      <xdr:colOff>1552575</xdr:colOff>
      <xdr:row>4993</xdr:row>
      <xdr:rowOff>638175</xdr:rowOff>
    </xdr:to>
    <xdr:pic>
      <xdr:nvPicPr>
        <xdr:cNvPr id="1694" name="Имя " descr="Descr ">
          <a:extLst>
            <a:ext uri="{FF2B5EF4-FFF2-40B4-BE49-F238E27FC236}">
              <a16:creationId xmlns:a16="http://schemas.microsoft.com/office/drawing/2014/main" id="{00000000-0008-0000-0000-00009E060000}"/>
            </a:ext>
          </a:extLst>
        </xdr:cNvPr>
        <xdr:cNvPicPr>
          <a:picLocks noChangeAspect="1"/>
        </xdr:cNvPicPr>
      </xdr:nvPicPr>
      <xdr:blipFill>
        <a:blip xmlns:r="http://schemas.openxmlformats.org/officeDocument/2006/relationships" r:embed="rId1693"/>
        <a:stretch>
          <a:fillRect/>
        </a:stretch>
      </xdr:blipFill>
      <xdr:spPr>
        <a:prstGeom prst="rect">
          <a:avLst/>
        </a:prstGeom>
        <a:ln w="9525">
          <a:solidFill>
            <a:srgbClr val="000000"/>
          </a:solidFill>
          <a:prstDash val="solid"/>
        </a:ln>
      </xdr:spPr>
    </xdr:pic>
    <xdr:clientData/>
  </xdr:twoCellAnchor>
  <xdr:twoCellAnchor>
    <xdr:from>
      <xdr:col>3</xdr:col>
      <xdr:colOff>114300</xdr:colOff>
      <xdr:row>4994</xdr:row>
      <xdr:rowOff>28575</xdr:rowOff>
    </xdr:from>
    <xdr:to>
      <xdr:col>3</xdr:col>
      <xdr:colOff>1552575</xdr:colOff>
      <xdr:row>4998</xdr:row>
      <xdr:rowOff>333375</xdr:rowOff>
    </xdr:to>
    <xdr:pic>
      <xdr:nvPicPr>
        <xdr:cNvPr id="1695" name="Имя " descr="Descr ">
          <a:extLst>
            <a:ext uri="{FF2B5EF4-FFF2-40B4-BE49-F238E27FC236}">
              <a16:creationId xmlns:a16="http://schemas.microsoft.com/office/drawing/2014/main" id="{00000000-0008-0000-0000-00009F060000}"/>
            </a:ext>
          </a:extLst>
        </xdr:cNvPr>
        <xdr:cNvPicPr>
          <a:picLocks noChangeAspect="1"/>
        </xdr:cNvPicPr>
      </xdr:nvPicPr>
      <xdr:blipFill>
        <a:blip xmlns:r="http://schemas.openxmlformats.org/officeDocument/2006/relationships" r:embed="rId1694"/>
        <a:stretch>
          <a:fillRect/>
        </a:stretch>
      </xdr:blipFill>
      <xdr:spPr>
        <a:prstGeom prst="rect">
          <a:avLst/>
        </a:prstGeom>
        <a:ln w="9525">
          <a:solidFill>
            <a:srgbClr val="000000"/>
          </a:solidFill>
          <a:prstDash val="solid"/>
        </a:ln>
      </xdr:spPr>
    </xdr:pic>
    <xdr:clientData/>
  </xdr:twoCellAnchor>
  <xdr:twoCellAnchor>
    <xdr:from>
      <xdr:col>3</xdr:col>
      <xdr:colOff>114300</xdr:colOff>
      <xdr:row>4999</xdr:row>
      <xdr:rowOff>28575</xdr:rowOff>
    </xdr:from>
    <xdr:to>
      <xdr:col>3</xdr:col>
      <xdr:colOff>1552575</xdr:colOff>
      <xdr:row>4999</xdr:row>
      <xdr:rowOff>1266825</xdr:rowOff>
    </xdr:to>
    <xdr:pic>
      <xdr:nvPicPr>
        <xdr:cNvPr id="1696" name="Имя " descr="Descr ">
          <a:extLst>
            <a:ext uri="{FF2B5EF4-FFF2-40B4-BE49-F238E27FC236}">
              <a16:creationId xmlns:a16="http://schemas.microsoft.com/office/drawing/2014/main" id="{00000000-0008-0000-0000-0000A0060000}"/>
            </a:ext>
          </a:extLst>
        </xdr:cNvPr>
        <xdr:cNvPicPr>
          <a:picLocks noChangeAspect="1"/>
        </xdr:cNvPicPr>
      </xdr:nvPicPr>
      <xdr:blipFill>
        <a:blip xmlns:r="http://schemas.openxmlformats.org/officeDocument/2006/relationships" r:embed="rId1695"/>
        <a:stretch>
          <a:fillRect/>
        </a:stretch>
      </xdr:blipFill>
      <xdr:spPr>
        <a:prstGeom prst="rect">
          <a:avLst/>
        </a:prstGeom>
        <a:ln w="9525">
          <a:solidFill>
            <a:srgbClr val="000000"/>
          </a:solidFill>
          <a:prstDash val="solid"/>
        </a:ln>
      </xdr:spPr>
    </xdr:pic>
    <xdr:clientData/>
  </xdr:twoCellAnchor>
  <xdr:twoCellAnchor>
    <xdr:from>
      <xdr:col>3</xdr:col>
      <xdr:colOff>114300</xdr:colOff>
      <xdr:row>5000</xdr:row>
      <xdr:rowOff>28575</xdr:rowOff>
    </xdr:from>
    <xdr:to>
      <xdr:col>3</xdr:col>
      <xdr:colOff>1552575</xdr:colOff>
      <xdr:row>5000</xdr:row>
      <xdr:rowOff>1266825</xdr:rowOff>
    </xdr:to>
    <xdr:pic>
      <xdr:nvPicPr>
        <xdr:cNvPr id="1697" name="Имя " descr="Descr ">
          <a:extLst>
            <a:ext uri="{FF2B5EF4-FFF2-40B4-BE49-F238E27FC236}">
              <a16:creationId xmlns:a16="http://schemas.microsoft.com/office/drawing/2014/main" id="{00000000-0008-0000-0000-0000A1060000}"/>
            </a:ext>
          </a:extLst>
        </xdr:cNvPr>
        <xdr:cNvPicPr>
          <a:picLocks noChangeAspect="1"/>
        </xdr:cNvPicPr>
      </xdr:nvPicPr>
      <xdr:blipFill>
        <a:blip xmlns:r="http://schemas.openxmlformats.org/officeDocument/2006/relationships" r:embed="rId1696"/>
        <a:stretch>
          <a:fillRect/>
        </a:stretch>
      </xdr:blipFill>
      <xdr:spPr>
        <a:prstGeom prst="rect">
          <a:avLst/>
        </a:prstGeom>
        <a:ln w="9525">
          <a:solidFill>
            <a:srgbClr val="000000"/>
          </a:solidFill>
          <a:prstDash val="solid"/>
        </a:ln>
      </xdr:spPr>
    </xdr:pic>
    <xdr:clientData/>
  </xdr:twoCellAnchor>
  <xdr:twoCellAnchor>
    <xdr:from>
      <xdr:col>3</xdr:col>
      <xdr:colOff>114300</xdr:colOff>
      <xdr:row>5001</xdr:row>
      <xdr:rowOff>28575</xdr:rowOff>
    </xdr:from>
    <xdr:to>
      <xdr:col>3</xdr:col>
      <xdr:colOff>1552575</xdr:colOff>
      <xdr:row>5001</xdr:row>
      <xdr:rowOff>1266825</xdr:rowOff>
    </xdr:to>
    <xdr:pic>
      <xdr:nvPicPr>
        <xdr:cNvPr id="1698" name="Имя " descr="Descr ">
          <a:extLst>
            <a:ext uri="{FF2B5EF4-FFF2-40B4-BE49-F238E27FC236}">
              <a16:creationId xmlns:a16="http://schemas.microsoft.com/office/drawing/2014/main" id="{00000000-0008-0000-0000-0000A2060000}"/>
            </a:ext>
          </a:extLst>
        </xdr:cNvPr>
        <xdr:cNvPicPr>
          <a:picLocks noChangeAspect="1"/>
        </xdr:cNvPicPr>
      </xdr:nvPicPr>
      <xdr:blipFill>
        <a:blip xmlns:r="http://schemas.openxmlformats.org/officeDocument/2006/relationships" r:embed="rId1697"/>
        <a:stretch>
          <a:fillRect/>
        </a:stretch>
      </xdr:blipFill>
      <xdr:spPr>
        <a:prstGeom prst="rect">
          <a:avLst/>
        </a:prstGeom>
        <a:ln w="9525">
          <a:solidFill>
            <a:srgbClr val="000000"/>
          </a:solidFill>
          <a:prstDash val="solid"/>
        </a:ln>
      </xdr:spPr>
    </xdr:pic>
    <xdr:clientData/>
  </xdr:twoCellAnchor>
  <xdr:twoCellAnchor>
    <xdr:from>
      <xdr:col>3</xdr:col>
      <xdr:colOff>114300</xdr:colOff>
      <xdr:row>5002</xdr:row>
      <xdr:rowOff>28575</xdr:rowOff>
    </xdr:from>
    <xdr:to>
      <xdr:col>3</xdr:col>
      <xdr:colOff>1552575</xdr:colOff>
      <xdr:row>5005</xdr:row>
      <xdr:rowOff>209550</xdr:rowOff>
    </xdr:to>
    <xdr:pic>
      <xdr:nvPicPr>
        <xdr:cNvPr id="1699" name="Имя " descr="Descr ">
          <a:extLst>
            <a:ext uri="{FF2B5EF4-FFF2-40B4-BE49-F238E27FC236}">
              <a16:creationId xmlns:a16="http://schemas.microsoft.com/office/drawing/2014/main" id="{00000000-0008-0000-0000-0000A3060000}"/>
            </a:ext>
          </a:extLst>
        </xdr:cNvPr>
        <xdr:cNvPicPr>
          <a:picLocks noChangeAspect="1"/>
        </xdr:cNvPicPr>
      </xdr:nvPicPr>
      <xdr:blipFill>
        <a:blip xmlns:r="http://schemas.openxmlformats.org/officeDocument/2006/relationships" r:embed="rId1698"/>
        <a:stretch>
          <a:fillRect/>
        </a:stretch>
      </xdr:blipFill>
      <xdr:spPr>
        <a:prstGeom prst="rect">
          <a:avLst/>
        </a:prstGeom>
        <a:ln w="9525">
          <a:solidFill>
            <a:srgbClr val="000000"/>
          </a:solidFill>
          <a:prstDash val="solid"/>
        </a:ln>
      </xdr:spPr>
    </xdr:pic>
    <xdr:clientData/>
  </xdr:twoCellAnchor>
  <xdr:twoCellAnchor>
    <xdr:from>
      <xdr:col>3</xdr:col>
      <xdr:colOff>114300</xdr:colOff>
      <xdr:row>5006</xdr:row>
      <xdr:rowOff>28575</xdr:rowOff>
    </xdr:from>
    <xdr:to>
      <xdr:col>3</xdr:col>
      <xdr:colOff>1552575</xdr:colOff>
      <xdr:row>5010</xdr:row>
      <xdr:rowOff>333375</xdr:rowOff>
    </xdr:to>
    <xdr:pic>
      <xdr:nvPicPr>
        <xdr:cNvPr id="1700" name="Имя " descr="Descr ">
          <a:extLst>
            <a:ext uri="{FF2B5EF4-FFF2-40B4-BE49-F238E27FC236}">
              <a16:creationId xmlns:a16="http://schemas.microsoft.com/office/drawing/2014/main" id="{00000000-0008-0000-0000-0000A4060000}"/>
            </a:ext>
          </a:extLst>
        </xdr:cNvPr>
        <xdr:cNvPicPr>
          <a:picLocks noChangeAspect="1"/>
        </xdr:cNvPicPr>
      </xdr:nvPicPr>
      <xdr:blipFill>
        <a:blip xmlns:r="http://schemas.openxmlformats.org/officeDocument/2006/relationships" r:embed="rId1699"/>
        <a:stretch>
          <a:fillRect/>
        </a:stretch>
      </xdr:blipFill>
      <xdr:spPr>
        <a:prstGeom prst="rect">
          <a:avLst/>
        </a:prstGeom>
        <a:ln w="9525">
          <a:solidFill>
            <a:srgbClr val="000000"/>
          </a:solidFill>
          <a:prstDash val="solid"/>
        </a:ln>
      </xdr:spPr>
    </xdr:pic>
    <xdr:clientData/>
  </xdr:twoCellAnchor>
  <xdr:twoCellAnchor>
    <xdr:from>
      <xdr:col>3</xdr:col>
      <xdr:colOff>114300</xdr:colOff>
      <xdr:row>5011</xdr:row>
      <xdr:rowOff>28575</xdr:rowOff>
    </xdr:from>
    <xdr:to>
      <xdr:col>3</xdr:col>
      <xdr:colOff>1552575</xdr:colOff>
      <xdr:row>5015</xdr:row>
      <xdr:rowOff>333375</xdr:rowOff>
    </xdr:to>
    <xdr:pic>
      <xdr:nvPicPr>
        <xdr:cNvPr id="1701" name="Имя " descr="Descr ">
          <a:extLst>
            <a:ext uri="{FF2B5EF4-FFF2-40B4-BE49-F238E27FC236}">
              <a16:creationId xmlns:a16="http://schemas.microsoft.com/office/drawing/2014/main" id="{00000000-0008-0000-0000-0000A5060000}"/>
            </a:ext>
          </a:extLst>
        </xdr:cNvPr>
        <xdr:cNvPicPr>
          <a:picLocks noChangeAspect="1"/>
        </xdr:cNvPicPr>
      </xdr:nvPicPr>
      <xdr:blipFill>
        <a:blip xmlns:r="http://schemas.openxmlformats.org/officeDocument/2006/relationships" r:embed="rId1700"/>
        <a:stretch>
          <a:fillRect/>
        </a:stretch>
      </xdr:blipFill>
      <xdr:spPr>
        <a:prstGeom prst="rect">
          <a:avLst/>
        </a:prstGeom>
        <a:ln w="9525">
          <a:solidFill>
            <a:srgbClr val="000000"/>
          </a:solidFill>
          <a:prstDash val="solid"/>
        </a:ln>
      </xdr:spPr>
    </xdr:pic>
    <xdr:clientData/>
  </xdr:twoCellAnchor>
  <xdr:twoCellAnchor>
    <xdr:from>
      <xdr:col>3</xdr:col>
      <xdr:colOff>114300</xdr:colOff>
      <xdr:row>5016</xdr:row>
      <xdr:rowOff>28575</xdr:rowOff>
    </xdr:from>
    <xdr:to>
      <xdr:col>3</xdr:col>
      <xdr:colOff>1552575</xdr:colOff>
      <xdr:row>5020</xdr:row>
      <xdr:rowOff>333375</xdr:rowOff>
    </xdr:to>
    <xdr:pic>
      <xdr:nvPicPr>
        <xdr:cNvPr id="1702" name="Имя " descr="Descr ">
          <a:extLst>
            <a:ext uri="{FF2B5EF4-FFF2-40B4-BE49-F238E27FC236}">
              <a16:creationId xmlns:a16="http://schemas.microsoft.com/office/drawing/2014/main" id="{00000000-0008-0000-0000-0000A6060000}"/>
            </a:ext>
          </a:extLst>
        </xdr:cNvPr>
        <xdr:cNvPicPr>
          <a:picLocks noChangeAspect="1"/>
        </xdr:cNvPicPr>
      </xdr:nvPicPr>
      <xdr:blipFill>
        <a:blip xmlns:r="http://schemas.openxmlformats.org/officeDocument/2006/relationships" r:embed="rId1701"/>
        <a:stretch>
          <a:fillRect/>
        </a:stretch>
      </xdr:blipFill>
      <xdr:spPr>
        <a:prstGeom prst="rect">
          <a:avLst/>
        </a:prstGeom>
        <a:ln w="9525">
          <a:solidFill>
            <a:srgbClr val="000000"/>
          </a:solidFill>
          <a:prstDash val="solid"/>
        </a:ln>
      </xdr:spPr>
    </xdr:pic>
    <xdr:clientData/>
  </xdr:twoCellAnchor>
  <xdr:twoCellAnchor>
    <xdr:from>
      <xdr:col>3</xdr:col>
      <xdr:colOff>114300</xdr:colOff>
      <xdr:row>5021</xdr:row>
      <xdr:rowOff>28575</xdr:rowOff>
    </xdr:from>
    <xdr:to>
      <xdr:col>3</xdr:col>
      <xdr:colOff>1552575</xdr:colOff>
      <xdr:row>5029</xdr:row>
      <xdr:rowOff>133350</xdr:rowOff>
    </xdr:to>
    <xdr:pic>
      <xdr:nvPicPr>
        <xdr:cNvPr id="1703" name="Имя " descr="Descr ">
          <a:extLst>
            <a:ext uri="{FF2B5EF4-FFF2-40B4-BE49-F238E27FC236}">
              <a16:creationId xmlns:a16="http://schemas.microsoft.com/office/drawing/2014/main" id="{00000000-0008-0000-0000-0000A7060000}"/>
            </a:ext>
          </a:extLst>
        </xdr:cNvPr>
        <xdr:cNvPicPr>
          <a:picLocks noChangeAspect="1"/>
        </xdr:cNvPicPr>
      </xdr:nvPicPr>
      <xdr:blipFill>
        <a:blip xmlns:r="http://schemas.openxmlformats.org/officeDocument/2006/relationships" r:embed="rId1702"/>
        <a:stretch>
          <a:fillRect/>
        </a:stretch>
      </xdr:blipFill>
      <xdr:spPr>
        <a:prstGeom prst="rect">
          <a:avLst/>
        </a:prstGeom>
        <a:ln w="9525">
          <a:solidFill>
            <a:srgbClr val="000000"/>
          </a:solidFill>
          <a:prstDash val="solid"/>
        </a:ln>
      </xdr:spPr>
    </xdr:pic>
    <xdr:clientData/>
  </xdr:twoCellAnchor>
  <xdr:twoCellAnchor>
    <xdr:from>
      <xdr:col>3</xdr:col>
      <xdr:colOff>114300</xdr:colOff>
      <xdr:row>5030</xdr:row>
      <xdr:rowOff>28575</xdr:rowOff>
    </xdr:from>
    <xdr:to>
      <xdr:col>3</xdr:col>
      <xdr:colOff>1552575</xdr:colOff>
      <xdr:row>5033</xdr:row>
      <xdr:rowOff>209550</xdr:rowOff>
    </xdr:to>
    <xdr:pic>
      <xdr:nvPicPr>
        <xdr:cNvPr id="1704" name="Имя " descr="Descr ">
          <a:extLst>
            <a:ext uri="{FF2B5EF4-FFF2-40B4-BE49-F238E27FC236}">
              <a16:creationId xmlns:a16="http://schemas.microsoft.com/office/drawing/2014/main" id="{00000000-0008-0000-0000-0000A8060000}"/>
            </a:ext>
          </a:extLst>
        </xdr:cNvPr>
        <xdr:cNvPicPr>
          <a:picLocks noChangeAspect="1"/>
        </xdr:cNvPicPr>
      </xdr:nvPicPr>
      <xdr:blipFill>
        <a:blip xmlns:r="http://schemas.openxmlformats.org/officeDocument/2006/relationships" r:embed="rId1703"/>
        <a:stretch>
          <a:fillRect/>
        </a:stretch>
      </xdr:blipFill>
      <xdr:spPr>
        <a:prstGeom prst="rect">
          <a:avLst/>
        </a:prstGeom>
        <a:ln w="9525">
          <a:solidFill>
            <a:srgbClr val="000000"/>
          </a:solidFill>
          <a:prstDash val="solid"/>
        </a:ln>
      </xdr:spPr>
    </xdr:pic>
    <xdr:clientData/>
  </xdr:twoCellAnchor>
  <xdr:twoCellAnchor>
    <xdr:from>
      <xdr:col>3</xdr:col>
      <xdr:colOff>114300</xdr:colOff>
      <xdr:row>5034</xdr:row>
      <xdr:rowOff>28575</xdr:rowOff>
    </xdr:from>
    <xdr:to>
      <xdr:col>3</xdr:col>
      <xdr:colOff>1552575</xdr:colOff>
      <xdr:row>5038</xdr:row>
      <xdr:rowOff>333375</xdr:rowOff>
    </xdr:to>
    <xdr:pic>
      <xdr:nvPicPr>
        <xdr:cNvPr id="1705" name="Имя " descr="Descr ">
          <a:extLst>
            <a:ext uri="{FF2B5EF4-FFF2-40B4-BE49-F238E27FC236}">
              <a16:creationId xmlns:a16="http://schemas.microsoft.com/office/drawing/2014/main" id="{00000000-0008-0000-0000-0000A9060000}"/>
            </a:ext>
          </a:extLst>
        </xdr:cNvPr>
        <xdr:cNvPicPr>
          <a:picLocks noChangeAspect="1"/>
        </xdr:cNvPicPr>
      </xdr:nvPicPr>
      <xdr:blipFill>
        <a:blip xmlns:r="http://schemas.openxmlformats.org/officeDocument/2006/relationships" r:embed="rId1704"/>
        <a:stretch>
          <a:fillRect/>
        </a:stretch>
      </xdr:blipFill>
      <xdr:spPr>
        <a:prstGeom prst="rect">
          <a:avLst/>
        </a:prstGeom>
        <a:ln w="9525">
          <a:solidFill>
            <a:srgbClr val="000000"/>
          </a:solidFill>
          <a:prstDash val="solid"/>
        </a:ln>
      </xdr:spPr>
    </xdr:pic>
    <xdr:clientData/>
  </xdr:twoCellAnchor>
  <xdr:twoCellAnchor>
    <xdr:from>
      <xdr:col>3</xdr:col>
      <xdr:colOff>114300</xdr:colOff>
      <xdr:row>5039</xdr:row>
      <xdr:rowOff>28575</xdr:rowOff>
    </xdr:from>
    <xdr:to>
      <xdr:col>3</xdr:col>
      <xdr:colOff>1552575</xdr:colOff>
      <xdr:row>5043</xdr:row>
      <xdr:rowOff>333375</xdr:rowOff>
    </xdr:to>
    <xdr:pic>
      <xdr:nvPicPr>
        <xdr:cNvPr id="1706" name="Имя " descr="Descr ">
          <a:extLst>
            <a:ext uri="{FF2B5EF4-FFF2-40B4-BE49-F238E27FC236}">
              <a16:creationId xmlns:a16="http://schemas.microsoft.com/office/drawing/2014/main" id="{00000000-0008-0000-0000-0000AA060000}"/>
            </a:ext>
          </a:extLst>
        </xdr:cNvPr>
        <xdr:cNvPicPr>
          <a:picLocks noChangeAspect="1"/>
        </xdr:cNvPicPr>
      </xdr:nvPicPr>
      <xdr:blipFill>
        <a:blip xmlns:r="http://schemas.openxmlformats.org/officeDocument/2006/relationships" r:embed="rId1705"/>
        <a:stretch>
          <a:fillRect/>
        </a:stretch>
      </xdr:blipFill>
      <xdr:spPr>
        <a:prstGeom prst="rect">
          <a:avLst/>
        </a:prstGeom>
        <a:ln w="9525">
          <a:solidFill>
            <a:srgbClr val="000000"/>
          </a:solidFill>
          <a:prstDash val="solid"/>
        </a:ln>
      </xdr:spPr>
    </xdr:pic>
    <xdr:clientData/>
  </xdr:twoCellAnchor>
  <xdr:twoCellAnchor>
    <xdr:from>
      <xdr:col>3</xdr:col>
      <xdr:colOff>114300</xdr:colOff>
      <xdr:row>5044</xdr:row>
      <xdr:rowOff>28575</xdr:rowOff>
    </xdr:from>
    <xdr:to>
      <xdr:col>3</xdr:col>
      <xdr:colOff>1552575</xdr:colOff>
      <xdr:row>5048</xdr:row>
      <xdr:rowOff>333375</xdr:rowOff>
    </xdr:to>
    <xdr:pic>
      <xdr:nvPicPr>
        <xdr:cNvPr id="1707" name="Имя " descr="Descr ">
          <a:extLst>
            <a:ext uri="{FF2B5EF4-FFF2-40B4-BE49-F238E27FC236}">
              <a16:creationId xmlns:a16="http://schemas.microsoft.com/office/drawing/2014/main" id="{00000000-0008-0000-0000-0000AB060000}"/>
            </a:ext>
          </a:extLst>
        </xdr:cNvPr>
        <xdr:cNvPicPr>
          <a:picLocks noChangeAspect="1"/>
        </xdr:cNvPicPr>
      </xdr:nvPicPr>
      <xdr:blipFill>
        <a:blip xmlns:r="http://schemas.openxmlformats.org/officeDocument/2006/relationships" r:embed="rId1706"/>
        <a:stretch>
          <a:fillRect/>
        </a:stretch>
      </xdr:blipFill>
      <xdr:spPr>
        <a:prstGeom prst="rect">
          <a:avLst/>
        </a:prstGeom>
        <a:ln w="9525">
          <a:solidFill>
            <a:srgbClr val="000000"/>
          </a:solidFill>
          <a:prstDash val="solid"/>
        </a:ln>
      </xdr:spPr>
    </xdr:pic>
    <xdr:clientData/>
  </xdr:twoCellAnchor>
  <xdr:twoCellAnchor>
    <xdr:from>
      <xdr:col>3</xdr:col>
      <xdr:colOff>114300</xdr:colOff>
      <xdr:row>5049</xdr:row>
      <xdr:rowOff>28575</xdr:rowOff>
    </xdr:from>
    <xdr:to>
      <xdr:col>3</xdr:col>
      <xdr:colOff>1552575</xdr:colOff>
      <xdr:row>5053</xdr:row>
      <xdr:rowOff>333375</xdr:rowOff>
    </xdr:to>
    <xdr:pic>
      <xdr:nvPicPr>
        <xdr:cNvPr id="1708" name="Имя " descr="Descr ">
          <a:extLst>
            <a:ext uri="{FF2B5EF4-FFF2-40B4-BE49-F238E27FC236}">
              <a16:creationId xmlns:a16="http://schemas.microsoft.com/office/drawing/2014/main" id="{00000000-0008-0000-0000-0000AC060000}"/>
            </a:ext>
          </a:extLst>
        </xdr:cNvPr>
        <xdr:cNvPicPr>
          <a:picLocks noChangeAspect="1"/>
        </xdr:cNvPicPr>
      </xdr:nvPicPr>
      <xdr:blipFill>
        <a:blip xmlns:r="http://schemas.openxmlformats.org/officeDocument/2006/relationships" r:embed="rId1707"/>
        <a:stretch>
          <a:fillRect/>
        </a:stretch>
      </xdr:blipFill>
      <xdr:spPr>
        <a:prstGeom prst="rect">
          <a:avLst/>
        </a:prstGeom>
        <a:ln w="9525">
          <a:solidFill>
            <a:srgbClr val="000000"/>
          </a:solidFill>
          <a:prstDash val="solid"/>
        </a:ln>
      </xdr:spPr>
    </xdr:pic>
    <xdr:clientData/>
  </xdr:twoCellAnchor>
  <xdr:twoCellAnchor>
    <xdr:from>
      <xdr:col>3</xdr:col>
      <xdr:colOff>114300</xdr:colOff>
      <xdr:row>5054</xdr:row>
      <xdr:rowOff>28575</xdr:rowOff>
    </xdr:from>
    <xdr:to>
      <xdr:col>3</xdr:col>
      <xdr:colOff>1552575</xdr:colOff>
      <xdr:row>5058</xdr:row>
      <xdr:rowOff>333375</xdr:rowOff>
    </xdr:to>
    <xdr:pic>
      <xdr:nvPicPr>
        <xdr:cNvPr id="1709" name="Имя " descr="Descr ">
          <a:extLst>
            <a:ext uri="{FF2B5EF4-FFF2-40B4-BE49-F238E27FC236}">
              <a16:creationId xmlns:a16="http://schemas.microsoft.com/office/drawing/2014/main" id="{00000000-0008-0000-0000-0000AD060000}"/>
            </a:ext>
          </a:extLst>
        </xdr:cNvPr>
        <xdr:cNvPicPr>
          <a:picLocks noChangeAspect="1"/>
        </xdr:cNvPicPr>
      </xdr:nvPicPr>
      <xdr:blipFill>
        <a:blip xmlns:r="http://schemas.openxmlformats.org/officeDocument/2006/relationships" r:embed="rId1708"/>
        <a:stretch>
          <a:fillRect/>
        </a:stretch>
      </xdr:blipFill>
      <xdr:spPr>
        <a:prstGeom prst="rect">
          <a:avLst/>
        </a:prstGeom>
        <a:ln w="9525">
          <a:solidFill>
            <a:srgbClr val="000000"/>
          </a:solidFill>
          <a:prstDash val="solid"/>
        </a:ln>
      </xdr:spPr>
    </xdr:pic>
    <xdr:clientData/>
  </xdr:twoCellAnchor>
  <xdr:twoCellAnchor>
    <xdr:from>
      <xdr:col>3</xdr:col>
      <xdr:colOff>114300</xdr:colOff>
      <xdr:row>5059</xdr:row>
      <xdr:rowOff>28575</xdr:rowOff>
    </xdr:from>
    <xdr:to>
      <xdr:col>3</xdr:col>
      <xdr:colOff>1552575</xdr:colOff>
      <xdr:row>5063</xdr:row>
      <xdr:rowOff>333375</xdr:rowOff>
    </xdr:to>
    <xdr:pic>
      <xdr:nvPicPr>
        <xdr:cNvPr id="1710" name="Имя " descr="Descr ">
          <a:extLst>
            <a:ext uri="{FF2B5EF4-FFF2-40B4-BE49-F238E27FC236}">
              <a16:creationId xmlns:a16="http://schemas.microsoft.com/office/drawing/2014/main" id="{00000000-0008-0000-0000-0000AE060000}"/>
            </a:ext>
          </a:extLst>
        </xdr:cNvPr>
        <xdr:cNvPicPr>
          <a:picLocks noChangeAspect="1"/>
        </xdr:cNvPicPr>
      </xdr:nvPicPr>
      <xdr:blipFill>
        <a:blip xmlns:r="http://schemas.openxmlformats.org/officeDocument/2006/relationships" r:embed="rId1709"/>
        <a:stretch>
          <a:fillRect/>
        </a:stretch>
      </xdr:blipFill>
      <xdr:spPr>
        <a:prstGeom prst="rect">
          <a:avLst/>
        </a:prstGeom>
        <a:ln w="9525">
          <a:solidFill>
            <a:srgbClr val="000000"/>
          </a:solidFill>
          <a:prstDash val="solid"/>
        </a:ln>
      </xdr:spPr>
    </xdr:pic>
    <xdr:clientData/>
  </xdr:twoCellAnchor>
  <xdr:twoCellAnchor>
    <xdr:from>
      <xdr:col>3</xdr:col>
      <xdr:colOff>114300</xdr:colOff>
      <xdr:row>5064</xdr:row>
      <xdr:rowOff>28575</xdr:rowOff>
    </xdr:from>
    <xdr:to>
      <xdr:col>3</xdr:col>
      <xdr:colOff>1552575</xdr:colOff>
      <xdr:row>5068</xdr:row>
      <xdr:rowOff>333375</xdr:rowOff>
    </xdr:to>
    <xdr:pic>
      <xdr:nvPicPr>
        <xdr:cNvPr id="1711" name="Имя " descr="Descr ">
          <a:extLst>
            <a:ext uri="{FF2B5EF4-FFF2-40B4-BE49-F238E27FC236}">
              <a16:creationId xmlns:a16="http://schemas.microsoft.com/office/drawing/2014/main" id="{00000000-0008-0000-0000-0000AF060000}"/>
            </a:ext>
          </a:extLst>
        </xdr:cNvPr>
        <xdr:cNvPicPr>
          <a:picLocks noChangeAspect="1"/>
        </xdr:cNvPicPr>
      </xdr:nvPicPr>
      <xdr:blipFill>
        <a:blip xmlns:r="http://schemas.openxmlformats.org/officeDocument/2006/relationships" r:embed="rId1710"/>
        <a:stretch>
          <a:fillRect/>
        </a:stretch>
      </xdr:blipFill>
      <xdr:spPr>
        <a:prstGeom prst="rect">
          <a:avLst/>
        </a:prstGeom>
        <a:ln w="9525">
          <a:solidFill>
            <a:srgbClr val="000000"/>
          </a:solidFill>
          <a:prstDash val="solid"/>
        </a:ln>
      </xdr:spPr>
    </xdr:pic>
    <xdr:clientData/>
  </xdr:twoCellAnchor>
  <xdr:twoCellAnchor>
    <xdr:from>
      <xdr:col>3</xdr:col>
      <xdr:colOff>114300</xdr:colOff>
      <xdr:row>5069</xdr:row>
      <xdr:rowOff>28575</xdr:rowOff>
    </xdr:from>
    <xdr:to>
      <xdr:col>3</xdr:col>
      <xdr:colOff>1552575</xdr:colOff>
      <xdr:row>5073</xdr:row>
      <xdr:rowOff>333375</xdr:rowOff>
    </xdr:to>
    <xdr:pic>
      <xdr:nvPicPr>
        <xdr:cNvPr id="1712" name="Имя " descr="Descr ">
          <a:extLst>
            <a:ext uri="{FF2B5EF4-FFF2-40B4-BE49-F238E27FC236}">
              <a16:creationId xmlns:a16="http://schemas.microsoft.com/office/drawing/2014/main" id="{00000000-0008-0000-0000-0000B0060000}"/>
            </a:ext>
          </a:extLst>
        </xdr:cNvPr>
        <xdr:cNvPicPr>
          <a:picLocks noChangeAspect="1"/>
        </xdr:cNvPicPr>
      </xdr:nvPicPr>
      <xdr:blipFill>
        <a:blip xmlns:r="http://schemas.openxmlformats.org/officeDocument/2006/relationships" r:embed="rId1711"/>
        <a:stretch>
          <a:fillRect/>
        </a:stretch>
      </xdr:blipFill>
      <xdr:spPr>
        <a:prstGeom prst="rect">
          <a:avLst/>
        </a:prstGeom>
        <a:ln w="9525">
          <a:solidFill>
            <a:srgbClr val="000000"/>
          </a:solidFill>
          <a:prstDash val="solid"/>
        </a:ln>
      </xdr:spPr>
    </xdr:pic>
    <xdr:clientData/>
  </xdr:twoCellAnchor>
  <xdr:twoCellAnchor>
    <xdr:from>
      <xdr:col>3</xdr:col>
      <xdr:colOff>114300</xdr:colOff>
      <xdr:row>5074</xdr:row>
      <xdr:rowOff>28575</xdr:rowOff>
    </xdr:from>
    <xdr:to>
      <xdr:col>3</xdr:col>
      <xdr:colOff>1552575</xdr:colOff>
      <xdr:row>5078</xdr:row>
      <xdr:rowOff>333375</xdr:rowOff>
    </xdr:to>
    <xdr:pic>
      <xdr:nvPicPr>
        <xdr:cNvPr id="1713" name="Имя " descr="Descr ">
          <a:extLst>
            <a:ext uri="{FF2B5EF4-FFF2-40B4-BE49-F238E27FC236}">
              <a16:creationId xmlns:a16="http://schemas.microsoft.com/office/drawing/2014/main" id="{00000000-0008-0000-0000-0000B1060000}"/>
            </a:ext>
          </a:extLst>
        </xdr:cNvPr>
        <xdr:cNvPicPr>
          <a:picLocks noChangeAspect="1"/>
        </xdr:cNvPicPr>
      </xdr:nvPicPr>
      <xdr:blipFill>
        <a:blip xmlns:r="http://schemas.openxmlformats.org/officeDocument/2006/relationships" r:embed="rId1712"/>
        <a:stretch>
          <a:fillRect/>
        </a:stretch>
      </xdr:blipFill>
      <xdr:spPr>
        <a:prstGeom prst="rect">
          <a:avLst/>
        </a:prstGeom>
        <a:ln w="9525">
          <a:solidFill>
            <a:srgbClr val="000000"/>
          </a:solidFill>
          <a:prstDash val="solid"/>
        </a:ln>
      </xdr:spPr>
    </xdr:pic>
    <xdr:clientData/>
  </xdr:twoCellAnchor>
  <xdr:twoCellAnchor>
    <xdr:from>
      <xdr:col>3</xdr:col>
      <xdr:colOff>114300</xdr:colOff>
      <xdr:row>5079</xdr:row>
      <xdr:rowOff>28575</xdr:rowOff>
    </xdr:from>
    <xdr:to>
      <xdr:col>3</xdr:col>
      <xdr:colOff>1552575</xdr:colOff>
      <xdr:row>5079</xdr:row>
      <xdr:rowOff>1266825</xdr:rowOff>
    </xdr:to>
    <xdr:pic>
      <xdr:nvPicPr>
        <xdr:cNvPr id="1714" name="Имя " descr="Descr ">
          <a:extLst>
            <a:ext uri="{FF2B5EF4-FFF2-40B4-BE49-F238E27FC236}">
              <a16:creationId xmlns:a16="http://schemas.microsoft.com/office/drawing/2014/main" id="{00000000-0008-0000-0000-0000B2060000}"/>
            </a:ext>
          </a:extLst>
        </xdr:cNvPr>
        <xdr:cNvPicPr>
          <a:picLocks noChangeAspect="1"/>
        </xdr:cNvPicPr>
      </xdr:nvPicPr>
      <xdr:blipFill>
        <a:blip xmlns:r="http://schemas.openxmlformats.org/officeDocument/2006/relationships" r:embed="rId1713"/>
        <a:stretch>
          <a:fillRect/>
        </a:stretch>
      </xdr:blipFill>
      <xdr:spPr>
        <a:prstGeom prst="rect">
          <a:avLst/>
        </a:prstGeom>
        <a:ln w="9525">
          <a:solidFill>
            <a:srgbClr val="000000"/>
          </a:solidFill>
          <a:prstDash val="solid"/>
        </a:ln>
      </xdr:spPr>
    </xdr:pic>
    <xdr:clientData/>
  </xdr:twoCellAnchor>
  <xdr:twoCellAnchor>
    <xdr:from>
      <xdr:col>3</xdr:col>
      <xdr:colOff>114300</xdr:colOff>
      <xdr:row>5080</xdr:row>
      <xdr:rowOff>28575</xdr:rowOff>
    </xdr:from>
    <xdr:to>
      <xdr:col>3</xdr:col>
      <xdr:colOff>1552575</xdr:colOff>
      <xdr:row>5080</xdr:row>
      <xdr:rowOff>1266825</xdr:rowOff>
    </xdr:to>
    <xdr:pic>
      <xdr:nvPicPr>
        <xdr:cNvPr id="1715" name="Имя " descr="Descr ">
          <a:extLst>
            <a:ext uri="{FF2B5EF4-FFF2-40B4-BE49-F238E27FC236}">
              <a16:creationId xmlns:a16="http://schemas.microsoft.com/office/drawing/2014/main" id="{00000000-0008-0000-0000-0000B3060000}"/>
            </a:ext>
          </a:extLst>
        </xdr:cNvPr>
        <xdr:cNvPicPr>
          <a:picLocks noChangeAspect="1"/>
        </xdr:cNvPicPr>
      </xdr:nvPicPr>
      <xdr:blipFill>
        <a:blip xmlns:r="http://schemas.openxmlformats.org/officeDocument/2006/relationships" r:embed="rId1714"/>
        <a:stretch>
          <a:fillRect/>
        </a:stretch>
      </xdr:blipFill>
      <xdr:spPr>
        <a:prstGeom prst="rect">
          <a:avLst/>
        </a:prstGeom>
        <a:ln w="9525">
          <a:solidFill>
            <a:srgbClr val="000000"/>
          </a:solidFill>
          <a:prstDash val="solid"/>
        </a:ln>
      </xdr:spPr>
    </xdr:pic>
    <xdr:clientData/>
  </xdr:twoCellAnchor>
  <xdr:twoCellAnchor>
    <xdr:from>
      <xdr:col>3</xdr:col>
      <xdr:colOff>114300</xdr:colOff>
      <xdr:row>5081</xdr:row>
      <xdr:rowOff>28575</xdr:rowOff>
    </xdr:from>
    <xdr:to>
      <xdr:col>3</xdr:col>
      <xdr:colOff>1552575</xdr:colOff>
      <xdr:row>5081</xdr:row>
      <xdr:rowOff>1266825</xdr:rowOff>
    </xdr:to>
    <xdr:pic>
      <xdr:nvPicPr>
        <xdr:cNvPr id="1716" name="Имя " descr="Descr ">
          <a:extLst>
            <a:ext uri="{FF2B5EF4-FFF2-40B4-BE49-F238E27FC236}">
              <a16:creationId xmlns:a16="http://schemas.microsoft.com/office/drawing/2014/main" id="{00000000-0008-0000-0000-0000B4060000}"/>
            </a:ext>
          </a:extLst>
        </xdr:cNvPr>
        <xdr:cNvPicPr>
          <a:picLocks noChangeAspect="1"/>
        </xdr:cNvPicPr>
      </xdr:nvPicPr>
      <xdr:blipFill>
        <a:blip xmlns:r="http://schemas.openxmlformats.org/officeDocument/2006/relationships" r:embed="rId1715"/>
        <a:stretch>
          <a:fillRect/>
        </a:stretch>
      </xdr:blipFill>
      <xdr:spPr>
        <a:prstGeom prst="rect">
          <a:avLst/>
        </a:prstGeom>
        <a:ln w="9525">
          <a:solidFill>
            <a:srgbClr val="000000"/>
          </a:solidFill>
          <a:prstDash val="solid"/>
        </a:ln>
      </xdr:spPr>
    </xdr:pic>
    <xdr:clientData/>
  </xdr:twoCellAnchor>
  <xdr:twoCellAnchor>
    <xdr:from>
      <xdr:col>3</xdr:col>
      <xdr:colOff>114300</xdr:colOff>
      <xdr:row>5082</xdr:row>
      <xdr:rowOff>28575</xdr:rowOff>
    </xdr:from>
    <xdr:to>
      <xdr:col>3</xdr:col>
      <xdr:colOff>1552575</xdr:colOff>
      <xdr:row>5082</xdr:row>
      <xdr:rowOff>1266825</xdr:rowOff>
    </xdr:to>
    <xdr:pic>
      <xdr:nvPicPr>
        <xdr:cNvPr id="1717" name="Имя " descr="Descr ">
          <a:extLst>
            <a:ext uri="{FF2B5EF4-FFF2-40B4-BE49-F238E27FC236}">
              <a16:creationId xmlns:a16="http://schemas.microsoft.com/office/drawing/2014/main" id="{00000000-0008-0000-0000-0000B5060000}"/>
            </a:ext>
          </a:extLst>
        </xdr:cNvPr>
        <xdr:cNvPicPr>
          <a:picLocks noChangeAspect="1"/>
        </xdr:cNvPicPr>
      </xdr:nvPicPr>
      <xdr:blipFill>
        <a:blip xmlns:r="http://schemas.openxmlformats.org/officeDocument/2006/relationships" r:embed="rId1716"/>
        <a:stretch>
          <a:fillRect/>
        </a:stretch>
      </xdr:blipFill>
      <xdr:spPr>
        <a:prstGeom prst="rect">
          <a:avLst/>
        </a:prstGeom>
        <a:ln w="9525">
          <a:solidFill>
            <a:srgbClr val="000000"/>
          </a:solidFill>
          <a:prstDash val="solid"/>
        </a:ln>
      </xdr:spPr>
    </xdr:pic>
    <xdr:clientData/>
  </xdr:twoCellAnchor>
  <xdr:twoCellAnchor>
    <xdr:from>
      <xdr:col>3</xdr:col>
      <xdr:colOff>114300</xdr:colOff>
      <xdr:row>5083</xdr:row>
      <xdr:rowOff>28575</xdr:rowOff>
    </xdr:from>
    <xdr:to>
      <xdr:col>3</xdr:col>
      <xdr:colOff>1552575</xdr:colOff>
      <xdr:row>5083</xdr:row>
      <xdr:rowOff>1266825</xdr:rowOff>
    </xdr:to>
    <xdr:pic>
      <xdr:nvPicPr>
        <xdr:cNvPr id="1718" name="Имя " descr="Descr ">
          <a:extLst>
            <a:ext uri="{FF2B5EF4-FFF2-40B4-BE49-F238E27FC236}">
              <a16:creationId xmlns:a16="http://schemas.microsoft.com/office/drawing/2014/main" id="{00000000-0008-0000-0000-0000B6060000}"/>
            </a:ext>
          </a:extLst>
        </xdr:cNvPr>
        <xdr:cNvPicPr>
          <a:picLocks noChangeAspect="1"/>
        </xdr:cNvPicPr>
      </xdr:nvPicPr>
      <xdr:blipFill>
        <a:blip xmlns:r="http://schemas.openxmlformats.org/officeDocument/2006/relationships" r:embed="rId1717"/>
        <a:stretch>
          <a:fillRect/>
        </a:stretch>
      </xdr:blipFill>
      <xdr:spPr>
        <a:prstGeom prst="rect">
          <a:avLst/>
        </a:prstGeom>
        <a:ln w="9525">
          <a:solidFill>
            <a:srgbClr val="000000"/>
          </a:solidFill>
          <a:prstDash val="solid"/>
        </a:ln>
      </xdr:spPr>
    </xdr:pic>
    <xdr:clientData/>
  </xdr:twoCellAnchor>
  <xdr:twoCellAnchor>
    <xdr:from>
      <xdr:col>3</xdr:col>
      <xdr:colOff>114300</xdr:colOff>
      <xdr:row>5084</xdr:row>
      <xdr:rowOff>28575</xdr:rowOff>
    </xdr:from>
    <xdr:to>
      <xdr:col>3</xdr:col>
      <xdr:colOff>1552575</xdr:colOff>
      <xdr:row>5084</xdr:row>
      <xdr:rowOff>1266825</xdr:rowOff>
    </xdr:to>
    <xdr:pic>
      <xdr:nvPicPr>
        <xdr:cNvPr id="1719" name="Имя " descr="Descr ">
          <a:extLst>
            <a:ext uri="{FF2B5EF4-FFF2-40B4-BE49-F238E27FC236}">
              <a16:creationId xmlns:a16="http://schemas.microsoft.com/office/drawing/2014/main" id="{00000000-0008-0000-0000-0000B7060000}"/>
            </a:ext>
          </a:extLst>
        </xdr:cNvPr>
        <xdr:cNvPicPr>
          <a:picLocks noChangeAspect="1"/>
        </xdr:cNvPicPr>
      </xdr:nvPicPr>
      <xdr:blipFill>
        <a:blip xmlns:r="http://schemas.openxmlformats.org/officeDocument/2006/relationships" r:embed="rId1718"/>
        <a:stretch>
          <a:fillRect/>
        </a:stretch>
      </xdr:blipFill>
      <xdr:spPr>
        <a:prstGeom prst="rect">
          <a:avLst/>
        </a:prstGeom>
        <a:ln w="9525">
          <a:solidFill>
            <a:srgbClr val="000000"/>
          </a:solidFill>
          <a:prstDash val="solid"/>
        </a:ln>
      </xdr:spPr>
    </xdr:pic>
    <xdr:clientData/>
  </xdr:twoCellAnchor>
  <xdr:twoCellAnchor>
    <xdr:from>
      <xdr:col>3</xdr:col>
      <xdr:colOff>114300</xdr:colOff>
      <xdr:row>5085</xdr:row>
      <xdr:rowOff>28575</xdr:rowOff>
    </xdr:from>
    <xdr:to>
      <xdr:col>3</xdr:col>
      <xdr:colOff>1552575</xdr:colOff>
      <xdr:row>5085</xdr:row>
      <xdr:rowOff>1266825</xdr:rowOff>
    </xdr:to>
    <xdr:pic>
      <xdr:nvPicPr>
        <xdr:cNvPr id="1720" name="Имя " descr="Descr ">
          <a:extLst>
            <a:ext uri="{FF2B5EF4-FFF2-40B4-BE49-F238E27FC236}">
              <a16:creationId xmlns:a16="http://schemas.microsoft.com/office/drawing/2014/main" id="{00000000-0008-0000-0000-0000B8060000}"/>
            </a:ext>
          </a:extLst>
        </xdr:cNvPr>
        <xdr:cNvPicPr>
          <a:picLocks noChangeAspect="1"/>
        </xdr:cNvPicPr>
      </xdr:nvPicPr>
      <xdr:blipFill>
        <a:blip xmlns:r="http://schemas.openxmlformats.org/officeDocument/2006/relationships" r:embed="rId1719"/>
        <a:stretch>
          <a:fillRect/>
        </a:stretch>
      </xdr:blipFill>
      <xdr:spPr>
        <a:prstGeom prst="rect">
          <a:avLst/>
        </a:prstGeom>
        <a:ln w="9525">
          <a:solidFill>
            <a:srgbClr val="000000"/>
          </a:solidFill>
          <a:prstDash val="solid"/>
        </a:ln>
      </xdr:spPr>
    </xdr:pic>
    <xdr:clientData/>
  </xdr:twoCellAnchor>
  <xdr:twoCellAnchor>
    <xdr:from>
      <xdr:col>3</xdr:col>
      <xdr:colOff>114300</xdr:colOff>
      <xdr:row>5086</xdr:row>
      <xdr:rowOff>28575</xdr:rowOff>
    </xdr:from>
    <xdr:to>
      <xdr:col>3</xdr:col>
      <xdr:colOff>1552575</xdr:colOff>
      <xdr:row>5086</xdr:row>
      <xdr:rowOff>1266825</xdr:rowOff>
    </xdr:to>
    <xdr:pic>
      <xdr:nvPicPr>
        <xdr:cNvPr id="1721" name="Имя " descr="Descr ">
          <a:extLst>
            <a:ext uri="{FF2B5EF4-FFF2-40B4-BE49-F238E27FC236}">
              <a16:creationId xmlns:a16="http://schemas.microsoft.com/office/drawing/2014/main" id="{00000000-0008-0000-0000-0000B9060000}"/>
            </a:ext>
          </a:extLst>
        </xdr:cNvPr>
        <xdr:cNvPicPr>
          <a:picLocks noChangeAspect="1"/>
        </xdr:cNvPicPr>
      </xdr:nvPicPr>
      <xdr:blipFill>
        <a:blip xmlns:r="http://schemas.openxmlformats.org/officeDocument/2006/relationships" r:embed="rId1720"/>
        <a:stretch>
          <a:fillRect/>
        </a:stretch>
      </xdr:blipFill>
      <xdr:spPr>
        <a:prstGeom prst="rect">
          <a:avLst/>
        </a:prstGeom>
        <a:ln w="9525">
          <a:solidFill>
            <a:srgbClr val="000000"/>
          </a:solidFill>
          <a:prstDash val="solid"/>
        </a:ln>
      </xdr:spPr>
    </xdr:pic>
    <xdr:clientData/>
  </xdr:twoCellAnchor>
  <xdr:twoCellAnchor>
    <xdr:from>
      <xdr:col>3</xdr:col>
      <xdr:colOff>114300</xdr:colOff>
      <xdr:row>5087</xdr:row>
      <xdr:rowOff>28575</xdr:rowOff>
    </xdr:from>
    <xdr:to>
      <xdr:col>3</xdr:col>
      <xdr:colOff>1552575</xdr:colOff>
      <xdr:row>5087</xdr:row>
      <xdr:rowOff>1266825</xdr:rowOff>
    </xdr:to>
    <xdr:pic>
      <xdr:nvPicPr>
        <xdr:cNvPr id="1722" name="Имя " descr="Descr ">
          <a:extLst>
            <a:ext uri="{FF2B5EF4-FFF2-40B4-BE49-F238E27FC236}">
              <a16:creationId xmlns:a16="http://schemas.microsoft.com/office/drawing/2014/main" id="{00000000-0008-0000-0000-0000BA060000}"/>
            </a:ext>
          </a:extLst>
        </xdr:cNvPr>
        <xdr:cNvPicPr>
          <a:picLocks noChangeAspect="1"/>
        </xdr:cNvPicPr>
      </xdr:nvPicPr>
      <xdr:blipFill>
        <a:blip xmlns:r="http://schemas.openxmlformats.org/officeDocument/2006/relationships" r:embed="rId1721"/>
        <a:stretch>
          <a:fillRect/>
        </a:stretch>
      </xdr:blipFill>
      <xdr:spPr>
        <a:prstGeom prst="rect">
          <a:avLst/>
        </a:prstGeom>
        <a:ln w="9525">
          <a:solidFill>
            <a:srgbClr val="000000"/>
          </a:solidFill>
          <a:prstDash val="solid"/>
        </a:ln>
      </xdr:spPr>
    </xdr:pic>
    <xdr:clientData/>
  </xdr:twoCellAnchor>
  <xdr:twoCellAnchor>
    <xdr:from>
      <xdr:col>3</xdr:col>
      <xdr:colOff>114300</xdr:colOff>
      <xdr:row>5088</xdr:row>
      <xdr:rowOff>28575</xdr:rowOff>
    </xdr:from>
    <xdr:to>
      <xdr:col>3</xdr:col>
      <xdr:colOff>1552575</xdr:colOff>
      <xdr:row>5088</xdr:row>
      <xdr:rowOff>1266825</xdr:rowOff>
    </xdr:to>
    <xdr:pic>
      <xdr:nvPicPr>
        <xdr:cNvPr id="1723" name="Имя " descr="Descr ">
          <a:extLst>
            <a:ext uri="{FF2B5EF4-FFF2-40B4-BE49-F238E27FC236}">
              <a16:creationId xmlns:a16="http://schemas.microsoft.com/office/drawing/2014/main" id="{00000000-0008-0000-0000-0000BB060000}"/>
            </a:ext>
          </a:extLst>
        </xdr:cNvPr>
        <xdr:cNvPicPr>
          <a:picLocks noChangeAspect="1"/>
        </xdr:cNvPicPr>
      </xdr:nvPicPr>
      <xdr:blipFill>
        <a:blip xmlns:r="http://schemas.openxmlformats.org/officeDocument/2006/relationships" r:embed="rId1722"/>
        <a:stretch>
          <a:fillRect/>
        </a:stretch>
      </xdr:blipFill>
      <xdr:spPr>
        <a:prstGeom prst="rect">
          <a:avLst/>
        </a:prstGeom>
        <a:ln w="9525">
          <a:solidFill>
            <a:srgbClr val="000000"/>
          </a:solidFill>
          <a:prstDash val="solid"/>
        </a:ln>
      </xdr:spPr>
    </xdr:pic>
    <xdr:clientData/>
  </xdr:twoCellAnchor>
  <xdr:twoCellAnchor>
    <xdr:from>
      <xdr:col>3</xdr:col>
      <xdr:colOff>114300</xdr:colOff>
      <xdr:row>5089</xdr:row>
      <xdr:rowOff>38100</xdr:rowOff>
    </xdr:from>
    <xdr:to>
      <xdr:col>3</xdr:col>
      <xdr:colOff>1552575</xdr:colOff>
      <xdr:row>5090</xdr:row>
      <xdr:rowOff>638175</xdr:rowOff>
    </xdr:to>
    <xdr:pic>
      <xdr:nvPicPr>
        <xdr:cNvPr id="1724" name="Имя " descr="Descr ">
          <a:extLst>
            <a:ext uri="{FF2B5EF4-FFF2-40B4-BE49-F238E27FC236}">
              <a16:creationId xmlns:a16="http://schemas.microsoft.com/office/drawing/2014/main" id="{00000000-0008-0000-0000-0000BC060000}"/>
            </a:ext>
          </a:extLst>
        </xdr:cNvPr>
        <xdr:cNvPicPr>
          <a:picLocks noChangeAspect="1"/>
        </xdr:cNvPicPr>
      </xdr:nvPicPr>
      <xdr:blipFill>
        <a:blip xmlns:r="http://schemas.openxmlformats.org/officeDocument/2006/relationships" r:embed="rId1723"/>
        <a:stretch>
          <a:fillRect/>
        </a:stretch>
      </xdr:blipFill>
      <xdr:spPr>
        <a:prstGeom prst="rect">
          <a:avLst/>
        </a:prstGeom>
        <a:ln w="9525">
          <a:solidFill>
            <a:srgbClr val="000000"/>
          </a:solidFill>
          <a:prstDash val="solid"/>
        </a:ln>
      </xdr:spPr>
    </xdr:pic>
    <xdr:clientData/>
  </xdr:twoCellAnchor>
  <xdr:twoCellAnchor>
    <xdr:from>
      <xdr:col>3</xdr:col>
      <xdr:colOff>114300</xdr:colOff>
      <xdr:row>5091</xdr:row>
      <xdr:rowOff>28575</xdr:rowOff>
    </xdr:from>
    <xdr:to>
      <xdr:col>3</xdr:col>
      <xdr:colOff>1552575</xdr:colOff>
      <xdr:row>5096</xdr:row>
      <xdr:rowOff>209550</xdr:rowOff>
    </xdr:to>
    <xdr:pic>
      <xdr:nvPicPr>
        <xdr:cNvPr id="1725" name="Имя " descr="Descr ">
          <a:extLst>
            <a:ext uri="{FF2B5EF4-FFF2-40B4-BE49-F238E27FC236}">
              <a16:creationId xmlns:a16="http://schemas.microsoft.com/office/drawing/2014/main" id="{00000000-0008-0000-0000-0000BD060000}"/>
            </a:ext>
          </a:extLst>
        </xdr:cNvPr>
        <xdr:cNvPicPr>
          <a:picLocks noChangeAspect="1"/>
        </xdr:cNvPicPr>
      </xdr:nvPicPr>
      <xdr:blipFill>
        <a:blip xmlns:r="http://schemas.openxmlformats.org/officeDocument/2006/relationships" r:embed="rId1724"/>
        <a:stretch>
          <a:fillRect/>
        </a:stretch>
      </xdr:blipFill>
      <xdr:spPr>
        <a:prstGeom prst="rect">
          <a:avLst/>
        </a:prstGeom>
        <a:ln w="9525">
          <a:solidFill>
            <a:srgbClr val="000000"/>
          </a:solidFill>
          <a:prstDash val="solid"/>
        </a:ln>
      </xdr:spPr>
    </xdr:pic>
    <xdr:clientData/>
  </xdr:twoCellAnchor>
  <xdr:twoCellAnchor>
    <xdr:from>
      <xdr:col>3</xdr:col>
      <xdr:colOff>114300</xdr:colOff>
      <xdr:row>5097</xdr:row>
      <xdr:rowOff>28575</xdr:rowOff>
    </xdr:from>
    <xdr:to>
      <xdr:col>3</xdr:col>
      <xdr:colOff>1552575</xdr:colOff>
      <xdr:row>5100</xdr:row>
      <xdr:rowOff>209550</xdr:rowOff>
    </xdr:to>
    <xdr:pic>
      <xdr:nvPicPr>
        <xdr:cNvPr id="1726" name="Имя " descr="Descr ">
          <a:extLst>
            <a:ext uri="{FF2B5EF4-FFF2-40B4-BE49-F238E27FC236}">
              <a16:creationId xmlns:a16="http://schemas.microsoft.com/office/drawing/2014/main" id="{00000000-0008-0000-0000-0000BE060000}"/>
            </a:ext>
          </a:extLst>
        </xdr:cNvPr>
        <xdr:cNvPicPr>
          <a:picLocks noChangeAspect="1"/>
        </xdr:cNvPicPr>
      </xdr:nvPicPr>
      <xdr:blipFill>
        <a:blip xmlns:r="http://schemas.openxmlformats.org/officeDocument/2006/relationships" r:embed="rId1725"/>
        <a:stretch>
          <a:fillRect/>
        </a:stretch>
      </xdr:blipFill>
      <xdr:spPr>
        <a:prstGeom prst="rect">
          <a:avLst/>
        </a:prstGeom>
        <a:ln w="9525">
          <a:solidFill>
            <a:srgbClr val="000000"/>
          </a:solidFill>
          <a:prstDash val="solid"/>
        </a:ln>
      </xdr:spPr>
    </xdr:pic>
    <xdr:clientData/>
  </xdr:twoCellAnchor>
  <xdr:twoCellAnchor>
    <xdr:from>
      <xdr:col>3</xdr:col>
      <xdr:colOff>114300</xdr:colOff>
      <xdr:row>5101</xdr:row>
      <xdr:rowOff>28575</xdr:rowOff>
    </xdr:from>
    <xdr:to>
      <xdr:col>3</xdr:col>
      <xdr:colOff>1552575</xdr:colOff>
      <xdr:row>5105</xdr:row>
      <xdr:rowOff>333375</xdr:rowOff>
    </xdr:to>
    <xdr:pic>
      <xdr:nvPicPr>
        <xdr:cNvPr id="1727" name="Имя " descr="Descr ">
          <a:extLst>
            <a:ext uri="{FF2B5EF4-FFF2-40B4-BE49-F238E27FC236}">
              <a16:creationId xmlns:a16="http://schemas.microsoft.com/office/drawing/2014/main" id="{00000000-0008-0000-0000-0000BF060000}"/>
            </a:ext>
          </a:extLst>
        </xdr:cNvPr>
        <xdr:cNvPicPr>
          <a:picLocks noChangeAspect="1"/>
        </xdr:cNvPicPr>
      </xdr:nvPicPr>
      <xdr:blipFill>
        <a:blip xmlns:r="http://schemas.openxmlformats.org/officeDocument/2006/relationships" r:embed="rId1726"/>
        <a:stretch>
          <a:fillRect/>
        </a:stretch>
      </xdr:blipFill>
      <xdr:spPr>
        <a:prstGeom prst="rect">
          <a:avLst/>
        </a:prstGeom>
        <a:ln w="9525">
          <a:solidFill>
            <a:srgbClr val="000000"/>
          </a:solidFill>
          <a:prstDash val="solid"/>
        </a:ln>
      </xdr:spPr>
    </xdr:pic>
    <xdr:clientData/>
  </xdr:twoCellAnchor>
  <xdr:twoCellAnchor>
    <xdr:from>
      <xdr:col>3</xdr:col>
      <xdr:colOff>114300</xdr:colOff>
      <xdr:row>5106</xdr:row>
      <xdr:rowOff>38100</xdr:rowOff>
    </xdr:from>
    <xdr:to>
      <xdr:col>3</xdr:col>
      <xdr:colOff>1552575</xdr:colOff>
      <xdr:row>5107</xdr:row>
      <xdr:rowOff>638175</xdr:rowOff>
    </xdr:to>
    <xdr:pic>
      <xdr:nvPicPr>
        <xdr:cNvPr id="1728" name="Имя " descr="Descr ">
          <a:extLst>
            <a:ext uri="{FF2B5EF4-FFF2-40B4-BE49-F238E27FC236}">
              <a16:creationId xmlns:a16="http://schemas.microsoft.com/office/drawing/2014/main" id="{00000000-0008-0000-0000-0000C0060000}"/>
            </a:ext>
          </a:extLst>
        </xdr:cNvPr>
        <xdr:cNvPicPr>
          <a:picLocks noChangeAspect="1"/>
        </xdr:cNvPicPr>
      </xdr:nvPicPr>
      <xdr:blipFill>
        <a:blip xmlns:r="http://schemas.openxmlformats.org/officeDocument/2006/relationships" r:embed="rId1727"/>
        <a:stretch>
          <a:fillRect/>
        </a:stretch>
      </xdr:blipFill>
      <xdr:spPr>
        <a:prstGeom prst="rect">
          <a:avLst/>
        </a:prstGeom>
        <a:ln w="9525">
          <a:solidFill>
            <a:srgbClr val="000000"/>
          </a:solidFill>
          <a:prstDash val="solid"/>
        </a:ln>
      </xdr:spPr>
    </xdr:pic>
    <xdr:clientData/>
  </xdr:twoCellAnchor>
  <xdr:twoCellAnchor>
    <xdr:from>
      <xdr:col>3</xdr:col>
      <xdr:colOff>114300</xdr:colOff>
      <xdr:row>5108</xdr:row>
      <xdr:rowOff>28575</xdr:rowOff>
    </xdr:from>
    <xdr:to>
      <xdr:col>3</xdr:col>
      <xdr:colOff>1552575</xdr:colOff>
      <xdr:row>5108</xdr:row>
      <xdr:rowOff>1266825</xdr:rowOff>
    </xdr:to>
    <xdr:pic>
      <xdr:nvPicPr>
        <xdr:cNvPr id="1729" name="Имя " descr="Descr ">
          <a:extLst>
            <a:ext uri="{FF2B5EF4-FFF2-40B4-BE49-F238E27FC236}">
              <a16:creationId xmlns:a16="http://schemas.microsoft.com/office/drawing/2014/main" id="{00000000-0008-0000-0000-0000C1060000}"/>
            </a:ext>
          </a:extLst>
        </xdr:cNvPr>
        <xdr:cNvPicPr>
          <a:picLocks noChangeAspect="1"/>
        </xdr:cNvPicPr>
      </xdr:nvPicPr>
      <xdr:blipFill>
        <a:blip xmlns:r="http://schemas.openxmlformats.org/officeDocument/2006/relationships" r:embed="rId1728"/>
        <a:stretch>
          <a:fillRect/>
        </a:stretch>
      </xdr:blipFill>
      <xdr:spPr>
        <a:prstGeom prst="rect">
          <a:avLst/>
        </a:prstGeom>
        <a:ln w="9525">
          <a:solidFill>
            <a:srgbClr val="000000"/>
          </a:solidFill>
          <a:prstDash val="solid"/>
        </a:ln>
      </xdr:spPr>
    </xdr:pic>
    <xdr:clientData/>
  </xdr:twoCellAnchor>
  <xdr:twoCellAnchor>
    <xdr:from>
      <xdr:col>3</xdr:col>
      <xdr:colOff>114300</xdr:colOff>
      <xdr:row>5109</xdr:row>
      <xdr:rowOff>38100</xdr:rowOff>
    </xdr:from>
    <xdr:to>
      <xdr:col>3</xdr:col>
      <xdr:colOff>1552575</xdr:colOff>
      <xdr:row>5110</xdr:row>
      <xdr:rowOff>638175</xdr:rowOff>
    </xdr:to>
    <xdr:pic>
      <xdr:nvPicPr>
        <xdr:cNvPr id="1730" name="Имя " descr="Descr ">
          <a:extLst>
            <a:ext uri="{FF2B5EF4-FFF2-40B4-BE49-F238E27FC236}">
              <a16:creationId xmlns:a16="http://schemas.microsoft.com/office/drawing/2014/main" id="{00000000-0008-0000-0000-0000C2060000}"/>
            </a:ext>
          </a:extLst>
        </xdr:cNvPr>
        <xdr:cNvPicPr>
          <a:picLocks noChangeAspect="1"/>
        </xdr:cNvPicPr>
      </xdr:nvPicPr>
      <xdr:blipFill>
        <a:blip xmlns:r="http://schemas.openxmlformats.org/officeDocument/2006/relationships" r:embed="rId1729"/>
        <a:stretch>
          <a:fillRect/>
        </a:stretch>
      </xdr:blipFill>
      <xdr:spPr>
        <a:prstGeom prst="rect">
          <a:avLst/>
        </a:prstGeom>
        <a:ln w="9525">
          <a:solidFill>
            <a:srgbClr val="000000"/>
          </a:solidFill>
          <a:prstDash val="solid"/>
        </a:ln>
      </xdr:spPr>
    </xdr:pic>
    <xdr:clientData/>
  </xdr:twoCellAnchor>
  <xdr:twoCellAnchor>
    <xdr:from>
      <xdr:col>3</xdr:col>
      <xdr:colOff>114300</xdr:colOff>
      <xdr:row>5111</xdr:row>
      <xdr:rowOff>28575</xdr:rowOff>
    </xdr:from>
    <xdr:to>
      <xdr:col>3</xdr:col>
      <xdr:colOff>1552575</xdr:colOff>
      <xdr:row>5114</xdr:row>
      <xdr:rowOff>209550</xdr:rowOff>
    </xdr:to>
    <xdr:pic>
      <xdr:nvPicPr>
        <xdr:cNvPr id="1731" name="Имя " descr="Descr ">
          <a:extLst>
            <a:ext uri="{FF2B5EF4-FFF2-40B4-BE49-F238E27FC236}">
              <a16:creationId xmlns:a16="http://schemas.microsoft.com/office/drawing/2014/main" id="{00000000-0008-0000-0000-0000C3060000}"/>
            </a:ext>
          </a:extLst>
        </xdr:cNvPr>
        <xdr:cNvPicPr>
          <a:picLocks noChangeAspect="1"/>
        </xdr:cNvPicPr>
      </xdr:nvPicPr>
      <xdr:blipFill>
        <a:blip xmlns:r="http://schemas.openxmlformats.org/officeDocument/2006/relationships" r:embed="rId1730"/>
        <a:stretch>
          <a:fillRect/>
        </a:stretch>
      </xdr:blipFill>
      <xdr:spPr>
        <a:prstGeom prst="rect">
          <a:avLst/>
        </a:prstGeom>
        <a:ln w="9525">
          <a:solidFill>
            <a:srgbClr val="000000"/>
          </a:solidFill>
          <a:prstDash val="solid"/>
        </a:ln>
      </xdr:spPr>
    </xdr:pic>
    <xdr:clientData/>
  </xdr:twoCellAnchor>
  <xdr:twoCellAnchor>
    <xdr:from>
      <xdr:col>3</xdr:col>
      <xdr:colOff>114300</xdr:colOff>
      <xdr:row>5115</xdr:row>
      <xdr:rowOff>38100</xdr:rowOff>
    </xdr:from>
    <xdr:to>
      <xdr:col>3</xdr:col>
      <xdr:colOff>1552575</xdr:colOff>
      <xdr:row>5116</xdr:row>
      <xdr:rowOff>638175</xdr:rowOff>
    </xdr:to>
    <xdr:pic>
      <xdr:nvPicPr>
        <xdr:cNvPr id="1732" name="Имя " descr="Descr ">
          <a:extLst>
            <a:ext uri="{FF2B5EF4-FFF2-40B4-BE49-F238E27FC236}">
              <a16:creationId xmlns:a16="http://schemas.microsoft.com/office/drawing/2014/main" id="{00000000-0008-0000-0000-0000C4060000}"/>
            </a:ext>
          </a:extLst>
        </xdr:cNvPr>
        <xdr:cNvPicPr>
          <a:picLocks noChangeAspect="1"/>
        </xdr:cNvPicPr>
      </xdr:nvPicPr>
      <xdr:blipFill>
        <a:blip xmlns:r="http://schemas.openxmlformats.org/officeDocument/2006/relationships" r:embed="rId1731"/>
        <a:stretch>
          <a:fillRect/>
        </a:stretch>
      </xdr:blipFill>
      <xdr:spPr>
        <a:prstGeom prst="rect">
          <a:avLst/>
        </a:prstGeom>
        <a:ln w="9525">
          <a:solidFill>
            <a:srgbClr val="000000"/>
          </a:solidFill>
          <a:prstDash val="solid"/>
        </a:ln>
      </xdr:spPr>
    </xdr:pic>
    <xdr:clientData/>
  </xdr:twoCellAnchor>
  <xdr:twoCellAnchor>
    <xdr:from>
      <xdr:col>3</xdr:col>
      <xdr:colOff>114300</xdr:colOff>
      <xdr:row>5117</xdr:row>
      <xdr:rowOff>28575</xdr:rowOff>
    </xdr:from>
    <xdr:to>
      <xdr:col>3</xdr:col>
      <xdr:colOff>1552575</xdr:colOff>
      <xdr:row>5121</xdr:row>
      <xdr:rowOff>333375</xdr:rowOff>
    </xdr:to>
    <xdr:pic>
      <xdr:nvPicPr>
        <xdr:cNvPr id="1733" name="Имя " descr="Descr ">
          <a:extLst>
            <a:ext uri="{FF2B5EF4-FFF2-40B4-BE49-F238E27FC236}">
              <a16:creationId xmlns:a16="http://schemas.microsoft.com/office/drawing/2014/main" id="{00000000-0008-0000-0000-0000C5060000}"/>
            </a:ext>
          </a:extLst>
        </xdr:cNvPr>
        <xdr:cNvPicPr>
          <a:picLocks noChangeAspect="1"/>
        </xdr:cNvPicPr>
      </xdr:nvPicPr>
      <xdr:blipFill>
        <a:blip xmlns:r="http://schemas.openxmlformats.org/officeDocument/2006/relationships" r:embed="rId1732"/>
        <a:stretch>
          <a:fillRect/>
        </a:stretch>
      </xdr:blipFill>
      <xdr:spPr>
        <a:prstGeom prst="rect">
          <a:avLst/>
        </a:prstGeom>
        <a:ln w="9525">
          <a:solidFill>
            <a:srgbClr val="000000"/>
          </a:solidFill>
          <a:prstDash val="solid"/>
        </a:ln>
      </xdr:spPr>
    </xdr:pic>
    <xdr:clientData/>
  </xdr:twoCellAnchor>
  <xdr:twoCellAnchor>
    <xdr:from>
      <xdr:col>3</xdr:col>
      <xdr:colOff>114300</xdr:colOff>
      <xdr:row>5122</xdr:row>
      <xdr:rowOff>28575</xdr:rowOff>
    </xdr:from>
    <xdr:to>
      <xdr:col>3</xdr:col>
      <xdr:colOff>1552575</xdr:colOff>
      <xdr:row>5126</xdr:row>
      <xdr:rowOff>333375</xdr:rowOff>
    </xdr:to>
    <xdr:pic>
      <xdr:nvPicPr>
        <xdr:cNvPr id="1734" name="Имя " descr="Descr ">
          <a:extLst>
            <a:ext uri="{FF2B5EF4-FFF2-40B4-BE49-F238E27FC236}">
              <a16:creationId xmlns:a16="http://schemas.microsoft.com/office/drawing/2014/main" id="{00000000-0008-0000-0000-0000C6060000}"/>
            </a:ext>
          </a:extLst>
        </xdr:cNvPr>
        <xdr:cNvPicPr>
          <a:picLocks noChangeAspect="1"/>
        </xdr:cNvPicPr>
      </xdr:nvPicPr>
      <xdr:blipFill>
        <a:blip xmlns:r="http://schemas.openxmlformats.org/officeDocument/2006/relationships" r:embed="rId1733"/>
        <a:stretch>
          <a:fillRect/>
        </a:stretch>
      </xdr:blipFill>
      <xdr:spPr>
        <a:prstGeom prst="rect">
          <a:avLst/>
        </a:prstGeom>
        <a:ln w="9525">
          <a:solidFill>
            <a:srgbClr val="000000"/>
          </a:solidFill>
          <a:prstDash val="solid"/>
        </a:ln>
      </xdr:spPr>
    </xdr:pic>
    <xdr:clientData/>
  </xdr:twoCellAnchor>
  <xdr:twoCellAnchor>
    <xdr:from>
      <xdr:col>3</xdr:col>
      <xdr:colOff>114300</xdr:colOff>
      <xdr:row>5127</xdr:row>
      <xdr:rowOff>28575</xdr:rowOff>
    </xdr:from>
    <xdr:to>
      <xdr:col>3</xdr:col>
      <xdr:colOff>1552575</xdr:colOff>
      <xdr:row>5129</xdr:row>
      <xdr:rowOff>419100</xdr:rowOff>
    </xdr:to>
    <xdr:pic>
      <xdr:nvPicPr>
        <xdr:cNvPr id="1735" name="Имя " descr="Descr ">
          <a:extLst>
            <a:ext uri="{FF2B5EF4-FFF2-40B4-BE49-F238E27FC236}">
              <a16:creationId xmlns:a16="http://schemas.microsoft.com/office/drawing/2014/main" id="{00000000-0008-0000-0000-0000C7060000}"/>
            </a:ext>
          </a:extLst>
        </xdr:cNvPr>
        <xdr:cNvPicPr>
          <a:picLocks noChangeAspect="1"/>
        </xdr:cNvPicPr>
      </xdr:nvPicPr>
      <xdr:blipFill>
        <a:blip xmlns:r="http://schemas.openxmlformats.org/officeDocument/2006/relationships" r:embed="rId1734"/>
        <a:stretch>
          <a:fillRect/>
        </a:stretch>
      </xdr:blipFill>
      <xdr:spPr>
        <a:prstGeom prst="rect">
          <a:avLst/>
        </a:prstGeom>
        <a:ln w="9525">
          <a:solidFill>
            <a:srgbClr val="000000"/>
          </a:solidFill>
          <a:prstDash val="solid"/>
        </a:ln>
      </xdr:spPr>
    </xdr:pic>
    <xdr:clientData/>
  </xdr:twoCellAnchor>
  <xdr:twoCellAnchor>
    <xdr:from>
      <xdr:col>3</xdr:col>
      <xdr:colOff>114300</xdr:colOff>
      <xdr:row>5130</xdr:row>
      <xdr:rowOff>28575</xdr:rowOff>
    </xdr:from>
    <xdr:to>
      <xdr:col>3</xdr:col>
      <xdr:colOff>1552575</xdr:colOff>
      <xdr:row>5133</xdr:row>
      <xdr:rowOff>209550</xdr:rowOff>
    </xdr:to>
    <xdr:pic>
      <xdr:nvPicPr>
        <xdr:cNvPr id="1736" name="Имя " descr="Descr ">
          <a:extLst>
            <a:ext uri="{FF2B5EF4-FFF2-40B4-BE49-F238E27FC236}">
              <a16:creationId xmlns:a16="http://schemas.microsoft.com/office/drawing/2014/main" id="{00000000-0008-0000-0000-0000C8060000}"/>
            </a:ext>
          </a:extLst>
        </xdr:cNvPr>
        <xdr:cNvPicPr>
          <a:picLocks noChangeAspect="1"/>
        </xdr:cNvPicPr>
      </xdr:nvPicPr>
      <xdr:blipFill>
        <a:blip xmlns:r="http://schemas.openxmlformats.org/officeDocument/2006/relationships" r:embed="rId1735"/>
        <a:stretch>
          <a:fillRect/>
        </a:stretch>
      </xdr:blipFill>
      <xdr:spPr>
        <a:prstGeom prst="rect">
          <a:avLst/>
        </a:prstGeom>
        <a:ln w="9525">
          <a:solidFill>
            <a:srgbClr val="000000"/>
          </a:solidFill>
          <a:prstDash val="solid"/>
        </a:ln>
      </xdr:spPr>
    </xdr:pic>
    <xdr:clientData/>
  </xdr:twoCellAnchor>
  <xdr:twoCellAnchor>
    <xdr:from>
      <xdr:col>3</xdr:col>
      <xdr:colOff>114300</xdr:colOff>
      <xdr:row>5134</xdr:row>
      <xdr:rowOff>38100</xdr:rowOff>
    </xdr:from>
    <xdr:to>
      <xdr:col>3</xdr:col>
      <xdr:colOff>1552575</xdr:colOff>
      <xdr:row>5135</xdr:row>
      <xdr:rowOff>638175</xdr:rowOff>
    </xdr:to>
    <xdr:pic>
      <xdr:nvPicPr>
        <xdr:cNvPr id="1737" name="Имя " descr="Descr ">
          <a:extLst>
            <a:ext uri="{FF2B5EF4-FFF2-40B4-BE49-F238E27FC236}">
              <a16:creationId xmlns:a16="http://schemas.microsoft.com/office/drawing/2014/main" id="{00000000-0008-0000-0000-0000C9060000}"/>
            </a:ext>
          </a:extLst>
        </xdr:cNvPr>
        <xdr:cNvPicPr>
          <a:picLocks noChangeAspect="1"/>
        </xdr:cNvPicPr>
      </xdr:nvPicPr>
      <xdr:blipFill>
        <a:blip xmlns:r="http://schemas.openxmlformats.org/officeDocument/2006/relationships" r:embed="rId1736"/>
        <a:stretch>
          <a:fillRect/>
        </a:stretch>
      </xdr:blipFill>
      <xdr:spPr>
        <a:prstGeom prst="rect">
          <a:avLst/>
        </a:prstGeom>
        <a:ln w="9525">
          <a:solidFill>
            <a:srgbClr val="000000"/>
          </a:solidFill>
          <a:prstDash val="solid"/>
        </a:ln>
      </xdr:spPr>
    </xdr:pic>
    <xdr:clientData/>
  </xdr:twoCellAnchor>
  <xdr:twoCellAnchor>
    <xdr:from>
      <xdr:col>3</xdr:col>
      <xdr:colOff>114300</xdr:colOff>
      <xdr:row>5136</xdr:row>
      <xdr:rowOff>28575</xdr:rowOff>
    </xdr:from>
    <xdr:to>
      <xdr:col>3</xdr:col>
      <xdr:colOff>1552575</xdr:colOff>
      <xdr:row>5136</xdr:row>
      <xdr:rowOff>1266825</xdr:rowOff>
    </xdr:to>
    <xdr:pic>
      <xdr:nvPicPr>
        <xdr:cNvPr id="1738" name="Имя " descr="Descr ">
          <a:extLst>
            <a:ext uri="{FF2B5EF4-FFF2-40B4-BE49-F238E27FC236}">
              <a16:creationId xmlns:a16="http://schemas.microsoft.com/office/drawing/2014/main" id="{00000000-0008-0000-0000-0000CA060000}"/>
            </a:ext>
          </a:extLst>
        </xdr:cNvPr>
        <xdr:cNvPicPr>
          <a:picLocks noChangeAspect="1"/>
        </xdr:cNvPicPr>
      </xdr:nvPicPr>
      <xdr:blipFill>
        <a:blip xmlns:r="http://schemas.openxmlformats.org/officeDocument/2006/relationships" r:embed="rId1737"/>
        <a:stretch>
          <a:fillRect/>
        </a:stretch>
      </xdr:blipFill>
      <xdr:spPr>
        <a:prstGeom prst="rect">
          <a:avLst/>
        </a:prstGeom>
        <a:ln w="9525">
          <a:solidFill>
            <a:srgbClr val="000000"/>
          </a:solidFill>
          <a:prstDash val="solid"/>
        </a:ln>
      </xdr:spPr>
    </xdr:pic>
    <xdr:clientData/>
  </xdr:twoCellAnchor>
  <xdr:twoCellAnchor>
    <xdr:from>
      <xdr:col>3</xdr:col>
      <xdr:colOff>114300</xdr:colOff>
      <xdr:row>5137</xdr:row>
      <xdr:rowOff>38100</xdr:rowOff>
    </xdr:from>
    <xdr:to>
      <xdr:col>3</xdr:col>
      <xdr:colOff>1552575</xdr:colOff>
      <xdr:row>5138</xdr:row>
      <xdr:rowOff>638175</xdr:rowOff>
    </xdr:to>
    <xdr:pic>
      <xdr:nvPicPr>
        <xdr:cNvPr id="1739" name="Имя " descr="Descr ">
          <a:extLst>
            <a:ext uri="{FF2B5EF4-FFF2-40B4-BE49-F238E27FC236}">
              <a16:creationId xmlns:a16="http://schemas.microsoft.com/office/drawing/2014/main" id="{00000000-0008-0000-0000-0000CB060000}"/>
            </a:ext>
          </a:extLst>
        </xdr:cNvPr>
        <xdr:cNvPicPr>
          <a:picLocks noChangeAspect="1"/>
        </xdr:cNvPicPr>
      </xdr:nvPicPr>
      <xdr:blipFill>
        <a:blip xmlns:r="http://schemas.openxmlformats.org/officeDocument/2006/relationships" r:embed="rId1738"/>
        <a:stretch>
          <a:fillRect/>
        </a:stretch>
      </xdr:blipFill>
      <xdr:spPr>
        <a:prstGeom prst="rect">
          <a:avLst/>
        </a:prstGeom>
        <a:ln w="9525">
          <a:solidFill>
            <a:srgbClr val="000000"/>
          </a:solidFill>
          <a:prstDash val="solid"/>
        </a:ln>
      </xdr:spPr>
    </xdr:pic>
    <xdr:clientData/>
  </xdr:twoCellAnchor>
  <xdr:twoCellAnchor>
    <xdr:from>
      <xdr:col>3</xdr:col>
      <xdr:colOff>114300</xdr:colOff>
      <xdr:row>5139</xdr:row>
      <xdr:rowOff>28575</xdr:rowOff>
    </xdr:from>
    <xdr:to>
      <xdr:col>3</xdr:col>
      <xdr:colOff>1552575</xdr:colOff>
      <xdr:row>5139</xdr:row>
      <xdr:rowOff>1266825</xdr:rowOff>
    </xdr:to>
    <xdr:pic>
      <xdr:nvPicPr>
        <xdr:cNvPr id="1740" name="Имя " descr="Descr ">
          <a:extLst>
            <a:ext uri="{FF2B5EF4-FFF2-40B4-BE49-F238E27FC236}">
              <a16:creationId xmlns:a16="http://schemas.microsoft.com/office/drawing/2014/main" id="{00000000-0008-0000-0000-0000CC060000}"/>
            </a:ext>
          </a:extLst>
        </xdr:cNvPr>
        <xdr:cNvPicPr>
          <a:picLocks noChangeAspect="1"/>
        </xdr:cNvPicPr>
      </xdr:nvPicPr>
      <xdr:blipFill>
        <a:blip xmlns:r="http://schemas.openxmlformats.org/officeDocument/2006/relationships" r:embed="rId1739"/>
        <a:stretch>
          <a:fillRect/>
        </a:stretch>
      </xdr:blipFill>
      <xdr:spPr>
        <a:prstGeom prst="rect">
          <a:avLst/>
        </a:prstGeom>
        <a:ln w="9525">
          <a:solidFill>
            <a:srgbClr val="000000"/>
          </a:solidFill>
          <a:prstDash val="solid"/>
        </a:ln>
      </xdr:spPr>
    </xdr:pic>
    <xdr:clientData/>
  </xdr:twoCellAnchor>
  <xdr:twoCellAnchor>
    <xdr:from>
      <xdr:col>3</xdr:col>
      <xdr:colOff>114300</xdr:colOff>
      <xdr:row>5140</xdr:row>
      <xdr:rowOff>38100</xdr:rowOff>
    </xdr:from>
    <xdr:to>
      <xdr:col>3</xdr:col>
      <xdr:colOff>1552575</xdr:colOff>
      <xdr:row>5141</xdr:row>
      <xdr:rowOff>638175</xdr:rowOff>
    </xdr:to>
    <xdr:pic>
      <xdr:nvPicPr>
        <xdr:cNvPr id="1741" name="Имя " descr="Descr ">
          <a:extLst>
            <a:ext uri="{FF2B5EF4-FFF2-40B4-BE49-F238E27FC236}">
              <a16:creationId xmlns:a16="http://schemas.microsoft.com/office/drawing/2014/main" id="{00000000-0008-0000-0000-0000CD060000}"/>
            </a:ext>
          </a:extLst>
        </xdr:cNvPr>
        <xdr:cNvPicPr>
          <a:picLocks noChangeAspect="1"/>
        </xdr:cNvPicPr>
      </xdr:nvPicPr>
      <xdr:blipFill>
        <a:blip xmlns:r="http://schemas.openxmlformats.org/officeDocument/2006/relationships" r:embed="rId1740"/>
        <a:stretch>
          <a:fillRect/>
        </a:stretch>
      </xdr:blipFill>
      <xdr:spPr>
        <a:prstGeom prst="rect">
          <a:avLst/>
        </a:prstGeom>
        <a:ln w="9525">
          <a:solidFill>
            <a:srgbClr val="000000"/>
          </a:solidFill>
          <a:prstDash val="solid"/>
        </a:ln>
      </xdr:spPr>
    </xdr:pic>
    <xdr:clientData/>
  </xdr:twoCellAnchor>
  <xdr:twoCellAnchor>
    <xdr:from>
      <xdr:col>3</xdr:col>
      <xdr:colOff>114300</xdr:colOff>
      <xdr:row>5142</xdr:row>
      <xdr:rowOff>28575</xdr:rowOff>
    </xdr:from>
    <xdr:to>
      <xdr:col>3</xdr:col>
      <xdr:colOff>1552575</xdr:colOff>
      <xdr:row>5142</xdr:row>
      <xdr:rowOff>1266825</xdr:rowOff>
    </xdr:to>
    <xdr:pic>
      <xdr:nvPicPr>
        <xdr:cNvPr id="1742" name="Имя " descr="Descr ">
          <a:extLst>
            <a:ext uri="{FF2B5EF4-FFF2-40B4-BE49-F238E27FC236}">
              <a16:creationId xmlns:a16="http://schemas.microsoft.com/office/drawing/2014/main" id="{00000000-0008-0000-0000-0000CE060000}"/>
            </a:ext>
          </a:extLst>
        </xdr:cNvPr>
        <xdr:cNvPicPr>
          <a:picLocks noChangeAspect="1"/>
        </xdr:cNvPicPr>
      </xdr:nvPicPr>
      <xdr:blipFill>
        <a:blip xmlns:r="http://schemas.openxmlformats.org/officeDocument/2006/relationships" r:embed="rId1741"/>
        <a:stretch>
          <a:fillRect/>
        </a:stretch>
      </xdr:blipFill>
      <xdr:spPr>
        <a:prstGeom prst="rect">
          <a:avLst/>
        </a:prstGeom>
        <a:ln w="9525">
          <a:solidFill>
            <a:srgbClr val="000000"/>
          </a:solidFill>
          <a:prstDash val="solid"/>
        </a:ln>
      </xdr:spPr>
    </xdr:pic>
    <xdr:clientData/>
  </xdr:twoCellAnchor>
  <xdr:twoCellAnchor>
    <xdr:from>
      <xdr:col>3</xdr:col>
      <xdr:colOff>114300</xdr:colOff>
      <xdr:row>5143</xdr:row>
      <xdr:rowOff>38100</xdr:rowOff>
    </xdr:from>
    <xdr:to>
      <xdr:col>3</xdr:col>
      <xdr:colOff>1552575</xdr:colOff>
      <xdr:row>5144</xdr:row>
      <xdr:rowOff>638175</xdr:rowOff>
    </xdr:to>
    <xdr:pic>
      <xdr:nvPicPr>
        <xdr:cNvPr id="1743" name="Имя " descr="Descr ">
          <a:extLst>
            <a:ext uri="{FF2B5EF4-FFF2-40B4-BE49-F238E27FC236}">
              <a16:creationId xmlns:a16="http://schemas.microsoft.com/office/drawing/2014/main" id="{00000000-0008-0000-0000-0000CF060000}"/>
            </a:ext>
          </a:extLst>
        </xdr:cNvPr>
        <xdr:cNvPicPr>
          <a:picLocks noChangeAspect="1"/>
        </xdr:cNvPicPr>
      </xdr:nvPicPr>
      <xdr:blipFill>
        <a:blip xmlns:r="http://schemas.openxmlformats.org/officeDocument/2006/relationships" r:embed="rId1742"/>
        <a:stretch>
          <a:fillRect/>
        </a:stretch>
      </xdr:blipFill>
      <xdr:spPr>
        <a:prstGeom prst="rect">
          <a:avLst/>
        </a:prstGeom>
        <a:ln w="9525">
          <a:solidFill>
            <a:srgbClr val="000000"/>
          </a:solidFill>
          <a:prstDash val="solid"/>
        </a:ln>
      </xdr:spPr>
    </xdr:pic>
    <xdr:clientData/>
  </xdr:twoCellAnchor>
  <xdr:twoCellAnchor>
    <xdr:from>
      <xdr:col>3</xdr:col>
      <xdr:colOff>114300</xdr:colOff>
      <xdr:row>5145</xdr:row>
      <xdr:rowOff>38100</xdr:rowOff>
    </xdr:from>
    <xdr:to>
      <xdr:col>3</xdr:col>
      <xdr:colOff>1552575</xdr:colOff>
      <xdr:row>5146</xdr:row>
      <xdr:rowOff>638175</xdr:rowOff>
    </xdr:to>
    <xdr:pic>
      <xdr:nvPicPr>
        <xdr:cNvPr id="1744" name="Имя " descr="Descr ">
          <a:extLst>
            <a:ext uri="{FF2B5EF4-FFF2-40B4-BE49-F238E27FC236}">
              <a16:creationId xmlns:a16="http://schemas.microsoft.com/office/drawing/2014/main" id="{00000000-0008-0000-0000-0000D0060000}"/>
            </a:ext>
          </a:extLst>
        </xdr:cNvPr>
        <xdr:cNvPicPr>
          <a:picLocks noChangeAspect="1"/>
        </xdr:cNvPicPr>
      </xdr:nvPicPr>
      <xdr:blipFill>
        <a:blip xmlns:r="http://schemas.openxmlformats.org/officeDocument/2006/relationships" r:embed="rId1743"/>
        <a:stretch>
          <a:fillRect/>
        </a:stretch>
      </xdr:blipFill>
      <xdr:spPr>
        <a:prstGeom prst="rect">
          <a:avLst/>
        </a:prstGeom>
        <a:ln w="9525">
          <a:solidFill>
            <a:srgbClr val="000000"/>
          </a:solidFill>
          <a:prstDash val="solid"/>
        </a:ln>
      </xdr:spPr>
    </xdr:pic>
    <xdr:clientData/>
  </xdr:twoCellAnchor>
  <xdr:twoCellAnchor>
    <xdr:from>
      <xdr:col>3</xdr:col>
      <xdr:colOff>114300</xdr:colOff>
      <xdr:row>5147</xdr:row>
      <xdr:rowOff>28575</xdr:rowOff>
    </xdr:from>
    <xdr:to>
      <xdr:col>3</xdr:col>
      <xdr:colOff>1552575</xdr:colOff>
      <xdr:row>5149</xdr:row>
      <xdr:rowOff>419100</xdr:rowOff>
    </xdr:to>
    <xdr:pic>
      <xdr:nvPicPr>
        <xdr:cNvPr id="1745" name="Имя " descr="Descr ">
          <a:extLst>
            <a:ext uri="{FF2B5EF4-FFF2-40B4-BE49-F238E27FC236}">
              <a16:creationId xmlns:a16="http://schemas.microsoft.com/office/drawing/2014/main" id="{00000000-0008-0000-0000-0000D1060000}"/>
            </a:ext>
          </a:extLst>
        </xdr:cNvPr>
        <xdr:cNvPicPr>
          <a:picLocks noChangeAspect="1"/>
        </xdr:cNvPicPr>
      </xdr:nvPicPr>
      <xdr:blipFill>
        <a:blip xmlns:r="http://schemas.openxmlformats.org/officeDocument/2006/relationships" r:embed="rId1744"/>
        <a:stretch>
          <a:fillRect/>
        </a:stretch>
      </xdr:blipFill>
      <xdr:spPr>
        <a:prstGeom prst="rect">
          <a:avLst/>
        </a:prstGeom>
        <a:ln w="9525">
          <a:solidFill>
            <a:srgbClr val="000000"/>
          </a:solidFill>
          <a:prstDash val="solid"/>
        </a:ln>
      </xdr:spPr>
    </xdr:pic>
    <xdr:clientData/>
  </xdr:twoCellAnchor>
  <xdr:twoCellAnchor>
    <xdr:from>
      <xdr:col>3</xdr:col>
      <xdr:colOff>114300</xdr:colOff>
      <xdr:row>5150</xdr:row>
      <xdr:rowOff>28575</xdr:rowOff>
    </xdr:from>
    <xdr:to>
      <xdr:col>3</xdr:col>
      <xdr:colOff>1552575</xdr:colOff>
      <xdr:row>5150</xdr:row>
      <xdr:rowOff>1266825</xdr:rowOff>
    </xdr:to>
    <xdr:pic>
      <xdr:nvPicPr>
        <xdr:cNvPr id="1746" name="Имя " descr="Descr ">
          <a:extLst>
            <a:ext uri="{FF2B5EF4-FFF2-40B4-BE49-F238E27FC236}">
              <a16:creationId xmlns:a16="http://schemas.microsoft.com/office/drawing/2014/main" id="{00000000-0008-0000-0000-0000D2060000}"/>
            </a:ext>
          </a:extLst>
        </xdr:cNvPr>
        <xdr:cNvPicPr>
          <a:picLocks noChangeAspect="1"/>
        </xdr:cNvPicPr>
      </xdr:nvPicPr>
      <xdr:blipFill>
        <a:blip xmlns:r="http://schemas.openxmlformats.org/officeDocument/2006/relationships" r:embed="rId1745"/>
        <a:stretch>
          <a:fillRect/>
        </a:stretch>
      </xdr:blipFill>
      <xdr:spPr>
        <a:prstGeom prst="rect">
          <a:avLst/>
        </a:prstGeom>
        <a:ln w="9525">
          <a:solidFill>
            <a:srgbClr val="000000"/>
          </a:solidFill>
          <a:prstDash val="solid"/>
        </a:ln>
      </xdr:spPr>
    </xdr:pic>
    <xdr:clientData/>
  </xdr:twoCellAnchor>
  <xdr:twoCellAnchor>
    <xdr:from>
      <xdr:col>3</xdr:col>
      <xdr:colOff>114300</xdr:colOff>
      <xdr:row>5151</xdr:row>
      <xdr:rowOff>38100</xdr:rowOff>
    </xdr:from>
    <xdr:to>
      <xdr:col>3</xdr:col>
      <xdr:colOff>1552575</xdr:colOff>
      <xdr:row>5152</xdr:row>
      <xdr:rowOff>638175</xdr:rowOff>
    </xdr:to>
    <xdr:pic>
      <xdr:nvPicPr>
        <xdr:cNvPr id="1747" name="Имя " descr="Descr ">
          <a:extLst>
            <a:ext uri="{FF2B5EF4-FFF2-40B4-BE49-F238E27FC236}">
              <a16:creationId xmlns:a16="http://schemas.microsoft.com/office/drawing/2014/main" id="{00000000-0008-0000-0000-0000D3060000}"/>
            </a:ext>
          </a:extLst>
        </xdr:cNvPr>
        <xdr:cNvPicPr>
          <a:picLocks noChangeAspect="1"/>
        </xdr:cNvPicPr>
      </xdr:nvPicPr>
      <xdr:blipFill>
        <a:blip xmlns:r="http://schemas.openxmlformats.org/officeDocument/2006/relationships" r:embed="rId1746"/>
        <a:stretch>
          <a:fillRect/>
        </a:stretch>
      </xdr:blipFill>
      <xdr:spPr>
        <a:prstGeom prst="rect">
          <a:avLst/>
        </a:prstGeom>
        <a:ln w="9525">
          <a:solidFill>
            <a:srgbClr val="000000"/>
          </a:solidFill>
          <a:prstDash val="solid"/>
        </a:ln>
      </xdr:spPr>
    </xdr:pic>
    <xdr:clientData/>
  </xdr:twoCellAnchor>
  <xdr:twoCellAnchor>
    <xdr:from>
      <xdr:col>3</xdr:col>
      <xdr:colOff>114300</xdr:colOff>
      <xdr:row>5153</xdr:row>
      <xdr:rowOff>38100</xdr:rowOff>
    </xdr:from>
    <xdr:to>
      <xdr:col>3</xdr:col>
      <xdr:colOff>1552575</xdr:colOff>
      <xdr:row>5154</xdr:row>
      <xdr:rowOff>638175</xdr:rowOff>
    </xdr:to>
    <xdr:pic>
      <xdr:nvPicPr>
        <xdr:cNvPr id="1748" name="Имя " descr="Descr ">
          <a:extLst>
            <a:ext uri="{FF2B5EF4-FFF2-40B4-BE49-F238E27FC236}">
              <a16:creationId xmlns:a16="http://schemas.microsoft.com/office/drawing/2014/main" id="{00000000-0008-0000-0000-0000D4060000}"/>
            </a:ext>
          </a:extLst>
        </xdr:cNvPr>
        <xdr:cNvPicPr>
          <a:picLocks noChangeAspect="1"/>
        </xdr:cNvPicPr>
      </xdr:nvPicPr>
      <xdr:blipFill>
        <a:blip xmlns:r="http://schemas.openxmlformats.org/officeDocument/2006/relationships" r:embed="rId1747"/>
        <a:stretch>
          <a:fillRect/>
        </a:stretch>
      </xdr:blipFill>
      <xdr:spPr>
        <a:prstGeom prst="rect">
          <a:avLst/>
        </a:prstGeom>
        <a:ln w="9525">
          <a:solidFill>
            <a:srgbClr val="000000"/>
          </a:solidFill>
          <a:prstDash val="solid"/>
        </a:ln>
      </xdr:spPr>
    </xdr:pic>
    <xdr:clientData/>
  </xdr:twoCellAnchor>
  <xdr:twoCellAnchor>
    <xdr:from>
      <xdr:col>3</xdr:col>
      <xdr:colOff>114300</xdr:colOff>
      <xdr:row>5155</xdr:row>
      <xdr:rowOff>28575</xdr:rowOff>
    </xdr:from>
    <xdr:to>
      <xdr:col>3</xdr:col>
      <xdr:colOff>1552575</xdr:colOff>
      <xdr:row>5158</xdr:row>
      <xdr:rowOff>209550</xdr:rowOff>
    </xdr:to>
    <xdr:pic>
      <xdr:nvPicPr>
        <xdr:cNvPr id="1749" name="Имя " descr="Descr ">
          <a:extLst>
            <a:ext uri="{FF2B5EF4-FFF2-40B4-BE49-F238E27FC236}">
              <a16:creationId xmlns:a16="http://schemas.microsoft.com/office/drawing/2014/main" id="{00000000-0008-0000-0000-0000D5060000}"/>
            </a:ext>
          </a:extLst>
        </xdr:cNvPr>
        <xdr:cNvPicPr>
          <a:picLocks noChangeAspect="1"/>
        </xdr:cNvPicPr>
      </xdr:nvPicPr>
      <xdr:blipFill>
        <a:blip xmlns:r="http://schemas.openxmlformats.org/officeDocument/2006/relationships" r:embed="rId1748"/>
        <a:stretch>
          <a:fillRect/>
        </a:stretch>
      </xdr:blipFill>
      <xdr:spPr>
        <a:prstGeom prst="rect">
          <a:avLst/>
        </a:prstGeom>
        <a:ln w="9525">
          <a:solidFill>
            <a:srgbClr val="000000"/>
          </a:solidFill>
          <a:prstDash val="solid"/>
        </a:ln>
      </xdr:spPr>
    </xdr:pic>
    <xdr:clientData/>
  </xdr:twoCellAnchor>
  <xdr:twoCellAnchor>
    <xdr:from>
      <xdr:col>3</xdr:col>
      <xdr:colOff>114300</xdr:colOff>
      <xdr:row>5159</xdr:row>
      <xdr:rowOff>28575</xdr:rowOff>
    </xdr:from>
    <xdr:to>
      <xdr:col>3</xdr:col>
      <xdr:colOff>1552575</xdr:colOff>
      <xdr:row>5161</xdr:row>
      <xdr:rowOff>419100</xdr:rowOff>
    </xdr:to>
    <xdr:pic>
      <xdr:nvPicPr>
        <xdr:cNvPr id="1750" name="Имя " descr="Descr ">
          <a:extLst>
            <a:ext uri="{FF2B5EF4-FFF2-40B4-BE49-F238E27FC236}">
              <a16:creationId xmlns:a16="http://schemas.microsoft.com/office/drawing/2014/main" id="{00000000-0008-0000-0000-0000D6060000}"/>
            </a:ext>
          </a:extLst>
        </xdr:cNvPr>
        <xdr:cNvPicPr>
          <a:picLocks noChangeAspect="1"/>
        </xdr:cNvPicPr>
      </xdr:nvPicPr>
      <xdr:blipFill>
        <a:blip xmlns:r="http://schemas.openxmlformats.org/officeDocument/2006/relationships" r:embed="rId1749"/>
        <a:stretch>
          <a:fillRect/>
        </a:stretch>
      </xdr:blipFill>
      <xdr:spPr>
        <a:prstGeom prst="rect">
          <a:avLst/>
        </a:prstGeom>
        <a:ln w="9525">
          <a:solidFill>
            <a:srgbClr val="000000"/>
          </a:solidFill>
          <a:prstDash val="solid"/>
        </a:ln>
      </xdr:spPr>
    </xdr:pic>
    <xdr:clientData/>
  </xdr:twoCellAnchor>
  <xdr:twoCellAnchor>
    <xdr:from>
      <xdr:col>3</xdr:col>
      <xdr:colOff>114300</xdr:colOff>
      <xdr:row>5162</xdr:row>
      <xdr:rowOff>28575</xdr:rowOff>
    </xdr:from>
    <xdr:to>
      <xdr:col>3</xdr:col>
      <xdr:colOff>1552575</xdr:colOff>
      <xdr:row>5166</xdr:row>
      <xdr:rowOff>333375</xdr:rowOff>
    </xdr:to>
    <xdr:pic>
      <xdr:nvPicPr>
        <xdr:cNvPr id="1751" name="Имя " descr="Descr ">
          <a:extLst>
            <a:ext uri="{FF2B5EF4-FFF2-40B4-BE49-F238E27FC236}">
              <a16:creationId xmlns:a16="http://schemas.microsoft.com/office/drawing/2014/main" id="{00000000-0008-0000-0000-0000D7060000}"/>
            </a:ext>
          </a:extLst>
        </xdr:cNvPr>
        <xdr:cNvPicPr>
          <a:picLocks noChangeAspect="1"/>
        </xdr:cNvPicPr>
      </xdr:nvPicPr>
      <xdr:blipFill>
        <a:blip xmlns:r="http://schemas.openxmlformats.org/officeDocument/2006/relationships" r:embed="rId1750"/>
        <a:stretch>
          <a:fillRect/>
        </a:stretch>
      </xdr:blipFill>
      <xdr:spPr>
        <a:prstGeom prst="rect">
          <a:avLst/>
        </a:prstGeom>
        <a:ln w="9525">
          <a:solidFill>
            <a:srgbClr val="000000"/>
          </a:solidFill>
          <a:prstDash val="solid"/>
        </a:ln>
      </xdr:spPr>
    </xdr:pic>
    <xdr:clientData/>
  </xdr:twoCellAnchor>
  <xdr:twoCellAnchor>
    <xdr:from>
      <xdr:col>3</xdr:col>
      <xdr:colOff>114300</xdr:colOff>
      <xdr:row>5167</xdr:row>
      <xdr:rowOff>28575</xdr:rowOff>
    </xdr:from>
    <xdr:to>
      <xdr:col>3</xdr:col>
      <xdr:colOff>1552575</xdr:colOff>
      <xdr:row>5167</xdr:row>
      <xdr:rowOff>1266825</xdr:rowOff>
    </xdr:to>
    <xdr:pic>
      <xdr:nvPicPr>
        <xdr:cNvPr id="1752" name="Имя " descr="Descr ">
          <a:extLst>
            <a:ext uri="{FF2B5EF4-FFF2-40B4-BE49-F238E27FC236}">
              <a16:creationId xmlns:a16="http://schemas.microsoft.com/office/drawing/2014/main" id="{00000000-0008-0000-0000-0000D8060000}"/>
            </a:ext>
          </a:extLst>
        </xdr:cNvPr>
        <xdr:cNvPicPr>
          <a:picLocks noChangeAspect="1"/>
        </xdr:cNvPicPr>
      </xdr:nvPicPr>
      <xdr:blipFill>
        <a:blip xmlns:r="http://schemas.openxmlformats.org/officeDocument/2006/relationships" r:embed="rId1751"/>
        <a:stretch>
          <a:fillRect/>
        </a:stretch>
      </xdr:blipFill>
      <xdr:spPr>
        <a:prstGeom prst="rect">
          <a:avLst/>
        </a:prstGeom>
        <a:ln w="9525">
          <a:solidFill>
            <a:srgbClr val="000000"/>
          </a:solidFill>
          <a:prstDash val="solid"/>
        </a:ln>
      </xdr:spPr>
    </xdr:pic>
    <xdr:clientData/>
  </xdr:twoCellAnchor>
  <xdr:twoCellAnchor>
    <xdr:from>
      <xdr:col>3</xdr:col>
      <xdr:colOff>114300</xdr:colOff>
      <xdr:row>5168</xdr:row>
      <xdr:rowOff>28575</xdr:rowOff>
    </xdr:from>
    <xdr:to>
      <xdr:col>3</xdr:col>
      <xdr:colOff>1552575</xdr:colOff>
      <xdr:row>5172</xdr:row>
      <xdr:rowOff>333375</xdr:rowOff>
    </xdr:to>
    <xdr:pic>
      <xdr:nvPicPr>
        <xdr:cNvPr id="1753" name="Имя " descr="Descr ">
          <a:extLst>
            <a:ext uri="{FF2B5EF4-FFF2-40B4-BE49-F238E27FC236}">
              <a16:creationId xmlns:a16="http://schemas.microsoft.com/office/drawing/2014/main" id="{00000000-0008-0000-0000-0000D9060000}"/>
            </a:ext>
          </a:extLst>
        </xdr:cNvPr>
        <xdr:cNvPicPr>
          <a:picLocks noChangeAspect="1"/>
        </xdr:cNvPicPr>
      </xdr:nvPicPr>
      <xdr:blipFill>
        <a:blip xmlns:r="http://schemas.openxmlformats.org/officeDocument/2006/relationships" r:embed="rId1752"/>
        <a:stretch>
          <a:fillRect/>
        </a:stretch>
      </xdr:blipFill>
      <xdr:spPr>
        <a:prstGeom prst="rect">
          <a:avLst/>
        </a:prstGeom>
        <a:ln w="9525">
          <a:solidFill>
            <a:srgbClr val="000000"/>
          </a:solidFill>
          <a:prstDash val="solid"/>
        </a:ln>
      </xdr:spPr>
    </xdr:pic>
    <xdr:clientData/>
  </xdr:twoCellAnchor>
  <xdr:twoCellAnchor>
    <xdr:from>
      <xdr:col>3</xdr:col>
      <xdr:colOff>114300</xdr:colOff>
      <xdr:row>5173</xdr:row>
      <xdr:rowOff>28575</xdr:rowOff>
    </xdr:from>
    <xdr:to>
      <xdr:col>3</xdr:col>
      <xdr:colOff>1552575</xdr:colOff>
      <xdr:row>5175</xdr:row>
      <xdr:rowOff>419100</xdr:rowOff>
    </xdr:to>
    <xdr:pic>
      <xdr:nvPicPr>
        <xdr:cNvPr id="1754" name="Имя " descr="Descr ">
          <a:extLst>
            <a:ext uri="{FF2B5EF4-FFF2-40B4-BE49-F238E27FC236}">
              <a16:creationId xmlns:a16="http://schemas.microsoft.com/office/drawing/2014/main" id="{00000000-0008-0000-0000-0000DA060000}"/>
            </a:ext>
          </a:extLst>
        </xdr:cNvPr>
        <xdr:cNvPicPr>
          <a:picLocks noChangeAspect="1"/>
        </xdr:cNvPicPr>
      </xdr:nvPicPr>
      <xdr:blipFill>
        <a:blip xmlns:r="http://schemas.openxmlformats.org/officeDocument/2006/relationships" r:embed="rId1753"/>
        <a:stretch>
          <a:fillRect/>
        </a:stretch>
      </xdr:blipFill>
      <xdr:spPr>
        <a:prstGeom prst="rect">
          <a:avLst/>
        </a:prstGeom>
        <a:ln w="9525">
          <a:solidFill>
            <a:srgbClr val="000000"/>
          </a:solidFill>
          <a:prstDash val="solid"/>
        </a:ln>
      </xdr:spPr>
    </xdr:pic>
    <xdr:clientData/>
  </xdr:twoCellAnchor>
  <xdr:twoCellAnchor>
    <xdr:from>
      <xdr:col>3</xdr:col>
      <xdr:colOff>114300</xdr:colOff>
      <xdr:row>5176</xdr:row>
      <xdr:rowOff>28575</xdr:rowOff>
    </xdr:from>
    <xdr:to>
      <xdr:col>3</xdr:col>
      <xdr:colOff>1552575</xdr:colOff>
      <xdr:row>5176</xdr:row>
      <xdr:rowOff>1266825</xdr:rowOff>
    </xdr:to>
    <xdr:pic>
      <xdr:nvPicPr>
        <xdr:cNvPr id="1755" name="Имя " descr="Descr ">
          <a:extLst>
            <a:ext uri="{FF2B5EF4-FFF2-40B4-BE49-F238E27FC236}">
              <a16:creationId xmlns:a16="http://schemas.microsoft.com/office/drawing/2014/main" id="{00000000-0008-0000-0000-0000DB060000}"/>
            </a:ext>
          </a:extLst>
        </xdr:cNvPr>
        <xdr:cNvPicPr>
          <a:picLocks noChangeAspect="1"/>
        </xdr:cNvPicPr>
      </xdr:nvPicPr>
      <xdr:blipFill>
        <a:blip xmlns:r="http://schemas.openxmlformats.org/officeDocument/2006/relationships" r:embed="rId1754"/>
        <a:stretch>
          <a:fillRect/>
        </a:stretch>
      </xdr:blipFill>
      <xdr:spPr>
        <a:prstGeom prst="rect">
          <a:avLst/>
        </a:prstGeom>
        <a:ln w="9525">
          <a:solidFill>
            <a:srgbClr val="000000"/>
          </a:solidFill>
          <a:prstDash val="solid"/>
        </a:ln>
      </xdr:spPr>
    </xdr:pic>
    <xdr:clientData/>
  </xdr:twoCellAnchor>
  <xdr:twoCellAnchor>
    <xdr:from>
      <xdr:col>3</xdr:col>
      <xdr:colOff>114300</xdr:colOff>
      <xdr:row>5177</xdr:row>
      <xdr:rowOff>28575</xdr:rowOff>
    </xdr:from>
    <xdr:to>
      <xdr:col>3</xdr:col>
      <xdr:colOff>1552575</xdr:colOff>
      <xdr:row>5177</xdr:row>
      <xdr:rowOff>1266825</xdr:rowOff>
    </xdr:to>
    <xdr:pic>
      <xdr:nvPicPr>
        <xdr:cNvPr id="1756" name="Имя " descr="Descr ">
          <a:extLst>
            <a:ext uri="{FF2B5EF4-FFF2-40B4-BE49-F238E27FC236}">
              <a16:creationId xmlns:a16="http://schemas.microsoft.com/office/drawing/2014/main" id="{00000000-0008-0000-0000-0000DC060000}"/>
            </a:ext>
          </a:extLst>
        </xdr:cNvPr>
        <xdr:cNvPicPr>
          <a:picLocks noChangeAspect="1"/>
        </xdr:cNvPicPr>
      </xdr:nvPicPr>
      <xdr:blipFill>
        <a:blip xmlns:r="http://schemas.openxmlformats.org/officeDocument/2006/relationships" r:embed="rId1755"/>
        <a:stretch>
          <a:fillRect/>
        </a:stretch>
      </xdr:blipFill>
      <xdr:spPr>
        <a:prstGeom prst="rect">
          <a:avLst/>
        </a:prstGeom>
        <a:ln w="9525">
          <a:solidFill>
            <a:srgbClr val="000000"/>
          </a:solidFill>
          <a:prstDash val="solid"/>
        </a:ln>
      </xdr:spPr>
    </xdr:pic>
    <xdr:clientData/>
  </xdr:twoCellAnchor>
  <xdr:twoCellAnchor>
    <xdr:from>
      <xdr:col>3</xdr:col>
      <xdr:colOff>114300</xdr:colOff>
      <xdr:row>5178</xdr:row>
      <xdr:rowOff>38100</xdr:rowOff>
    </xdr:from>
    <xdr:to>
      <xdr:col>3</xdr:col>
      <xdr:colOff>1552575</xdr:colOff>
      <xdr:row>5179</xdr:row>
      <xdr:rowOff>638175</xdr:rowOff>
    </xdr:to>
    <xdr:pic>
      <xdr:nvPicPr>
        <xdr:cNvPr id="1757" name="Имя " descr="Descr ">
          <a:extLst>
            <a:ext uri="{FF2B5EF4-FFF2-40B4-BE49-F238E27FC236}">
              <a16:creationId xmlns:a16="http://schemas.microsoft.com/office/drawing/2014/main" id="{00000000-0008-0000-0000-0000DD060000}"/>
            </a:ext>
          </a:extLst>
        </xdr:cNvPr>
        <xdr:cNvPicPr>
          <a:picLocks noChangeAspect="1"/>
        </xdr:cNvPicPr>
      </xdr:nvPicPr>
      <xdr:blipFill>
        <a:blip xmlns:r="http://schemas.openxmlformats.org/officeDocument/2006/relationships" r:embed="rId1756"/>
        <a:stretch>
          <a:fillRect/>
        </a:stretch>
      </xdr:blipFill>
      <xdr:spPr>
        <a:prstGeom prst="rect">
          <a:avLst/>
        </a:prstGeom>
        <a:ln w="9525">
          <a:solidFill>
            <a:srgbClr val="000000"/>
          </a:solidFill>
          <a:prstDash val="solid"/>
        </a:ln>
      </xdr:spPr>
    </xdr:pic>
    <xdr:clientData/>
  </xdr:twoCellAnchor>
  <xdr:twoCellAnchor>
    <xdr:from>
      <xdr:col>3</xdr:col>
      <xdr:colOff>114300</xdr:colOff>
      <xdr:row>5180</xdr:row>
      <xdr:rowOff>38100</xdr:rowOff>
    </xdr:from>
    <xdr:to>
      <xdr:col>3</xdr:col>
      <xdr:colOff>1552575</xdr:colOff>
      <xdr:row>5181</xdr:row>
      <xdr:rowOff>638175</xdr:rowOff>
    </xdr:to>
    <xdr:pic>
      <xdr:nvPicPr>
        <xdr:cNvPr id="1758" name="Имя " descr="Descr ">
          <a:extLst>
            <a:ext uri="{FF2B5EF4-FFF2-40B4-BE49-F238E27FC236}">
              <a16:creationId xmlns:a16="http://schemas.microsoft.com/office/drawing/2014/main" id="{00000000-0008-0000-0000-0000DE060000}"/>
            </a:ext>
          </a:extLst>
        </xdr:cNvPr>
        <xdr:cNvPicPr>
          <a:picLocks noChangeAspect="1"/>
        </xdr:cNvPicPr>
      </xdr:nvPicPr>
      <xdr:blipFill>
        <a:blip xmlns:r="http://schemas.openxmlformats.org/officeDocument/2006/relationships" r:embed="rId1757"/>
        <a:stretch>
          <a:fillRect/>
        </a:stretch>
      </xdr:blipFill>
      <xdr:spPr>
        <a:prstGeom prst="rect">
          <a:avLst/>
        </a:prstGeom>
        <a:ln w="9525">
          <a:solidFill>
            <a:srgbClr val="000000"/>
          </a:solidFill>
          <a:prstDash val="solid"/>
        </a:ln>
      </xdr:spPr>
    </xdr:pic>
    <xdr:clientData/>
  </xdr:twoCellAnchor>
  <xdr:twoCellAnchor>
    <xdr:from>
      <xdr:col>3</xdr:col>
      <xdr:colOff>114300</xdr:colOff>
      <xdr:row>5182</xdr:row>
      <xdr:rowOff>28575</xdr:rowOff>
    </xdr:from>
    <xdr:to>
      <xdr:col>3</xdr:col>
      <xdr:colOff>1552575</xdr:colOff>
      <xdr:row>5185</xdr:row>
      <xdr:rowOff>209550</xdr:rowOff>
    </xdr:to>
    <xdr:pic>
      <xdr:nvPicPr>
        <xdr:cNvPr id="1759" name="Имя " descr="Descr ">
          <a:extLst>
            <a:ext uri="{FF2B5EF4-FFF2-40B4-BE49-F238E27FC236}">
              <a16:creationId xmlns:a16="http://schemas.microsoft.com/office/drawing/2014/main" id="{00000000-0008-0000-0000-0000DF060000}"/>
            </a:ext>
          </a:extLst>
        </xdr:cNvPr>
        <xdr:cNvPicPr>
          <a:picLocks noChangeAspect="1"/>
        </xdr:cNvPicPr>
      </xdr:nvPicPr>
      <xdr:blipFill>
        <a:blip xmlns:r="http://schemas.openxmlformats.org/officeDocument/2006/relationships" r:embed="rId1758"/>
        <a:stretch>
          <a:fillRect/>
        </a:stretch>
      </xdr:blipFill>
      <xdr:spPr>
        <a:prstGeom prst="rect">
          <a:avLst/>
        </a:prstGeom>
        <a:ln w="9525">
          <a:solidFill>
            <a:srgbClr val="000000"/>
          </a:solidFill>
          <a:prstDash val="solid"/>
        </a:ln>
      </xdr:spPr>
    </xdr:pic>
    <xdr:clientData/>
  </xdr:twoCellAnchor>
  <xdr:twoCellAnchor>
    <xdr:from>
      <xdr:col>3</xdr:col>
      <xdr:colOff>114300</xdr:colOff>
      <xdr:row>5186</xdr:row>
      <xdr:rowOff>28575</xdr:rowOff>
    </xdr:from>
    <xdr:to>
      <xdr:col>3</xdr:col>
      <xdr:colOff>1552575</xdr:colOff>
      <xdr:row>5186</xdr:row>
      <xdr:rowOff>1266825</xdr:rowOff>
    </xdr:to>
    <xdr:pic>
      <xdr:nvPicPr>
        <xdr:cNvPr id="1760" name="Имя " descr="Descr ">
          <a:extLst>
            <a:ext uri="{FF2B5EF4-FFF2-40B4-BE49-F238E27FC236}">
              <a16:creationId xmlns:a16="http://schemas.microsoft.com/office/drawing/2014/main" id="{00000000-0008-0000-0000-0000E0060000}"/>
            </a:ext>
          </a:extLst>
        </xdr:cNvPr>
        <xdr:cNvPicPr>
          <a:picLocks noChangeAspect="1"/>
        </xdr:cNvPicPr>
      </xdr:nvPicPr>
      <xdr:blipFill>
        <a:blip xmlns:r="http://schemas.openxmlformats.org/officeDocument/2006/relationships" r:embed="rId1759"/>
        <a:stretch>
          <a:fillRect/>
        </a:stretch>
      </xdr:blipFill>
      <xdr:spPr>
        <a:prstGeom prst="rect">
          <a:avLst/>
        </a:prstGeom>
        <a:ln w="9525">
          <a:solidFill>
            <a:srgbClr val="000000"/>
          </a:solidFill>
          <a:prstDash val="solid"/>
        </a:ln>
      </xdr:spPr>
    </xdr:pic>
    <xdr:clientData/>
  </xdr:twoCellAnchor>
  <xdr:twoCellAnchor>
    <xdr:from>
      <xdr:col>3</xdr:col>
      <xdr:colOff>114300</xdr:colOff>
      <xdr:row>5187</xdr:row>
      <xdr:rowOff>28575</xdr:rowOff>
    </xdr:from>
    <xdr:to>
      <xdr:col>3</xdr:col>
      <xdr:colOff>1552575</xdr:colOff>
      <xdr:row>5187</xdr:row>
      <xdr:rowOff>1266825</xdr:rowOff>
    </xdr:to>
    <xdr:pic>
      <xdr:nvPicPr>
        <xdr:cNvPr id="1761" name="Имя " descr="Descr ">
          <a:extLst>
            <a:ext uri="{FF2B5EF4-FFF2-40B4-BE49-F238E27FC236}">
              <a16:creationId xmlns:a16="http://schemas.microsoft.com/office/drawing/2014/main" id="{00000000-0008-0000-0000-0000E1060000}"/>
            </a:ext>
          </a:extLst>
        </xdr:cNvPr>
        <xdr:cNvPicPr>
          <a:picLocks noChangeAspect="1"/>
        </xdr:cNvPicPr>
      </xdr:nvPicPr>
      <xdr:blipFill>
        <a:blip xmlns:r="http://schemas.openxmlformats.org/officeDocument/2006/relationships" r:embed="rId1760"/>
        <a:stretch>
          <a:fillRect/>
        </a:stretch>
      </xdr:blipFill>
      <xdr:spPr>
        <a:prstGeom prst="rect">
          <a:avLst/>
        </a:prstGeom>
        <a:ln w="9525">
          <a:solidFill>
            <a:srgbClr val="000000"/>
          </a:solidFill>
          <a:prstDash val="solid"/>
        </a:ln>
      </xdr:spPr>
    </xdr:pic>
    <xdr:clientData/>
  </xdr:twoCellAnchor>
  <xdr:twoCellAnchor>
    <xdr:from>
      <xdr:col>3</xdr:col>
      <xdr:colOff>114300</xdr:colOff>
      <xdr:row>5188</xdr:row>
      <xdr:rowOff>28575</xdr:rowOff>
    </xdr:from>
    <xdr:to>
      <xdr:col>3</xdr:col>
      <xdr:colOff>1552575</xdr:colOff>
      <xdr:row>5192</xdr:row>
      <xdr:rowOff>333375</xdr:rowOff>
    </xdr:to>
    <xdr:pic>
      <xdr:nvPicPr>
        <xdr:cNvPr id="1762" name="Имя " descr="Descr ">
          <a:extLst>
            <a:ext uri="{FF2B5EF4-FFF2-40B4-BE49-F238E27FC236}">
              <a16:creationId xmlns:a16="http://schemas.microsoft.com/office/drawing/2014/main" id="{00000000-0008-0000-0000-0000E2060000}"/>
            </a:ext>
          </a:extLst>
        </xdr:cNvPr>
        <xdr:cNvPicPr>
          <a:picLocks noChangeAspect="1"/>
        </xdr:cNvPicPr>
      </xdr:nvPicPr>
      <xdr:blipFill>
        <a:blip xmlns:r="http://schemas.openxmlformats.org/officeDocument/2006/relationships" r:embed="rId1761"/>
        <a:stretch>
          <a:fillRect/>
        </a:stretch>
      </xdr:blipFill>
      <xdr:spPr>
        <a:prstGeom prst="rect">
          <a:avLst/>
        </a:prstGeom>
        <a:ln w="9525">
          <a:solidFill>
            <a:srgbClr val="000000"/>
          </a:solidFill>
          <a:prstDash val="solid"/>
        </a:ln>
      </xdr:spPr>
    </xdr:pic>
    <xdr:clientData/>
  </xdr:twoCellAnchor>
  <xdr:twoCellAnchor>
    <xdr:from>
      <xdr:col>3</xdr:col>
      <xdr:colOff>114300</xdr:colOff>
      <xdr:row>5193</xdr:row>
      <xdr:rowOff>28575</xdr:rowOff>
    </xdr:from>
    <xdr:to>
      <xdr:col>3</xdr:col>
      <xdr:colOff>1552575</xdr:colOff>
      <xdr:row>5197</xdr:row>
      <xdr:rowOff>333375</xdr:rowOff>
    </xdr:to>
    <xdr:pic>
      <xdr:nvPicPr>
        <xdr:cNvPr id="1763" name="Имя " descr="Descr ">
          <a:extLst>
            <a:ext uri="{FF2B5EF4-FFF2-40B4-BE49-F238E27FC236}">
              <a16:creationId xmlns:a16="http://schemas.microsoft.com/office/drawing/2014/main" id="{00000000-0008-0000-0000-0000E3060000}"/>
            </a:ext>
          </a:extLst>
        </xdr:cNvPr>
        <xdr:cNvPicPr>
          <a:picLocks noChangeAspect="1"/>
        </xdr:cNvPicPr>
      </xdr:nvPicPr>
      <xdr:blipFill>
        <a:blip xmlns:r="http://schemas.openxmlformats.org/officeDocument/2006/relationships" r:embed="rId1762"/>
        <a:stretch>
          <a:fillRect/>
        </a:stretch>
      </xdr:blipFill>
      <xdr:spPr>
        <a:prstGeom prst="rect">
          <a:avLst/>
        </a:prstGeom>
        <a:ln w="9525">
          <a:solidFill>
            <a:srgbClr val="000000"/>
          </a:solidFill>
          <a:prstDash val="solid"/>
        </a:ln>
      </xdr:spPr>
    </xdr:pic>
    <xdr:clientData/>
  </xdr:twoCellAnchor>
  <xdr:twoCellAnchor>
    <xdr:from>
      <xdr:col>3</xdr:col>
      <xdr:colOff>114300</xdr:colOff>
      <xdr:row>5198</xdr:row>
      <xdr:rowOff>28575</xdr:rowOff>
    </xdr:from>
    <xdr:to>
      <xdr:col>3</xdr:col>
      <xdr:colOff>1552575</xdr:colOff>
      <xdr:row>5198</xdr:row>
      <xdr:rowOff>1266825</xdr:rowOff>
    </xdr:to>
    <xdr:pic>
      <xdr:nvPicPr>
        <xdr:cNvPr id="1764" name="Имя " descr="Descr ">
          <a:extLst>
            <a:ext uri="{FF2B5EF4-FFF2-40B4-BE49-F238E27FC236}">
              <a16:creationId xmlns:a16="http://schemas.microsoft.com/office/drawing/2014/main" id="{00000000-0008-0000-0000-0000E4060000}"/>
            </a:ext>
          </a:extLst>
        </xdr:cNvPr>
        <xdr:cNvPicPr>
          <a:picLocks noChangeAspect="1"/>
        </xdr:cNvPicPr>
      </xdr:nvPicPr>
      <xdr:blipFill>
        <a:blip xmlns:r="http://schemas.openxmlformats.org/officeDocument/2006/relationships" r:embed="rId1763"/>
        <a:stretch>
          <a:fillRect/>
        </a:stretch>
      </xdr:blipFill>
      <xdr:spPr>
        <a:prstGeom prst="rect">
          <a:avLst/>
        </a:prstGeom>
        <a:ln w="9525">
          <a:solidFill>
            <a:srgbClr val="000000"/>
          </a:solidFill>
          <a:prstDash val="solid"/>
        </a:ln>
      </xdr:spPr>
    </xdr:pic>
    <xdr:clientData/>
  </xdr:twoCellAnchor>
  <xdr:twoCellAnchor>
    <xdr:from>
      <xdr:col>3</xdr:col>
      <xdr:colOff>114300</xdr:colOff>
      <xdr:row>5199</xdr:row>
      <xdr:rowOff>28575</xdr:rowOff>
    </xdr:from>
    <xdr:to>
      <xdr:col>3</xdr:col>
      <xdr:colOff>1552575</xdr:colOff>
      <xdr:row>5199</xdr:row>
      <xdr:rowOff>1266825</xdr:rowOff>
    </xdr:to>
    <xdr:pic>
      <xdr:nvPicPr>
        <xdr:cNvPr id="1765" name="Имя " descr="Descr ">
          <a:extLst>
            <a:ext uri="{FF2B5EF4-FFF2-40B4-BE49-F238E27FC236}">
              <a16:creationId xmlns:a16="http://schemas.microsoft.com/office/drawing/2014/main" id="{00000000-0008-0000-0000-0000E5060000}"/>
            </a:ext>
          </a:extLst>
        </xdr:cNvPr>
        <xdr:cNvPicPr>
          <a:picLocks noChangeAspect="1"/>
        </xdr:cNvPicPr>
      </xdr:nvPicPr>
      <xdr:blipFill>
        <a:blip xmlns:r="http://schemas.openxmlformats.org/officeDocument/2006/relationships" r:embed="rId1764"/>
        <a:stretch>
          <a:fillRect/>
        </a:stretch>
      </xdr:blipFill>
      <xdr:spPr>
        <a:prstGeom prst="rect">
          <a:avLst/>
        </a:prstGeom>
        <a:ln w="9525">
          <a:solidFill>
            <a:srgbClr val="000000"/>
          </a:solidFill>
          <a:prstDash val="solid"/>
        </a:ln>
      </xdr:spPr>
    </xdr:pic>
    <xdr:clientData/>
  </xdr:twoCellAnchor>
  <xdr:twoCellAnchor>
    <xdr:from>
      <xdr:col>3</xdr:col>
      <xdr:colOff>114300</xdr:colOff>
      <xdr:row>5200</xdr:row>
      <xdr:rowOff>28575</xdr:rowOff>
    </xdr:from>
    <xdr:to>
      <xdr:col>3</xdr:col>
      <xdr:colOff>1552575</xdr:colOff>
      <xdr:row>5200</xdr:row>
      <xdr:rowOff>1266825</xdr:rowOff>
    </xdr:to>
    <xdr:pic>
      <xdr:nvPicPr>
        <xdr:cNvPr id="1766" name="Имя " descr="Descr ">
          <a:extLst>
            <a:ext uri="{FF2B5EF4-FFF2-40B4-BE49-F238E27FC236}">
              <a16:creationId xmlns:a16="http://schemas.microsoft.com/office/drawing/2014/main" id="{00000000-0008-0000-0000-0000E6060000}"/>
            </a:ext>
          </a:extLst>
        </xdr:cNvPr>
        <xdr:cNvPicPr>
          <a:picLocks noChangeAspect="1"/>
        </xdr:cNvPicPr>
      </xdr:nvPicPr>
      <xdr:blipFill>
        <a:blip xmlns:r="http://schemas.openxmlformats.org/officeDocument/2006/relationships" r:embed="rId1765"/>
        <a:stretch>
          <a:fillRect/>
        </a:stretch>
      </xdr:blipFill>
      <xdr:spPr>
        <a:prstGeom prst="rect">
          <a:avLst/>
        </a:prstGeom>
        <a:ln w="9525">
          <a:solidFill>
            <a:srgbClr val="000000"/>
          </a:solidFill>
          <a:prstDash val="solid"/>
        </a:ln>
      </xdr:spPr>
    </xdr:pic>
    <xdr:clientData/>
  </xdr:twoCellAnchor>
  <xdr:twoCellAnchor>
    <xdr:from>
      <xdr:col>3</xdr:col>
      <xdr:colOff>114300</xdr:colOff>
      <xdr:row>5201</xdr:row>
      <xdr:rowOff>28575</xdr:rowOff>
    </xdr:from>
    <xdr:to>
      <xdr:col>3</xdr:col>
      <xdr:colOff>1552575</xdr:colOff>
      <xdr:row>5201</xdr:row>
      <xdr:rowOff>1266825</xdr:rowOff>
    </xdr:to>
    <xdr:pic>
      <xdr:nvPicPr>
        <xdr:cNvPr id="1767" name="Имя " descr="Descr ">
          <a:extLst>
            <a:ext uri="{FF2B5EF4-FFF2-40B4-BE49-F238E27FC236}">
              <a16:creationId xmlns:a16="http://schemas.microsoft.com/office/drawing/2014/main" id="{00000000-0008-0000-0000-0000E7060000}"/>
            </a:ext>
          </a:extLst>
        </xdr:cNvPr>
        <xdr:cNvPicPr>
          <a:picLocks noChangeAspect="1"/>
        </xdr:cNvPicPr>
      </xdr:nvPicPr>
      <xdr:blipFill>
        <a:blip xmlns:r="http://schemas.openxmlformats.org/officeDocument/2006/relationships" r:embed="rId1766"/>
        <a:stretch>
          <a:fillRect/>
        </a:stretch>
      </xdr:blipFill>
      <xdr:spPr>
        <a:prstGeom prst="rect">
          <a:avLst/>
        </a:prstGeom>
        <a:ln w="9525">
          <a:solidFill>
            <a:srgbClr val="000000"/>
          </a:solidFill>
          <a:prstDash val="solid"/>
        </a:ln>
      </xdr:spPr>
    </xdr:pic>
    <xdr:clientData/>
  </xdr:twoCellAnchor>
  <xdr:twoCellAnchor>
    <xdr:from>
      <xdr:col>3</xdr:col>
      <xdr:colOff>114300</xdr:colOff>
      <xdr:row>5202</xdr:row>
      <xdr:rowOff>38100</xdr:rowOff>
    </xdr:from>
    <xdr:to>
      <xdr:col>3</xdr:col>
      <xdr:colOff>1552575</xdr:colOff>
      <xdr:row>5203</xdr:row>
      <xdr:rowOff>638175</xdr:rowOff>
    </xdr:to>
    <xdr:pic>
      <xdr:nvPicPr>
        <xdr:cNvPr id="1768" name="Имя " descr="Descr ">
          <a:extLst>
            <a:ext uri="{FF2B5EF4-FFF2-40B4-BE49-F238E27FC236}">
              <a16:creationId xmlns:a16="http://schemas.microsoft.com/office/drawing/2014/main" id="{00000000-0008-0000-0000-0000E8060000}"/>
            </a:ext>
          </a:extLst>
        </xdr:cNvPr>
        <xdr:cNvPicPr>
          <a:picLocks noChangeAspect="1"/>
        </xdr:cNvPicPr>
      </xdr:nvPicPr>
      <xdr:blipFill>
        <a:blip xmlns:r="http://schemas.openxmlformats.org/officeDocument/2006/relationships" r:embed="rId1767"/>
        <a:stretch>
          <a:fillRect/>
        </a:stretch>
      </xdr:blipFill>
      <xdr:spPr>
        <a:prstGeom prst="rect">
          <a:avLst/>
        </a:prstGeom>
        <a:ln w="9525">
          <a:solidFill>
            <a:srgbClr val="000000"/>
          </a:solidFill>
          <a:prstDash val="solid"/>
        </a:ln>
      </xdr:spPr>
    </xdr:pic>
    <xdr:clientData/>
  </xdr:twoCellAnchor>
  <xdr:twoCellAnchor>
    <xdr:from>
      <xdr:col>3</xdr:col>
      <xdr:colOff>114300</xdr:colOff>
      <xdr:row>5204</xdr:row>
      <xdr:rowOff>28575</xdr:rowOff>
    </xdr:from>
    <xdr:to>
      <xdr:col>3</xdr:col>
      <xdr:colOff>1552575</xdr:colOff>
      <xdr:row>5211</xdr:row>
      <xdr:rowOff>152400</xdr:rowOff>
    </xdr:to>
    <xdr:pic>
      <xdr:nvPicPr>
        <xdr:cNvPr id="1769" name="Имя " descr="Descr ">
          <a:extLst>
            <a:ext uri="{FF2B5EF4-FFF2-40B4-BE49-F238E27FC236}">
              <a16:creationId xmlns:a16="http://schemas.microsoft.com/office/drawing/2014/main" id="{00000000-0008-0000-0000-0000E9060000}"/>
            </a:ext>
          </a:extLst>
        </xdr:cNvPr>
        <xdr:cNvPicPr>
          <a:picLocks noChangeAspect="1"/>
        </xdr:cNvPicPr>
      </xdr:nvPicPr>
      <xdr:blipFill>
        <a:blip xmlns:r="http://schemas.openxmlformats.org/officeDocument/2006/relationships" r:embed="rId1768"/>
        <a:stretch>
          <a:fillRect/>
        </a:stretch>
      </xdr:blipFill>
      <xdr:spPr>
        <a:prstGeom prst="rect">
          <a:avLst/>
        </a:prstGeom>
        <a:ln w="9525">
          <a:solidFill>
            <a:srgbClr val="000000"/>
          </a:solidFill>
          <a:prstDash val="solid"/>
        </a:ln>
      </xdr:spPr>
    </xdr:pic>
    <xdr:clientData/>
  </xdr:twoCellAnchor>
  <xdr:twoCellAnchor>
    <xdr:from>
      <xdr:col>3</xdr:col>
      <xdr:colOff>114300</xdr:colOff>
      <xdr:row>5212</xdr:row>
      <xdr:rowOff>28575</xdr:rowOff>
    </xdr:from>
    <xdr:to>
      <xdr:col>3</xdr:col>
      <xdr:colOff>1552575</xdr:colOff>
      <xdr:row>5219</xdr:row>
      <xdr:rowOff>152400</xdr:rowOff>
    </xdr:to>
    <xdr:pic>
      <xdr:nvPicPr>
        <xdr:cNvPr id="1770" name="Имя " descr="Descr ">
          <a:extLst>
            <a:ext uri="{FF2B5EF4-FFF2-40B4-BE49-F238E27FC236}">
              <a16:creationId xmlns:a16="http://schemas.microsoft.com/office/drawing/2014/main" id="{00000000-0008-0000-0000-0000EA060000}"/>
            </a:ext>
          </a:extLst>
        </xdr:cNvPr>
        <xdr:cNvPicPr>
          <a:picLocks noChangeAspect="1"/>
        </xdr:cNvPicPr>
      </xdr:nvPicPr>
      <xdr:blipFill>
        <a:blip xmlns:r="http://schemas.openxmlformats.org/officeDocument/2006/relationships" r:embed="rId1769"/>
        <a:stretch>
          <a:fillRect/>
        </a:stretch>
      </xdr:blipFill>
      <xdr:spPr>
        <a:prstGeom prst="rect">
          <a:avLst/>
        </a:prstGeom>
        <a:ln w="9525">
          <a:solidFill>
            <a:srgbClr val="000000"/>
          </a:solidFill>
          <a:prstDash val="solid"/>
        </a:ln>
      </xdr:spPr>
    </xdr:pic>
    <xdr:clientData/>
  </xdr:twoCellAnchor>
  <xdr:twoCellAnchor>
    <xdr:from>
      <xdr:col>3</xdr:col>
      <xdr:colOff>114300</xdr:colOff>
      <xdr:row>5220</xdr:row>
      <xdr:rowOff>28575</xdr:rowOff>
    </xdr:from>
    <xdr:to>
      <xdr:col>3</xdr:col>
      <xdr:colOff>1552575</xdr:colOff>
      <xdr:row>5226</xdr:row>
      <xdr:rowOff>171450</xdr:rowOff>
    </xdr:to>
    <xdr:pic>
      <xdr:nvPicPr>
        <xdr:cNvPr id="1771" name="Имя " descr="Descr ">
          <a:extLst>
            <a:ext uri="{FF2B5EF4-FFF2-40B4-BE49-F238E27FC236}">
              <a16:creationId xmlns:a16="http://schemas.microsoft.com/office/drawing/2014/main" id="{00000000-0008-0000-0000-0000EB060000}"/>
            </a:ext>
          </a:extLst>
        </xdr:cNvPr>
        <xdr:cNvPicPr>
          <a:picLocks noChangeAspect="1"/>
        </xdr:cNvPicPr>
      </xdr:nvPicPr>
      <xdr:blipFill>
        <a:blip xmlns:r="http://schemas.openxmlformats.org/officeDocument/2006/relationships" r:embed="rId1770"/>
        <a:stretch>
          <a:fillRect/>
        </a:stretch>
      </xdr:blipFill>
      <xdr:spPr>
        <a:prstGeom prst="rect">
          <a:avLst/>
        </a:prstGeom>
        <a:ln w="9525">
          <a:solidFill>
            <a:srgbClr val="000000"/>
          </a:solidFill>
          <a:prstDash val="solid"/>
        </a:ln>
      </xdr:spPr>
    </xdr:pic>
    <xdr:clientData/>
  </xdr:twoCellAnchor>
  <xdr:twoCellAnchor>
    <xdr:from>
      <xdr:col>3</xdr:col>
      <xdr:colOff>114300</xdr:colOff>
      <xdr:row>5227</xdr:row>
      <xdr:rowOff>28575</xdr:rowOff>
    </xdr:from>
    <xdr:to>
      <xdr:col>3</xdr:col>
      <xdr:colOff>1552575</xdr:colOff>
      <xdr:row>5227</xdr:row>
      <xdr:rowOff>1266825</xdr:rowOff>
    </xdr:to>
    <xdr:pic>
      <xdr:nvPicPr>
        <xdr:cNvPr id="1772" name="Имя " descr="Descr ">
          <a:extLst>
            <a:ext uri="{FF2B5EF4-FFF2-40B4-BE49-F238E27FC236}">
              <a16:creationId xmlns:a16="http://schemas.microsoft.com/office/drawing/2014/main" id="{00000000-0008-0000-0000-0000EC060000}"/>
            </a:ext>
          </a:extLst>
        </xdr:cNvPr>
        <xdr:cNvPicPr>
          <a:picLocks noChangeAspect="1"/>
        </xdr:cNvPicPr>
      </xdr:nvPicPr>
      <xdr:blipFill>
        <a:blip xmlns:r="http://schemas.openxmlformats.org/officeDocument/2006/relationships" r:embed="rId1771"/>
        <a:stretch>
          <a:fillRect/>
        </a:stretch>
      </xdr:blipFill>
      <xdr:spPr>
        <a:prstGeom prst="rect">
          <a:avLst/>
        </a:prstGeom>
        <a:ln w="9525">
          <a:solidFill>
            <a:srgbClr val="000000"/>
          </a:solidFill>
          <a:prstDash val="solid"/>
        </a:ln>
      </xdr:spPr>
    </xdr:pic>
    <xdr:clientData/>
  </xdr:twoCellAnchor>
  <xdr:twoCellAnchor>
    <xdr:from>
      <xdr:col>3</xdr:col>
      <xdr:colOff>114300</xdr:colOff>
      <xdr:row>5228</xdr:row>
      <xdr:rowOff>28575</xdr:rowOff>
    </xdr:from>
    <xdr:to>
      <xdr:col>3</xdr:col>
      <xdr:colOff>1552575</xdr:colOff>
      <xdr:row>5232</xdr:row>
      <xdr:rowOff>333375</xdr:rowOff>
    </xdr:to>
    <xdr:pic>
      <xdr:nvPicPr>
        <xdr:cNvPr id="1773" name="Имя " descr="Descr ">
          <a:extLst>
            <a:ext uri="{FF2B5EF4-FFF2-40B4-BE49-F238E27FC236}">
              <a16:creationId xmlns:a16="http://schemas.microsoft.com/office/drawing/2014/main" id="{00000000-0008-0000-0000-0000ED060000}"/>
            </a:ext>
          </a:extLst>
        </xdr:cNvPr>
        <xdr:cNvPicPr>
          <a:picLocks noChangeAspect="1"/>
        </xdr:cNvPicPr>
      </xdr:nvPicPr>
      <xdr:blipFill>
        <a:blip xmlns:r="http://schemas.openxmlformats.org/officeDocument/2006/relationships" r:embed="rId1772"/>
        <a:stretch>
          <a:fillRect/>
        </a:stretch>
      </xdr:blipFill>
      <xdr:spPr>
        <a:prstGeom prst="rect">
          <a:avLst/>
        </a:prstGeom>
        <a:ln w="9525">
          <a:solidFill>
            <a:srgbClr val="000000"/>
          </a:solidFill>
          <a:prstDash val="solid"/>
        </a:ln>
      </xdr:spPr>
    </xdr:pic>
    <xdr:clientData/>
  </xdr:twoCellAnchor>
  <xdr:twoCellAnchor>
    <xdr:from>
      <xdr:col>3</xdr:col>
      <xdr:colOff>114300</xdr:colOff>
      <xdr:row>5233</xdr:row>
      <xdr:rowOff>28575</xdr:rowOff>
    </xdr:from>
    <xdr:to>
      <xdr:col>3</xdr:col>
      <xdr:colOff>1552575</xdr:colOff>
      <xdr:row>5237</xdr:row>
      <xdr:rowOff>333375</xdr:rowOff>
    </xdr:to>
    <xdr:pic>
      <xdr:nvPicPr>
        <xdr:cNvPr id="1774" name="Имя " descr="Descr ">
          <a:extLst>
            <a:ext uri="{FF2B5EF4-FFF2-40B4-BE49-F238E27FC236}">
              <a16:creationId xmlns:a16="http://schemas.microsoft.com/office/drawing/2014/main" id="{00000000-0008-0000-0000-0000EE060000}"/>
            </a:ext>
          </a:extLst>
        </xdr:cNvPr>
        <xdr:cNvPicPr>
          <a:picLocks noChangeAspect="1"/>
        </xdr:cNvPicPr>
      </xdr:nvPicPr>
      <xdr:blipFill>
        <a:blip xmlns:r="http://schemas.openxmlformats.org/officeDocument/2006/relationships" r:embed="rId1773"/>
        <a:stretch>
          <a:fillRect/>
        </a:stretch>
      </xdr:blipFill>
      <xdr:spPr>
        <a:prstGeom prst="rect">
          <a:avLst/>
        </a:prstGeom>
        <a:ln w="9525">
          <a:solidFill>
            <a:srgbClr val="000000"/>
          </a:solidFill>
          <a:prstDash val="solid"/>
        </a:ln>
      </xdr:spPr>
    </xdr:pic>
    <xdr:clientData/>
  </xdr:twoCellAnchor>
  <xdr:twoCellAnchor>
    <xdr:from>
      <xdr:col>3</xdr:col>
      <xdr:colOff>114300</xdr:colOff>
      <xdr:row>5238</xdr:row>
      <xdr:rowOff>28575</xdr:rowOff>
    </xdr:from>
    <xdr:to>
      <xdr:col>3</xdr:col>
      <xdr:colOff>1552575</xdr:colOff>
      <xdr:row>5242</xdr:row>
      <xdr:rowOff>333375</xdr:rowOff>
    </xdr:to>
    <xdr:pic>
      <xdr:nvPicPr>
        <xdr:cNvPr id="1775" name="Имя " descr="Descr ">
          <a:extLst>
            <a:ext uri="{FF2B5EF4-FFF2-40B4-BE49-F238E27FC236}">
              <a16:creationId xmlns:a16="http://schemas.microsoft.com/office/drawing/2014/main" id="{00000000-0008-0000-0000-0000EF060000}"/>
            </a:ext>
          </a:extLst>
        </xdr:cNvPr>
        <xdr:cNvPicPr>
          <a:picLocks noChangeAspect="1"/>
        </xdr:cNvPicPr>
      </xdr:nvPicPr>
      <xdr:blipFill>
        <a:blip xmlns:r="http://schemas.openxmlformats.org/officeDocument/2006/relationships" r:embed="rId1774"/>
        <a:stretch>
          <a:fillRect/>
        </a:stretch>
      </xdr:blipFill>
      <xdr:spPr>
        <a:prstGeom prst="rect">
          <a:avLst/>
        </a:prstGeom>
        <a:ln w="9525">
          <a:solidFill>
            <a:srgbClr val="000000"/>
          </a:solidFill>
          <a:prstDash val="solid"/>
        </a:ln>
      </xdr:spPr>
    </xdr:pic>
    <xdr:clientData/>
  </xdr:twoCellAnchor>
  <xdr:twoCellAnchor>
    <xdr:from>
      <xdr:col>3</xdr:col>
      <xdr:colOff>114300</xdr:colOff>
      <xdr:row>5243</xdr:row>
      <xdr:rowOff>28575</xdr:rowOff>
    </xdr:from>
    <xdr:to>
      <xdr:col>3</xdr:col>
      <xdr:colOff>1552575</xdr:colOff>
      <xdr:row>5247</xdr:row>
      <xdr:rowOff>333375</xdr:rowOff>
    </xdr:to>
    <xdr:pic>
      <xdr:nvPicPr>
        <xdr:cNvPr id="1776" name="Имя " descr="Descr ">
          <a:extLst>
            <a:ext uri="{FF2B5EF4-FFF2-40B4-BE49-F238E27FC236}">
              <a16:creationId xmlns:a16="http://schemas.microsoft.com/office/drawing/2014/main" id="{00000000-0008-0000-0000-0000F0060000}"/>
            </a:ext>
          </a:extLst>
        </xdr:cNvPr>
        <xdr:cNvPicPr>
          <a:picLocks noChangeAspect="1"/>
        </xdr:cNvPicPr>
      </xdr:nvPicPr>
      <xdr:blipFill>
        <a:blip xmlns:r="http://schemas.openxmlformats.org/officeDocument/2006/relationships" r:embed="rId1775"/>
        <a:stretch>
          <a:fillRect/>
        </a:stretch>
      </xdr:blipFill>
      <xdr:spPr>
        <a:prstGeom prst="rect">
          <a:avLst/>
        </a:prstGeom>
        <a:ln w="9525">
          <a:solidFill>
            <a:srgbClr val="000000"/>
          </a:solidFill>
          <a:prstDash val="solid"/>
        </a:ln>
      </xdr:spPr>
    </xdr:pic>
    <xdr:clientData/>
  </xdr:twoCellAnchor>
  <xdr:twoCellAnchor>
    <xdr:from>
      <xdr:col>3</xdr:col>
      <xdr:colOff>114300</xdr:colOff>
      <xdr:row>5248</xdr:row>
      <xdr:rowOff>28575</xdr:rowOff>
    </xdr:from>
    <xdr:to>
      <xdr:col>3</xdr:col>
      <xdr:colOff>1552575</xdr:colOff>
      <xdr:row>5251</xdr:row>
      <xdr:rowOff>209550</xdr:rowOff>
    </xdr:to>
    <xdr:pic>
      <xdr:nvPicPr>
        <xdr:cNvPr id="1777" name="Имя " descr="Descr ">
          <a:extLst>
            <a:ext uri="{FF2B5EF4-FFF2-40B4-BE49-F238E27FC236}">
              <a16:creationId xmlns:a16="http://schemas.microsoft.com/office/drawing/2014/main" id="{00000000-0008-0000-0000-0000F1060000}"/>
            </a:ext>
          </a:extLst>
        </xdr:cNvPr>
        <xdr:cNvPicPr>
          <a:picLocks noChangeAspect="1"/>
        </xdr:cNvPicPr>
      </xdr:nvPicPr>
      <xdr:blipFill>
        <a:blip xmlns:r="http://schemas.openxmlformats.org/officeDocument/2006/relationships" r:embed="rId1776"/>
        <a:stretch>
          <a:fillRect/>
        </a:stretch>
      </xdr:blipFill>
      <xdr:spPr>
        <a:prstGeom prst="rect">
          <a:avLst/>
        </a:prstGeom>
        <a:ln w="9525">
          <a:solidFill>
            <a:srgbClr val="000000"/>
          </a:solidFill>
          <a:prstDash val="solid"/>
        </a:ln>
      </xdr:spPr>
    </xdr:pic>
    <xdr:clientData/>
  </xdr:twoCellAnchor>
  <xdr:twoCellAnchor>
    <xdr:from>
      <xdr:col>3</xdr:col>
      <xdr:colOff>114300</xdr:colOff>
      <xdr:row>5252</xdr:row>
      <xdr:rowOff>28575</xdr:rowOff>
    </xdr:from>
    <xdr:to>
      <xdr:col>3</xdr:col>
      <xdr:colOff>1552575</xdr:colOff>
      <xdr:row>5257</xdr:row>
      <xdr:rowOff>209550</xdr:rowOff>
    </xdr:to>
    <xdr:pic>
      <xdr:nvPicPr>
        <xdr:cNvPr id="1778" name="Имя " descr="Descr ">
          <a:extLst>
            <a:ext uri="{FF2B5EF4-FFF2-40B4-BE49-F238E27FC236}">
              <a16:creationId xmlns:a16="http://schemas.microsoft.com/office/drawing/2014/main" id="{00000000-0008-0000-0000-0000F2060000}"/>
            </a:ext>
          </a:extLst>
        </xdr:cNvPr>
        <xdr:cNvPicPr>
          <a:picLocks noChangeAspect="1"/>
        </xdr:cNvPicPr>
      </xdr:nvPicPr>
      <xdr:blipFill>
        <a:blip xmlns:r="http://schemas.openxmlformats.org/officeDocument/2006/relationships" r:embed="rId1777"/>
        <a:stretch>
          <a:fillRect/>
        </a:stretch>
      </xdr:blipFill>
      <xdr:spPr>
        <a:prstGeom prst="rect">
          <a:avLst/>
        </a:prstGeom>
        <a:ln w="9525">
          <a:solidFill>
            <a:srgbClr val="000000"/>
          </a:solidFill>
          <a:prstDash val="solid"/>
        </a:ln>
      </xdr:spPr>
    </xdr:pic>
    <xdr:clientData/>
  </xdr:twoCellAnchor>
  <xdr:twoCellAnchor>
    <xdr:from>
      <xdr:col>3</xdr:col>
      <xdr:colOff>114300</xdr:colOff>
      <xdr:row>5258</xdr:row>
      <xdr:rowOff>28575</xdr:rowOff>
    </xdr:from>
    <xdr:to>
      <xdr:col>3</xdr:col>
      <xdr:colOff>1552575</xdr:colOff>
      <xdr:row>5260</xdr:row>
      <xdr:rowOff>419100</xdr:rowOff>
    </xdr:to>
    <xdr:pic>
      <xdr:nvPicPr>
        <xdr:cNvPr id="1779" name="Имя " descr="Descr ">
          <a:extLst>
            <a:ext uri="{FF2B5EF4-FFF2-40B4-BE49-F238E27FC236}">
              <a16:creationId xmlns:a16="http://schemas.microsoft.com/office/drawing/2014/main" id="{00000000-0008-0000-0000-0000F3060000}"/>
            </a:ext>
          </a:extLst>
        </xdr:cNvPr>
        <xdr:cNvPicPr>
          <a:picLocks noChangeAspect="1"/>
        </xdr:cNvPicPr>
      </xdr:nvPicPr>
      <xdr:blipFill>
        <a:blip xmlns:r="http://schemas.openxmlformats.org/officeDocument/2006/relationships" r:embed="rId1778"/>
        <a:stretch>
          <a:fillRect/>
        </a:stretch>
      </xdr:blipFill>
      <xdr:spPr>
        <a:prstGeom prst="rect">
          <a:avLst/>
        </a:prstGeom>
        <a:ln w="9525">
          <a:solidFill>
            <a:srgbClr val="000000"/>
          </a:solidFill>
          <a:prstDash val="solid"/>
        </a:ln>
      </xdr:spPr>
    </xdr:pic>
    <xdr:clientData/>
  </xdr:twoCellAnchor>
  <xdr:twoCellAnchor>
    <xdr:from>
      <xdr:col>3</xdr:col>
      <xdr:colOff>114300</xdr:colOff>
      <xdr:row>5261</xdr:row>
      <xdr:rowOff>38100</xdr:rowOff>
    </xdr:from>
    <xdr:to>
      <xdr:col>3</xdr:col>
      <xdr:colOff>1552575</xdr:colOff>
      <xdr:row>5262</xdr:row>
      <xdr:rowOff>638175</xdr:rowOff>
    </xdr:to>
    <xdr:pic>
      <xdr:nvPicPr>
        <xdr:cNvPr id="1780" name="Имя " descr="Descr ">
          <a:extLst>
            <a:ext uri="{FF2B5EF4-FFF2-40B4-BE49-F238E27FC236}">
              <a16:creationId xmlns:a16="http://schemas.microsoft.com/office/drawing/2014/main" id="{00000000-0008-0000-0000-0000F4060000}"/>
            </a:ext>
          </a:extLst>
        </xdr:cNvPr>
        <xdr:cNvPicPr>
          <a:picLocks noChangeAspect="1"/>
        </xdr:cNvPicPr>
      </xdr:nvPicPr>
      <xdr:blipFill>
        <a:blip xmlns:r="http://schemas.openxmlformats.org/officeDocument/2006/relationships" r:embed="rId1779"/>
        <a:stretch>
          <a:fillRect/>
        </a:stretch>
      </xdr:blipFill>
      <xdr:spPr>
        <a:prstGeom prst="rect">
          <a:avLst/>
        </a:prstGeom>
        <a:ln w="9525">
          <a:solidFill>
            <a:srgbClr val="000000"/>
          </a:solidFill>
          <a:prstDash val="solid"/>
        </a:ln>
      </xdr:spPr>
    </xdr:pic>
    <xdr:clientData/>
  </xdr:twoCellAnchor>
  <xdr:twoCellAnchor>
    <xdr:from>
      <xdr:col>3</xdr:col>
      <xdr:colOff>114300</xdr:colOff>
      <xdr:row>5263</xdr:row>
      <xdr:rowOff>28575</xdr:rowOff>
    </xdr:from>
    <xdr:to>
      <xdr:col>3</xdr:col>
      <xdr:colOff>1552575</xdr:colOff>
      <xdr:row>5266</xdr:row>
      <xdr:rowOff>209550</xdr:rowOff>
    </xdr:to>
    <xdr:pic>
      <xdr:nvPicPr>
        <xdr:cNvPr id="1781" name="Имя " descr="Descr ">
          <a:extLst>
            <a:ext uri="{FF2B5EF4-FFF2-40B4-BE49-F238E27FC236}">
              <a16:creationId xmlns:a16="http://schemas.microsoft.com/office/drawing/2014/main" id="{00000000-0008-0000-0000-0000F5060000}"/>
            </a:ext>
          </a:extLst>
        </xdr:cNvPr>
        <xdr:cNvPicPr>
          <a:picLocks noChangeAspect="1"/>
        </xdr:cNvPicPr>
      </xdr:nvPicPr>
      <xdr:blipFill>
        <a:blip xmlns:r="http://schemas.openxmlformats.org/officeDocument/2006/relationships" r:embed="rId1780"/>
        <a:stretch>
          <a:fillRect/>
        </a:stretch>
      </xdr:blipFill>
      <xdr:spPr>
        <a:prstGeom prst="rect">
          <a:avLst/>
        </a:prstGeom>
        <a:ln w="9525">
          <a:solidFill>
            <a:srgbClr val="000000"/>
          </a:solidFill>
          <a:prstDash val="solid"/>
        </a:ln>
      </xdr:spPr>
    </xdr:pic>
    <xdr:clientData/>
  </xdr:twoCellAnchor>
  <xdr:twoCellAnchor>
    <xdr:from>
      <xdr:col>3</xdr:col>
      <xdr:colOff>114300</xdr:colOff>
      <xdr:row>5267</xdr:row>
      <xdr:rowOff>28575</xdr:rowOff>
    </xdr:from>
    <xdr:to>
      <xdr:col>3</xdr:col>
      <xdr:colOff>1552575</xdr:colOff>
      <xdr:row>5271</xdr:row>
      <xdr:rowOff>333375</xdr:rowOff>
    </xdr:to>
    <xdr:pic>
      <xdr:nvPicPr>
        <xdr:cNvPr id="1782" name="Имя " descr="Descr ">
          <a:extLst>
            <a:ext uri="{FF2B5EF4-FFF2-40B4-BE49-F238E27FC236}">
              <a16:creationId xmlns:a16="http://schemas.microsoft.com/office/drawing/2014/main" id="{00000000-0008-0000-0000-0000F6060000}"/>
            </a:ext>
          </a:extLst>
        </xdr:cNvPr>
        <xdr:cNvPicPr>
          <a:picLocks noChangeAspect="1"/>
        </xdr:cNvPicPr>
      </xdr:nvPicPr>
      <xdr:blipFill>
        <a:blip xmlns:r="http://schemas.openxmlformats.org/officeDocument/2006/relationships" r:embed="rId1781"/>
        <a:stretch>
          <a:fillRect/>
        </a:stretch>
      </xdr:blipFill>
      <xdr:spPr>
        <a:prstGeom prst="rect">
          <a:avLst/>
        </a:prstGeom>
        <a:ln w="9525">
          <a:solidFill>
            <a:srgbClr val="000000"/>
          </a:solidFill>
          <a:prstDash val="solid"/>
        </a:ln>
      </xdr:spPr>
    </xdr:pic>
    <xdr:clientData/>
  </xdr:twoCellAnchor>
  <xdr:twoCellAnchor>
    <xdr:from>
      <xdr:col>3</xdr:col>
      <xdr:colOff>114300</xdr:colOff>
      <xdr:row>5272</xdr:row>
      <xdr:rowOff>38100</xdr:rowOff>
    </xdr:from>
    <xdr:to>
      <xdr:col>3</xdr:col>
      <xdr:colOff>1552575</xdr:colOff>
      <xdr:row>5273</xdr:row>
      <xdr:rowOff>638175</xdr:rowOff>
    </xdr:to>
    <xdr:pic>
      <xdr:nvPicPr>
        <xdr:cNvPr id="1783" name="Имя " descr="Descr ">
          <a:extLst>
            <a:ext uri="{FF2B5EF4-FFF2-40B4-BE49-F238E27FC236}">
              <a16:creationId xmlns:a16="http://schemas.microsoft.com/office/drawing/2014/main" id="{00000000-0008-0000-0000-0000F7060000}"/>
            </a:ext>
          </a:extLst>
        </xdr:cNvPr>
        <xdr:cNvPicPr>
          <a:picLocks noChangeAspect="1"/>
        </xdr:cNvPicPr>
      </xdr:nvPicPr>
      <xdr:blipFill>
        <a:blip xmlns:r="http://schemas.openxmlformats.org/officeDocument/2006/relationships" r:embed="rId1782"/>
        <a:stretch>
          <a:fillRect/>
        </a:stretch>
      </xdr:blipFill>
      <xdr:spPr>
        <a:prstGeom prst="rect">
          <a:avLst/>
        </a:prstGeom>
        <a:ln w="9525">
          <a:solidFill>
            <a:srgbClr val="000000"/>
          </a:solidFill>
          <a:prstDash val="solid"/>
        </a:ln>
      </xdr:spPr>
    </xdr:pic>
    <xdr:clientData/>
  </xdr:twoCellAnchor>
  <xdr:twoCellAnchor>
    <xdr:from>
      <xdr:col>3</xdr:col>
      <xdr:colOff>114300</xdr:colOff>
      <xdr:row>5274</xdr:row>
      <xdr:rowOff>28575</xdr:rowOff>
    </xdr:from>
    <xdr:to>
      <xdr:col>3</xdr:col>
      <xdr:colOff>1552575</xdr:colOff>
      <xdr:row>5277</xdr:row>
      <xdr:rowOff>209550</xdr:rowOff>
    </xdr:to>
    <xdr:pic>
      <xdr:nvPicPr>
        <xdr:cNvPr id="1784" name="Имя " descr="Descr ">
          <a:extLst>
            <a:ext uri="{FF2B5EF4-FFF2-40B4-BE49-F238E27FC236}">
              <a16:creationId xmlns:a16="http://schemas.microsoft.com/office/drawing/2014/main" id="{00000000-0008-0000-0000-0000F8060000}"/>
            </a:ext>
          </a:extLst>
        </xdr:cNvPr>
        <xdr:cNvPicPr>
          <a:picLocks noChangeAspect="1"/>
        </xdr:cNvPicPr>
      </xdr:nvPicPr>
      <xdr:blipFill>
        <a:blip xmlns:r="http://schemas.openxmlformats.org/officeDocument/2006/relationships" r:embed="rId1783"/>
        <a:stretch>
          <a:fillRect/>
        </a:stretch>
      </xdr:blipFill>
      <xdr:spPr>
        <a:prstGeom prst="rect">
          <a:avLst/>
        </a:prstGeom>
        <a:ln w="9525">
          <a:solidFill>
            <a:srgbClr val="000000"/>
          </a:solidFill>
          <a:prstDash val="solid"/>
        </a:ln>
      </xdr:spPr>
    </xdr:pic>
    <xdr:clientData/>
  </xdr:twoCellAnchor>
  <xdr:twoCellAnchor>
    <xdr:from>
      <xdr:col>3</xdr:col>
      <xdr:colOff>114300</xdr:colOff>
      <xdr:row>5278</xdr:row>
      <xdr:rowOff>28575</xdr:rowOff>
    </xdr:from>
    <xdr:to>
      <xdr:col>3</xdr:col>
      <xdr:colOff>1552575</xdr:colOff>
      <xdr:row>5281</xdr:row>
      <xdr:rowOff>209550</xdr:rowOff>
    </xdr:to>
    <xdr:pic>
      <xdr:nvPicPr>
        <xdr:cNvPr id="1785" name="Имя " descr="Descr ">
          <a:extLst>
            <a:ext uri="{FF2B5EF4-FFF2-40B4-BE49-F238E27FC236}">
              <a16:creationId xmlns:a16="http://schemas.microsoft.com/office/drawing/2014/main" id="{00000000-0008-0000-0000-0000F9060000}"/>
            </a:ext>
          </a:extLst>
        </xdr:cNvPr>
        <xdr:cNvPicPr>
          <a:picLocks noChangeAspect="1"/>
        </xdr:cNvPicPr>
      </xdr:nvPicPr>
      <xdr:blipFill>
        <a:blip xmlns:r="http://schemas.openxmlformats.org/officeDocument/2006/relationships" r:embed="rId1784"/>
        <a:stretch>
          <a:fillRect/>
        </a:stretch>
      </xdr:blipFill>
      <xdr:spPr>
        <a:prstGeom prst="rect">
          <a:avLst/>
        </a:prstGeom>
        <a:ln w="9525">
          <a:solidFill>
            <a:srgbClr val="000000"/>
          </a:solidFill>
          <a:prstDash val="solid"/>
        </a:ln>
      </xdr:spPr>
    </xdr:pic>
    <xdr:clientData/>
  </xdr:twoCellAnchor>
  <xdr:twoCellAnchor>
    <xdr:from>
      <xdr:col>3</xdr:col>
      <xdr:colOff>114300</xdr:colOff>
      <xdr:row>5282</xdr:row>
      <xdr:rowOff>38100</xdr:rowOff>
    </xdr:from>
    <xdr:to>
      <xdr:col>3</xdr:col>
      <xdr:colOff>1552575</xdr:colOff>
      <xdr:row>5283</xdr:row>
      <xdr:rowOff>638175</xdr:rowOff>
    </xdr:to>
    <xdr:pic>
      <xdr:nvPicPr>
        <xdr:cNvPr id="1786" name="Имя " descr="Descr ">
          <a:extLst>
            <a:ext uri="{FF2B5EF4-FFF2-40B4-BE49-F238E27FC236}">
              <a16:creationId xmlns:a16="http://schemas.microsoft.com/office/drawing/2014/main" id="{00000000-0008-0000-0000-0000FA060000}"/>
            </a:ext>
          </a:extLst>
        </xdr:cNvPr>
        <xdr:cNvPicPr>
          <a:picLocks noChangeAspect="1"/>
        </xdr:cNvPicPr>
      </xdr:nvPicPr>
      <xdr:blipFill>
        <a:blip xmlns:r="http://schemas.openxmlformats.org/officeDocument/2006/relationships" r:embed="rId1785"/>
        <a:stretch>
          <a:fillRect/>
        </a:stretch>
      </xdr:blipFill>
      <xdr:spPr>
        <a:prstGeom prst="rect">
          <a:avLst/>
        </a:prstGeom>
        <a:ln w="9525">
          <a:solidFill>
            <a:srgbClr val="000000"/>
          </a:solidFill>
          <a:prstDash val="solid"/>
        </a:ln>
      </xdr:spPr>
    </xdr:pic>
    <xdr:clientData/>
  </xdr:twoCellAnchor>
  <xdr:twoCellAnchor>
    <xdr:from>
      <xdr:col>3</xdr:col>
      <xdr:colOff>114300</xdr:colOff>
      <xdr:row>5284</xdr:row>
      <xdr:rowOff>38100</xdr:rowOff>
    </xdr:from>
    <xdr:to>
      <xdr:col>3</xdr:col>
      <xdr:colOff>1552575</xdr:colOff>
      <xdr:row>5285</xdr:row>
      <xdr:rowOff>638175</xdr:rowOff>
    </xdr:to>
    <xdr:pic>
      <xdr:nvPicPr>
        <xdr:cNvPr id="1787" name="Имя " descr="Descr ">
          <a:extLst>
            <a:ext uri="{FF2B5EF4-FFF2-40B4-BE49-F238E27FC236}">
              <a16:creationId xmlns:a16="http://schemas.microsoft.com/office/drawing/2014/main" id="{00000000-0008-0000-0000-0000FB060000}"/>
            </a:ext>
          </a:extLst>
        </xdr:cNvPr>
        <xdr:cNvPicPr>
          <a:picLocks noChangeAspect="1"/>
        </xdr:cNvPicPr>
      </xdr:nvPicPr>
      <xdr:blipFill>
        <a:blip xmlns:r="http://schemas.openxmlformats.org/officeDocument/2006/relationships" r:embed="rId1786"/>
        <a:stretch>
          <a:fillRect/>
        </a:stretch>
      </xdr:blipFill>
      <xdr:spPr>
        <a:prstGeom prst="rect">
          <a:avLst/>
        </a:prstGeom>
        <a:ln w="9525">
          <a:solidFill>
            <a:srgbClr val="000000"/>
          </a:solidFill>
          <a:prstDash val="solid"/>
        </a:ln>
      </xdr:spPr>
    </xdr:pic>
    <xdr:clientData/>
  </xdr:twoCellAnchor>
  <xdr:twoCellAnchor>
    <xdr:from>
      <xdr:col>3</xdr:col>
      <xdr:colOff>114300</xdr:colOff>
      <xdr:row>5286</xdr:row>
      <xdr:rowOff>28575</xdr:rowOff>
    </xdr:from>
    <xdr:to>
      <xdr:col>3</xdr:col>
      <xdr:colOff>1552575</xdr:colOff>
      <xdr:row>5286</xdr:row>
      <xdr:rowOff>1266825</xdr:rowOff>
    </xdr:to>
    <xdr:pic>
      <xdr:nvPicPr>
        <xdr:cNvPr id="1788" name="Имя " descr="Descr ">
          <a:extLst>
            <a:ext uri="{FF2B5EF4-FFF2-40B4-BE49-F238E27FC236}">
              <a16:creationId xmlns:a16="http://schemas.microsoft.com/office/drawing/2014/main" id="{00000000-0008-0000-0000-0000FC060000}"/>
            </a:ext>
          </a:extLst>
        </xdr:cNvPr>
        <xdr:cNvPicPr>
          <a:picLocks noChangeAspect="1"/>
        </xdr:cNvPicPr>
      </xdr:nvPicPr>
      <xdr:blipFill>
        <a:blip xmlns:r="http://schemas.openxmlformats.org/officeDocument/2006/relationships" r:embed="rId1787"/>
        <a:stretch>
          <a:fillRect/>
        </a:stretch>
      </xdr:blipFill>
      <xdr:spPr>
        <a:prstGeom prst="rect">
          <a:avLst/>
        </a:prstGeom>
        <a:ln w="9525">
          <a:solidFill>
            <a:srgbClr val="000000"/>
          </a:solidFill>
          <a:prstDash val="solid"/>
        </a:ln>
      </xdr:spPr>
    </xdr:pic>
    <xdr:clientData/>
  </xdr:twoCellAnchor>
  <xdr:twoCellAnchor>
    <xdr:from>
      <xdr:col>3</xdr:col>
      <xdr:colOff>114300</xdr:colOff>
      <xdr:row>5287</xdr:row>
      <xdr:rowOff>28575</xdr:rowOff>
    </xdr:from>
    <xdr:to>
      <xdr:col>3</xdr:col>
      <xdr:colOff>1552575</xdr:colOff>
      <xdr:row>5290</xdr:row>
      <xdr:rowOff>209550</xdr:rowOff>
    </xdr:to>
    <xdr:pic>
      <xdr:nvPicPr>
        <xdr:cNvPr id="1789" name="Имя " descr="Descr ">
          <a:extLst>
            <a:ext uri="{FF2B5EF4-FFF2-40B4-BE49-F238E27FC236}">
              <a16:creationId xmlns:a16="http://schemas.microsoft.com/office/drawing/2014/main" id="{00000000-0008-0000-0000-0000FD060000}"/>
            </a:ext>
          </a:extLst>
        </xdr:cNvPr>
        <xdr:cNvPicPr>
          <a:picLocks noChangeAspect="1"/>
        </xdr:cNvPicPr>
      </xdr:nvPicPr>
      <xdr:blipFill>
        <a:blip xmlns:r="http://schemas.openxmlformats.org/officeDocument/2006/relationships" r:embed="rId1788"/>
        <a:stretch>
          <a:fillRect/>
        </a:stretch>
      </xdr:blipFill>
      <xdr:spPr>
        <a:prstGeom prst="rect">
          <a:avLst/>
        </a:prstGeom>
        <a:ln w="9525">
          <a:solidFill>
            <a:srgbClr val="000000"/>
          </a:solidFill>
          <a:prstDash val="solid"/>
        </a:ln>
      </xdr:spPr>
    </xdr:pic>
    <xdr:clientData/>
  </xdr:twoCellAnchor>
  <xdr:twoCellAnchor>
    <xdr:from>
      <xdr:col>3</xdr:col>
      <xdr:colOff>114300</xdr:colOff>
      <xdr:row>5291</xdr:row>
      <xdr:rowOff>38100</xdr:rowOff>
    </xdr:from>
    <xdr:to>
      <xdr:col>3</xdr:col>
      <xdr:colOff>1552575</xdr:colOff>
      <xdr:row>5292</xdr:row>
      <xdr:rowOff>638175</xdr:rowOff>
    </xdr:to>
    <xdr:pic>
      <xdr:nvPicPr>
        <xdr:cNvPr id="1790" name="Имя " descr="Descr ">
          <a:extLst>
            <a:ext uri="{FF2B5EF4-FFF2-40B4-BE49-F238E27FC236}">
              <a16:creationId xmlns:a16="http://schemas.microsoft.com/office/drawing/2014/main" id="{00000000-0008-0000-0000-0000FE060000}"/>
            </a:ext>
          </a:extLst>
        </xdr:cNvPr>
        <xdr:cNvPicPr>
          <a:picLocks noChangeAspect="1"/>
        </xdr:cNvPicPr>
      </xdr:nvPicPr>
      <xdr:blipFill>
        <a:blip xmlns:r="http://schemas.openxmlformats.org/officeDocument/2006/relationships" r:embed="rId1789"/>
        <a:stretch>
          <a:fillRect/>
        </a:stretch>
      </xdr:blipFill>
      <xdr:spPr>
        <a:prstGeom prst="rect">
          <a:avLst/>
        </a:prstGeom>
        <a:ln w="9525">
          <a:solidFill>
            <a:srgbClr val="000000"/>
          </a:solidFill>
          <a:prstDash val="solid"/>
        </a:ln>
      </xdr:spPr>
    </xdr:pic>
    <xdr:clientData/>
  </xdr:twoCellAnchor>
  <xdr:twoCellAnchor>
    <xdr:from>
      <xdr:col>3</xdr:col>
      <xdr:colOff>114300</xdr:colOff>
      <xdr:row>5293</xdr:row>
      <xdr:rowOff>28575</xdr:rowOff>
    </xdr:from>
    <xdr:to>
      <xdr:col>3</xdr:col>
      <xdr:colOff>1552575</xdr:colOff>
      <xdr:row>5296</xdr:row>
      <xdr:rowOff>209550</xdr:rowOff>
    </xdr:to>
    <xdr:pic>
      <xdr:nvPicPr>
        <xdr:cNvPr id="1791" name="Имя " descr="Descr ">
          <a:extLst>
            <a:ext uri="{FF2B5EF4-FFF2-40B4-BE49-F238E27FC236}">
              <a16:creationId xmlns:a16="http://schemas.microsoft.com/office/drawing/2014/main" id="{00000000-0008-0000-0000-0000FF060000}"/>
            </a:ext>
          </a:extLst>
        </xdr:cNvPr>
        <xdr:cNvPicPr>
          <a:picLocks noChangeAspect="1"/>
        </xdr:cNvPicPr>
      </xdr:nvPicPr>
      <xdr:blipFill>
        <a:blip xmlns:r="http://schemas.openxmlformats.org/officeDocument/2006/relationships" r:embed="rId1790"/>
        <a:stretch>
          <a:fillRect/>
        </a:stretch>
      </xdr:blipFill>
      <xdr:spPr>
        <a:prstGeom prst="rect">
          <a:avLst/>
        </a:prstGeom>
        <a:ln w="9525">
          <a:solidFill>
            <a:srgbClr val="000000"/>
          </a:solidFill>
          <a:prstDash val="solid"/>
        </a:ln>
      </xdr:spPr>
    </xdr:pic>
    <xdr:clientData/>
  </xdr:twoCellAnchor>
  <xdr:twoCellAnchor>
    <xdr:from>
      <xdr:col>3</xdr:col>
      <xdr:colOff>114300</xdr:colOff>
      <xdr:row>5297</xdr:row>
      <xdr:rowOff>38100</xdr:rowOff>
    </xdr:from>
    <xdr:to>
      <xdr:col>3</xdr:col>
      <xdr:colOff>1552575</xdr:colOff>
      <xdr:row>5298</xdr:row>
      <xdr:rowOff>638175</xdr:rowOff>
    </xdr:to>
    <xdr:pic>
      <xdr:nvPicPr>
        <xdr:cNvPr id="1792" name="Имя " descr="Descr ">
          <a:extLst>
            <a:ext uri="{FF2B5EF4-FFF2-40B4-BE49-F238E27FC236}">
              <a16:creationId xmlns:a16="http://schemas.microsoft.com/office/drawing/2014/main" id="{00000000-0008-0000-0000-000000070000}"/>
            </a:ext>
          </a:extLst>
        </xdr:cNvPr>
        <xdr:cNvPicPr>
          <a:picLocks noChangeAspect="1"/>
        </xdr:cNvPicPr>
      </xdr:nvPicPr>
      <xdr:blipFill>
        <a:blip xmlns:r="http://schemas.openxmlformats.org/officeDocument/2006/relationships" r:embed="rId1791"/>
        <a:stretch>
          <a:fillRect/>
        </a:stretch>
      </xdr:blipFill>
      <xdr:spPr>
        <a:prstGeom prst="rect">
          <a:avLst/>
        </a:prstGeom>
        <a:ln w="9525">
          <a:solidFill>
            <a:srgbClr val="000000"/>
          </a:solidFill>
          <a:prstDash val="solid"/>
        </a:ln>
      </xdr:spPr>
    </xdr:pic>
    <xdr:clientData/>
  </xdr:twoCellAnchor>
  <xdr:twoCellAnchor>
    <xdr:from>
      <xdr:col>3</xdr:col>
      <xdr:colOff>114300</xdr:colOff>
      <xdr:row>5299</xdr:row>
      <xdr:rowOff>28575</xdr:rowOff>
    </xdr:from>
    <xdr:to>
      <xdr:col>3</xdr:col>
      <xdr:colOff>1552575</xdr:colOff>
      <xdr:row>5301</xdr:row>
      <xdr:rowOff>419100</xdr:rowOff>
    </xdr:to>
    <xdr:pic>
      <xdr:nvPicPr>
        <xdr:cNvPr id="1793" name="Имя " descr="Descr ">
          <a:extLst>
            <a:ext uri="{FF2B5EF4-FFF2-40B4-BE49-F238E27FC236}">
              <a16:creationId xmlns:a16="http://schemas.microsoft.com/office/drawing/2014/main" id="{00000000-0008-0000-0000-000001070000}"/>
            </a:ext>
          </a:extLst>
        </xdr:cNvPr>
        <xdr:cNvPicPr>
          <a:picLocks noChangeAspect="1"/>
        </xdr:cNvPicPr>
      </xdr:nvPicPr>
      <xdr:blipFill>
        <a:blip xmlns:r="http://schemas.openxmlformats.org/officeDocument/2006/relationships" r:embed="rId1792"/>
        <a:stretch>
          <a:fillRect/>
        </a:stretch>
      </xdr:blipFill>
      <xdr:spPr>
        <a:prstGeom prst="rect">
          <a:avLst/>
        </a:prstGeom>
        <a:ln w="9525">
          <a:solidFill>
            <a:srgbClr val="000000"/>
          </a:solidFill>
          <a:prstDash val="solid"/>
        </a:ln>
      </xdr:spPr>
    </xdr:pic>
    <xdr:clientData/>
  </xdr:twoCellAnchor>
  <xdr:twoCellAnchor>
    <xdr:from>
      <xdr:col>3</xdr:col>
      <xdr:colOff>114300</xdr:colOff>
      <xdr:row>5302</xdr:row>
      <xdr:rowOff>28575</xdr:rowOff>
    </xdr:from>
    <xdr:to>
      <xdr:col>3</xdr:col>
      <xdr:colOff>1552575</xdr:colOff>
      <xdr:row>5304</xdr:row>
      <xdr:rowOff>419100</xdr:rowOff>
    </xdr:to>
    <xdr:pic>
      <xdr:nvPicPr>
        <xdr:cNvPr id="1794" name="Имя " descr="Descr ">
          <a:extLst>
            <a:ext uri="{FF2B5EF4-FFF2-40B4-BE49-F238E27FC236}">
              <a16:creationId xmlns:a16="http://schemas.microsoft.com/office/drawing/2014/main" id="{00000000-0008-0000-0000-000002070000}"/>
            </a:ext>
          </a:extLst>
        </xdr:cNvPr>
        <xdr:cNvPicPr>
          <a:picLocks noChangeAspect="1"/>
        </xdr:cNvPicPr>
      </xdr:nvPicPr>
      <xdr:blipFill>
        <a:blip xmlns:r="http://schemas.openxmlformats.org/officeDocument/2006/relationships" r:embed="rId1793"/>
        <a:stretch>
          <a:fillRect/>
        </a:stretch>
      </xdr:blipFill>
      <xdr:spPr>
        <a:prstGeom prst="rect">
          <a:avLst/>
        </a:prstGeom>
        <a:ln w="9525">
          <a:solidFill>
            <a:srgbClr val="000000"/>
          </a:solidFill>
          <a:prstDash val="solid"/>
        </a:ln>
      </xdr:spPr>
    </xdr:pic>
    <xdr:clientData/>
  </xdr:twoCellAnchor>
  <xdr:twoCellAnchor>
    <xdr:from>
      <xdr:col>3</xdr:col>
      <xdr:colOff>114300</xdr:colOff>
      <xdr:row>5305</xdr:row>
      <xdr:rowOff>28575</xdr:rowOff>
    </xdr:from>
    <xdr:to>
      <xdr:col>3</xdr:col>
      <xdr:colOff>1552575</xdr:colOff>
      <xdr:row>5305</xdr:row>
      <xdr:rowOff>1266825</xdr:rowOff>
    </xdr:to>
    <xdr:pic>
      <xdr:nvPicPr>
        <xdr:cNvPr id="1795" name="Имя " descr="Descr ">
          <a:extLst>
            <a:ext uri="{FF2B5EF4-FFF2-40B4-BE49-F238E27FC236}">
              <a16:creationId xmlns:a16="http://schemas.microsoft.com/office/drawing/2014/main" id="{00000000-0008-0000-0000-000003070000}"/>
            </a:ext>
          </a:extLst>
        </xdr:cNvPr>
        <xdr:cNvPicPr>
          <a:picLocks noChangeAspect="1"/>
        </xdr:cNvPicPr>
      </xdr:nvPicPr>
      <xdr:blipFill>
        <a:blip xmlns:r="http://schemas.openxmlformats.org/officeDocument/2006/relationships" r:embed="rId1794"/>
        <a:stretch>
          <a:fillRect/>
        </a:stretch>
      </xdr:blipFill>
      <xdr:spPr>
        <a:prstGeom prst="rect">
          <a:avLst/>
        </a:prstGeom>
        <a:ln w="9525">
          <a:solidFill>
            <a:srgbClr val="000000"/>
          </a:solidFill>
          <a:prstDash val="solid"/>
        </a:ln>
      </xdr:spPr>
    </xdr:pic>
    <xdr:clientData/>
  </xdr:twoCellAnchor>
  <xdr:twoCellAnchor>
    <xdr:from>
      <xdr:col>3</xdr:col>
      <xdr:colOff>114300</xdr:colOff>
      <xdr:row>5306</xdr:row>
      <xdr:rowOff>28575</xdr:rowOff>
    </xdr:from>
    <xdr:to>
      <xdr:col>3</xdr:col>
      <xdr:colOff>1552575</xdr:colOff>
      <xdr:row>5306</xdr:row>
      <xdr:rowOff>1266825</xdr:rowOff>
    </xdr:to>
    <xdr:pic>
      <xdr:nvPicPr>
        <xdr:cNvPr id="1796" name="Имя " descr="Descr ">
          <a:extLst>
            <a:ext uri="{FF2B5EF4-FFF2-40B4-BE49-F238E27FC236}">
              <a16:creationId xmlns:a16="http://schemas.microsoft.com/office/drawing/2014/main" id="{00000000-0008-0000-0000-000004070000}"/>
            </a:ext>
          </a:extLst>
        </xdr:cNvPr>
        <xdr:cNvPicPr>
          <a:picLocks noChangeAspect="1"/>
        </xdr:cNvPicPr>
      </xdr:nvPicPr>
      <xdr:blipFill>
        <a:blip xmlns:r="http://schemas.openxmlformats.org/officeDocument/2006/relationships" r:embed="rId1795"/>
        <a:stretch>
          <a:fillRect/>
        </a:stretch>
      </xdr:blipFill>
      <xdr:spPr>
        <a:prstGeom prst="rect">
          <a:avLst/>
        </a:prstGeom>
        <a:ln w="9525">
          <a:solidFill>
            <a:srgbClr val="000000"/>
          </a:solidFill>
          <a:prstDash val="solid"/>
        </a:ln>
      </xdr:spPr>
    </xdr:pic>
    <xdr:clientData/>
  </xdr:twoCellAnchor>
  <xdr:twoCellAnchor>
    <xdr:from>
      <xdr:col>3</xdr:col>
      <xdr:colOff>114300</xdr:colOff>
      <xdr:row>5307</xdr:row>
      <xdr:rowOff>38100</xdr:rowOff>
    </xdr:from>
    <xdr:to>
      <xdr:col>3</xdr:col>
      <xdr:colOff>1552575</xdr:colOff>
      <xdr:row>5308</xdr:row>
      <xdr:rowOff>638175</xdr:rowOff>
    </xdr:to>
    <xdr:pic>
      <xdr:nvPicPr>
        <xdr:cNvPr id="1797" name="Имя " descr="Descr ">
          <a:extLst>
            <a:ext uri="{FF2B5EF4-FFF2-40B4-BE49-F238E27FC236}">
              <a16:creationId xmlns:a16="http://schemas.microsoft.com/office/drawing/2014/main" id="{00000000-0008-0000-0000-000005070000}"/>
            </a:ext>
          </a:extLst>
        </xdr:cNvPr>
        <xdr:cNvPicPr>
          <a:picLocks noChangeAspect="1"/>
        </xdr:cNvPicPr>
      </xdr:nvPicPr>
      <xdr:blipFill>
        <a:blip xmlns:r="http://schemas.openxmlformats.org/officeDocument/2006/relationships" r:embed="rId1796"/>
        <a:stretch>
          <a:fillRect/>
        </a:stretch>
      </xdr:blipFill>
      <xdr:spPr>
        <a:prstGeom prst="rect">
          <a:avLst/>
        </a:prstGeom>
        <a:ln w="9525">
          <a:solidFill>
            <a:srgbClr val="000000"/>
          </a:solidFill>
          <a:prstDash val="solid"/>
        </a:ln>
      </xdr:spPr>
    </xdr:pic>
    <xdr:clientData/>
  </xdr:twoCellAnchor>
  <xdr:twoCellAnchor>
    <xdr:from>
      <xdr:col>3</xdr:col>
      <xdr:colOff>114300</xdr:colOff>
      <xdr:row>5309</xdr:row>
      <xdr:rowOff>28575</xdr:rowOff>
    </xdr:from>
    <xdr:to>
      <xdr:col>3</xdr:col>
      <xdr:colOff>1552575</xdr:colOff>
      <xdr:row>5309</xdr:row>
      <xdr:rowOff>1266825</xdr:rowOff>
    </xdr:to>
    <xdr:pic>
      <xdr:nvPicPr>
        <xdr:cNvPr id="1798" name="Имя " descr="Descr ">
          <a:extLst>
            <a:ext uri="{FF2B5EF4-FFF2-40B4-BE49-F238E27FC236}">
              <a16:creationId xmlns:a16="http://schemas.microsoft.com/office/drawing/2014/main" id="{00000000-0008-0000-0000-000006070000}"/>
            </a:ext>
          </a:extLst>
        </xdr:cNvPr>
        <xdr:cNvPicPr>
          <a:picLocks noChangeAspect="1"/>
        </xdr:cNvPicPr>
      </xdr:nvPicPr>
      <xdr:blipFill>
        <a:blip xmlns:r="http://schemas.openxmlformats.org/officeDocument/2006/relationships" r:embed="rId1797"/>
        <a:stretch>
          <a:fillRect/>
        </a:stretch>
      </xdr:blipFill>
      <xdr:spPr>
        <a:prstGeom prst="rect">
          <a:avLst/>
        </a:prstGeom>
        <a:ln w="9525">
          <a:solidFill>
            <a:srgbClr val="000000"/>
          </a:solidFill>
          <a:prstDash val="solid"/>
        </a:ln>
      </xdr:spPr>
    </xdr:pic>
    <xdr:clientData/>
  </xdr:twoCellAnchor>
  <xdr:twoCellAnchor>
    <xdr:from>
      <xdr:col>3</xdr:col>
      <xdr:colOff>114300</xdr:colOff>
      <xdr:row>5310</xdr:row>
      <xdr:rowOff>28575</xdr:rowOff>
    </xdr:from>
    <xdr:to>
      <xdr:col>3</xdr:col>
      <xdr:colOff>1552575</xdr:colOff>
      <xdr:row>5310</xdr:row>
      <xdr:rowOff>1266825</xdr:rowOff>
    </xdr:to>
    <xdr:pic>
      <xdr:nvPicPr>
        <xdr:cNvPr id="1799" name="Имя " descr="Descr ">
          <a:extLst>
            <a:ext uri="{FF2B5EF4-FFF2-40B4-BE49-F238E27FC236}">
              <a16:creationId xmlns:a16="http://schemas.microsoft.com/office/drawing/2014/main" id="{00000000-0008-0000-0000-000007070000}"/>
            </a:ext>
          </a:extLst>
        </xdr:cNvPr>
        <xdr:cNvPicPr>
          <a:picLocks noChangeAspect="1"/>
        </xdr:cNvPicPr>
      </xdr:nvPicPr>
      <xdr:blipFill>
        <a:blip xmlns:r="http://schemas.openxmlformats.org/officeDocument/2006/relationships" r:embed="rId1798"/>
        <a:stretch>
          <a:fillRect/>
        </a:stretch>
      </xdr:blipFill>
      <xdr:spPr>
        <a:prstGeom prst="rect">
          <a:avLst/>
        </a:prstGeom>
        <a:ln w="9525">
          <a:solidFill>
            <a:srgbClr val="000000"/>
          </a:solidFill>
          <a:prstDash val="solid"/>
        </a:ln>
      </xdr:spPr>
    </xdr:pic>
    <xdr:clientData/>
  </xdr:twoCellAnchor>
  <xdr:twoCellAnchor>
    <xdr:from>
      <xdr:col>3</xdr:col>
      <xdr:colOff>114300</xdr:colOff>
      <xdr:row>5311</xdr:row>
      <xdr:rowOff>28575</xdr:rowOff>
    </xdr:from>
    <xdr:to>
      <xdr:col>3</xdr:col>
      <xdr:colOff>1552575</xdr:colOff>
      <xdr:row>5311</xdr:row>
      <xdr:rowOff>1266825</xdr:rowOff>
    </xdr:to>
    <xdr:pic>
      <xdr:nvPicPr>
        <xdr:cNvPr id="1800" name="Имя " descr="Descr ">
          <a:extLst>
            <a:ext uri="{FF2B5EF4-FFF2-40B4-BE49-F238E27FC236}">
              <a16:creationId xmlns:a16="http://schemas.microsoft.com/office/drawing/2014/main" id="{00000000-0008-0000-0000-000008070000}"/>
            </a:ext>
          </a:extLst>
        </xdr:cNvPr>
        <xdr:cNvPicPr>
          <a:picLocks noChangeAspect="1"/>
        </xdr:cNvPicPr>
      </xdr:nvPicPr>
      <xdr:blipFill>
        <a:blip xmlns:r="http://schemas.openxmlformats.org/officeDocument/2006/relationships" r:embed="rId1799"/>
        <a:stretch>
          <a:fillRect/>
        </a:stretch>
      </xdr:blipFill>
      <xdr:spPr>
        <a:prstGeom prst="rect">
          <a:avLst/>
        </a:prstGeom>
        <a:ln w="9525">
          <a:solidFill>
            <a:srgbClr val="000000"/>
          </a:solidFill>
          <a:prstDash val="solid"/>
        </a:ln>
      </xdr:spPr>
    </xdr:pic>
    <xdr:clientData/>
  </xdr:twoCellAnchor>
  <xdr:twoCellAnchor>
    <xdr:from>
      <xdr:col>3</xdr:col>
      <xdr:colOff>114300</xdr:colOff>
      <xdr:row>5312</xdr:row>
      <xdr:rowOff>28575</xdr:rowOff>
    </xdr:from>
    <xdr:to>
      <xdr:col>3</xdr:col>
      <xdr:colOff>1552575</xdr:colOff>
      <xdr:row>5318</xdr:row>
      <xdr:rowOff>171450</xdr:rowOff>
    </xdr:to>
    <xdr:pic>
      <xdr:nvPicPr>
        <xdr:cNvPr id="1801" name="Имя " descr="Descr ">
          <a:extLst>
            <a:ext uri="{FF2B5EF4-FFF2-40B4-BE49-F238E27FC236}">
              <a16:creationId xmlns:a16="http://schemas.microsoft.com/office/drawing/2014/main" id="{00000000-0008-0000-0000-000009070000}"/>
            </a:ext>
          </a:extLst>
        </xdr:cNvPr>
        <xdr:cNvPicPr>
          <a:picLocks noChangeAspect="1"/>
        </xdr:cNvPicPr>
      </xdr:nvPicPr>
      <xdr:blipFill>
        <a:blip xmlns:r="http://schemas.openxmlformats.org/officeDocument/2006/relationships" r:embed="rId1800"/>
        <a:stretch>
          <a:fillRect/>
        </a:stretch>
      </xdr:blipFill>
      <xdr:spPr>
        <a:prstGeom prst="rect">
          <a:avLst/>
        </a:prstGeom>
        <a:ln w="9525">
          <a:solidFill>
            <a:srgbClr val="000000"/>
          </a:solidFill>
          <a:prstDash val="solid"/>
        </a:ln>
      </xdr:spPr>
    </xdr:pic>
    <xdr:clientData/>
  </xdr:twoCellAnchor>
  <xdr:twoCellAnchor>
    <xdr:from>
      <xdr:col>3</xdr:col>
      <xdr:colOff>114300</xdr:colOff>
      <xdr:row>5319</xdr:row>
      <xdr:rowOff>28575</xdr:rowOff>
    </xdr:from>
    <xdr:to>
      <xdr:col>3</xdr:col>
      <xdr:colOff>1552575</xdr:colOff>
      <xdr:row>5323</xdr:row>
      <xdr:rowOff>333375</xdr:rowOff>
    </xdr:to>
    <xdr:pic>
      <xdr:nvPicPr>
        <xdr:cNvPr id="1802" name="Имя " descr="Descr ">
          <a:extLst>
            <a:ext uri="{FF2B5EF4-FFF2-40B4-BE49-F238E27FC236}">
              <a16:creationId xmlns:a16="http://schemas.microsoft.com/office/drawing/2014/main" id="{00000000-0008-0000-0000-00000A070000}"/>
            </a:ext>
          </a:extLst>
        </xdr:cNvPr>
        <xdr:cNvPicPr>
          <a:picLocks noChangeAspect="1"/>
        </xdr:cNvPicPr>
      </xdr:nvPicPr>
      <xdr:blipFill>
        <a:blip xmlns:r="http://schemas.openxmlformats.org/officeDocument/2006/relationships" r:embed="rId1801"/>
        <a:stretch>
          <a:fillRect/>
        </a:stretch>
      </xdr:blipFill>
      <xdr:spPr>
        <a:prstGeom prst="rect">
          <a:avLst/>
        </a:prstGeom>
        <a:ln w="9525">
          <a:solidFill>
            <a:srgbClr val="000000"/>
          </a:solidFill>
          <a:prstDash val="solid"/>
        </a:ln>
      </xdr:spPr>
    </xdr:pic>
    <xdr:clientData/>
  </xdr:twoCellAnchor>
  <xdr:twoCellAnchor>
    <xdr:from>
      <xdr:col>3</xdr:col>
      <xdr:colOff>114300</xdr:colOff>
      <xdr:row>5324</xdr:row>
      <xdr:rowOff>28575</xdr:rowOff>
    </xdr:from>
    <xdr:to>
      <xdr:col>3</xdr:col>
      <xdr:colOff>1552575</xdr:colOff>
      <xdr:row>5328</xdr:row>
      <xdr:rowOff>333375</xdr:rowOff>
    </xdr:to>
    <xdr:pic>
      <xdr:nvPicPr>
        <xdr:cNvPr id="1803" name="Имя " descr="Descr ">
          <a:extLst>
            <a:ext uri="{FF2B5EF4-FFF2-40B4-BE49-F238E27FC236}">
              <a16:creationId xmlns:a16="http://schemas.microsoft.com/office/drawing/2014/main" id="{00000000-0008-0000-0000-00000B070000}"/>
            </a:ext>
          </a:extLst>
        </xdr:cNvPr>
        <xdr:cNvPicPr>
          <a:picLocks noChangeAspect="1"/>
        </xdr:cNvPicPr>
      </xdr:nvPicPr>
      <xdr:blipFill>
        <a:blip xmlns:r="http://schemas.openxmlformats.org/officeDocument/2006/relationships" r:embed="rId1802"/>
        <a:stretch>
          <a:fillRect/>
        </a:stretch>
      </xdr:blipFill>
      <xdr:spPr>
        <a:prstGeom prst="rect">
          <a:avLst/>
        </a:prstGeom>
        <a:ln w="9525">
          <a:solidFill>
            <a:srgbClr val="000000"/>
          </a:solidFill>
          <a:prstDash val="solid"/>
        </a:ln>
      </xdr:spPr>
    </xdr:pic>
    <xdr:clientData/>
  </xdr:twoCellAnchor>
  <xdr:twoCellAnchor>
    <xdr:from>
      <xdr:col>3</xdr:col>
      <xdr:colOff>114300</xdr:colOff>
      <xdr:row>5329</xdr:row>
      <xdr:rowOff>28575</xdr:rowOff>
    </xdr:from>
    <xdr:to>
      <xdr:col>3</xdr:col>
      <xdr:colOff>1552575</xdr:colOff>
      <xdr:row>5332</xdr:row>
      <xdr:rowOff>209550</xdr:rowOff>
    </xdr:to>
    <xdr:pic>
      <xdr:nvPicPr>
        <xdr:cNvPr id="1804" name="Имя " descr="Descr ">
          <a:extLst>
            <a:ext uri="{FF2B5EF4-FFF2-40B4-BE49-F238E27FC236}">
              <a16:creationId xmlns:a16="http://schemas.microsoft.com/office/drawing/2014/main" id="{00000000-0008-0000-0000-00000C070000}"/>
            </a:ext>
          </a:extLst>
        </xdr:cNvPr>
        <xdr:cNvPicPr>
          <a:picLocks noChangeAspect="1"/>
        </xdr:cNvPicPr>
      </xdr:nvPicPr>
      <xdr:blipFill>
        <a:blip xmlns:r="http://schemas.openxmlformats.org/officeDocument/2006/relationships" r:embed="rId1803"/>
        <a:stretch>
          <a:fillRect/>
        </a:stretch>
      </xdr:blipFill>
      <xdr:spPr>
        <a:prstGeom prst="rect">
          <a:avLst/>
        </a:prstGeom>
        <a:ln w="9525">
          <a:solidFill>
            <a:srgbClr val="000000"/>
          </a:solidFill>
          <a:prstDash val="solid"/>
        </a:ln>
      </xdr:spPr>
    </xdr:pic>
    <xdr:clientData/>
  </xdr:twoCellAnchor>
  <xdr:twoCellAnchor>
    <xdr:from>
      <xdr:col>3</xdr:col>
      <xdr:colOff>114300</xdr:colOff>
      <xdr:row>5333</xdr:row>
      <xdr:rowOff>28575</xdr:rowOff>
    </xdr:from>
    <xdr:to>
      <xdr:col>3</xdr:col>
      <xdr:colOff>1552575</xdr:colOff>
      <xdr:row>5337</xdr:row>
      <xdr:rowOff>333375</xdr:rowOff>
    </xdr:to>
    <xdr:pic>
      <xdr:nvPicPr>
        <xdr:cNvPr id="1805" name="Имя " descr="Descr ">
          <a:extLst>
            <a:ext uri="{FF2B5EF4-FFF2-40B4-BE49-F238E27FC236}">
              <a16:creationId xmlns:a16="http://schemas.microsoft.com/office/drawing/2014/main" id="{00000000-0008-0000-0000-00000D070000}"/>
            </a:ext>
          </a:extLst>
        </xdr:cNvPr>
        <xdr:cNvPicPr>
          <a:picLocks noChangeAspect="1"/>
        </xdr:cNvPicPr>
      </xdr:nvPicPr>
      <xdr:blipFill>
        <a:blip xmlns:r="http://schemas.openxmlformats.org/officeDocument/2006/relationships" r:embed="rId1804"/>
        <a:stretch>
          <a:fillRect/>
        </a:stretch>
      </xdr:blipFill>
      <xdr:spPr>
        <a:prstGeom prst="rect">
          <a:avLst/>
        </a:prstGeom>
        <a:ln w="9525">
          <a:solidFill>
            <a:srgbClr val="000000"/>
          </a:solidFill>
          <a:prstDash val="solid"/>
        </a:ln>
      </xdr:spPr>
    </xdr:pic>
    <xdr:clientData/>
  </xdr:twoCellAnchor>
  <xdr:twoCellAnchor>
    <xdr:from>
      <xdr:col>3</xdr:col>
      <xdr:colOff>114300</xdr:colOff>
      <xdr:row>5338</xdr:row>
      <xdr:rowOff>28575</xdr:rowOff>
    </xdr:from>
    <xdr:to>
      <xdr:col>3</xdr:col>
      <xdr:colOff>1552575</xdr:colOff>
      <xdr:row>5342</xdr:row>
      <xdr:rowOff>333375</xdr:rowOff>
    </xdr:to>
    <xdr:pic>
      <xdr:nvPicPr>
        <xdr:cNvPr id="1806" name="Имя " descr="Descr ">
          <a:extLst>
            <a:ext uri="{FF2B5EF4-FFF2-40B4-BE49-F238E27FC236}">
              <a16:creationId xmlns:a16="http://schemas.microsoft.com/office/drawing/2014/main" id="{00000000-0008-0000-0000-00000E070000}"/>
            </a:ext>
          </a:extLst>
        </xdr:cNvPr>
        <xdr:cNvPicPr>
          <a:picLocks noChangeAspect="1"/>
        </xdr:cNvPicPr>
      </xdr:nvPicPr>
      <xdr:blipFill>
        <a:blip xmlns:r="http://schemas.openxmlformats.org/officeDocument/2006/relationships" r:embed="rId1805"/>
        <a:stretch>
          <a:fillRect/>
        </a:stretch>
      </xdr:blipFill>
      <xdr:spPr>
        <a:prstGeom prst="rect">
          <a:avLst/>
        </a:prstGeom>
        <a:ln w="9525">
          <a:solidFill>
            <a:srgbClr val="000000"/>
          </a:solidFill>
          <a:prstDash val="solid"/>
        </a:ln>
      </xdr:spPr>
    </xdr:pic>
    <xdr:clientData/>
  </xdr:twoCellAnchor>
  <xdr:twoCellAnchor>
    <xdr:from>
      <xdr:col>3</xdr:col>
      <xdr:colOff>114300</xdr:colOff>
      <xdr:row>5343</xdr:row>
      <xdr:rowOff>28575</xdr:rowOff>
    </xdr:from>
    <xdr:to>
      <xdr:col>3</xdr:col>
      <xdr:colOff>1552575</xdr:colOff>
      <xdr:row>5347</xdr:row>
      <xdr:rowOff>333375</xdr:rowOff>
    </xdr:to>
    <xdr:pic>
      <xdr:nvPicPr>
        <xdr:cNvPr id="1807" name="Имя " descr="Descr ">
          <a:extLst>
            <a:ext uri="{FF2B5EF4-FFF2-40B4-BE49-F238E27FC236}">
              <a16:creationId xmlns:a16="http://schemas.microsoft.com/office/drawing/2014/main" id="{00000000-0008-0000-0000-00000F070000}"/>
            </a:ext>
          </a:extLst>
        </xdr:cNvPr>
        <xdr:cNvPicPr>
          <a:picLocks noChangeAspect="1"/>
        </xdr:cNvPicPr>
      </xdr:nvPicPr>
      <xdr:blipFill>
        <a:blip xmlns:r="http://schemas.openxmlformats.org/officeDocument/2006/relationships" r:embed="rId1806"/>
        <a:stretch>
          <a:fillRect/>
        </a:stretch>
      </xdr:blipFill>
      <xdr:spPr>
        <a:prstGeom prst="rect">
          <a:avLst/>
        </a:prstGeom>
        <a:ln w="9525">
          <a:solidFill>
            <a:srgbClr val="000000"/>
          </a:solidFill>
          <a:prstDash val="solid"/>
        </a:ln>
      </xdr:spPr>
    </xdr:pic>
    <xdr:clientData/>
  </xdr:twoCellAnchor>
  <xdr:twoCellAnchor>
    <xdr:from>
      <xdr:col>3</xdr:col>
      <xdr:colOff>114300</xdr:colOff>
      <xdr:row>5348</xdr:row>
      <xdr:rowOff>28575</xdr:rowOff>
    </xdr:from>
    <xdr:to>
      <xdr:col>3</xdr:col>
      <xdr:colOff>1552575</xdr:colOff>
      <xdr:row>5348</xdr:row>
      <xdr:rowOff>1266825</xdr:rowOff>
    </xdr:to>
    <xdr:pic>
      <xdr:nvPicPr>
        <xdr:cNvPr id="1808" name="Имя " descr="Descr ">
          <a:extLst>
            <a:ext uri="{FF2B5EF4-FFF2-40B4-BE49-F238E27FC236}">
              <a16:creationId xmlns:a16="http://schemas.microsoft.com/office/drawing/2014/main" id="{00000000-0008-0000-0000-000010070000}"/>
            </a:ext>
          </a:extLst>
        </xdr:cNvPr>
        <xdr:cNvPicPr>
          <a:picLocks noChangeAspect="1"/>
        </xdr:cNvPicPr>
      </xdr:nvPicPr>
      <xdr:blipFill>
        <a:blip xmlns:r="http://schemas.openxmlformats.org/officeDocument/2006/relationships" r:embed="rId1807"/>
        <a:stretch>
          <a:fillRect/>
        </a:stretch>
      </xdr:blipFill>
      <xdr:spPr>
        <a:prstGeom prst="rect">
          <a:avLst/>
        </a:prstGeom>
        <a:ln w="9525">
          <a:solidFill>
            <a:srgbClr val="000000"/>
          </a:solidFill>
          <a:prstDash val="solid"/>
        </a:ln>
      </xdr:spPr>
    </xdr:pic>
    <xdr:clientData/>
  </xdr:twoCellAnchor>
  <xdr:twoCellAnchor>
    <xdr:from>
      <xdr:col>3</xdr:col>
      <xdr:colOff>114300</xdr:colOff>
      <xdr:row>5349</xdr:row>
      <xdr:rowOff>28575</xdr:rowOff>
    </xdr:from>
    <xdr:to>
      <xdr:col>3</xdr:col>
      <xdr:colOff>1552575</xdr:colOff>
      <xdr:row>5352</xdr:row>
      <xdr:rowOff>209550</xdr:rowOff>
    </xdr:to>
    <xdr:pic>
      <xdr:nvPicPr>
        <xdr:cNvPr id="1809" name="Имя " descr="Descr ">
          <a:extLst>
            <a:ext uri="{FF2B5EF4-FFF2-40B4-BE49-F238E27FC236}">
              <a16:creationId xmlns:a16="http://schemas.microsoft.com/office/drawing/2014/main" id="{00000000-0008-0000-0000-000011070000}"/>
            </a:ext>
          </a:extLst>
        </xdr:cNvPr>
        <xdr:cNvPicPr>
          <a:picLocks noChangeAspect="1"/>
        </xdr:cNvPicPr>
      </xdr:nvPicPr>
      <xdr:blipFill>
        <a:blip xmlns:r="http://schemas.openxmlformats.org/officeDocument/2006/relationships" r:embed="rId1808"/>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5353"/>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8"/>
      <c r="B2" s="38"/>
      <c r="C2" s="38"/>
      <c r="D2" s="38"/>
      <c r="E2" s="38"/>
      <c r="F2" s="38"/>
      <c r="G2" s="38"/>
      <c r="H2" s="38"/>
      <c r="I2" s="38"/>
      <c r="J2" s="39"/>
      <c r="K2" s="38"/>
      <c r="L2" s="38"/>
      <c r="M2" s="38"/>
      <c r="N2" s="38"/>
      <c r="O2" s="38"/>
      <c r="P2" s="38"/>
      <c r="Q2" s="38"/>
      <c r="R2" s="40"/>
      <c r="S2" s="38"/>
      <c r="T2" s="38"/>
      <c r="U2" s="38"/>
      <c r="V2" s="38"/>
      <c r="W2" s="38"/>
      <c r="X2" s="38"/>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4697</v>
      </c>
      <c r="T3" s="10" t="s">
        <v>18</v>
      </c>
      <c r="U3" s="10" t="s">
        <v>19</v>
      </c>
      <c r="V3" s="7" t="s">
        <v>20</v>
      </c>
      <c r="W3" s="7" t="s">
        <v>21</v>
      </c>
      <c r="X3" s="5" t="s">
        <v>22</v>
      </c>
    </row>
    <row r="4" spans="1:24" s="1" customFormat="1" ht="52.05" customHeight="1" x14ac:dyDescent="0.3">
      <c r="A4" s="11" t="s">
        <v>23</v>
      </c>
      <c r="B4" s="11" t="s">
        <v>24</v>
      </c>
      <c r="C4" s="12" t="s">
        <v>25</v>
      </c>
      <c r="D4" s="55"/>
      <c r="E4" s="41" t="str">
        <f>HYPERLINK("https://www.google.ru/search?q=1365665-001&amp;newwindow=1&amp;tbm=isch","Еще фото")</f>
        <v>Еще фото</v>
      </c>
      <c r="F4" s="13"/>
      <c r="G4" s="11" t="s">
        <v>26</v>
      </c>
      <c r="H4" s="11" t="s">
        <v>27</v>
      </c>
      <c r="I4" s="14" t="s">
        <v>28</v>
      </c>
      <c r="J4" s="14" t="s">
        <v>29</v>
      </c>
      <c r="K4" s="15" t="s">
        <v>30</v>
      </c>
      <c r="L4" s="57" t="s">
        <v>31</v>
      </c>
      <c r="M4" s="14" t="s">
        <v>32</v>
      </c>
      <c r="N4" s="14" t="s">
        <v>33</v>
      </c>
      <c r="O4" s="14" t="s">
        <v>34</v>
      </c>
      <c r="P4" s="15" t="s">
        <v>35</v>
      </c>
      <c r="Q4" s="16">
        <v>12999</v>
      </c>
      <c r="R4" s="17">
        <v>76.78</v>
      </c>
      <c r="S4" s="18">
        <v>3470.4354999999996</v>
      </c>
      <c r="T4" s="19" t="s">
        <v>36</v>
      </c>
      <c r="U4" s="20" t="s">
        <v>37</v>
      </c>
      <c r="V4" s="21" t="s">
        <v>38</v>
      </c>
      <c r="W4" s="22">
        <v>17</v>
      </c>
      <c r="X4" s="23"/>
    </row>
    <row r="5" spans="1:24" s="1" customFormat="1" ht="61.05" customHeight="1" x14ac:dyDescent="0.3">
      <c r="A5" s="24" t="s">
        <v>23</v>
      </c>
      <c r="B5" s="24" t="s">
        <v>24</v>
      </c>
      <c r="C5" s="12" t="s">
        <v>25</v>
      </c>
      <c r="D5" s="56"/>
      <c r="E5" s="41" t="str">
        <f>HYPERLINK("https://www.google.ru/search?q=1365665-001&amp;newwindow=1&amp;tbm=isch","Еще фото")</f>
        <v>Еще фото</v>
      </c>
      <c r="F5" s="13"/>
      <c r="G5" s="24" t="s">
        <v>26</v>
      </c>
      <c r="H5" s="24" t="s">
        <v>27</v>
      </c>
      <c r="I5" s="24" t="s">
        <v>28</v>
      </c>
      <c r="J5" s="14" t="s">
        <v>29</v>
      </c>
      <c r="K5" s="15" t="s">
        <v>30</v>
      </c>
      <c r="L5" s="58"/>
      <c r="M5" s="14" t="s">
        <v>32</v>
      </c>
      <c r="N5" s="14" t="s">
        <v>33</v>
      </c>
      <c r="O5" s="14" t="s">
        <v>34</v>
      </c>
      <c r="P5" s="15" t="s">
        <v>35</v>
      </c>
      <c r="Q5" s="16">
        <v>12999</v>
      </c>
      <c r="R5" s="17">
        <v>76.78</v>
      </c>
      <c r="S5" s="18">
        <v>3470.4354999999996</v>
      </c>
      <c r="T5" s="19" t="s">
        <v>36</v>
      </c>
      <c r="U5" s="20" t="s">
        <v>39</v>
      </c>
      <c r="V5" s="21" t="s">
        <v>40</v>
      </c>
      <c r="W5" s="22">
        <v>25</v>
      </c>
      <c r="X5" s="23"/>
    </row>
    <row r="6" spans="1:24" s="1" customFormat="1" ht="108" customHeight="1" x14ac:dyDescent="0.3">
      <c r="A6" s="11" t="s">
        <v>23</v>
      </c>
      <c r="B6" s="11" t="s">
        <v>41</v>
      </c>
      <c r="C6" s="12" t="s">
        <v>42</v>
      </c>
      <c r="D6" s="25"/>
      <c r="E6" s="41" t="str">
        <f>HYPERLINK("https://www.google.ru/search?q=1366439-478&amp;newwindow=1&amp;tbm=isch","Еще фото")</f>
        <v>Еще фото</v>
      </c>
      <c r="F6" s="13"/>
      <c r="G6" s="11" t="s">
        <v>28</v>
      </c>
      <c r="H6" s="11" t="s">
        <v>27</v>
      </c>
      <c r="I6" s="14" t="s">
        <v>28</v>
      </c>
      <c r="J6" s="14" t="s">
        <v>43</v>
      </c>
      <c r="K6" s="15" t="s">
        <v>30</v>
      </c>
      <c r="L6" s="14" t="s">
        <v>44</v>
      </c>
      <c r="M6" s="14" t="s">
        <v>45</v>
      </c>
      <c r="N6" s="14" t="s">
        <v>46</v>
      </c>
      <c r="O6" s="14"/>
      <c r="P6" s="15" t="s">
        <v>47</v>
      </c>
      <c r="Q6" s="16">
        <v>13999</v>
      </c>
      <c r="R6" s="17">
        <v>73.66</v>
      </c>
      <c r="S6" s="18">
        <v>4240.9354999999996</v>
      </c>
      <c r="T6" s="19" t="s">
        <v>36</v>
      </c>
      <c r="U6" s="20" t="s">
        <v>37</v>
      </c>
      <c r="V6" s="21" t="s">
        <v>38</v>
      </c>
      <c r="W6" s="22">
        <v>2</v>
      </c>
      <c r="X6" s="23"/>
    </row>
    <row r="7" spans="1:24" s="1" customFormat="1" ht="108" customHeight="1" x14ac:dyDescent="0.3">
      <c r="A7" s="11" t="s">
        <v>23</v>
      </c>
      <c r="B7" s="11" t="s">
        <v>48</v>
      </c>
      <c r="C7" s="12" t="s">
        <v>49</v>
      </c>
      <c r="D7" s="25"/>
      <c r="E7" s="41" t="str">
        <f>HYPERLINK("https://www.google.ru/search?q=1373004-001&amp;newwindow=1&amp;tbm=isch","Еще фото")</f>
        <v>Еще фото</v>
      </c>
      <c r="F7" s="13"/>
      <c r="G7" s="11" t="s">
        <v>28</v>
      </c>
      <c r="H7" s="11" t="s">
        <v>27</v>
      </c>
      <c r="I7" s="14" t="s">
        <v>28</v>
      </c>
      <c r="J7" s="14" t="s">
        <v>29</v>
      </c>
      <c r="K7" s="15" t="s">
        <v>50</v>
      </c>
      <c r="L7" s="14" t="s">
        <v>51</v>
      </c>
      <c r="M7" s="14" t="s">
        <v>52</v>
      </c>
      <c r="N7" s="14" t="s">
        <v>33</v>
      </c>
      <c r="O7" s="14"/>
      <c r="P7" s="15" t="s">
        <v>53</v>
      </c>
      <c r="Q7" s="16">
        <v>5699</v>
      </c>
      <c r="R7" s="17">
        <v>69.33</v>
      </c>
      <c r="S7" s="18">
        <v>2009.9354999999998</v>
      </c>
      <c r="T7" s="19" t="s">
        <v>36</v>
      </c>
      <c r="U7" s="20" t="s">
        <v>54</v>
      </c>
      <c r="V7" s="21" t="s">
        <v>55</v>
      </c>
      <c r="W7" s="22">
        <v>13</v>
      </c>
      <c r="X7" s="23"/>
    </row>
    <row r="8" spans="1:24" s="1" customFormat="1" ht="108" customHeight="1" x14ac:dyDescent="0.3">
      <c r="A8" s="11" t="s">
        <v>23</v>
      </c>
      <c r="B8" s="11" t="s">
        <v>56</v>
      </c>
      <c r="C8" s="12" t="s">
        <v>57</v>
      </c>
      <c r="D8" s="25"/>
      <c r="E8" s="41" t="str">
        <f>HYPERLINK("https://www.google.ru/search?q=1365334-019&amp;newwindow=1&amp;tbm=isch","Еще фото")</f>
        <v>Еще фото</v>
      </c>
      <c r="F8" s="13"/>
      <c r="G8" s="11" t="s">
        <v>58</v>
      </c>
      <c r="H8" s="11" t="s">
        <v>27</v>
      </c>
      <c r="I8" s="14" t="s">
        <v>28</v>
      </c>
      <c r="J8" s="14" t="s">
        <v>29</v>
      </c>
      <c r="K8" s="15" t="s">
        <v>59</v>
      </c>
      <c r="L8" s="14" t="s">
        <v>60</v>
      </c>
      <c r="M8" s="14" t="s">
        <v>61</v>
      </c>
      <c r="N8" s="14" t="s">
        <v>62</v>
      </c>
      <c r="O8" s="14" t="s">
        <v>34</v>
      </c>
      <c r="P8" s="15" t="s">
        <v>53</v>
      </c>
      <c r="Q8" s="16">
        <v>4299</v>
      </c>
      <c r="R8" s="17">
        <v>67.489999999999995</v>
      </c>
      <c r="S8" s="18">
        <v>1607.4354999999998</v>
      </c>
      <c r="T8" s="19" t="s">
        <v>36</v>
      </c>
      <c r="U8" s="20" t="s">
        <v>63</v>
      </c>
      <c r="V8" s="21" t="s">
        <v>64</v>
      </c>
      <c r="W8" s="22">
        <v>18</v>
      </c>
      <c r="X8" s="23"/>
    </row>
    <row r="9" spans="1:24" s="1" customFormat="1" ht="52.05" customHeight="1" x14ac:dyDescent="0.3">
      <c r="A9" s="11" t="s">
        <v>23</v>
      </c>
      <c r="B9" s="11" t="s">
        <v>65</v>
      </c>
      <c r="C9" s="12" t="s">
        <v>66</v>
      </c>
      <c r="D9" s="55"/>
      <c r="E9" s="41" t="str">
        <f>HYPERLINK("https://www.google.ru/search?q=1356487-684&amp;newwindow=1&amp;tbm=isch","Еще фото")</f>
        <v>Еще фото</v>
      </c>
      <c r="F9" s="13"/>
      <c r="G9" s="11" t="s">
        <v>28</v>
      </c>
      <c r="H9" s="11" t="s">
        <v>27</v>
      </c>
      <c r="I9" s="14" t="s">
        <v>28</v>
      </c>
      <c r="J9" s="14" t="s">
        <v>29</v>
      </c>
      <c r="K9" s="15" t="s">
        <v>50</v>
      </c>
      <c r="L9" s="57" t="s">
        <v>67</v>
      </c>
      <c r="M9" s="14" t="s">
        <v>68</v>
      </c>
      <c r="N9" s="14" t="s">
        <v>69</v>
      </c>
      <c r="O9" s="14" t="s">
        <v>34</v>
      </c>
      <c r="P9" s="15" t="s">
        <v>70</v>
      </c>
      <c r="Q9" s="16">
        <v>3699</v>
      </c>
      <c r="R9" s="17">
        <v>64.92</v>
      </c>
      <c r="S9" s="18">
        <v>1492.4354999999998</v>
      </c>
      <c r="T9" s="19" t="s">
        <v>36</v>
      </c>
      <c r="U9" s="20" t="s">
        <v>71</v>
      </c>
      <c r="V9" s="21" t="s">
        <v>72</v>
      </c>
      <c r="W9" s="22">
        <v>2</v>
      </c>
      <c r="X9" s="23"/>
    </row>
    <row r="10" spans="1:24" s="1" customFormat="1" ht="61.05" customHeight="1" x14ac:dyDescent="0.3">
      <c r="A10" s="24" t="s">
        <v>23</v>
      </c>
      <c r="B10" s="24" t="s">
        <v>65</v>
      </c>
      <c r="C10" s="12" t="s">
        <v>66</v>
      </c>
      <c r="D10" s="56"/>
      <c r="E10" s="41" t="str">
        <f>HYPERLINK("https://www.google.ru/search?q=1356487-684&amp;newwindow=1&amp;tbm=isch","Еще фото")</f>
        <v>Еще фото</v>
      </c>
      <c r="F10" s="13"/>
      <c r="G10" s="24" t="s">
        <v>28</v>
      </c>
      <c r="H10" s="24" t="s">
        <v>27</v>
      </c>
      <c r="I10" s="24" t="s">
        <v>28</v>
      </c>
      <c r="J10" s="14" t="s">
        <v>29</v>
      </c>
      <c r="K10" s="15" t="s">
        <v>50</v>
      </c>
      <c r="L10" s="58"/>
      <c r="M10" s="14" t="s">
        <v>68</v>
      </c>
      <c r="N10" s="14" t="s">
        <v>69</v>
      </c>
      <c r="O10" s="14" t="s">
        <v>34</v>
      </c>
      <c r="P10" s="15" t="s">
        <v>70</v>
      </c>
      <c r="Q10" s="16">
        <v>3699</v>
      </c>
      <c r="R10" s="17">
        <v>64.92</v>
      </c>
      <c r="S10" s="18">
        <v>1492.4354999999998</v>
      </c>
      <c r="T10" s="19" t="s">
        <v>36</v>
      </c>
      <c r="U10" s="20" t="s">
        <v>73</v>
      </c>
      <c r="V10" s="21" t="s">
        <v>74</v>
      </c>
      <c r="W10" s="22">
        <v>1</v>
      </c>
      <c r="X10" s="23"/>
    </row>
    <row r="11" spans="1:24" s="1" customFormat="1" ht="108" customHeight="1" x14ac:dyDescent="0.3">
      <c r="A11" s="11" t="s">
        <v>23</v>
      </c>
      <c r="B11" s="11" t="s">
        <v>75</v>
      </c>
      <c r="C11" s="12" t="s">
        <v>76</v>
      </c>
      <c r="D11" s="25"/>
      <c r="E11" s="41" t="str">
        <f>HYPERLINK("https://www.google.ru/search?q=1365801-554&amp;newwindow=1&amp;tbm=isch","Еще фото")</f>
        <v>Еще фото</v>
      </c>
      <c r="F11" s="13"/>
      <c r="G11" s="11" t="s">
        <v>77</v>
      </c>
      <c r="H11" s="11" t="s">
        <v>27</v>
      </c>
      <c r="I11" s="14" t="s">
        <v>28</v>
      </c>
      <c r="J11" s="14" t="s">
        <v>29</v>
      </c>
      <c r="K11" s="15" t="s">
        <v>59</v>
      </c>
      <c r="L11" s="14" t="s">
        <v>78</v>
      </c>
      <c r="M11" s="14" t="s">
        <v>61</v>
      </c>
      <c r="N11" s="14" t="s">
        <v>79</v>
      </c>
      <c r="O11" s="14" t="s">
        <v>34</v>
      </c>
      <c r="P11" s="15" t="s">
        <v>80</v>
      </c>
      <c r="Q11" s="16">
        <v>8099</v>
      </c>
      <c r="R11" s="17">
        <v>59.16</v>
      </c>
      <c r="S11" s="18">
        <v>3803.9354999999996</v>
      </c>
      <c r="T11" s="19" t="s">
        <v>36</v>
      </c>
      <c r="U11" s="20" t="s">
        <v>63</v>
      </c>
      <c r="V11" s="21" t="s">
        <v>64</v>
      </c>
      <c r="W11" s="22">
        <v>4</v>
      </c>
      <c r="X11" s="23"/>
    </row>
    <row r="12" spans="1:24" s="1" customFormat="1" ht="17" customHeight="1" x14ac:dyDescent="0.3">
      <c r="A12" s="11" t="s">
        <v>23</v>
      </c>
      <c r="B12" s="11" t="s">
        <v>81</v>
      </c>
      <c r="C12" s="12" t="s">
        <v>82</v>
      </c>
      <c r="D12" s="59"/>
      <c r="E12" s="41" t="str">
        <f t="shared" ref="E12:E17" si="0">HYPERLINK("https://www.google.ru/search?q=1388827-110&amp;newwindow=1&amp;tbm=isch","Еще фото")</f>
        <v>Еще фото</v>
      </c>
      <c r="F12" s="13"/>
      <c r="G12" s="11" t="s">
        <v>28</v>
      </c>
      <c r="H12" s="11" t="s">
        <v>27</v>
      </c>
      <c r="I12" s="14" t="s">
        <v>28</v>
      </c>
      <c r="J12" s="14" t="s">
        <v>29</v>
      </c>
      <c r="K12" s="15" t="s">
        <v>30</v>
      </c>
      <c r="L12" s="57" t="s">
        <v>83</v>
      </c>
      <c r="M12" s="14" t="s">
        <v>32</v>
      </c>
      <c r="N12" s="14" t="s">
        <v>84</v>
      </c>
      <c r="O12" s="14"/>
      <c r="P12" s="15" t="s">
        <v>47</v>
      </c>
      <c r="Q12" s="16">
        <v>20399</v>
      </c>
      <c r="R12" s="17">
        <v>55.74</v>
      </c>
      <c r="S12" s="18">
        <v>10381.9355</v>
      </c>
      <c r="T12" s="19" t="s">
        <v>36</v>
      </c>
      <c r="U12" s="20" t="s">
        <v>63</v>
      </c>
      <c r="V12" s="21" t="s">
        <v>85</v>
      </c>
      <c r="W12" s="22">
        <v>1</v>
      </c>
      <c r="X12" s="23"/>
    </row>
    <row r="13" spans="1:24" s="1" customFormat="1" ht="17" customHeight="1" x14ac:dyDescent="0.3">
      <c r="A13" s="24" t="s">
        <v>23</v>
      </c>
      <c r="B13" s="24" t="s">
        <v>81</v>
      </c>
      <c r="C13" s="12" t="s">
        <v>82</v>
      </c>
      <c r="D13" s="60"/>
      <c r="E13" s="41" t="str">
        <f t="shared" si="0"/>
        <v>Еще фото</v>
      </c>
      <c r="F13" s="13"/>
      <c r="G13" s="24" t="s">
        <v>28</v>
      </c>
      <c r="H13" s="24" t="s">
        <v>27</v>
      </c>
      <c r="I13" s="24" t="s">
        <v>28</v>
      </c>
      <c r="J13" s="14" t="s">
        <v>29</v>
      </c>
      <c r="K13" s="15" t="s">
        <v>30</v>
      </c>
      <c r="L13" s="62"/>
      <c r="M13" s="14" t="s">
        <v>32</v>
      </c>
      <c r="N13" s="14" t="s">
        <v>84</v>
      </c>
      <c r="O13" s="14"/>
      <c r="P13" s="15" t="s">
        <v>47</v>
      </c>
      <c r="Q13" s="16">
        <v>20399</v>
      </c>
      <c r="R13" s="17">
        <v>55.74</v>
      </c>
      <c r="S13" s="18">
        <v>10381.9355</v>
      </c>
      <c r="T13" s="19" t="s">
        <v>36</v>
      </c>
      <c r="U13" s="20" t="s">
        <v>37</v>
      </c>
      <c r="V13" s="21" t="s">
        <v>38</v>
      </c>
      <c r="W13" s="22">
        <v>2</v>
      </c>
      <c r="X13" s="23"/>
    </row>
    <row r="14" spans="1:24" s="1" customFormat="1" ht="17" customHeight="1" x14ac:dyDescent="0.3">
      <c r="A14" s="24" t="s">
        <v>23</v>
      </c>
      <c r="B14" s="24" t="s">
        <v>81</v>
      </c>
      <c r="C14" s="12" t="s">
        <v>82</v>
      </c>
      <c r="D14" s="60"/>
      <c r="E14" s="41" t="str">
        <f t="shared" si="0"/>
        <v>Еще фото</v>
      </c>
      <c r="F14" s="13"/>
      <c r="G14" s="24" t="s">
        <v>28</v>
      </c>
      <c r="H14" s="24" t="s">
        <v>27</v>
      </c>
      <c r="I14" s="24" t="s">
        <v>28</v>
      </c>
      <c r="J14" s="14" t="s">
        <v>29</v>
      </c>
      <c r="K14" s="15" t="s">
        <v>30</v>
      </c>
      <c r="L14" s="62"/>
      <c r="M14" s="14" t="s">
        <v>32</v>
      </c>
      <c r="N14" s="14" t="s">
        <v>84</v>
      </c>
      <c r="O14" s="14"/>
      <c r="P14" s="15" t="s">
        <v>47</v>
      </c>
      <c r="Q14" s="16">
        <v>20399</v>
      </c>
      <c r="R14" s="17">
        <v>55.74</v>
      </c>
      <c r="S14" s="18">
        <v>10381.9355</v>
      </c>
      <c r="T14" s="19" t="s">
        <v>36</v>
      </c>
      <c r="U14" s="20" t="s">
        <v>39</v>
      </c>
      <c r="V14" s="21" t="s">
        <v>40</v>
      </c>
      <c r="W14" s="22">
        <v>13</v>
      </c>
      <c r="X14" s="23"/>
    </row>
    <row r="15" spans="1:24" s="1" customFormat="1" ht="17" customHeight="1" x14ac:dyDescent="0.3">
      <c r="A15" s="24" t="s">
        <v>23</v>
      </c>
      <c r="B15" s="24" t="s">
        <v>81</v>
      </c>
      <c r="C15" s="12" t="s">
        <v>82</v>
      </c>
      <c r="D15" s="60"/>
      <c r="E15" s="41" t="str">
        <f t="shared" si="0"/>
        <v>Еще фото</v>
      </c>
      <c r="F15" s="13"/>
      <c r="G15" s="24" t="s">
        <v>28</v>
      </c>
      <c r="H15" s="24" t="s">
        <v>27</v>
      </c>
      <c r="I15" s="24" t="s">
        <v>28</v>
      </c>
      <c r="J15" s="14" t="s">
        <v>29</v>
      </c>
      <c r="K15" s="15" t="s">
        <v>30</v>
      </c>
      <c r="L15" s="62"/>
      <c r="M15" s="14" t="s">
        <v>32</v>
      </c>
      <c r="N15" s="14" t="s">
        <v>84</v>
      </c>
      <c r="O15" s="14"/>
      <c r="P15" s="15" t="s">
        <v>47</v>
      </c>
      <c r="Q15" s="16">
        <v>20399</v>
      </c>
      <c r="R15" s="17">
        <v>55.74</v>
      </c>
      <c r="S15" s="18">
        <v>10381.9355</v>
      </c>
      <c r="T15" s="19" t="s">
        <v>36</v>
      </c>
      <c r="U15" s="20" t="s">
        <v>86</v>
      </c>
      <c r="V15" s="21" t="s">
        <v>87</v>
      </c>
      <c r="W15" s="22">
        <v>8</v>
      </c>
      <c r="X15" s="23"/>
    </row>
    <row r="16" spans="1:24" s="1" customFormat="1" ht="17" customHeight="1" x14ac:dyDescent="0.3">
      <c r="A16" s="24" t="s">
        <v>23</v>
      </c>
      <c r="B16" s="24" t="s">
        <v>81</v>
      </c>
      <c r="C16" s="12" t="s">
        <v>82</v>
      </c>
      <c r="D16" s="60"/>
      <c r="E16" s="41" t="str">
        <f t="shared" si="0"/>
        <v>Еще фото</v>
      </c>
      <c r="F16" s="13"/>
      <c r="G16" s="24" t="s">
        <v>28</v>
      </c>
      <c r="H16" s="24" t="s">
        <v>27</v>
      </c>
      <c r="I16" s="24" t="s">
        <v>28</v>
      </c>
      <c r="J16" s="14" t="s">
        <v>29</v>
      </c>
      <c r="K16" s="15" t="s">
        <v>30</v>
      </c>
      <c r="L16" s="62"/>
      <c r="M16" s="14" t="s">
        <v>32</v>
      </c>
      <c r="N16" s="14" t="s">
        <v>84</v>
      </c>
      <c r="O16" s="14"/>
      <c r="P16" s="15" t="s">
        <v>47</v>
      </c>
      <c r="Q16" s="16">
        <v>20399</v>
      </c>
      <c r="R16" s="17">
        <v>55.74</v>
      </c>
      <c r="S16" s="18">
        <v>10381.9355</v>
      </c>
      <c r="T16" s="19" t="s">
        <v>36</v>
      </c>
      <c r="U16" s="20" t="s">
        <v>88</v>
      </c>
      <c r="V16" s="21" t="s">
        <v>89</v>
      </c>
      <c r="W16" s="22">
        <v>8</v>
      </c>
      <c r="X16" s="23"/>
    </row>
    <row r="17" spans="1:24" s="1" customFormat="1" ht="22.05" customHeight="1" x14ac:dyDescent="0.3">
      <c r="A17" s="24" t="s">
        <v>23</v>
      </c>
      <c r="B17" s="24" t="s">
        <v>81</v>
      </c>
      <c r="C17" s="12" t="s">
        <v>82</v>
      </c>
      <c r="D17" s="61"/>
      <c r="E17" s="41" t="str">
        <f t="shared" si="0"/>
        <v>Еще фото</v>
      </c>
      <c r="F17" s="13"/>
      <c r="G17" s="24" t="s">
        <v>28</v>
      </c>
      <c r="H17" s="24" t="s">
        <v>27</v>
      </c>
      <c r="I17" s="24" t="s">
        <v>28</v>
      </c>
      <c r="J17" s="14" t="s">
        <v>29</v>
      </c>
      <c r="K17" s="15" t="s">
        <v>30</v>
      </c>
      <c r="L17" s="58"/>
      <c r="M17" s="14" t="s">
        <v>32</v>
      </c>
      <c r="N17" s="14" t="s">
        <v>84</v>
      </c>
      <c r="O17" s="14"/>
      <c r="P17" s="15" t="s">
        <v>47</v>
      </c>
      <c r="Q17" s="16">
        <v>20399</v>
      </c>
      <c r="R17" s="17">
        <v>55.74</v>
      </c>
      <c r="S17" s="18">
        <v>10381.9355</v>
      </c>
      <c r="T17" s="19" t="s">
        <v>36</v>
      </c>
      <c r="U17" s="20" t="s">
        <v>90</v>
      </c>
      <c r="V17" s="21" t="s">
        <v>91</v>
      </c>
      <c r="W17" s="22">
        <v>3</v>
      </c>
      <c r="X17" s="23"/>
    </row>
    <row r="18" spans="1:24" s="1" customFormat="1" ht="108" customHeight="1" x14ac:dyDescent="0.3">
      <c r="A18" s="11" t="s">
        <v>23</v>
      </c>
      <c r="B18" s="11" t="s">
        <v>65</v>
      </c>
      <c r="C18" s="12" t="s">
        <v>92</v>
      </c>
      <c r="D18" s="25"/>
      <c r="E18" s="41" t="str">
        <f>HYPERLINK("https://www.google.ru/search?q=1356487-036&amp;newwindow=1&amp;tbm=isch","Еще фото")</f>
        <v>Еще фото</v>
      </c>
      <c r="F18" s="13"/>
      <c r="G18" s="11" t="s">
        <v>28</v>
      </c>
      <c r="H18" s="11" t="s">
        <v>27</v>
      </c>
      <c r="I18" s="14" t="s">
        <v>28</v>
      </c>
      <c r="J18" s="14" t="s">
        <v>29</v>
      </c>
      <c r="K18" s="15" t="s">
        <v>50</v>
      </c>
      <c r="L18" s="14" t="s">
        <v>93</v>
      </c>
      <c r="M18" s="14" t="s">
        <v>68</v>
      </c>
      <c r="N18" s="14" t="s">
        <v>62</v>
      </c>
      <c r="O18" s="14" t="s">
        <v>34</v>
      </c>
      <c r="P18" s="15" t="s">
        <v>70</v>
      </c>
      <c r="Q18" s="16">
        <v>3699</v>
      </c>
      <c r="R18" s="17">
        <v>55.72</v>
      </c>
      <c r="S18" s="18">
        <v>1883.4354999999998</v>
      </c>
      <c r="T18" s="19" t="s">
        <v>36</v>
      </c>
      <c r="U18" s="20" t="s">
        <v>73</v>
      </c>
      <c r="V18" s="21" t="s">
        <v>74</v>
      </c>
      <c r="W18" s="22">
        <v>2</v>
      </c>
      <c r="X18" s="23"/>
    </row>
    <row r="19" spans="1:24" s="1" customFormat="1" ht="52.05" customHeight="1" x14ac:dyDescent="0.3">
      <c r="A19" s="11" t="s">
        <v>23</v>
      </c>
      <c r="B19" s="11" t="s">
        <v>94</v>
      </c>
      <c r="C19" s="12" t="s">
        <v>95</v>
      </c>
      <c r="D19" s="55"/>
      <c r="E19" s="41" t="str">
        <f>HYPERLINK("https://www.google.ru/search?q=1379286-001&amp;newwindow=1&amp;tbm=isch","Еще фото")</f>
        <v>Еще фото</v>
      </c>
      <c r="F19" s="13"/>
      <c r="G19" s="11" t="s">
        <v>28</v>
      </c>
      <c r="H19" s="11" t="s">
        <v>27</v>
      </c>
      <c r="I19" s="14" t="s">
        <v>28</v>
      </c>
      <c r="J19" s="14" t="s">
        <v>29</v>
      </c>
      <c r="K19" s="15" t="s">
        <v>50</v>
      </c>
      <c r="L19" s="57" t="s">
        <v>96</v>
      </c>
      <c r="M19" s="14" t="s">
        <v>97</v>
      </c>
      <c r="N19" s="14" t="s">
        <v>98</v>
      </c>
      <c r="O19" s="14"/>
      <c r="P19" s="15" t="s">
        <v>47</v>
      </c>
      <c r="Q19" s="16">
        <v>8299</v>
      </c>
      <c r="R19" s="17">
        <v>55.68</v>
      </c>
      <c r="S19" s="18">
        <v>4229.4354999999996</v>
      </c>
      <c r="T19" s="19" t="s">
        <v>36</v>
      </c>
      <c r="U19" s="20" t="s">
        <v>99</v>
      </c>
      <c r="V19" s="21" t="s">
        <v>100</v>
      </c>
      <c r="W19" s="22">
        <v>4</v>
      </c>
      <c r="X19" s="23"/>
    </row>
    <row r="20" spans="1:24" s="1" customFormat="1" ht="61.05" customHeight="1" x14ac:dyDescent="0.3">
      <c r="A20" s="24" t="s">
        <v>23</v>
      </c>
      <c r="B20" s="24" t="s">
        <v>94</v>
      </c>
      <c r="C20" s="12" t="s">
        <v>95</v>
      </c>
      <c r="D20" s="56"/>
      <c r="E20" s="41" t="str">
        <f>HYPERLINK("https://www.google.ru/search?q=1379286-001&amp;newwindow=1&amp;tbm=isch","Еще фото")</f>
        <v>Еще фото</v>
      </c>
      <c r="F20" s="13"/>
      <c r="G20" s="24" t="s">
        <v>28</v>
      </c>
      <c r="H20" s="24" t="s">
        <v>27</v>
      </c>
      <c r="I20" s="24" t="s">
        <v>28</v>
      </c>
      <c r="J20" s="14" t="s">
        <v>29</v>
      </c>
      <c r="K20" s="15" t="s">
        <v>50</v>
      </c>
      <c r="L20" s="58"/>
      <c r="M20" s="14" t="s">
        <v>97</v>
      </c>
      <c r="N20" s="14" t="s">
        <v>98</v>
      </c>
      <c r="O20" s="14"/>
      <c r="P20" s="15" t="s">
        <v>47</v>
      </c>
      <c r="Q20" s="16">
        <v>8299</v>
      </c>
      <c r="R20" s="17">
        <v>55.68</v>
      </c>
      <c r="S20" s="18">
        <v>4229.4354999999996</v>
      </c>
      <c r="T20" s="19" t="s">
        <v>36</v>
      </c>
      <c r="U20" s="20" t="s">
        <v>54</v>
      </c>
      <c r="V20" s="21" t="s">
        <v>55</v>
      </c>
      <c r="W20" s="22">
        <v>11</v>
      </c>
      <c r="X20" s="23"/>
    </row>
    <row r="21" spans="1:24" s="1" customFormat="1" ht="26" customHeight="1" x14ac:dyDescent="0.3">
      <c r="A21" s="11" t="s">
        <v>23</v>
      </c>
      <c r="B21" s="11" t="s">
        <v>101</v>
      </c>
      <c r="C21" s="12" t="s">
        <v>102</v>
      </c>
      <c r="D21" s="59"/>
      <c r="E21" s="41" t="str">
        <f>HYPERLINK("https://www.google.ru/search?q=1381662-465&amp;newwindow=1&amp;tbm=isch","Еще фото")</f>
        <v>Еще фото</v>
      </c>
      <c r="F21" s="13" t="s">
        <v>103</v>
      </c>
      <c r="G21" s="11" t="s">
        <v>77</v>
      </c>
      <c r="H21" s="11" t="s">
        <v>27</v>
      </c>
      <c r="I21" s="14" t="s">
        <v>28</v>
      </c>
      <c r="J21" s="14" t="s">
        <v>29</v>
      </c>
      <c r="K21" s="15" t="s">
        <v>59</v>
      </c>
      <c r="L21" s="57" t="s">
        <v>104</v>
      </c>
      <c r="M21" s="14"/>
      <c r="N21" s="14" t="s">
        <v>46</v>
      </c>
      <c r="O21" s="14"/>
      <c r="P21" s="15" t="s">
        <v>105</v>
      </c>
      <c r="Q21" s="16">
        <v>8199</v>
      </c>
      <c r="R21" s="17">
        <v>55.63</v>
      </c>
      <c r="S21" s="18">
        <v>4183.4354999999996</v>
      </c>
      <c r="T21" s="19" t="s">
        <v>36</v>
      </c>
      <c r="U21" s="20" t="s">
        <v>63</v>
      </c>
      <c r="V21" s="21" t="s">
        <v>64</v>
      </c>
      <c r="W21" s="22">
        <v>8</v>
      </c>
      <c r="X21" s="23"/>
    </row>
    <row r="22" spans="1:24" s="1" customFormat="1" ht="26" customHeight="1" x14ac:dyDescent="0.3">
      <c r="A22" s="24" t="s">
        <v>23</v>
      </c>
      <c r="B22" s="24" t="s">
        <v>101</v>
      </c>
      <c r="C22" s="12" t="s">
        <v>102</v>
      </c>
      <c r="D22" s="60"/>
      <c r="E22" s="41" t="str">
        <f>HYPERLINK("https://www.google.ru/search?q=1381662-465&amp;newwindow=1&amp;tbm=isch","Еще фото")</f>
        <v>Еще фото</v>
      </c>
      <c r="F22" s="13" t="s">
        <v>103</v>
      </c>
      <c r="G22" s="24" t="s">
        <v>77</v>
      </c>
      <c r="H22" s="24" t="s">
        <v>27</v>
      </c>
      <c r="I22" s="24" t="s">
        <v>28</v>
      </c>
      <c r="J22" s="14" t="s">
        <v>29</v>
      </c>
      <c r="K22" s="15" t="s">
        <v>59</v>
      </c>
      <c r="L22" s="62"/>
      <c r="M22" s="14"/>
      <c r="N22" s="14" t="s">
        <v>46</v>
      </c>
      <c r="O22" s="14"/>
      <c r="P22" s="15" t="s">
        <v>105</v>
      </c>
      <c r="Q22" s="16">
        <v>8199</v>
      </c>
      <c r="R22" s="17">
        <v>55.63</v>
      </c>
      <c r="S22" s="18">
        <v>4183.4354999999996</v>
      </c>
      <c r="T22" s="19" t="s">
        <v>36</v>
      </c>
      <c r="U22" s="20" t="s">
        <v>37</v>
      </c>
      <c r="V22" s="21" t="s">
        <v>106</v>
      </c>
      <c r="W22" s="22">
        <v>5</v>
      </c>
      <c r="X22" s="23"/>
    </row>
    <row r="23" spans="1:24" s="1" customFormat="1" ht="26" customHeight="1" x14ac:dyDescent="0.3">
      <c r="A23" s="24" t="s">
        <v>23</v>
      </c>
      <c r="B23" s="24" t="s">
        <v>101</v>
      </c>
      <c r="C23" s="12" t="s">
        <v>102</v>
      </c>
      <c r="D23" s="60"/>
      <c r="E23" s="41" t="str">
        <f>HYPERLINK("https://www.google.ru/search?q=1381662-465&amp;newwindow=1&amp;tbm=isch","Еще фото")</f>
        <v>Еще фото</v>
      </c>
      <c r="F23" s="13" t="s">
        <v>103</v>
      </c>
      <c r="G23" s="24" t="s">
        <v>77</v>
      </c>
      <c r="H23" s="24" t="s">
        <v>27</v>
      </c>
      <c r="I23" s="24" t="s">
        <v>28</v>
      </c>
      <c r="J23" s="14" t="s">
        <v>29</v>
      </c>
      <c r="K23" s="15" t="s">
        <v>59</v>
      </c>
      <c r="L23" s="62"/>
      <c r="M23" s="14"/>
      <c r="N23" s="14" t="s">
        <v>46</v>
      </c>
      <c r="O23" s="14"/>
      <c r="P23" s="15" t="s">
        <v>105</v>
      </c>
      <c r="Q23" s="16">
        <v>8199</v>
      </c>
      <c r="R23" s="17">
        <v>55.63</v>
      </c>
      <c r="S23" s="18">
        <v>4183.4354999999996</v>
      </c>
      <c r="T23" s="19" t="s">
        <v>36</v>
      </c>
      <c r="U23" s="20" t="s">
        <v>39</v>
      </c>
      <c r="V23" s="21" t="s">
        <v>85</v>
      </c>
      <c r="W23" s="22">
        <v>3</v>
      </c>
      <c r="X23" s="23"/>
    </row>
    <row r="24" spans="1:24" s="1" customFormat="1" ht="26" customHeight="1" x14ac:dyDescent="0.3">
      <c r="A24" s="24" t="s">
        <v>23</v>
      </c>
      <c r="B24" s="24" t="s">
        <v>101</v>
      </c>
      <c r="C24" s="12" t="s">
        <v>102</v>
      </c>
      <c r="D24" s="61"/>
      <c r="E24" s="41" t="str">
        <f>HYPERLINK("https://www.google.ru/search?q=1381662-465&amp;newwindow=1&amp;tbm=isch","Еще фото")</f>
        <v>Еще фото</v>
      </c>
      <c r="F24" s="13" t="s">
        <v>103</v>
      </c>
      <c r="G24" s="24" t="s">
        <v>77</v>
      </c>
      <c r="H24" s="24" t="s">
        <v>27</v>
      </c>
      <c r="I24" s="24" t="s">
        <v>28</v>
      </c>
      <c r="J24" s="14" t="s">
        <v>29</v>
      </c>
      <c r="K24" s="15" t="s">
        <v>59</v>
      </c>
      <c r="L24" s="58"/>
      <c r="M24" s="14"/>
      <c r="N24" s="14" t="s">
        <v>46</v>
      </c>
      <c r="O24" s="14"/>
      <c r="P24" s="15" t="s">
        <v>105</v>
      </c>
      <c r="Q24" s="16">
        <v>8199</v>
      </c>
      <c r="R24" s="17">
        <v>55.63</v>
      </c>
      <c r="S24" s="18">
        <v>4183.4354999999996</v>
      </c>
      <c r="T24" s="19" t="s">
        <v>36</v>
      </c>
      <c r="U24" s="20" t="s">
        <v>86</v>
      </c>
      <c r="V24" s="21" t="s">
        <v>38</v>
      </c>
      <c r="W24" s="22">
        <v>2</v>
      </c>
      <c r="X24" s="23"/>
    </row>
    <row r="25" spans="1:24" s="1" customFormat="1" ht="26" customHeight="1" x14ac:dyDescent="0.3">
      <c r="A25" s="11" t="s">
        <v>23</v>
      </c>
      <c r="B25" s="11" t="s">
        <v>107</v>
      </c>
      <c r="C25" s="12" t="s">
        <v>108</v>
      </c>
      <c r="D25" s="59"/>
      <c r="E25" s="41" t="str">
        <f>HYPERLINK("https://www.google.ru/search?q=1356403-090&amp;newwindow=1&amp;tbm=isch","Еще фото")</f>
        <v>Еще фото</v>
      </c>
      <c r="F25" s="13"/>
      <c r="G25" s="11" t="s">
        <v>109</v>
      </c>
      <c r="H25" s="11" t="s">
        <v>27</v>
      </c>
      <c r="I25" s="14" t="s">
        <v>28</v>
      </c>
      <c r="J25" s="14" t="s">
        <v>29</v>
      </c>
      <c r="K25" s="15" t="s">
        <v>59</v>
      </c>
      <c r="L25" s="57" t="s">
        <v>110</v>
      </c>
      <c r="M25" s="14" t="s">
        <v>45</v>
      </c>
      <c r="N25" s="14" t="s">
        <v>62</v>
      </c>
      <c r="O25" s="14"/>
      <c r="P25" s="15" t="s">
        <v>111</v>
      </c>
      <c r="Q25" s="16">
        <v>3899</v>
      </c>
      <c r="R25" s="17">
        <v>52.61</v>
      </c>
      <c r="S25" s="18">
        <v>2124.9354999999996</v>
      </c>
      <c r="T25" s="19" t="s">
        <v>36</v>
      </c>
      <c r="U25" s="20" t="s">
        <v>63</v>
      </c>
      <c r="V25" s="21" t="s">
        <v>64</v>
      </c>
      <c r="W25" s="22">
        <v>13</v>
      </c>
      <c r="X25" s="23"/>
    </row>
    <row r="26" spans="1:24" s="1" customFormat="1" ht="26" customHeight="1" x14ac:dyDescent="0.3">
      <c r="A26" s="24" t="s">
        <v>23</v>
      </c>
      <c r="B26" s="24" t="s">
        <v>107</v>
      </c>
      <c r="C26" s="12" t="s">
        <v>108</v>
      </c>
      <c r="D26" s="60"/>
      <c r="E26" s="41" t="str">
        <f>HYPERLINK("https://www.google.ru/search?q=1356403-090&amp;newwindow=1&amp;tbm=isch","Еще фото")</f>
        <v>Еще фото</v>
      </c>
      <c r="F26" s="13"/>
      <c r="G26" s="24" t="s">
        <v>109</v>
      </c>
      <c r="H26" s="24" t="s">
        <v>27</v>
      </c>
      <c r="I26" s="24" t="s">
        <v>28</v>
      </c>
      <c r="J26" s="14" t="s">
        <v>29</v>
      </c>
      <c r="K26" s="15" t="s">
        <v>59</v>
      </c>
      <c r="L26" s="62"/>
      <c r="M26" s="14" t="s">
        <v>45</v>
      </c>
      <c r="N26" s="14" t="s">
        <v>62</v>
      </c>
      <c r="O26" s="14"/>
      <c r="P26" s="15" t="s">
        <v>111</v>
      </c>
      <c r="Q26" s="16">
        <v>3899</v>
      </c>
      <c r="R26" s="17">
        <v>52.61</v>
      </c>
      <c r="S26" s="18">
        <v>2124.9354999999996</v>
      </c>
      <c r="T26" s="19" t="s">
        <v>36</v>
      </c>
      <c r="U26" s="20" t="s">
        <v>37</v>
      </c>
      <c r="V26" s="21" t="s">
        <v>106</v>
      </c>
      <c r="W26" s="22">
        <v>8</v>
      </c>
      <c r="X26" s="23"/>
    </row>
    <row r="27" spans="1:24" s="1" customFormat="1" ht="26" customHeight="1" x14ac:dyDescent="0.3">
      <c r="A27" s="24" t="s">
        <v>23</v>
      </c>
      <c r="B27" s="24" t="s">
        <v>107</v>
      </c>
      <c r="C27" s="12" t="s">
        <v>108</v>
      </c>
      <c r="D27" s="60"/>
      <c r="E27" s="41" t="str">
        <f>HYPERLINK("https://www.google.ru/search?q=1356403-090&amp;newwindow=1&amp;tbm=isch","Еще фото")</f>
        <v>Еще фото</v>
      </c>
      <c r="F27" s="13"/>
      <c r="G27" s="24" t="s">
        <v>109</v>
      </c>
      <c r="H27" s="24" t="s">
        <v>27</v>
      </c>
      <c r="I27" s="24" t="s">
        <v>28</v>
      </c>
      <c r="J27" s="14" t="s">
        <v>29</v>
      </c>
      <c r="K27" s="15" t="s">
        <v>59</v>
      </c>
      <c r="L27" s="62"/>
      <c r="M27" s="14" t="s">
        <v>45</v>
      </c>
      <c r="N27" s="14" t="s">
        <v>62</v>
      </c>
      <c r="O27" s="14"/>
      <c r="P27" s="15" t="s">
        <v>111</v>
      </c>
      <c r="Q27" s="16">
        <v>3899</v>
      </c>
      <c r="R27" s="17">
        <v>52.61</v>
      </c>
      <c r="S27" s="18">
        <v>2124.9354999999996</v>
      </c>
      <c r="T27" s="19" t="s">
        <v>36</v>
      </c>
      <c r="U27" s="20" t="s">
        <v>39</v>
      </c>
      <c r="V27" s="21" t="s">
        <v>85</v>
      </c>
      <c r="W27" s="22">
        <v>1</v>
      </c>
      <c r="X27" s="23"/>
    </row>
    <row r="28" spans="1:24" s="1" customFormat="1" ht="26" customHeight="1" x14ac:dyDescent="0.3">
      <c r="A28" s="24" t="s">
        <v>23</v>
      </c>
      <c r="B28" s="24" t="s">
        <v>107</v>
      </c>
      <c r="C28" s="12" t="s">
        <v>108</v>
      </c>
      <c r="D28" s="61"/>
      <c r="E28" s="41" t="str">
        <f>HYPERLINK("https://www.google.ru/search?q=1356403-090&amp;newwindow=1&amp;tbm=isch","Еще фото")</f>
        <v>Еще фото</v>
      </c>
      <c r="F28" s="13"/>
      <c r="G28" s="24" t="s">
        <v>109</v>
      </c>
      <c r="H28" s="24" t="s">
        <v>27</v>
      </c>
      <c r="I28" s="24" t="s">
        <v>28</v>
      </c>
      <c r="J28" s="14" t="s">
        <v>29</v>
      </c>
      <c r="K28" s="15" t="s">
        <v>59</v>
      </c>
      <c r="L28" s="58"/>
      <c r="M28" s="14" t="s">
        <v>45</v>
      </c>
      <c r="N28" s="14" t="s">
        <v>62</v>
      </c>
      <c r="O28" s="14"/>
      <c r="P28" s="15" t="s">
        <v>111</v>
      </c>
      <c r="Q28" s="16">
        <v>3899</v>
      </c>
      <c r="R28" s="17">
        <v>52.61</v>
      </c>
      <c r="S28" s="18">
        <v>2124.9354999999996</v>
      </c>
      <c r="T28" s="19" t="s">
        <v>36</v>
      </c>
      <c r="U28" s="20" t="s">
        <v>86</v>
      </c>
      <c r="V28" s="21" t="s">
        <v>38</v>
      </c>
      <c r="W28" s="22">
        <v>1</v>
      </c>
      <c r="X28" s="23"/>
    </row>
    <row r="29" spans="1:24" s="1" customFormat="1" ht="52.05" customHeight="1" x14ac:dyDescent="0.3">
      <c r="A29" s="11" t="s">
        <v>23</v>
      </c>
      <c r="B29" s="11" t="s">
        <v>112</v>
      </c>
      <c r="C29" s="12" t="s">
        <v>113</v>
      </c>
      <c r="D29" s="55"/>
      <c r="E29" s="41" t="str">
        <f>HYPERLINK("https://www.google.ru/search?q=1290261-468&amp;newwindow=1&amp;tbm=isch","Еще фото")</f>
        <v>Еще фото</v>
      </c>
      <c r="F29" s="13"/>
      <c r="G29" s="11" t="s">
        <v>28</v>
      </c>
      <c r="H29" s="11" t="s">
        <v>27</v>
      </c>
      <c r="I29" s="14" t="s">
        <v>28</v>
      </c>
      <c r="J29" s="14" t="s">
        <v>29</v>
      </c>
      <c r="K29" s="15" t="s">
        <v>30</v>
      </c>
      <c r="L29" s="57" t="s">
        <v>114</v>
      </c>
      <c r="M29" s="14"/>
      <c r="N29" s="14" t="s">
        <v>115</v>
      </c>
      <c r="O29" s="14"/>
      <c r="P29" s="15" t="s">
        <v>47</v>
      </c>
      <c r="Q29" s="16">
        <v>7999</v>
      </c>
      <c r="R29" s="17">
        <v>52.4</v>
      </c>
      <c r="S29" s="18">
        <v>4378.9354999999996</v>
      </c>
      <c r="T29" s="19" t="s">
        <v>36</v>
      </c>
      <c r="U29" s="20" t="s">
        <v>37</v>
      </c>
      <c r="V29" s="21" t="s">
        <v>38</v>
      </c>
      <c r="W29" s="22">
        <v>7</v>
      </c>
      <c r="X29" s="23"/>
    </row>
    <row r="30" spans="1:24" s="1" customFormat="1" ht="61.05" customHeight="1" x14ac:dyDescent="0.3">
      <c r="A30" s="24" t="s">
        <v>23</v>
      </c>
      <c r="B30" s="24" t="s">
        <v>112</v>
      </c>
      <c r="C30" s="12" t="s">
        <v>113</v>
      </c>
      <c r="D30" s="56"/>
      <c r="E30" s="41" t="str">
        <f>HYPERLINK("https://www.google.ru/search?q=1290261-468&amp;newwindow=1&amp;tbm=isch","Еще фото")</f>
        <v>Еще фото</v>
      </c>
      <c r="F30" s="13"/>
      <c r="G30" s="24" t="s">
        <v>28</v>
      </c>
      <c r="H30" s="24" t="s">
        <v>27</v>
      </c>
      <c r="I30" s="24" t="s">
        <v>28</v>
      </c>
      <c r="J30" s="14" t="s">
        <v>29</v>
      </c>
      <c r="K30" s="15" t="s">
        <v>30</v>
      </c>
      <c r="L30" s="58"/>
      <c r="M30" s="14"/>
      <c r="N30" s="14" t="s">
        <v>115</v>
      </c>
      <c r="O30" s="14"/>
      <c r="P30" s="15" t="s">
        <v>47</v>
      </c>
      <c r="Q30" s="16">
        <v>7999</v>
      </c>
      <c r="R30" s="17">
        <v>52.4</v>
      </c>
      <c r="S30" s="18">
        <v>4378.9354999999996</v>
      </c>
      <c r="T30" s="19" t="s">
        <v>36</v>
      </c>
      <c r="U30" s="20" t="s">
        <v>39</v>
      </c>
      <c r="V30" s="21" t="s">
        <v>40</v>
      </c>
      <c r="W30" s="22">
        <v>3</v>
      </c>
      <c r="X30" s="23"/>
    </row>
    <row r="31" spans="1:24" s="1" customFormat="1" ht="26" customHeight="1" x14ac:dyDescent="0.3">
      <c r="A31" s="11" t="s">
        <v>23</v>
      </c>
      <c r="B31" s="11" t="s">
        <v>116</v>
      </c>
      <c r="C31" s="12" t="s">
        <v>117</v>
      </c>
      <c r="D31" s="59"/>
      <c r="E31" s="41" t="str">
        <f>HYPERLINK("https://www.google.ru/search?q=1361642-112&amp;newwindow=1&amp;tbm=isch","Еще фото")</f>
        <v>Еще фото</v>
      </c>
      <c r="F31" s="13" t="s">
        <v>103</v>
      </c>
      <c r="G31" s="11" t="s">
        <v>28</v>
      </c>
      <c r="H31" s="11" t="s">
        <v>27</v>
      </c>
      <c r="I31" s="14" t="s">
        <v>28</v>
      </c>
      <c r="J31" s="14" t="s">
        <v>29</v>
      </c>
      <c r="K31" s="15" t="s">
        <v>30</v>
      </c>
      <c r="L31" s="57" t="s">
        <v>118</v>
      </c>
      <c r="M31" s="14" t="s">
        <v>119</v>
      </c>
      <c r="N31" s="14" t="s">
        <v>62</v>
      </c>
      <c r="O31" s="14"/>
      <c r="P31" s="15" t="s">
        <v>120</v>
      </c>
      <c r="Q31" s="16">
        <v>6799</v>
      </c>
      <c r="R31" s="17">
        <v>52.38</v>
      </c>
      <c r="S31" s="18">
        <v>3723.4354999999996</v>
      </c>
      <c r="T31" s="19" t="s">
        <v>36</v>
      </c>
      <c r="U31" s="20" t="s">
        <v>37</v>
      </c>
      <c r="V31" s="21" t="s">
        <v>38</v>
      </c>
      <c r="W31" s="22">
        <v>14</v>
      </c>
      <c r="X31" s="23"/>
    </row>
    <row r="32" spans="1:24" s="1" customFormat="1" ht="26" customHeight="1" x14ac:dyDescent="0.3">
      <c r="A32" s="24" t="s">
        <v>23</v>
      </c>
      <c r="B32" s="24" t="s">
        <v>116</v>
      </c>
      <c r="C32" s="12" t="s">
        <v>117</v>
      </c>
      <c r="D32" s="60"/>
      <c r="E32" s="41" t="str">
        <f>HYPERLINK("https://www.google.ru/search?q=1361642-112&amp;newwindow=1&amp;tbm=isch","Еще фото")</f>
        <v>Еще фото</v>
      </c>
      <c r="F32" s="13" t="s">
        <v>103</v>
      </c>
      <c r="G32" s="24" t="s">
        <v>28</v>
      </c>
      <c r="H32" s="24" t="s">
        <v>27</v>
      </c>
      <c r="I32" s="24" t="s">
        <v>28</v>
      </c>
      <c r="J32" s="14" t="s">
        <v>29</v>
      </c>
      <c r="K32" s="15" t="s">
        <v>30</v>
      </c>
      <c r="L32" s="62"/>
      <c r="M32" s="14" t="s">
        <v>119</v>
      </c>
      <c r="N32" s="14" t="s">
        <v>62</v>
      </c>
      <c r="O32" s="14"/>
      <c r="P32" s="15" t="s">
        <v>120</v>
      </c>
      <c r="Q32" s="16">
        <v>6799</v>
      </c>
      <c r="R32" s="17">
        <v>52.38</v>
      </c>
      <c r="S32" s="18">
        <v>3723.4354999999996</v>
      </c>
      <c r="T32" s="19" t="s">
        <v>36</v>
      </c>
      <c r="U32" s="20" t="s">
        <v>39</v>
      </c>
      <c r="V32" s="21" t="s">
        <v>40</v>
      </c>
      <c r="W32" s="22">
        <v>15</v>
      </c>
      <c r="X32" s="23"/>
    </row>
    <row r="33" spans="1:24" s="1" customFormat="1" ht="26" customHeight="1" x14ac:dyDescent="0.3">
      <c r="A33" s="24" t="s">
        <v>23</v>
      </c>
      <c r="B33" s="24" t="s">
        <v>116</v>
      </c>
      <c r="C33" s="12" t="s">
        <v>117</v>
      </c>
      <c r="D33" s="60"/>
      <c r="E33" s="41" t="str">
        <f>HYPERLINK("https://www.google.ru/search?q=1361642-112&amp;newwindow=1&amp;tbm=isch","Еще фото")</f>
        <v>Еще фото</v>
      </c>
      <c r="F33" s="13" t="s">
        <v>103</v>
      </c>
      <c r="G33" s="24" t="s">
        <v>28</v>
      </c>
      <c r="H33" s="24" t="s">
        <v>27</v>
      </c>
      <c r="I33" s="24" t="s">
        <v>28</v>
      </c>
      <c r="J33" s="14" t="s">
        <v>29</v>
      </c>
      <c r="K33" s="15" t="s">
        <v>30</v>
      </c>
      <c r="L33" s="62"/>
      <c r="M33" s="14" t="s">
        <v>119</v>
      </c>
      <c r="N33" s="14" t="s">
        <v>62</v>
      </c>
      <c r="O33" s="14"/>
      <c r="P33" s="15" t="s">
        <v>120</v>
      </c>
      <c r="Q33" s="16">
        <v>6799</v>
      </c>
      <c r="R33" s="17">
        <v>52.38</v>
      </c>
      <c r="S33" s="18">
        <v>3723.4354999999996</v>
      </c>
      <c r="T33" s="19" t="s">
        <v>36</v>
      </c>
      <c r="U33" s="20" t="s">
        <v>86</v>
      </c>
      <c r="V33" s="21" t="s">
        <v>87</v>
      </c>
      <c r="W33" s="22">
        <v>12</v>
      </c>
      <c r="X33" s="23"/>
    </row>
    <row r="34" spans="1:24" s="1" customFormat="1" ht="26" customHeight="1" x14ac:dyDescent="0.3">
      <c r="A34" s="24" t="s">
        <v>23</v>
      </c>
      <c r="B34" s="24" t="s">
        <v>116</v>
      </c>
      <c r="C34" s="12" t="s">
        <v>117</v>
      </c>
      <c r="D34" s="61"/>
      <c r="E34" s="41" t="str">
        <f>HYPERLINK("https://www.google.ru/search?q=1361642-112&amp;newwindow=1&amp;tbm=isch","Еще фото")</f>
        <v>Еще фото</v>
      </c>
      <c r="F34" s="13" t="s">
        <v>103</v>
      </c>
      <c r="G34" s="24" t="s">
        <v>28</v>
      </c>
      <c r="H34" s="24" t="s">
        <v>27</v>
      </c>
      <c r="I34" s="24" t="s">
        <v>28</v>
      </c>
      <c r="J34" s="14" t="s">
        <v>29</v>
      </c>
      <c r="K34" s="15" t="s">
        <v>30</v>
      </c>
      <c r="L34" s="58"/>
      <c r="M34" s="14" t="s">
        <v>119</v>
      </c>
      <c r="N34" s="14" t="s">
        <v>62</v>
      </c>
      <c r="O34" s="14"/>
      <c r="P34" s="15" t="s">
        <v>120</v>
      </c>
      <c r="Q34" s="16">
        <v>6799</v>
      </c>
      <c r="R34" s="17">
        <v>52.38</v>
      </c>
      <c r="S34" s="18">
        <v>3723.4354999999996</v>
      </c>
      <c r="T34" s="19" t="s">
        <v>36</v>
      </c>
      <c r="U34" s="20" t="s">
        <v>88</v>
      </c>
      <c r="V34" s="21" t="s">
        <v>89</v>
      </c>
      <c r="W34" s="22">
        <v>15</v>
      </c>
      <c r="X34" s="23"/>
    </row>
    <row r="35" spans="1:24" s="1" customFormat="1" ht="26" customHeight="1" x14ac:dyDescent="0.3">
      <c r="A35" s="11" t="s">
        <v>23</v>
      </c>
      <c r="B35" s="11" t="s">
        <v>121</v>
      </c>
      <c r="C35" s="12" t="s">
        <v>122</v>
      </c>
      <c r="D35" s="59"/>
      <c r="E35" s="41" t="str">
        <f>HYPERLINK("https://www.google.ru/search?q=6000276-001&amp;newwindow=1&amp;tbm=isch","Еще фото")</f>
        <v>Еще фото</v>
      </c>
      <c r="F35" s="13"/>
      <c r="G35" s="11" t="s">
        <v>28</v>
      </c>
      <c r="H35" s="11" t="s">
        <v>27</v>
      </c>
      <c r="I35" s="14" t="s">
        <v>28</v>
      </c>
      <c r="J35" s="14" t="s">
        <v>43</v>
      </c>
      <c r="K35" s="15" t="s">
        <v>59</v>
      </c>
      <c r="L35" s="57" t="s">
        <v>123</v>
      </c>
      <c r="M35" s="14"/>
      <c r="N35" s="14" t="s">
        <v>33</v>
      </c>
      <c r="O35" s="14"/>
      <c r="P35" s="15" t="s">
        <v>47</v>
      </c>
      <c r="Q35" s="16">
        <v>13299</v>
      </c>
      <c r="R35" s="17">
        <v>49.79</v>
      </c>
      <c r="S35" s="18">
        <v>7679.4354999999996</v>
      </c>
      <c r="T35" s="19" t="s">
        <v>36</v>
      </c>
      <c r="U35" s="20" t="s">
        <v>37</v>
      </c>
      <c r="V35" s="21" t="s">
        <v>106</v>
      </c>
      <c r="W35" s="22">
        <v>4</v>
      </c>
      <c r="X35" s="23"/>
    </row>
    <row r="36" spans="1:24" s="1" customFormat="1" ht="26" customHeight="1" x14ac:dyDescent="0.3">
      <c r="A36" s="24" t="s">
        <v>23</v>
      </c>
      <c r="B36" s="24" t="s">
        <v>121</v>
      </c>
      <c r="C36" s="12" t="s">
        <v>122</v>
      </c>
      <c r="D36" s="60"/>
      <c r="E36" s="41" t="str">
        <f>HYPERLINK("https://www.google.ru/search?q=6000276-001&amp;newwindow=1&amp;tbm=isch","Еще фото")</f>
        <v>Еще фото</v>
      </c>
      <c r="F36" s="13"/>
      <c r="G36" s="24" t="s">
        <v>28</v>
      </c>
      <c r="H36" s="24" t="s">
        <v>27</v>
      </c>
      <c r="I36" s="24" t="s">
        <v>28</v>
      </c>
      <c r="J36" s="14" t="s">
        <v>43</v>
      </c>
      <c r="K36" s="15" t="s">
        <v>59</v>
      </c>
      <c r="L36" s="62"/>
      <c r="M36" s="14"/>
      <c r="N36" s="14" t="s">
        <v>33</v>
      </c>
      <c r="O36" s="14"/>
      <c r="P36" s="15" t="s">
        <v>47</v>
      </c>
      <c r="Q36" s="16">
        <v>13299</v>
      </c>
      <c r="R36" s="17">
        <v>49.79</v>
      </c>
      <c r="S36" s="18">
        <v>7679.4354999999996</v>
      </c>
      <c r="T36" s="19" t="s">
        <v>36</v>
      </c>
      <c r="U36" s="20" t="s">
        <v>39</v>
      </c>
      <c r="V36" s="21" t="s">
        <v>85</v>
      </c>
      <c r="W36" s="22">
        <v>6</v>
      </c>
      <c r="X36" s="23"/>
    </row>
    <row r="37" spans="1:24" s="1" customFormat="1" ht="26" customHeight="1" x14ac:dyDescent="0.3">
      <c r="A37" s="24" t="s">
        <v>23</v>
      </c>
      <c r="B37" s="24" t="s">
        <v>121</v>
      </c>
      <c r="C37" s="12" t="s">
        <v>122</v>
      </c>
      <c r="D37" s="60"/>
      <c r="E37" s="41" t="str">
        <f>HYPERLINK("https://www.google.ru/search?q=6000276-001&amp;newwindow=1&amp;tbm=isch","Еще фото")</f>
        <v>Еще фото</v>
      </c>
      <c r="F37" s="13"/>
      <c r="G37" s="24" t="s">
        <v>28</v>
      </c>
      <c r="H37" s="24" t="s">
        <v>27</v>
      </c>
      <c r="I37" s="24" t="s">
        <v>28</v>
      </c>
      <c r="J37" s="14" t="s">
        <v>43</v>
      </c>
      <c r="K37" s="15" t="s">
        <v>59</v>
      </c>
      <c r="L37" s="62"/>
      <c r="M37" s="14"/>
      <c r="N37" s="14" t="s">
        <v>33</v>
      </c>
      <c r="O37" s="14"/>
      <c r="P37" s="15" t="s">
        <v>47</v>
      </c>
      <c r="Q37" s="16">
        <v>13299</v>
      </c>
      <c r="R37" s="17">
        <v>49.79</v>
      </c>
      <c r="S37" s="18">
        <v>7679.4354999999996</v>
      </c>
      <c r="T37" s="19" t="s">
        <v>36</v>
      </c>
      <c r="U37" s="20" t="s">
        <v>86</v>
      </c>
      <c r="V37" s="21" t="s">
        <v>38</v>
      </c>
      <c r="W37" s="22">
        <v>4</v>
      </c>
      <c r="X37" s="23"/>
    </row>
    <row r="38" spans="1:24" s="1" customFormat="1" ht="26" customHeight="1" x14ac:dyDescent="0.3">
      <c r="A38" s="24" t="s">
        <v>23</v>
      </c>
      <c r="B38" s="24" t="s">
        <v>121</v>
      </c>
      <c r="C38" s="12" t="s">
        <v>122</v>
      </c>
      <c r="D38" s="61"/>
      <c r="E38" s="41" t="str">
        <f>HYPERLINK("https://www.google.ru/search?q=6000276-001&amp;newwindow=1&amp;tbm=isch","Еще фото")</f>
        <v>Еще фото</v>
      </c>
      <c r="F38" s="13"/>
      <c r="G38" s="24" t="s">
        <v>28</v>
      </c>
      <c r="H38" s="24" t="s">
        <v>27</v>
      </c>
      <c r="I38" s="24" t="s">
        <v>28</v>
      </c>
      <c r="J38" s="14" t="s">
        <v>43</v>
      </c>
      <c r="K38" s="15" t="s">
        <v>59</v>
      </c>
      <c r="L38" s="58"/>
      <c r="M38" s="14"/>
      <c r="N38" s="14" t="s">
        <v>33</v>
      </c>
      <c r="O38" s="14"/>
      <c r="P38" s="15" t="s">
        <v>47</v>
      </c>
      <c r="Q38" s="16">
        <v>13299</v>
      </c>
      <c r="R38" s="17">
        <v>49.79</v>
      </c>
      <c r="S38" s="18">
        <v>7679.4354999999996</v>
      </c>
      <c r="T38" s="19" t="s">
        <v>36</v>
      </c>
      <c r="U38" s="20" t="s">
        <v>88</v>
      </c>
      <c r="V38" s="21" t="s">
        <v>40</v>
      </c>
      <c r="W38" s="22">
        <v>1</v>
      </c>
      <c r="X38" s="23"/>
    </row>
    <row r="39" spans="1:24" s="1" customFormat="1" ht="21" customHeight="1" x14ac:dyDescent="0.3">
      <c r="A39" s="11" t="s">
        <v>23</v>
      </c>
      <c r="B39" s="11" t="s">
        <v>124</v>
      </c>
      <c r="C39" s="26" t="s">
        <v>125</v>
      </c>
      <c r="D39" s="59"/>
      <c r="E39" s="41" t="str">
        <f>HYPERLINK("https://www.google.ru/search?q=1389358-390&amp;newwindow=1&amp;tbm=isch","Еще фото")</f>
        <v>Еще фото</v>
      </c>
      <c r="F39" s="13"/>
      <c r="G39" s="11" t="s">
        <v>28</v>
      </c>
      <c r="H39" s="11" t="s">
        <v>27</v>
      </c>
      <c r="I39" s="14" t="s">
        <v>28</v>
      </c>
      <c r="J39" s="14" t="s">
        <v>29</v>
      </c>
      <c r="K39" s="15" t="s">
        <v>30</v>
      </c>
      <c r="L39" s="57" t="s">
        <v>126</v>
      </c>
      <c r="M39" s="14"/>
      <c r="N39" s="14" t="s">
        <v>127</v>
      </c>
      <c r="O39" s="14"/>
      <c r="P39" s="15" t="s">
        <v>120</v>
      </c>
      <c r="Q39" s="16">
        <v>9799</v>
      </c>
      <c r="R39" s="17">
        <v>49.71</v>
      </c>
      <c r="S39" s="18">
        <v>5666.9355000000005</v>
      </c>
      <c r="T39" s="19" t="s">
        <v>36</v>
      </c>
      <c r="U39" s="20" t="s">
        <v>37</v>
      </c>
      <c r="V39" s="21" t="s">
        <v>38</v>
      </c>
      <c r="W39" s="22">
        <v>8</v>
      </c>
      <c r="X39" s="23"/>
    </row>
    <row r="40" spans="1:24" s="1" customFormat="1" ht="21" customHeight="1" x14ac:dyDescent="0.3">
      <c r="A40" s="24" t="s">
        <v>23</v>
      </c>
      <c r="B40" s="24" t="s">
        <v>124</v>
      </c>
      <c r="C40" s="27" t="s">
        <v>125</v>
      </c>
      <c r="D40" s="60"/>
      <c r="E40" s="41" t="str">
        <f>HYPERLINK("https://www.google.ru/search?q=1389358-390&amp;newwindow=1&amp;tbm=isch","Еще фото")</f>
        <v>Еще фото</v>
      </c>
      <c r="F40" s="13"/>
      <c r="G40" s="24" t="s">
        <v>28</v>
      </c>
      <c r="H40" s="24" t="s">
        <v>27</v>
      </c>
      <c r="I40" s="24" t="s">
        <v>28</v>
      </c>
      <c r="J40" s="14" t="s">
        <v>29</v>
      </c>
      <c r="K40" s="15" t="s">
        <v>30</v>
      </c>
      <c r="L40" s="62"/>
      <c r="M40" s="14"/>
      <c r="N40" s="14" t="s">
        <v>127</v>
      </c>
      <c r="O40" s="14"/>
      <c r="P40" s="15" t="s">
        <v>120</v>
      </c>
      <c r="Q40" s="16">
        <v>9799</v>
      </c>
      <c r="R40" s="17">
        <v>49.71</v>
      </c>
      <c r="S40" s="18">
        <v>5666.9355000000005</v>
      </c>
      <c r="T40" s="19" t="s">
        <v>36</v>
      </c>
      <c r="U40" s="20" t="s">
        <v>39</v>
      </c>
      <c r="V40" s="21" t="s">
        <v>40</v>
      </c>
      <c r="W40" s="22">
        <v>8</v>
      </c>
      <c r="X40" s="23"/>
    </row>
    <row r="41" spans="1:24" s="1" customFormat="1" ht="21" customHeight="1" x14ac:dyDescent="0.3">
      <c r="A41" s="24" t="s">
        <v>23</v>
      </c>
      <c r="B41" s="24" t="s">
        <v>124</v>
      </c>
      <c r="C41" s="27" t="s">
        <v>125</v>
      </c>
      <c r="D41" s="60"/>
      <c r="E41" s="41" t="str">
        <f>HYPERLINK("https://www.google.ru/search?q=1389358-390&amp;newwindow=1&amp;tbm=isch","Еще фото")</f>
        <v>Еще фото</v>
      </c>
      <c r="F41" s="13"/>
      <c r="G41" s="24" t="s">
        <v>28</v>
      </c>
      <c r="H41" s="24" t="s">
        <v>27</v>
      </c>
      <c r="I41" s="24" t="s">
        <v>28</v>
      </c>
      <c r="J41" s="14" t="s">
        <v>29</v>
      </c>
      <c r="K41" s="15" t="s">
        <v>30</v>
      </c>
      <c r="L41" s="62"/>
      <c r="M41" s="14"/>
      <c r="N41" s="14" t="s">
        <v>127</v>
      </c>
      <c r="O41" s="14"/>
      <c r="P41" s="15" t="s">
        <v>120</v>
      </c>
      <c r="Q41" s="16">
        <v>9799</v>
      </c>
      <c r="R41" s="17">
        <v>49.71</v>
      </c>
      <c r="S41" s="18">
        <v>5666.9355000000005</v>
      </c>
      <c r="T41" s="19" t="s">
        <v>36</v>
      </c>
      <c r="U41" s="20" t="s">
        <v>86</v>
      </c>
      <c r="V41" s="21" t="s">
        <v>87</v>
      </c>
      <c r="W41" s="22">
        <v>4</v>
      </c>
      <c r="X41" s="23"/>
    </row>
    <row r="42" spans="1:24" s="1" customFormat="1" ht="21" customHeight="1" x14ac:dyDescent="0.3">
      <c r="A42" s="24" t="s">
        <v>23</v>
      </c>
      <c r="B42" s="24" t="s">
        <v>124</v>
      </c>
      <c r="C42" s="27" t="s">
        <v>125</v>
      </c>
      <c r="D42" s="60"/>
      <c r="E42" s="41" t="str">
        <f>HYPERLINK("https://www.google.ru/search?q=1389358-390&amp;newwindow=1&amp;tbm=isch","Еще фото")</f>
        <v>Еще фото</v>
      </c>
      <c r="F42" s="13"/>
      <c r="G42" s="24" t="s">
        <v>28</v>
      </c>
      <c r="H42" s="24" t="s">
        <v>27</v>
      </c>
      <c r="I42" s="24" t="s">
        <v>28</v>
      </c>
      <c r="J42" s="14" t="s">
        <v>29</v>
      </c>
      <c r="K42" s="15" t="s">
        <v>30</v>
      </c>
      <c r="L42" s="62"/>
      <c r="M42" s="14"/>
      <c r="N42" s="14" t="s">
        <v>127</v>
      </c>
      <c r="O42" s="14"/>
      <c r="P42" s="15" t="s">
        <v>120</v>
      </c>
      <c r="Q42" s="16">
        <v>9799</v>
      </c>
      <c r="R42" s="17">
        <v>49.71</v>
      </c>
      <c r="S42" s="18">
        <v>5666.9355000000005</v>
      </c>
      <c r="T42" s="19" t="s">
        <v>36</v>
      </c>
      <c r="U42" s="20" t="s">
        <v>88</v>
      </c>
      <c r="V42" s="21" t="s">
        <v>89</v>
      </c>
      <c r="W42" s="22">
        <v>1</v>
      </c>
      <c r="X42" s="23"/>
    </row>
    <row r="43" spans="1:24" s="1" customFormat="1" ht="32" customHeight="1" x14ac:dyDescent="0.3">
      <c r="A43" s="24" t="s">
        <v>23</v>
      </c>
      <c r="B43" s="24" t="s">
        <v>124</v>
      </c>
      <c r="C43" s="27" t="s">
        <v>125</v>
      </c>
      <c r="D43" s="61"/>
      <c r="E43" s="41" t="str">
        <f>HYPERLINK("https://www.google.ru/search?q=1389358-390&amp;newwindow=1&amp;tbm=isch","Еще фото")</f>
        <v>Еще фото</v>
      </c>
      <c r="F43" s="13"/>
      <c r="G43" s="24" t="s">
        <v>28</v>
      </c>
      <c r="H43" s="24" t="s">
        <v>27</v>
      </c>
      <c r="I43" s="24" t="s">
        <v>28</v>
      </c>
      <c r="J43" s="14" t="s">
        <v>29</v>
      </c>
      <c r="K43" s="15" t="s">
        <v>30</v>
      </c>
      <c r="L43" s="58"/>
      <c r="M43" s="14"/>
      <c r="N43" s="14" t="s">
        <v>127</v>
      </c>
      <c r="O43" s="14"/>
      <c r="P43" s="15" t="s">
        <v>120</v>
      </c>
      <c r="Q43" s="16">
        <v>9799</v>
      </c>
      <c r="R43" s="17">
        <v>49.71</v>
      </c>
      <c r="S43" s="18">
        <v>5666.9355000000005</v>
      </c>
      <c r="T43" s="19" t="s">
        <v>36</v>
      </c>
      <c r="U43" s="20" t="s">
        <v>90</v>
      </c>
      <c r="V43" s="21" t="s">
        <v>91</v>
      </c>
      <c r="W43" s="22">
        <v>1</v>
      </c>
      <c r="X43" s="23"/>
    </row>
    <row r="44" spans="1:24" s="1" customFormat="1" ht="108" customHeight="1" x14ac:dyDescent="0.3">
      <c r="A44" s="11" t="s">
        <v>23</v>
      </c>
      <c r="B44" s="11" t="s">
        <v>128</v>
      </c>
      <c r="C44" s="12" t="s">
        <v>129</v>
      </c>
      <c r="D44" s="25"/>
      <c r="E44" s="41" t="str">
        <f>HYPERLINK("https://www.google.ru/search?q=1386482-025&amp;newwindow=1&amp;tbm=isch","Еще фото")</f>
        <v>Еще фото</v>
      </c>
      <c r="F44" s="13"/>
      <c r="G44" s="11" t="s">
        <v>77</v>
      </c>
      <c r="H44" s="11" t="s">
        <v>27</v>
      </c>
      <c r="I44" s="14" t="s">
        <v>28</v>
      </c>
      <c r="J44" s="14" t="s">
        <v>29</v>
      </c>
      <c r="K44" s="15" t="s">
        <v>59</v>
      </c>
      <c r="L44" s="14" t="s">
        <v>130</v>
      </c>
      <c r="M44" s="14"/>
      <c r="N44" s="14" t="s">
        <v>62</v>
      </c>
      <c r="O44" s="14"/>
      <c r="P44" s="15" t="s">
        <v>131</v>
      </c>
      <c r="Q44" s="16">
        <v>4799</v>
      </c>
      <c r="R44" s="17">
        <v>49.62</v>
      </c>
      <c r="S44" s="18">
        <v>2780.4354999999996</v>
      </c>
      <c r="T44" s="19" t="s">
        <v>36</v>
      </c>
      <c r="U44" s="20" t="s">
        <v>63</v>
      </c>
      <c r="V44" s="21" t="s">
        <v>64</v>
      </c>
      <c r="W44" s="22">
        <v>13</v>
      </c>
      <c r="X44" s="23"/>
    </row>
    <row r="45" spans="1:24" s="1" customFormat="1" ht="108" customHeight="1" x14ac:dyDescent="0.3">
      <c r="A45" s="11" t="s">
        <v>23</v>
      </c>
      <c r="B45" s="11" t="s">
        <v>132</v>
      </c>
      <c r="C45" s="12" t="s">
        <v>133</v>
      </c>
      <c r="D45" s="25"/>
      <c r="E45" s="41" t="str">
        <f>HYPERLINK("https://www.google.ru/search?q=1318074-100&amp;newwindow=1&amp;tbm=isch","Еще фото")</f>
        <v>Еще фото</v>
      </c>
      <c r="F45" s="13"/>
      <c r="G45" s="11" t="s">
        <v>28</v>
      </c>
      <c r="H45" s="11" t="s">
        <v>27</v>
      </c>
      <c r="I45" s="14" t="s">
        <v>28</v>
      </c>
      <c r="J45" s="14" t="s">
        <v>29</v>
      </c>
      <c r="K45" s="15" t="s">
        <v>59</v>
      </c>
      <c r="L45" s="14" t="s">
        <v>134</v>
      </c>
      <c r="M45" s="14" t="s">
        <v>45</v>
      </c>
      <c r="N45" s="14" t="s">
        <v>84</v>
      </c>
      <c r="O45" s="14" t="s">
        <v>34</v>
      </c>
      <c r="P45" s="15" t="s">
        <v>135</v>
      </c>
      <c r="Q45" s="16">
        <v>8790</v>
      </c>
      <c r="R45" s="17">
        <v>49.17</v>
      </c>
      <c r="S45" s="18">
        <v>5137.9355000000005</v>
      </c>
      <c r="T45" s="19" t="s">
        <v>36</v>
      </c>
      <c r="U45" s="20" t="s">
        <v>88</v>
      </c>
      <c r="V45" s="21" t="s">
        <v>40</v>
      </c>
      <c r="W45" s="22">
        <v>3</v>
      </c>
      <c r="X45" s="23"/>
    </row>
    <row r="46" spans="1:24" s="1" customFormat="1" ht="17" customHeight="1" x14ac:dyDescent="0.3">
      <c r="A46" s="11" t="s">
        <v>23</v>
      </c>
      <c r="B46" s="11" t="s">
        <v>136</v>
      </c>
      <c r="C46" s="12" t="s">
        <v>137</v>
      </c>
      <c r="D46" s="59"/>
      <c r="E46" s="41" t="str">
        <f t="shared" ref="E46:E51" si="1">HYPERLINK("https://www.google.ru/search?q=1373362-410&amp;newwindow=1&amp;tbm=isch","Еще фото")</f>
        <v>Еще фото</v>
      </c>
      <c r="F46" s="28" t="s">
        <v>138</v>
      </c>
      <c r="G46" s="11" t="s">
        <v>28</v>
      </c>
      <c r="H46" s="11" t="s">
        <v>27</v>
      </c>
      <c r="I46" s="14" t="s">
        <v>28</v>
      </c>
      <c r="J46" s="14" t="s">
        <v>29</v>
      </c>
      <c r="K46" s="15" t="s">
        <v>30</v>
      </c>
      <c r="L46" s="57" t="s">
        <v>139</v>
      </c>
      <c r="M46" s="14" t="s">
        <v>140</v>
      </c>
      <c r="N46" s="14" t="s">
        <v>115</v>
      </c>
      <c r="O46" s="14"/>
      <c r="P46" s="15" t="s">
        <v>47</v>
      </c>
      <c r="Q46" s="16">
        <v>8299</v>
      </c>
      <c r="R46" s="17">
        <v>48.94</v>
      </c>
      <c r="S46" s="18">
        <v>4873.4355000000005</v>
      </c>
      <c r="T46" s="19" t="s">
        <v>36</v>
      </c>
      <c r="U46" s="20" t="s">
        <v>37</v>
      </c>
      <c r="V46" s="21" t="s">
        <v>38</v>
      </c>
      <c r="W46" s="22">
        <v>8</v>
      </c>
      <c r="X46" s="23"/>
    </row>
    <row r="47" spans="1:24" s="1" customFormat="1" ht="17" customHeight="1" x14ac:dyDescent="0.3">
      <c r="A47" s="24" t="s">
        <v>23</v>
      </c>
      <c r="B47" s="24" t="s">
        <v>136</v>
      </c>
      <c r="C47" s="12" t="s">
        <v>137</v>
      </c>
      <c r="D47" s="60"/>
      <c r="E47" s="41" t="str">
        <f t="shared" si="1"/>
        <v>Еще фото</v>
      </c>
      <c r="F47" s="28" t="s">
        <v>138</v>
      </c>
      <c r="G47" s="24" t="s">
        <v>28</v>
      </c>
      <c r="H47" s="24" t="s">
        <v>27</v>
      </c>
      <c r="I47" s="24" t="s">
        <v>28</v>
      </c>
      <c r="J47" s="14" t="s">
        <v>29</v>
      </c>
      <c r="K47" s="15" t="s">
        <v>30</v>
      </c>
      <c r="L47" s="62"/>
      <c r="M47" s="14" t="s">
        <v>140</v>
      </c>
      <c r="N47" s="14" t="s">
        <v>115</v>
      </c>
      <c r="O47" s="14"/>
      <c r="P47" s="15" t="s">
        <v>47</v>
      </c>
      <c r="Q47" s="16">
        <v>8299</v>
      </c>
      <c r="R47" s="17">
        <v>48.94</v>
      </c>
      <c r="S47" s="18">
        <v>4873.4355000000005</v>
      </c>
      <c r="T47" s="19" t="s">
        <v>36</v>
      </c>
      <c r="U47" s="20" t="s">
        <v>39</v>
      </c>
      <c r="V47" s="21" t="s">
        <v>40</v>
      </c>
      <c r="W47" s="22">
        <v>18</v>
      </c>
      <c r="X47" s="23"/>
    </row>
    <row r="48" spans="1:24" s="1" customFormat="1" ht="17" customHeight="1" x14ac:dyDescent="0.3">
      <c r="A48" s="24" t="s">
        <v>23</v>
      </c>
      <c r="B48" s="24" t="s">
        <v>136</v>
      </c>
      <c r="C48" s="12" t="s">
        <v>137</v>
      </c>
      <c r="D48" s="60"/>
      <c r="E48" s="41" t="str">
        <f t="shared" si="1"/>
        <v>Еще фото</v>
      </c>
      <c r="F48" s="28" t="s">
        <v>138</v>
      </c>
      <c r="G48" s="24" t="s">
        <v>28</v>
      </c>
      <c r="H48" s="24" t="s">
        <v>27</v>
      </c>
      <c r="I48" s="24" t="s">
        <v>28</v>
      </c>
      <c r="J48" s="14" t="s">
        <v>29</v>
      </c>
      <c r="K48" s="15" t="s">
        <v>30</v>
      </c>
      <c r="L48" s="62"/>
      <c r="M48" s="14" t="s">
        <v>140</v>
      </c>
      <c r="N48" s="14" t="s">
        <v>115</v>
      </c>
      <c r="O48" s="14"/>
      <c r="P48" s="15" t="s">
        <v>47</v>
      </c>
      <c r="Q48" s="16">
        <v>8299</v>
      </c>
      <c r="R48" s="17">
        <v>48.94</v>
      </c>
      <c r="S48" s="18">
        <v>4873.4355000000005</v>
      </c>
      <c r="T48" s="19" t="s">
        <v>36</v>
      </c>
      <c r="U48" s="20" t="s">
        <v>86</v>
      </c>
      <c r="V48" s="21" t="s">
        <v>87</v>
      </c>
      <c r="W48" s="22">
        <v>2</v>
      </c>
      <c r="X48" s="23"/>
    </row>
    <row r="49" spans="1:24" s="1" customFormat="1" ht="17" customHeight="1" x14ac:dyDescent="0.3">
      <c r="A49" s="24" t="s">
        <v>23</v>
      </c>
      <c r="B49" s="24" t="s">
        <v>136</v>
      </c>
      <c r="C49" s="12" t="s">
        <v>137</v>
      </c>
      <c r="D49" s="60"/>
      <c r="E49" s="41" t="str">
        <f t="shared" si="1"/>
        <v>Еще фото</v>
      </c>
      <c r="F49" s="28" t="s">
        <v>138</v>
      </c>
      <c r="G49" s="24" t="s">
        <v>28</v>
      </c>
      <c r="H49" s="24" t="s">
        <v>27</v>
      </c>
      <c r="I49" s="24" t="s">
        <v>28</v>
      </c>
      <c r="J49" s="14" t="s">
        <v>29</v>
      </c>
      <c r="K49" s="15" t="s">
        <v>30</v>
      </c>
      <c r="L49" s="62"/>
      <c r="M49" s="14" t="s">
        <v>140</v>
      </c>
      <c r="N49" s="14" t="s">
        <v>115</v>
      </c>
      <c r="O49" s="14"/>
      <c r="P49" s="15" t="s">
        <v>47</v>
      </c>
      <c r="Q49" s="16">
        <v>8299</v>
      </c>
      <c r="R49" s="17">
        <v>48.94</v>
      </c>
      <c r="S49" s="18">
        <v>4873.4355000000005</v>
      </c>
      <c r="T49" s="19" t="s">
        <v>36</v>
      </c>
      <c r="U49" s="20" t="s">
        <v>88</v>
      </c>
      <c r="V49" s="21" t="s">
        <v>89</v>
      </c>
      <c r="W49" s="22">
        <v>4</v>
      </c>
      <c r="X49" s="23"/>
    </row>
    <row r="50" spans="1:24" s="1" customFormat="1" ht="17" customHeight="1" x14ac:dyDescent="0.3">
      <c r="A50" s="24" t="s">
        <v>23</v>
      </c>
      <c r="B50" s="24" t="s">
        <v>136</v>
      </c>
      <c r="C50" s="12" t="s">
        <v>137</v>
      </c>
      <c r="D50" s="60"/>
      <c r="E50" s="41" t="str">
        <f t="shared" si="1"/>
        <v>Еще фото</v>
      </c>
      <c r="F50" s="28" t="s">
        <v>138</v>
      </c>
      <c r="G50" s="24" t="s">
        <v>28</v>
      </c>
      <c r="H50" s="24" t="s">
        <v>27</v>
      </c>
      <c r="I50" s="24" t="s">
        <v>28</v>
      </c>
      <c r="J50" s="14" t="s">
        <v>29</v>
      </c>
      <c r="K50" s="15" t="s">
        <v>30</v>
      </c>
      <c r="L50" s="62"/>
      <c r="M50" s="14" t="s">
        <v>140</v>
      </c>
      <c r="N50" s="14" t="s">
        <v>115</v>
      </c>
      <c r="O50" s="14"/>
      <c r="P50" s="15" t="s">
        <v>47</v>
      </c>
      <c r="Q50" s="16">
        <v>8299</v>
      </c>
      <c r="R50" s="17">
        <v>48.94</v>
      </c>
      <c r="S50" s="18">
        <v>4873.4355000000005</v>
      </c>
      <c r="T50" s="19" t="s">
        <v>36</v>
      </c>
      <c r="U50" s="20" t="s">
        <v>141</v>
      </c>
      <c r="V50" s="21" t="s">
        <v>142</v>
      </c>
      <c r="W50" s="22">
        <v>1</v>
      </c>
      <c r="X50" s="23"/>
    </row>
    <row r="51" spans="1:24" s="1" customFormat="1" ht="22.05" customHeight="1" x14ac:dyDescent="0.3">
      <c r="A51" s="24" t="s">
        <v>23</v>
      </c>
      <c r="B51" s="24" t="s">
        <v>136</v>
      </c>
      <c r="C51" s="12" t="s">
        <v>137</v>
      </c>
      <c r="D51" s="61"/>
      <c r="E51" s="41" t="str">
        <f t="shared" si="1"/>
        <v>Еще фото</v>
      </c>
      <c r="F51" s="28" t="s">
        <v>138</v>
      </c>
      <c r="G51" s="24" t="s">
        <v>28</v>
      </c>
      <c r="H51" s="24" t="s">
        <v>27</v>
      </c>
      <c r="I51" s="24" t="s">
        <v>28</v>
      </c>
      <c r="J51" s="14" t="s">
        <v>29</v>
      </c>
      <c r="K51" s="15" t="s">
        <v>30</v>
      </c>
      <c r="L51" s="58"/>
      <c r="M51" s="14" t="s">
        <v>140</v>
      </c>
      <c r="N51" s="14" t="s">
        <v>115</v>
      </c>
      <c r="O51" s="14"/>
      <c r="P51" s="15" t="s">
        <v>47</v>
      </c>
      <c r="Q51" s="16">
        <v>8299</v>
      </c>
      <c r="R51" s="17">
        <v>48.94</v>
      </c>
      <c r="S51" s="18">
        <v>4873.4355000000005</v>
      </c>
      <c r="T51" s="19" t="s">
        <v>36</v>
      </c>
      <c r="U51" s="20" t="s">
        <v>143</v>
      </c>
      <c r="V51" s="21" t="s">
        <v>144</v>
      </c>
      <c r="W51" s="22">
        <v>2</v>
      </c>
      <c r="X51" s="23"/>
    </row>
    <row r="52" spans="1:24" s="1" customFormat="1" ht="108" customHeight="1" x14ac:dyDescent="0.3">
      <c r="A52" s="11" t="s">
        <v>23</v>
      </c>
      <c r="B52" s="11" t="s">
        <v>145</v>
      </c>
      <c r="C52" s="12" t="s">
        <v>146</v>
      </c>
      <c r="D52" s="25"/>
      <c r="E52" s="41" t="str">
        <f>HYPERLINK("https://www.google.ru/search?q=1376799-025&amp;newwindow=1&amp;tbm=isch","Еще фото")</f>
        <v>Еще фото</v>
      </c>
      <c r="F52" s="13"/>
      <c r="G52" s="11" t="s">
        <v>28</v>
      </c>
      <c r="H52" s="11" t="s">
        <v>27</v>
      </c>
      <c r="I52" s="14" t="s">
        <v>28</v>
      </c>
      <c r="J52" s="14" t="s">
        <v>29</v>
      </c>
      <c r="K52" s="15" t="s">
        <v>30</v>
      </c>
      <c r="L52" s="14" t="s">
        <v>147</v>
      </c>
      <c r="M52" s="14" t="s">
        <v>32</v>
      </c>
      <c r="N52" s="14" t="s">
        <v>62</v>
      </c>
      <c r="O52" s="14"/>
      <c r="P52" s="15" t="s">
        <v>53</v>
      </c>
      <c r="Q52" s="16">
        <v>10699</v>
      </c>
      <c r="R52" s="17">
        <v>48.89</v>
      </c>
      <c r="S52" s="18">
        <v>6287.9354999999996</v>
      </c>
      <c r="T52" s="19" t="s">
        <v>36</v>
      </c>
      <c r="U52" s="20" t="s">
        <v>37</v>
      </c>
      <c r="V52" s="21" t="s">
        <v>38</v>
      </c>
      <c r="W52" s="22">
        <v>13</v>
      </c>
      <c r="X52" s="23"/>
    </row>
    <row r="53" spans="1:24" s="1" customFormat="1" ht="21" customHeight="1" x14ac:dyDescent="0.3">
      <c r="A53" s="11" t="s">
        <v>23</v>
      </c>
      <c r="B53" s="11" t="s">
        <v>121</v>
      </c>
      <c r="C53" s="26" t="s">
        <v>148</v>
      </c>
      <c r="D53" s="59"/>
      <c r="E53" s="41" t="str">
        <f>HYPERLINK("https://www.google.ru/search?q=6000276-251&amp;newwindow=1&amp;tbm=isch","Еще фото")</f>
        <v>Еще фото</v>
      </c>
      <c r="F53" s="13"/>
      <c r="G53" s="11" t="s">
        <v>28</v>
      </c>
      <c r="H53" s="11" t="s">
        <v>27</v>
      </c>
      <c r="I53" s="14" t="s">
        <v>28</v>
      </c>
      <c r="J53" s="14" t="s">
        <v>43</v>
      </c>
      <c r="K53" s="15" t="s">
        <v>59</v>
      </c>
      <c r="L53" s="57" t="s">
        <v>149</v>
      </c>
      <c r="M53" s="14"/>
      <c r="N53" s="14" t="s">
        <v>127</v>
      </c>
      <c r="O53" s="14"/>
      <c r="P53" s="15" t="s">
        <v>47</v>
      </c>
      <c r="Q53" s="16">
        <v>13299</v>
      </c>
      <c r="R53" s="17">
        <v>48.89</v>
      </c>
      <c r="S53" s="18">
        <v>7817.4354999999996</v>
      </c>
      <c r="T53" s="19" t="s">
        <v>36</v>
      </c>
      <c r="U53" s="20" t="s">
        <v>63</v>
      </c>
      <c r="V53" s="21" t="s">
        <v>64</v>
      </c>
      <c r="W53" s="22">
        <v>4</v>
      </c>
      <c r="X53" s="23"/>
    </row>
    <row r="54" spans="1:24" s="1" customFormat="1" ht="21" customHeight="1" x14ac:dyDescent="0.3">
      <c r="A54" s="24" t="s">
        <v>23</v>
      </c>
      <c r="B54" s="24" t="s">
        <v>121</v>
      </c>
      <c r="C54" s="27" t="s">
        <v>148</v>
      </c>
      <c r="D54" s="60"/>
      <c r="E54" s="41" t="str">
        <f>HYPERLINK("https://www.google.ru/search?q=6000276-251&amp;newwindow=1&amp;tbm=isch","Еще фото")</f>
        <v>Еще фото</v>
      </c>
      <c r="F54" s="13"/>
      <c r="G54" s="24" t="s">
        <v>28</v>
      </c>
      <c r="H54" s="24" t="s">
        <v>27</v>
      </c>
      <c r="I54" s="24" t="s">
        <v>28</v>
      </c>
      <c r="J54" s="14" t="s">
        <v>43</v>
      </c>
      <c r="K54" s="15" t="s">
        <v>59</v>
      </c>
      <c r="L54" s="62"/>
      <c r="M54" s="14"/>
      <c r="N54" s="14" t="s">
        <v>127</v>
      </c>
      <c r="O54" s="14"/>
      <c r="P54" s="15" t="s">
        <v>47</v>
      </c>
      <c r="Q54" s="16">
        <v>13299</v>
      </c>
      <c r="R54" s="17">
        <v>48.89</v>
      </c>
      <c r="S54" s="18">
        <v>7817.4354999999996</v>
      </c>
      <c r="T54" s="19" t="s">
        <v>36</v>
      </c>
      <c r="U54" s="20" t="s">
        <v>37</v>
      </c>
      <c r="V54" s="21" t="s">
        <v>106</v>
      </c>
      <c r="W54" s="22">
        <v>6</v>
      </c>
      <c r="X54" s="23"/>
    </row>
    <row r="55" spans="1:24" s="1" customFormat="1" ht="21" customHeight="1" x14ac:dyDescent="0.3">
      <c r="A55" s="24" t="s">
        <v>23</v>
      </c>
      <c r="B55" s="24" t="s">
        <v>121</v>
      </c>
      <c r="C55" s="27" t="s">
        <v>148</v>
      </c>
      <c r="D55" s="60"/>
      <c r="E55" s="41" t="str">
        <f>HYPERLINK("https://www.google.ru/search?q=6000276-251&amp;newwindow=1&amp;tbm=isch","Еще фото")</f>
        <v>Еще фото</v>
      </c>
      <c r="F55" s="13"/>
      <c r="G55" s="24" t="s">
        <v>28</v>
      </c>
      <c r="H55" s="24" t="s">
        <v>27</v>
      </c>
      <c r="I55" s="24" t="s">
        <v>28</v>
      </c>
      <c r="J55" s="14" t="s">
        <v>43</v>
      </c>
      <c r="K55" s="15" t="s">
        <v>59</v>
      </c>
      <c r="L55" s="62"/>
      <c r="M55" s="14"/>
      <c r="N55" s="14" t="s">
        <v>127</v>
      </c>
      <c r="O55" s="14"/>
      <c r="P55" s="15" t="s">
        <v>47</v>
      </c>
      <c r="Q55" s="16">
        <v>13299</v>
      </c>
      <c r="R55" s="17">
        <v>48.89</v>
      </c>
      <c r="S55" s="18">
        <v>7817.4354999999996</v>
      </c>
      <c r="T55" s="19" t="s">
        <v>36</v>
      </c>
      <c r="U55" s="20" t="s">
        <v>39</v>
      </c>
      <c r="V55" s="21" t="s">
        <v>85</v>
      </c>
      <c r="W55" s="22">
        <v>8</v>
      </c>
      <c r="X55" s="23"/>
    </row>
    <row r="56" spans="1:24" s="1" customFormat="1" ht="21" customHeight="1" x14ac:dyDescent="0.3">
      <c r="A56" s="24" t="s">
        <v>23</v>
      </c>
      <c r="B56" s="24" t="s">
        <v>121</v>
      </c>
      <c r="C56" s="27" t="s">
        <v>148</v>
      </c>
      <c r="D56" s="60"/>
      <c r="E56" s="41" t="str">
        <f>HYPERLINK("https://www.google.ru/search?q=6000276-251&amp;newwindow=1&amp;tbm=isch","Еще фото")</f>
        <v>Еще фото</v>
      </c>
      <c r="F56" s="13"/>
      <c r="G56" s="24" t="s">
        <v>28</v>
      </c>
      <c r="H56" s="24" t="s">
        <v>27</v>
      </c>
      <c r="I56" s="24" t="s">
        <v>28</v>
      </c>
      <c r="J56" s="14" t="s">
        <v>43</v>
      </c>
      <c r="K56" s="15" t="s">
        <v>59</v>
      </c>
      <c r="L56" s="62"/>
      <c r="M56" s="14"/>
      <c r="N56" s="14" t="s">
        <v>127</v>
      </c>
      <c r="O56" s="14"/>
      <c r="P56" s="15" t="s">
        <v>47</v>
      </c>
      <c r="Q56" s="16">
        <v>13299</v>
      </c>
      <c r="R56" s="17">
        <v>48.89</v>
      </c>
      <c r="S56" s="18">
        <v>7817.4354999999996</v>
      </c>
      <c r="T56" s="19" t="s">
        <v>36</v>
      </c>
      <c r="U56" s="20" t="s">
        <v>86</v>
      </c>
      <c r="V56" s="21" t="s">
        <v>38</v>
      </c>
      <c r="W56" s="22">
        <v>2</v>
      </c>
      <c r="X56" s="23"/>
    </row>
    <row r="57" spans="1:24" s="1" customFormat="1" ht="32" customHeight="1" x14ac:dyDescent="0.3">
      <c r="A57" s="24" t="s">
        <v>23</v>
      </c>
      <c r="B57" s="24" t="s">
        <v>121</v>
      </c>
      <c r="C57" s="27" t="s">
        <v>148</v>
      </c>
      <c r="D57" s="61"/>
      <c r="E57" s="41" t="str">
        <f>HYPERLINK("https://www.google.ru/search?q=6000276-251&amp;newwindow=1&amp;tbm=isch","Еще фото")</f>
        <v>Еще фото</v>
      </c>
      <c r="F57" s="13"/>
      <c r="G57" s="24" t="s">
        <v>28</v>
      </c>
      <c r="H57" s="24" t="s">
        <v>27</v>
      </c>
      <c r="I57" s="24" t="s">
        <v>28</v>
      </c>
      <c r="J57" s="14" t="s">
        <v>43</v>
      </c>
      <c r="K57" s="15" t="s">
        <v>59</v>
      </c>
      <c r="L57" s="58"/>
      <c r="M57" s="14"/>
      <c r="N57" s="14" t="s">
        <v>127</v>
      </c>
      <c r="O57" s="14"/>
      <c r="P57" s="15" t="s">
        <v>47</v>
      </c>
      <c r="Q57" s="16">
        <v>13299</v>
      </c>
      <c r="R57" s="17">
        <v>48.89</v>
      </c>
      <c r="S57" s="18">
        <v>7817.4354999999996</v>
      </c>
      <c r="T57" s="19" t="s">
        <v>36</v>
      </c>
      <c r="U57" s="20" t="s">
        <v>88</v>
      </c>
      <c r="V57" s="21" t="s">
        <v>40</v>
      </c>
      <c r="W57" s="22">
        <v>3</v>
      </c>
      <c r="X57" s="23"/>
    </row>
    <row r="58" spans="1:24" s="1" customFormat="1" ht="21" customHeight="1" x14ac:dyDescent="0.3">
      <c r="A58" s="11" t="s">
        <v>23</v>
      </c>
      <c r="B58" s="11" t="s">
        <v>150</v>
      </c>
      <c r="C58" s="26" t="s">
        <v>151</v>
      </c>
      <c r="D58" s="59"/>
      <c r="E58" s="41" t="str">
        <f>HYPERLINK("https://www.google.ru/search?q=1365336-020&amp;newwindow=1&amp;tbm=isch","Еще фото")</f>
        <v>Еще фото</v>
      </c>
      <c r="F58" s="13" t="s">
        <v>152</v>
      </c>
      <c r="G58" s="11" t="s">
        <v>77</v>
      </c>
      <c r="H58" s="11" t="s">
        <v>27</v>
      </c>
      <c r="I58" s="14" t="s">
        <v>28</v>
      </c>
      <c r="J58" s="14" t="s">
        <v>29</v>
      </c>
      <c r="K58" s="15" t="s">
        <v>59</v>
      </c>
      <c r="L58" s="57" t="s">
        <v>60</v>
      </c>
      <c r="M58" s="14" t="s">
        <v>61</v>
      </c>
      <c r="N58" s="14" t="s">
        <v>62</v>
      </c>
      <c r="O58" s="14"/>
      <c r="P58" s="15" t="s">
        <v>53</v>
      </c>
      <c r="Q58" s="16">
        <v>6099</v>
      </c>
      <c r="R58" s="17">
        <v>48.88</v>
      </c>
      <c r="S58" s="18">
        <v>3585.4354999999996</v>
      </c>
      <c r="T58" s="19" t="s">
        <v>36</v>
      </c>
      <c r="U58" s="20" t="s">
        <v>63</v>
      </c>
      <c r="V58" s="21" t="s">
        <v>64</v>
      </c>
      <c r="W58" s="22">
        <v>23</v>
      </c>
      <c r="X58" s="23"/>
    </row>
    <row r="59" spans="1:24" s="1" customFormat="1" ht="21" customHeight="1" x14ac:dyDescent="0.3">
      <c r="A59" s="24" t="s">
        <v>23</v>
      </c>
      <c r="B59" s="24" t="s">
        <v>150</v>
      </c>
      <c r="C59" s="27" t="s">
        <v>151</v>
      </c>
      <c r="D59" s="60"/>
      <c r="E59" s="41" t="str">
        <f>HYPERLINK("https://www.google.ru/search?q=1365336-020&amp;newwindow=1&amp;tbm=isch","Еще фото")</f>
        <v>Еще фото</v>
      </c>
      <c r="F59" s="13" t="s">
        <v>152</v>
      </c>
      <c r="G59" s="24" t="s">
        <v>77</v>
      </c>
      <c r="H59" s="24" t="s">
        <v>27</v>
      </c>
      <c r="I59" s="24" t="s">
        <v>28</v>
      </c>
      <c r="J59" s="14" t="s">
        <v>29</v>
      </c>
      <c r="K59" s="15" t="s">
        <v>59</v>
      </c>
      <c r="L59" s="62"/>
      <c r="M59" s="14" t="s">
        <v>61</v>
      </c>
      <c r="N59" s="14" t="s">
        <v>62</v>
      </c>
      <c r="O59" s="14"/>
      <c r="P59" s="15" t="s">
        <v>53</v>
      </c>
      <c r="Q59" s="16">
        <v>6099</v>
      </c>
      <c r="R59" s="17">
        <v>48.88</v>
      </c>
      <c r="S59" s="18">
        <v>3585.4354999999996</v>
      </c>
      <c r="T59" s="19" t="s">
        <v>36</v>
      </c>
      <c r="U59" s="20" t="s">
        <v>37</v>
      </c>
      <c r="V59" s="21" t="s">
        <v>106</v>
      </c>
      <c r="W59" s="22">
        <v>28</v>
      </c>
      <c r="X59" s="23"/>
    </row>
    <row r="60" spans="1:24" s="1" customFormat="1" ht="21" customHeight="1" x14ac:dyDescent="0.3">
      <c r="A60" s="24" t="s">
        <v>23</v>
      </c>
      <c r="B60" s="24" t="s">
        <v>150</v>
      </c>
      <c r="C60" s="27" t="s">
        <v>151</v>
      </c>
      <c r="D60" s="60"/>
      <c r="E60" s="41" t="str">
        <f>HYPERLINK("https://www.google.ru/search?q=1365336-020&amp;newwindow=1&amp;tbm=isch","Еще фото")</f>
        <v>Еще фото</v>
      </c>
      <c r="F60" s="13" t="s">
        <v>152</v>
      </c>
      <c r="G60" s="24" t="s">
        <v>77</v>
      </c>
      <c r="H60" s="24" t="s">
        <v>27</v>
      </c>
      <c r="I60" s="24" t="s">
        <v>28</v>
      </c>
      <c r="J60" s="14" t="s">
        <v>29</v>
      </c>
      <c r="K60" s="15" t="s">
        <v>59</v>
      </c>
      <c r="L60" s="62"/>
      <c r="M60" s="14" t="s">
        <v>61</v>
      </c>
      <c r="N60" s="14" t="s">
        <v>62</v>
      </c>
      <c r="O60" s="14"/>
      <c r="P60" s="15" t="s">
        <v>53</v>
      </c>
      <c r="Q60" s="16">
        <v>6099</v>
      </c>
      <c r="R60" s="17">
        <v>48.88</v>
      </c>
      <c r="S60" s="18">
        <v>3585.4354999999996</v>
      </c>
      <c r="T60" s="19" t="s">
        <v>36</v>
      </c>
      <c r="U60" s="20" t="s">
        <v>39</v>
      </c>
      <c r="V60" s="21" t="s">
        <v>85</v>
      </c>
      <c r="W60" s="22">
        <v>14</v>
      </c>
      <c r="X60" s="23"/>
    </row>
    <row r="61" spans="1:24" s="1" customFormat="1" ht="21" customHeight="1" x14ac:dyDescent="0.3">
      <c r="A61" s="24" t="s">
        <v>23</v>
      </c>
      <c r="B61" s="24" t="s">
        <v>150</v>
      </c>
      <c r="C61" s="27" t="s">
        <v>151</v>
      </c>
      <c r="D61" s="60"/>
      <c r="E61" s="41" t="str">
        <f>HYPERLINK("https://www.google.ru/search?q=1365336-020&amp;newwindow=1&amp;tbm=isch","Еще фото")</f>
        <v>Еще фото</v>
      </c>
      <c r="F61" s="13" t="s">
        <v>152</v>
      </c>
      <c r="G61" s="24" t="s">
        <v>77</v>
      </c>
      <c r="H61" s="24" t="s">
        <v>27</v>
      </c>
      <c r="I61" s="24" t="s">
        <v>28</v>
      </c>
      <c r="J61" s="14" t="s">
        <v>29</v>
      </c>
      <c r="K61" s="15" t="s">
        <v>59</v>
      </c>
      <c r="L61" s="62"/>
      <c r="M61" s="14" t="s">
        <v>61</v>
      </c>
      <c r="N61" s="14" t="s">
        <v>62</v>
      </c>
      <c r="O61" s="14"/>
      <c r="P61" s="15" t="s">
        <v>53</v>
      </c>
      <c r="Q61" s="16">
        <v>6099</v>
      </c>
      <c r="R61" s="17">
        <v>48.88</v>
      </c>
      <c r="S61" s="18">
        <v>3585.4354999999996</v>
      </c>
      <c r="T61" s="19" t="s">
        <v>36</v>
      </c>
      <c r="U61" s="20" t="s">
        <v>86</v>
      </c>
      <c r="V61" s="21" t="s">
        <v>38</v>
      </c>
      <c r="W61" s="22">
        <v>15</v>
      </c>
      <c r="X61" s="23"/>
    </row>
    <row r="62" spans="1:24" s="1" customFormat="1" ht="32" customHeight="1" x14ac:dyDescent="0.3">
      <c r="A62" s="24" t="s">
        <v>23</v>
      </c>
      <c r="B62" s="24" t="s">
        <v>150</v>
      </c>
      <c r="C62" s="27" t="s">
        <v>151</v>
      </c>
      <c r="D62" s="61"/>
      <c r="E62" s="41" t="str">
        <f>HYPERLINK("https://www.google.ru/search?q=1365336-020&amp;newwindow=1&amp;tbm=isch","Еще фото")</f>
        <v>Еще фото</v>
      </c>
      <c r="F62" s="13" t="s">
        <v>152</v>
      </c>
      <c r="G62" s="24" t="s">
        <v>77</v>
      </c>
      <c r="H62" s="24" t="s">
        <v>27</v>
      </c>
      <c r="I62" s="24" t="s">
        <v>28</v>
      </c>
      <c r="J62" s="14" t="s">
        <v>29</v>
      </c>
      <c r="K62" s="15" t="s">
        <v>59</v>
      </c>
      <c r="L62" s="58"/>
      <c r="M62" s="14" t="s">
        <v>61</v>
      </c>
      <c r="N62" s="14" t="s">
        <v>62</v>
      </c>
      <c r="O62" s="14"/>
      <c r="P62" s="15" t="s">
        <v>53</v>
      </c>
      <c r="Q62" s="16">
        <v>6099</v>
      </c>
      <c r="R62" s="17">
        <v>48.88</v>
      </c>
      <c r="S62" s="18">
        <v>3585.4354999999996</v>
      </c>
      <c r="T62" s="19" t="s">
        <v>36</v>
      </c>
      <c r="U62" s="20" t="s">
        <v>88</v>
      </c>
      <c r="V62" s="21" t="s">
        <v>40</v>
      </c>
      <c r="W62" s="22">
        <v>2</v>
      </c>
      <c r="X62" s="23"/>
    </row>
    <row r="63" spans="1:24" s="1" customFormat="1" ht="21" customHeight="1" x14ac:dyDescent="0.3">
      <c r="A63" s="11" t="s">
        <v>23</v>
      </c>
      <c r="B63" s="11" t="s">
        <v>153</v>
      </c>
      <c r="C63" s="26" t="s">
        <v>154</v>
      </c>
      <c r="D63" s="59"/>
      <c r="E63" s="41" t="str">
        <f>HYPERLINK("https://www.google.ru/search?q=1383559-572&amp;newwindow=1&amp;tbm=isch","Еще фото")</f>
        <v>Еще фото</v>
      </c>
      <c r="F63" s="13"/>
      <c r="G63" s="11" t="s">
        <v>77</v>
      </c>
      <c r="H63" s="11" t="s">
        <v>27</v>
      </c>
      <c r="I63" s="14" t="s">
        <v>28</v>
      </c>
      <c r="J63" s="14" t="s">
        <v>29</v>
      </c>
      <c r="K63" s="15" t="s">
        <v>59</v>
      </c>
      <c r="L63" s="57" t="s">
        <v>155</v>
      </c>
      <c r="M63" s="14"/>
      <c r="N63" s="14" t="s">
        <v>69</v>
      </c>
      <c r="O63" s="14"/>
      <c r="P63" s="15" t="s">
        <v>53</v>
      </c>
      <c r="Q63" s="16">
        <v>5599</v>
      </c>
      <c r="R63" s="17">
        <v>48.78</v>
      </c>
      <c r="S63" s="18">
        <v>3297.9354999999996</v>
      </c>
      <c r="T63" s="19" t="s">
        <v>36</v>
      </c>
      <c r="U63" s="20" t="s">
        <v>63</v>
      </c>
      <c r="V63" s="21" t="s">
        <v>64</v>
      </c>
      <c r="W63" s="22">
        <v>8</v>
      </c>
      <c r="X63" s="23"/>
    </row>
    <row r="64" spans="1:24" s="1" customFormat="1" ht="21" customHeight="1" x14ac:dyDescent="0.3">
      <c r="A64" s="24" t="s">
        <v>23</v>
      </c>
      <c r="B64" s="24" t="s">
        <v>153</v>
      </c>
      <c r="C64" s="27" t="s">
        <v>154</v>
      </c>
      <c r="D64" s="60"/>
      <c r="E64" s="41" t="str">
        <f>HYPERLINK("https://www.google.ru/search?q=1383559-572&amp;newwindow=1&amp;tbm=isch","Еще фото")</f>
        <v>Еще фото</v>
      </c>
      <c r="F64" s="13"/>
      <c r="G64" s="24" t="s">
        <v>77</v>
      </c>
      <c r="H64" s="24" t="s">
        <v>27</v>
      </c>
      <c r="I64" s="24" t="s">
        <v>28</v>
      </c>
      <c r="J64" s="14" t="s">
        <v>29</v>
      </c>
      <c r="K64" s="15" t="s">
        <v>59</v>
      </c>
      <c r="L64" s="62"/>
      <c r="M64" s="14"/>
      <c r="N64" s="14" t="s">
        <v>69</v>
      </c>
      <c r="O64" s="14"/>
      <c r="P64" s="15" t="s">
        <v>53</v>
      </c>
      <c r="Q64" s="16">
        <v>5599</v>
      </c>
      <c r="R64" s="17">
        <v>48.78</v>
      </c>
      <c r="S64" s="18">
        <v>3297.9354999999996</v>
      </c>
      <c r="T64" s="19" t="s">
        <v>36</v>
      </c>
      <c r="U64" s="20" t="s">
        <v>37</v>
      </c>
      <c r="V64" s="21" t="s">
        <v>106</v>
      </c>
      <c r="W64" s="22">
        <v>6</v>
      </c>
      <c r="X64" s="23"/>
    </row>
    <row r="65" spans="1:24" s="1" customFormat="1" ht="21" customHeight="1" x14ac:dyDescent="0.3">
      <c r="A65" s="24" t="s">
        <v>23</v>
      </c>
      <c r="B65" s="24" t="s">
        <v>153</v>
      </c>
      <c r="C65" s="27" t="s">
        <v>154</v>
      </c>
      <c r="D65" s="60"/>
      <c r="E65" s="41" t="str">
        <f>HYPERLINK("https://www.google.ru/search?q=1383559-572&amp;newwindow=1&amp;tbm=isch","Еще фото")</f>
        <v>Еще фото</v>
      </c>
      <c r="F65" s="13"/>
      <c r="G65" s="24" t="s">
        <v>77</v>
      </c>
      <c r="H65" s="24" t="s">
        <v>27</v>
      </c>
      <c r="I65" s="24" t="s">
        <v>28</v>
      </c>
      <c r="J65" s="14" t="s">
        <v>29</v>
      </c>
      <c r="K65" s="15" t="s">
        <v>59</v>
      </c>
      <c r="L65" s="62"/>
      <c r="M65" s="14"/>
      <c r="N65" s="14" t="s">
        <v>69</v>
      </c>
      <c r="O65" s="14"/>
      <c r="P65" s="15" t="s">
        <v>53</v>
      </c>
      <c r="Q65" s="16">
        <v>5599</v>
      </c>
      <c r="R65" s="17">
        <v>48.78</v>
      </c>
      <c r="S65" s="18">
        <v>3297.9354999999996</v>
      </c>
      <c r="T65" s="19" t="s">
        <v>36</v>
      </c>
      <c r="U65" s="20" t="s">
        <v>39</v>
      </c>
      <c r="V65" s="21" t="s">
        <v>85</v>
      </c>
      <c r="W65" s="22">
        <v>19</v>
      </c>
      <c r="X65" s="23"/>
    </row>
    <row r="66" spans="1:24" s="1" customFormat="1" ht="21" customHeight="1" x14ac:dyDescent="0.3">
      <c r="A66" s="24" t="s">
        <v>23</v>
      </c>
      <c r="B66" s="24" t="s">
        <v>153</v>
      </c>
      <c r="C66" s="27" t="s">
        <v>154</v>
      </c>
      <c r="D66" s="60"/>
      <c r="E66" s="41" t="str">
        <f>HYPERLINK("https://www.google.ru/search?q=1383559-572&amp;newwindow=1&amp;tbm=isch","Еще фото")</f>
        <v>Еще фото</v>
      </c>
      <c r="F66" s="13"/>
      <c r="G66" s="24" t="s">
        <v>77</v>
      </c>
      <c r="H66" s="24" t="s">
        <v>27</v>
      </c>
      <c r="I66" s="24" t="s">
        <v>28</v>
      </c>
      <c r="J66" s="14" t="s">
        <v>29</v>
      </c>
      <c r="K66" s="15" t="s">
        <v>59</v>
      </c>
      <c r="L66" s="62"/>
      <c r="M66" s="14"/>
      <c r="N66" s="14" t="s">
        <v>69</v>
      </c>
      <c r="O66" s="14"/>
      <c r="P66" s="15" t="s">
        <v>53</v>
      </c>
      <c r="Q66" s="16">
        <v>5599</v>
      </c>
      <c r="R66" s="17">
        <v>48.78</v>
      </c>
      <c r="S66" s="18">
        <v>3297.9354999999996</v>
      </c>
      <c r="T66" s="19" t="s">
        <v>36</v>
      </c>
      <c r="U66" s="20" t="s">
        <v>86</v>
      </c>
      <c r="V66" s="21" t="s">
        <v>38</v>
      </c>
      <c r="W66" s="22">
        <v>12</v>
      </c>
      <c r="X66" s="23"/>
    </row>
    <row r="67" spans="1:24" s="1" customFormat="1" ht="32" customHeight="1" x14ac:dyDescent="0.3">
      <c r="A67" s="24" t="s">
        <v>23</v>
      </c>
      <c r="B67" s="24" t="s">
        <v>153</v>
      </c>
      <c r="C67" s="27" t="s">
        <v>154</v>
      </c>
      <c r="D67" s="61"/>
      <c r="E67" s="41" t="str">
        <f>HYPERLINK("https://www.google.ru/search?q=1383559-572&amp;newwindow=1&amp;tbm=isch","Еще фото")</f>
        <v>Еще фото</v>
      </c>
      <c r="F67" s="13"/>
      <c r="G67" s="24" t="s">
        <v>77</v>
      </c>
      <c r="H67" s="24" t="s">
        <v>27</v>
      </c>
      <c r="I67" s="24" t="s">
        <v>28</v>
      </c>
      <c r="J67" s="14" t="s">
        <v>29</v>
      </c>
      <c r="K67" s="15" t="s">
        <v>59</v>
      </c>
      <c r="L67" s="58"/>
      <c r="M67" s="14"/>
      <c r="N67" s="14" t="s">
        <v>69</v>
      </c>
      <c r="O67" s="14"/>
      <c r="P67" s="15" t="s">
        <v>53</v>
      </c>
      <c r="Q67" s="16">
        <v>5599</v>
      </c>
      <c r="R67" s="17">
        <v>48.78</v>
      </c>
      <c r="S67" s="18">
        <v>3297.9354999999996</v>
      </c>
      <c r="T67" s="19" t="s">
        <v>36</v>
      </c>
      <c r="U67" s="20" t="s">
        <v>88</v>
      </c>
      <c r="V67" s="21" t="s">
        <v>40</v>
      </c>
      <c r="W67" s="22">
        <v>1</v>
      </c>
      <c r="X67" s="23"/>
    </row>
    <row r="68" spans="1:24" s="1" customFormat="1" ht="108" customHeight="1" x14ac:dyDescent="0.3">
      <c r="A68" s="11" t="s">
        <v>23</v>
      </c>
      <c r="B68" s="11" t="s">
        <v>156</v>
      </c>
      <c r="C68" s="12" t="s">
        <v>157</v>
      </c>
      <c r="D68" s="25"/>
      <c r="E68" s="41" t="str">
        <f>HYPERLINK("https://www.google.ru/search?q=1365338-664&amp;newwindow=1&amp;tbm=isch","Еще фото")</f>
        <v>Еще фото</v>
      </c>
      <c r="F68" s="13"/>
      <c r="G68" s="11" t="s">
        <v>77</v>
      </c>
      <c r="H68" s="11" t="s">
        <v>27</v>
      </c>
      <c r="I68" s="14" t="s">
        <v>28</v>
      </c>
      <c r="J68" s="14" t="s">
        <v>29</v>
      </c>
      <c r="K68" s="15" t="s">
        <v>59</v>
      </c>
      <c r="L68" s="14" t="s">
        <v>158</v>
      </c>
      <c r="M68" s="14"/>
      <c r="N68" s="14" t="s">
        <v>69</v>
      </c>
      <c r="O68" s="14"/>
      <c r="P68" s="15" t="s">
        <v>159</v>
      </c>
      <c r="Q68" s="16">
        <v>5799</v>
      </c>
      <c r="R68" s="17">
        <v>46.54</v>
      </c>
      <c r="S68" s="18">
        <v>3564.9884999999995</v>
      </c>
      <c r="T68" s="19" t="s">
        <v>36</v>
      </c>
      <c r="U68" s="20" t="s">
        <v>63</v>
      </c>
      <c r="V68" s="21" t="s">
        <v>64</v>
      </c>
      <c r="W68" s="22">
        <v>1</v>
      </c>
      <c r="X68" s="23"/>
    </row>
    <row r="69" spans="1:24" s="1" customFormat="1" ht="108" customHeight="1" x14ac:dyDescent="0.3">
      <c r="A69" s="11" t="s">
        <v>23</v>
      </c>
      <c r="B69" s="11" t="s">
        <v>160</v>
      </c>
      <c r="C69" s="12" t="s">
        <v>161</v>
      </c>
      <c r="D69" s="25"/>
      <c r="E69" s="41" t="str">
        <f>HYPERLINK("https://www.google.ru/search?q=1368181-530&amp;newwindow=1&amp;tbm=isch","Еще фото")</f>
        <v>Еще фото</v>
      </c>
      <c r="F69" s="13"/>
      <c r="G69" s="11" t="s">
        <v>77</v>
      </c>
      <c r="H69" s="11" t="s">
        <v>27</v>
      </c>
      <c r="I69" s="14" t="s">
        <v>28</v>
      </c>
      <c r="J69" s="14" t="s">
        <v>29</v>
      </c>
      <c r="K69" s="15" t="s">
        <v>59</v>
      </c>
      <c r="L69" s="14" t="s">
        <v>162</v>
      </c>
      <c r="M69" s="14" t="s">
        <v>163</v>
      </c>
      <c r="N69" s="14" t="s">
        <v>79</v>
      </c>
      <c r="O69" s="14" t="s">
        <v>34</v>
      </c>
      <c r="P69" s="15" t="s">
        <v>164</v>
      </c>
      <c r="Q69" s="16">
        <v>5799</v>
      </c>
      <c r="R69" s="17">
        <v>46.54</v>
      </c>
      <c r="S69" s="18">
        <v>3564.9884999999995</v>
      </c>
      <c r="T69" s="19" t="s">
        <v>36</v>
      </c>
      <c r="U69" s="20" t="s">
        <v>63</v>
      </c>
      <c r="V69" s="21" t="s">
        <v>64</v>
      </c>
      <c r="W69" s="22">
        <v>1</v>
      </c>
      <c r="X69" s="23"/>
    </row>
    <row r="70" spans="1:24" s="1" customFormat="1" ht="108" customHeight="1" x14ac:dyDescent="0.3">
      <c r="A70" s="11" t="s">
        <v>23</v>
      </c>
      <c r="B70" s="11" t="s">
        <v>165</v>
      </c>
      <c r="C70" s="12" t="s">
        <v>166</v>
      </c>
      <c r="D70" s="25"/>
      <c r="E70" s="41" t="str">
        <f>HYPERLINK("https://www.google.ru/search?q=1306391-513&amp;newwindow=1&amp;tbm=isch","Еще фото")</f>
        <v>Еще фото</v>
      </c>
      <c r="F70" s="13"/>
      <c r="G70" s="11" t="s">
        <v>26</v>
      </c>
      <c r="H70" s="11" t="s">
        <v>27</v>
      </c>
      <c r="I70" s="14" t="s">
        <v>28</v>
      </c>
      <c r="J70" s="14" t="s">
        <v>29</v>
      </c>
      <c r="K70" s="15" t="s">
        <v>30</v>
      </c>
      <c r="L70" s="14" t="s">
        <v>167</v>
      </c>
      <c r="M70" s="14" t="s">
        <v>168</v>
      </c>
      <c r="N70" s="14" t="s">
        <v>62</v>
      </c>
      <c r="O70" s="14" t="s">
        <v>34</v>
      </c>
      <c r="P70" s="15" t="s">
        <v>169</v>
      </c>
      <c r="Q70" s="16">
        <v>5790</v>
      </c>
      <c r="R70" s="17">
        <v>46.46</v>
      </c>
      <c r="S70" s="18">
        <v>3564.9884999999995</v>
      </c>
      <c r="T70" s="19" t="s">
        <v>36</v>
      </c>
      <c r="U70" s="20" t="s">
        <v>63</v>
      </c>
      <c r="V70" s="21" t="s">
        <v>85</v>
      </c>
      <c r="W70" s="22">
        <v>1</v>
      </c>
      <c r="X70" s="23"/>
    </row>
    <row r="71" spans="1:24" s="1" customFormat="1" ht="108" customHeight="1" x14ac:dyDescent="0.3">
      <c r="A71" s="11" t="s">
        <v>23</v>
      </c>
      <c r="B71" s="11" t="s">
        <v>170</v>
      </c>
      <c r="C71" s="12" t="s">
        <v>171</v>
      </c>
      <c r="D71" s="25"/>
      <c r="E71" s="41" t="str">
        <f>HYPERLINK("https://www.google.ru/search?q=1366203-012&amp;newwindow=1&amp;tbm=isch","Еще фото")</f>
        <v>Еще фото</v>
      </c>
      <c r="F71" s="13"/>
      <c r="G71" s="11" t="s">
        <v>28</v>
      </c>
      <c r="H71" s="11" t="s">
        <v>27</v>
      </c>
      <c r="I71" s="14" t="s">
        <v>28</v>
      </c>
      <c r="J71" s="14" t="s">
        <v>29</v>
      </c>
      <c r="K71" s="15" t="s">
        <v>30</v>
      </c>
      <c r="L71" s="14" t="s">
        <v>172</v>
      </c>
      <c r="M71" s="14"/>
      <c r="N71" s="14" t="s">
        <v>62</v>
      </c>
      <c r="O71" s="14"/>
      <c r="P71" s="15" t="s">
        <v>47</v>
      </c>
      <c r="Q71" s="16">
        <v>6899</v>
      </c>
      <c r="R71" s="17">
        <v>46.37</v>
      </c>
      <c r="S71" s="18">
        <v>4254.9884999999995</v>
      </c>
      <c r="T71" s="19" t="s">
        <v>36</v>
      </c>
      <c r="U71" s="20" t="s">
        <v>37</v>
      </c>
      <c r="V71" s="21" t="s">
        <v>38</v>
      </c>
      <c r="W71" s="22">
        <v>5</v>
      </c>
      <c r="X71" s="23"/>
    </row>
    <row r="72" spans="1:24" s="1" customFormat="1" ht="108" customHeight="1" x14ac:dyDescent="0.3">
      <c r="A72" s="11" t="s">
        <v>23</v>
      </c>
      <c r="B72" s="11" t="s">
        <v>173</v>
      </c>
      <c r="C72" s="12" t="s">
        <v>174</v>
      </c>
      <c r="D72" s="25"/>
      <c r="E72" s="41" t="str">
        <f>HYPERLINK("https://www.google.ru/search?q=1366215-410&amp;newwindow=1&amp;tbm=isch","Еще фото")</f>
        <v>Еще фото</v>
      </c>
      <c r="F72" s="13"/>
      <c r="G72" s="11" t="s">
        <v>28</v>
      </c>
      <c r="H72" s="11" t="s">
        <v>27</v>
      </c>
      <c r="I72" s="14" t="s">
        <v>28</v>
      </c>
      <c r="J72" s="14" t="s">
        <v>29</v>
      </c>
      <c r="K72" s="15" t="s">
        <v>30</v>
      </c>
      <c r="L72" s="14"/>
      <c r="M72" s="14"/>
      <c r="N72" s="14" t="s">
        <v>115</v>
      </c>
      <c r="O72" s="14"/>
      <c r="P72" s="15" t="s">
        <v>175</v>
      </c>
      <c r="Q72" s="16">
        <v>6899</v>
      </c>
      <c r="R72" s="17">
        <v>46.37</v>
      </c>
      <c r="S72" s="18">
        <v>4254.9884999999995</v>
      </c>
      <c r="T72" s="19" t="s">
        <v>36</v>
      </c>
      <c r="U72" s="20" t="s">
        <v>88</v>
      </c>
      <c r="V72" s="21" t="s">
        <v>89</v>
      </c>
      <c r="W72" s="22">
        <v>1</v>
      </c>
      <c r="X72" s="23"/>
    </row>
    <row r="73" spans="1:24" s="1" customFormat="1" ht="108" customHeight="1" x14ac:dyDescent="0.3">
      <c r="A73" s="11" t="s">
        <v>23</v>
      </c>
      <c r="B73" s="11" t="s">
        <v>160</v>
      </c>
      <c r="C73" s="12" t="s">
        <v>176</v>
      </c>
      <c r="D73" s="25"/>
      <c r="E73" s="41" t="str">
        <f>HYPERLINK("https://www.google.ru/search?q=1368181-369&amp;newwindow=1&amp;tbm=isch","Еще фото")</f>
        <v>Еще фото</v>
      </c>
      <c r="F73" s="13"/>
      <c r="G73" s="11" t="s">
        <v>77</v>
      </c>
      <c r="H73" s="11" t="s">
        <v>27</v>
      </c>
      <c r="I73" s="14" t="s">
        <v>28</v>
      </c>
      <c r="J73" s="14" t="s">
        <v>29</v>
      </c>
      <c r="K73" s="15" t="s">
        <v>59</v>
      </c>
      <c r="L73" s="14" t="s">
        <v>162</v>
      </c>
      <c r="M73" s="14" t="s">
        <v>163</v>
      </c>
      <c r="N73" s="14" t="s">
        <v>127</v>
      </c>
      <c r="O73" s="14" t="s">
        <v>34</v>
      </c>
      <c r="P73" s="15" t="s">
        <v>164</v>
      </c>
      <c r="Q73" s="16">
        <v>6699</v>
      </c>
      <c r="R73" s="17">
        <v>46.26</v>
      </c>
      <c r="S73" s="18">
        <v>4139.9884999999995</v>
      </c>
      <c r="T73" s="19" t="s">
        <v>36</v>
      </c>
      <c r="U73" s="20" t="s">
        <v>63</v>
      </c>
      <c r="V73" s="21" t="s">
        <v>64</v>
      </c>
      <c r="W73" s="22">
        <v>1</v>
      </c>
      <c r="X73" s="23"/>
    </row>
    <row r="74" spans="1:24" s="1" customFormat="1" ht="108" customHeight="1" x14ac:dyDescent="0.3">
      <c r="A74" s="11" t="s">
        <v>23</v>
      </c>
      <c r="B74" s="11" t="s">
        <v>177</v>
      </c>
      <c r="C74" s="12" t="s">
        <v>178</v>
      </c>
      <c r="D74" s="25"/>
      <c r="E74" s="41" t="str">
        <f>HYPERLINK("https://www.google.ru/search?q=1379776-390&amp;newwindow=1&amp;tbm=isch","Еще фото")</f>
        <v>Еще фото</v>
      </c>
      <c r="F74" s="13"/>
      <c r="G74" s="11" t="s">
        <v>28</v>
      </c>
      <c r="H74" s="11" t="s">
        <v>27</v>
      </c>
      <c r="I74" s="14" t="s">
        <v>28</v>
      </c>
      <c r="J74" s="14" t="s">
        <v>29</v>
      </c>
      <c r="K74" s="15" t="s">
        <v>30</v>
      </c>
      <c r="L74" s="14" t="s">
        <v>179</v>
      </c>
      <c r="M74" s="14" t="s">
        <v>68</v>
      </c>
      <c r="N74" s="14" t="s">
        <v>180</v>
      </c>
      <c r="O74" s="14"/>
      <c r="P74" s="15" t="s">
        <v>120</v>
      </c>
      <c r="Q74" s="16">
        <v>7999</v>
      </c>
      <c r="R74" s="17">
        <v>46.24</v>
      </c>
      <c r="S74" s="18">
        <v>4944.9884999999995</v>
      </c>
      <c r="T74" s="19" t="s">
        <v>36</v>
      </c>
      <c r="U74" s="20" t="s">
        <v>63</v>
      </c>
      <c r="V74" s="21" t="s">
        <v>85</v>
      </c>
      <c r="W74" s="22">
        <v>1</v>
      </c>
      <c r="X74" s="23"/>
    </row>
    <row r="75" spans="1:24" s="1" customFormat="1" ht="108" customHeight="1" x14ac:dyDescent="0.3">
      <c r="A75" s="11" t="s">
        <v>23</v>
      </c>
      <c r="B75" s="11" t="s">
        <v>107</v>
      </c>
      <c r="C75" s="12" t="s">
        <v>181</v>
      </c>
      <c r="D75" s="25"/>
      <c r="E75" s="41" t="str">
        <f>HYPERLINK("https://www.google.ru/search?q=1356403-001&amp;newwindow=1&amp;tbm=isch","Еще фото")</f>
        <v>Еще фото</v>
      </c>
      <c r="F75" s="13"/>
      <c r="G75" s="11" t="s">
        <v>109</v>
      </c>
      <c r="H75" s="11" t="s">
        <v>27</v>
      </c>
      <c r="I75" s="14" t="s">
        <v>28</v>
      </c>
      <c r="J75" s="14" t="s">
        <v>29</v>
      </c>
      <c r="K75" s="15" t="s">
        <v>59</v>
      </c>
      <c r="L75" s="14" t="s">
        <v>182</v>
      </c>
      <c r="M75" s="14" t="s">
        <v>45</v>
      </c>
      <c r="N75" s="14" t="s">
        <v>33</v>
      </c>
      <c r="O75" s="14"/>
      <c r="P75" s="15" t="s">
        <v>111</v>
      </c>
      <c r="Q75" s="16">
        <v>3899</v>
      </c>
      <c r="R75" s="17">
        <v>46.14</v>
      </c>
      <c r="S75" s="18">
        <v>2414.9884999999995</v>
      </c>
      <c r="T75" s="19" t="s">
        <v>36</v>
      </c>
      <c r="U75" s="20" t="s">
        <v>63</v>
      </c>
      <c r="V75" s="21" t="s">
        <v>64</v>
      </c>
      <c r="W75" s="22">
        <v>5</v>
      </c>
      <c r="X75" s="23"/>
    </row>
    <row r="76" spans="1:24" s="1" customFormat="1" ht="108" customHeight="1" x14ac:dyDescent="0.3">
      <c r="A76" s="11" t="s">
        <v>23</v>
      </c>
      <c r="B76" s="11" t="s">
        <v>183</v>
      </c>
      <c r="C76" s="12" t="s">
        <v>184</v>
      </c>
      <c r="D76" s="25"/>
      <c r="E76" s="41" t="str">
        <f>HYPERLINK("https://www.google.ru/search?q=1373817-001&amp;newwindow=1&amp;tbm=isch","Еще фото")</f>
        <v>Еще фото</v>
      </c>
      <c r="F76" s="13"/>
      <c r="G76" s="11" t="s">
        <v>28</v>
      </c>
      <c r="H76" s="11" t="s">
        <v>27</v>
      </c>
      <c r="I76" s="14" t="s">
        <v>28</v>
      </c>
      <c r="J76" s="14" t="s">
        <v>29</v>
      </c>
      <c r="K76" s="15" t="s">
        <v>30</v>
      </c>
      <c r="L76" s="14" t="s">
        <v>185</v>
      </c>
      <c r="M76" s="14" t="s">
        <v>45</v>
      </c>
      <c r="N76" s="14" t="s">
        <v>33</v>
      </c>
      <c r="O76" s="14"/>
      <c r="P76" s="15" t="s">
        <v>186</v>
      </c>
      <c r="Q76" s="16">
        <v>8899</v>
      </c>
      <c r="R76" s="17">
        <v>46.06</v>
      </c>
      <c r="S76" s="18">
        <v>5519.9884999999995</v>
      </c>
      <c r="T76" s="19" t="s">
        <v>36</v>
      </c>
      <c r="U76" s="20" t="s">
        <v>37</v>
      </c>
      <c r="V76" s="21" t="s">
        <v>38</v>
      </c>
      <c r="W76" s="22">
        <v>1</v>
      </c>
      <c r="X76" s="23"/>
    </row>
    <row r="77" spans="1:24" s="1" customFormat="1" ht="108" customHeight="1" x14ac:dyDescent="0.3">
      <c r="A77" s="11" t="s">
        <v>23</v>
      </c>
      <c r="B77" s="11" t="s">
        <v>187</v>
      </c>
      <c r="C77" s="12" t="s">
        <v>188</v>
      </c>
      <c r="D77" s="25"/>
      <c r="E77" s="41" t="str">
        <f>HYPERLINK("https://www.google.ru/search?q=1356404-019&amp;newwindow=1&amp;tbm=isch","Еще фото")</f>
        <v>Еще фото</v>
      </c>
      <c r="F77" s="13"/>
      <c r="G77" s="11" t="s">
        <v>77</v>
      </c>
      <c r="H77" s="11" t="s">
        <v>27</v>
      </c>
      <c r="I77" s="14" t="s">
        <v>28</v>
      </c>
      <c r="J77" s="14" t="s">
        <v>29</v>
      </c>
      <c r="K77" s="15" t="s">
        <v>59</v>
      </c>
      <c r="L77" s="14" t="s">
        <v>189</v>
      </c>
      <c r="M77" s="14"/>
      <c r="N77" s="14" t="s">
        <v>62</v>
      </c>
      <c r="O77" s="14"/>
      <c r="P77" s="15" t="s">
        <v>111</v>
      </c>
      <c r="Q77" s="16">
        <v>5190</v>
      </c>
      <c r="R77" s="17">
        <v>46.05</v>
      </c>
      <c r="S77" s="18">
        <v>3219.9884999999995</v>
      </c>
      <c r="T77" s="19" t="s">
        <v>36</v>
      </c>
      <c r="U77" s="20" t="s">
        <v>63</v>
      </c>
      <c r="V77" s="21" t="s">
        <v>64</v>
      </c>
      <c r="W77" s="22">
        <v>1</v>
      </c>
      <c r="X77" s="23"/>
    </row>
    <row r="78" spans="1:24" s="1" customFormat="1" ht="108" customHeight="1" x14ac:dyDescent="0.3">
      <c r="A78" s="11" t="s">
        <v>23</v>
      </c>
      <c r="B78" s="11" t="s">
        <v>190</v>
      </c>
      <c r="C78" s="12" t="s">
        <v>191</v>
      </c>
      <c r="D78" s="25"/>
      <c r="E78" s="41" t="str">
        <f>HYPERLINK("https://www.google.ru/search?q=1365336-600&amp;newwindow=1&amp;tbm=isch","Еще фото")</f>
        <v>Еще фото</v>
      </c>
      <c r="F78" s="13"/>
      <c r="G78" s="11" t="s">
        <v>77</v>
      </c>
      <c r="H78" s="11" t="s">
        <v>27</v>
      </c>
      <c r="I78" s="14" t="s">
        <v>28</v>
      </c>
      <c r="J78" s="14" t="s">
        <v>29</v>
      </c>
      <c r="K78" s="15" t="s">
        <v>59</v>
      </c>
      <c r="L78" s="14" t="s">
        <v>60</v>
      </c>
      <c r="M78" s="14" t="s">
        <v>61</v>
      </c>
      <c r="N78" s="14" t="s">
        <v>192</v>
      </c>
      <c r="O78" s="14"/>
      <c r="P78" s="15" t="s">
        <v>53</v>
      </c>
      <c r="Q78" s="16">
        <v>7599</v>
      </c>
      <c r="R78" s="17">
        <v>46.05</v>
      </c>
      <c r="S78" s="18">
        <v>4714.9884999999995</v>
      </c>
      <c r="T78" s="19" t="s">
        <v>36</v>
      </c>
      <c r="U78" s="20" t="s">
        <v>86</v>
      </c>
      <c r="V78" s="21" t="s">
        <v>38</v>
      </c>
      <c r="W78" s="22">
        <v>1</v>
      </c>
      <c r="X78" s="23"/>
    </row>
    <row r="79" spans="1:24" s="1" customFormat="1" ht="108" customHeight="1" x14ac:dyDescent="0.3">
      <c r="A79" s="11" t="s">
        <v>23</v>
      </c>
      <c r="B79" s="11" t="s">
        <v>193</v>
      </c>
      <c r="C79" s="12" t="s">
        <v>194</v>
      </c>
      <c r="D79" s="25"/>
      <c r="E79" s="41" t="str">
        <f>HYPERLINK("https://www.google.ru/search?q=1373374-011&amp;newwindow=1&amp;tbm=isch","Еще фото")</f>
        <v>Еще фото</v>
      </c>
      <c r="F79" s="13"/>
      <c r="G79" s="11" t="s">
        <v>28</v>
      </c>
      <c r="H79" s="11" t="s">
        <v>27</v>
      </c>
      <c r="I79" s="14" t="s">
        <v>28</v>
      </c>
      <c r="J79" s="14" t="s">
        <v>29</v>
      </c>
      <c r="K79" s="15" t="s">
        <v>30</v>
      </c>
      <c r="L79" s="14" t="s">
        <v>195</v>
      </c>
      <c r="M79" s="14" t="s">
        <v>68</v>
      </c>
      <c r="N79" s="14" t="s">
        <v>62</v>
      </c>
      <c r="O79" s="14"/>
      <c r="P79" s="15" t="s">
        <v>120</v>
      </c>
      <c r="Q79" s="16">
        <v>7599</v>
      </c>
      <c r="R79" s="17">
        <v>46.05</v>
      </c>
      <c r="S79" s="18">
        <v>4714.9884999999995</v>
      </c>
      <c r="T79" s="19" t="s">
        <v>36</v>
      </c>
      <c r="U79" s="20" t="s">
        <v>37</v>
      </c>
      <c r="V79" s="21" t="s">
        <v>38</v>
      </c>
      <c r="W79" s="22">
        <v>1</v>
      </c>
      <c r="X79" s="23"/>
    </row>
    <row r="80" spans="1:24" s="1" customFormat="1" ht="108" customHeight="1" x14ac:dyDescent="0.3">
      <c r="A80" s="11" t="s">
        <v>23</v>
      </c>
      <c r="B80" s="11" t="s">
        <v>193</v>
      </c>
      <c r="C80" s="12" t="s">
        <v>196</v>
      </c>
      <c r="D80" s="25"/>
      <c r="E80" s="41" t="str">
        <f>HYPERLINK("https://www.google.ru/search?q=1373374-690&amp;newwindow=1&amp;tbm=isch","Еще фото")</f>
        <v>Еще фото</v>
      </c>
      <c r="F80" s="13"/>
      <c r="G80" s="11" t="s">
        <v>28</v>
      </c>
      <c r="H80" s="11" t="s">
        <v>27</v>
      </c>
      <c r="I80" s="14" t="s">
        <v>28</v>
      </c>
      <c r="J80" s="14" t="s">
        <v>29</v>
      </c>
      <c r="K80" s="15" t="s">
        <v>30</v>
      </c>
      <c r="L80" s="14" t="s">
        <v>197</v>
      </c>
      <c r="M80" s="14" t="s">
        <v>68</v>
      </c>
      <c r="N80" s="14" t="s">
        <v>198</v>
      </c>
      <c r="O80" s="14"/>
      <c r="P80" s="15" t="s">
        <v>120</v>
      </c>
      <c r="Q80" s="16">
        <v>7599</v>
      </c>
      <c r="R80" s="17">
        <v>46.05</v>
      </c>
      <c r="S80" s="18">
        <v>4714.9884999999995</v>
      </c>
      <c r="T80" s="19" t="s">
        <v>36</v>
      </c>
      <c r="U80" s="20" t="s">
        <v>37</v>
      </c>
      <c r="V80" s="21" t="s">
        <v>38</v>
      </c>
      <c r="W80" s="22">
        <v>13</v>
      </c>
      <c r="X80" s="23"/>
    </row>
    <row r="81" spans="1:24" s="1" customFormat="1" ht="108" customHeight="1" x14ac:dyDescent="0.3">
      <c r="A81" s="11" t="s">
        <v>23</v>
      </c>
      <c r="B81" s="11" t="s">
        <v>199</v>
      </c>
      <c r="C81" s="12" t="s">
        <v>200</v>
      </c>
      <c r="D81" s="25"/>
      <c r="E81" s="41" t="str">
        <f>HYPERLINK("https://www.google.ru/search?q=1386938-001&amp;newwindow=1&amp;tbm=isch","Еще фото")</f>
        <v>Еще фото</v>
      </c>
      <c r="F81" s="13"/>
      <c r="G81" s="11" t="s">
        <v>77</v>
      </c>
      <c r="H81" s="11" t="s">
        <v>27</v>
      </c>
      <c r="I81" s="14" t="s">
        <v>28</v>
      </c>
      <c r="J81" s="14" t="s">
        <v>29</v>
      </c>
      <c r="K81" s="15" t="s">
        <v>30</v>
      </c>
      <c r="L81" s="14" t="s">
        <v>201</v>
      </c>
      <c r="M81" s="14"/>
      <c r="N81" s="14" t="s">
        <v>33</v>
      </c>
      <c r="O81" s="14"/>
      <c r="P81" s="15" t="s">
        <v>202</v>
      </c>
      <c r="Q81" s="16">
        <v>6299</v>
      </c>
      <c r="R81" s="17">
        <v>46.02</v>
      </c>
      <c r="S81" s="18">
        <v>3909.9884999999995</v>
      </c>
      <c r="T81" s="19" t="s">
        <v>36</v>
      </c>
      <c r="U81" s="20" t="s">
        <v>37</v>
      </c>
      <c r="V81" s="21" t="s">
        <v>38</v>
      </c>
      <c r="W81" s="22">
        <v>3</v>
      </c>
      <c r="X81" s="23"/>
    </row>
    <row r="82" spans="1:24" s="1" customFormat="1" ht="108" customHeight="1" x14ac:dyDescent="0.3">
      <c r="A82" s="11" t="s">
        <v>23</v>
      </c>
      <c r="B82" s="11" t="s">
        <v>203</v>
      </c>
      <c r="C82" s="12" t="s">
        <v>204</v>
      </c>
      <c r="D82" s="25"/>
      <c r="E82" s="41" t="str">
        <f>HYPERLINK("https://www.google.ru/search?q=1357107-600&amp;newwindow=1&amp;tbm=isch","Еще фото")</f>
        <v>Еще фото</v>
      </c>
      <c r="F82" s="13"/>
      <c r="G82" s="11" t="s">
        <v>28</v>
      </c>
      <c r="H82" s="11" t="s">
        <v>27</v>
      </c>
      <c r="I82" s="14" t="s">
        <v>28</v>
      </c>
      <c r="J82" s="14" t="s">
        <v>43</v>
      </c>
      <c r="K82" s="15" t="s">
        <v>30</v>
      </c>
      <c r="L82" s="14" t="s">
        <v>205</v>
      </c>
      <c r="M82" s="14" t="s">
        <v>45</v>
      </c>
      <c r="N82" s="14" t="s">
        <v>79</v>
      </c>
      <c r="O82" s="14" t="s">
        <v>34</v>
      </c>
      <c r="P82" s="15" t="s">
        <v>120</v>
      </c>
      <c r="Q82" s="16">
        <v>6399</v>
      </c>
      <c r="R82" s="17">
        <v>46</v>
      </c>
      <c r="S82" s="18">
        <v>3973.7789999999995</v>
      </c>
      <c r="T82" s="19" t="s">
        <v>36</v>
      </c>
      <c r="U82" s="20" t="s">
        <v>63</v>
      </c>
      <c r="V82" s="21" t="s">
        <v>85</v>
      </c>
      <c r="W82" s="22">
        <v>1</v>
      </c>
      <c r="X82" s="23"/>
    </row>
    <row r="83" spans="1:24" s="1" customFormat="1" ht="21" customHeight="1" x14ac:dyDescent="0.3">
      <c r="A83" s="11" t="s">
        <v>23</v>
      </c>
      <c r="B83" s="11" t="s">
        <v>206</v>
      </c>
      <c r="C83" s="26" t="s">
        <v>207</v>
      </c>
      <c r="D83" s="59"/>
      <c r="E83" s="41" t="str">
        <f>HYPERLINK("https://www.google.ru/search?q=1361586-690&amp;newwindow=1&amp;tbm=isch","Еще фото")</f>
        <v>Еще фото</v>
      </c>
      <c r="F83" s="13"/>
      <c r="G83" s="11" t="s">
        <v>77</v>
      </c>
      <c r="H83" s="11" t="s">
        <v>27</v>
      </c>
      <c r="I83" s="14" t="s">
        <v>28</v>
      </c>
      <c r="J83" s="14" t="s">
        <v>29</v>
      </c>
      <c r="K83" s="15" t="s">
        <v>30</v>
      </c>
      <c r="L83" s="57" t="s">
        <v>208</v>
      </c>
      <c r="M83" s="14"/>
      <c r="N83" s="14" t="s">
        <v>198</v>
      </c>
      <c r="O83" s="14"/>
      <c r="P83" s="15" t="s">
        <v>202</v>
      </c>
      <c r="Q83" s="16">
        <v>4799</v>
      </c>
      <c r="R83" s="17">
        <v>46</v>
      </c>
      <c r="S83" s="18">
        <v>2980.1789999999996</v>
      </c>
      <c r="T83" s="19" t="s">
        <v>36</v>
      </c>
      <c r="U83" s="20" t="s">
        <v>37</v>
      </c>
      <c r="V83" s="21" t="s">
        <v>38</v>
      </c>
      <c r="W83" s="22">
        <v>9</v>
      </c>
      <c r="X83" s="23"/>
    </row>
    <row r="84" spans="1:24" s="1" customFormat="1" ht="21" customHeight="1" x14ac:dyDescent="0.3">
      <c r="A84" s="24" t="s">
        <v>23</v>
      </c>
      <c r="B84" s="24" t="s">
        <v>206</v>
      </c>
      <c r="C84" s="27" t="s">
        <v>207</v>
      </c>
      <c r="D84" s="60"/>
      <c r="E84" s="41" t="str">
        <f>HYPERLINK("https://www.google.ru/search?q=1361586-690&amp;newwindow=1&amp;tbm=isch","Еще фото")</f>
        <v>Еще фото</v>
      </c>
      <c r="F84" s="13"/>
      <c r="G84" s="24" t="s">
        <v>77</v>
      </c>
      <c r="H84" s="24" t="s">
        <v>27</v>
      </c>
      <c r="I84" s="24" t="s">
        <v>28</v>
      </c>
      <c r="J84" s="14" t="s">
        <v>29</v>
      </c>
      <c r="K84" s="15" t="s">
        <v>30</v>
      </c>
      <c r="L84" s="62"/>
      <c r="M84" s="14"/>
      <c r="N84" s="14" t="s">
        <v>198</v>
      </c>
      <c r="O84" s="14"/>
      <c r="P84" s="15" t="s">
        <v>202</v>
      </c>
      <c r="Q84" s="16">
        <v>4799</v>
      </c>
      <c r="R84" s="17">
        <v>46</v>
      </c>
      <c r="S84" s="18">
        <v>2980.1789999999996</v>
      </c>
      <c r="T84" s="19" t="s">
        <v>36</v>
      </c>
      <c r="U84" s="20" t="s">
        <v>39</v>
      </c>
      <c r="V84" s="21" t="s">
        <v>40</v>
      </c>
      <c r="W84" s="22">
        <v>14</v>
      </c>
      <c r="X84" s="23"/>
    </row>
    <row r="85" spans="1:24" s="1" customFormat="1" ht="21" customHeight="1" x14ac:dyDescent="0.3">
      <c r="A85" s="24" t="s">
        <v>23</v>
      </c>
      <c r="B85" s="24" t="s">
        <v>206</v>
      </c>
      <c r="C85" s="27" t="s">
        <v>207</v>
      </c>
      <c r="D85" s="60"/>
      <c r="E85" s="41" t="str">
        <f>HYPERLINK("https://www.google.ru/search?q=1361586-690&amp;newwindow=1&amp;tbm=isch","Еще фото")</f>
        <v>Еще фото</v>
      </c>
      <c r="F85" s="13"/>
      <c r="G85" s="24" t="s">
        <v>77</v>
      </c>
      <c r="H85" s="24" t="s">
        <v>27</v>
      </c>
      <c r="I85" s="24" t="s">
        <v>28</v>
      </c>
      <c r="J85" s="14" t="s">
        <v>29</v>
      </c>
      <c r="K85" s="15" t="s">
        <v>30</v>
      </c>
      <c r="L85" s="62"/>
      <c r="M85" s="14"/>
      <c r="N85" s="14" t="s">
        <v>198</v>
      </c>
      <c r="O85" s="14"/>
      <c r="P85" s="15" t="s">
        <v>202</v>
      </c>
      <c r="Q85" s="16">
        <v>4799</v>
      </c>
      <c r="R85" s="17">
        <v>46</v>
      </c>
      <c r="S85" s="18">
        <v>2980.1789999999996</v>
      </c>
      <c r="T85" s="19" t="s">
        <v>36</v>
      </c>
      <c r="U85" s="20" t="s">
        <v>86</v>
      </c>
      <c r="V85" s="21" t="s">
        <v>87</v>
      </c>
      <c r="W85" s="22">
        <v>11</v>
      </c>
      <c r="X85" s="23"/>
    </row>
    <row r="86" spans="1:24" s="1" customFormat="1" ht="21" customHeight="1" x14ac:dyDescent="0.3">
      <c r="A86" s="24" t="s">
        <v>23</v>
      </c>
      <c r="B86" s="24" t="s">
        <v>206</v>
      </c>
      <c r="C86" s="27" t="s">
        <v>207</v>
      </c>
      <c r="D86" s="60"/>
      <c r="E86" s="41" t="str">
        <f>HYPERLINK("https://www.google.ru/search?q=1361586-690&amp;newwindow=1&amp;tbm=isch","Еще фото")</f>
        <v>Еще фото</v>
      </c>
      <c r="F86" s="13"/>
      <c r="G86" s="24" t="s">
        <v>77</v>
      </c>
      <c r="H86" s="24" t="s">
        <v>27</v>
      </c>
      <c r="I86" s="24" t="s">
        <v>28</v>
      </c>
      <c r="J86" s="14" t="s">
        <v>29</v>
      </c>
      <c r="K86" s="15" t="s">
        <v>30</v>
      </c>
      <c r="L86" s="62"/>
      <c r="M86" s="14"/>
      <c r="N86" s="14" t="s">
        <v>198</v>
      </c>
      <c r="O86" s="14"/>
      <c r="P86" s="15" t="s">
        <v>202</v>
      </c>
      <c r="Q86" s="16">
        <v>4799</v>
      </c>
      <c r="R86" s="17">
        <v>46</v>
      </c>
      <c r="S86" s="18">
        <v>2980.1789999999996</v>
      </c>
      <c r="T86" s="19" t="s">
        <v>36</v>
      </c>
      <c r="U86" s="20" t="s">
        <v>88</v>
      </c>
      <c r="V86" s="21" t="s">
        <v>89</v>
      </c>
      <c r="W86" s="22">
        <v>5</v>
      </c>
      <c r="X86" s="23"/>
    </row>
    <row r="87" spans="1:24" s="1" customFormat="1" ht="32" customHeight="1" x14ac:dyDescent="0.3">
      <c r="A87" s="24" t="s">
        <v>23</v>
      </c>
      <c r="B87" s="24" t="s">
        <v>206</v>
      </c>
      <c r="C87" s="27" t="s">
        <v>207</v>
      </c>
      <c r="D87" s="61"/>
      <c r="E87" s="41" t="str">
        <f>HYPERLINK("https://www.google.ru/search?q=1361586-690&amp;newwindow=1&amp;tbm=isch","Еще фото")</f>
        <v>Еще фото</v>
      </c>
      <c r="F87" s="13"/>
      <c r="G87" s="24" t="s">
        <v>77</v>
      </c>
      <c r="H87" s="24" t="s">
        <v>27</v>
      </c>
      <c r="I87" s="24" t="s">
        <v>28</v>
      </c>
      <c r="J87" s="14" t="s">
        <v>29</v>
      </c>
      <c r="K87" s="15" t="s">
        <v>30</v>
      </c>
      <c r="L87" s="58"/>
      <c r="M87" s="14"/>
      <c r="N87" s="14" t="s">
        <v>198</v>
      </c>
      <c r="O87" s="14"/>
      <c r="P87" s="15" t="s">
        <v>202</v>
      </c>
      <c r="Q87" s="16">
        <v>4799</v>
      </c>
      <c r="R87" s="17">
        <v>46</v>
      </c>
      <c r="S87" s="18">
        <v>2980.1789999999996</v>
      </c>
      <c r="T87" s="19" t="s">
        <v>36</v>
      </c>
      <c r="U87" s="20" t="s">
        <v>90</v>
      </c>
      <c r="V87" s="21" t="s">
        <v>91</v>
      </c>
      <c r="W87" s="22">
        <v>4</v>
      </c>
      <c r="X87" s="23"/>
    </row>
    <row r="88" spans="1:24" s="1" customFormat="1" ht="11" customHeight="1" x14ac:dyDescent="0.3">
      <c r="A88" s="11" t="s">
        <v>23</v>
      </c>
      <c r="B88" s="11" t="s">
        <v>209</v>
      </c>
      <c r="C88" s="12" t="s">
        <v>210</v>
      </c>
      <c r="D88" s="59"/>
      <c r="E88" s="41" t="str">
        <f t="shared" ref="E88:E96" si="2">HYPERLINK("https://www.google.ru/search?q=1364410-014&amp;newwindow=1&amp;tbm=isch","Еще фото")</f>
        <v>Еще фото</v>
      </c>
      <c r="F88" s="13"/>
      <c r="G88" s="11" t="s">
        <v>28</v>
      </c>
      <c r="H88" s="11" t="s">
        <v>27</v>
      </c>
      <c r="I88" s="14" t="s">
        <v>28</v>
      </c>
      <c r="J88" s="14" t="s">
        <v>211</v>
      </c>
      <c r="K88" s="15" t="s">
        <v>30</v>
      </c>
      <c r="L88" s="57" t="s">
        <v>212</v>
      </c>
      <c r="M88" s="14" t="s">
        <v>52</v>
      </c>
      <c r="N88" s="14" t="s">
        <v>62</v>
      </c>
      <c r="O88" s="14"/>
      <c r="P88" s="15" t="s">
        <v>213</v>
      </c>
      <c r="Q88" s="16">
        <v>8199</v>
      </c>
      <c r="R88" s="17">
        <v>46</v>
      </c>
      <c r="S88" s="18">
        <v>5091.5789999999997</v>
      </c>
      <c r="T88" s="19" t="s">
        <v>36</v>
      </c>
      <c r="U88" s="20" t="s">
        <v>214</v>
      </c>
      <c r="V88" s="22">
        <v>46</v>
      </c>
      <c r="W88" s="22">
        <v>4</v>
      </c>
      <c r="X88" s="23"/>
    </row>
    <row r="89" spans="1:24" s="1" customFormat="1" ht="11" customHeight="1" x14ac:dyDescent="0.3">
      <c r="A89" s="24" t="s">
        <v>23</v>
      </c>
      <c r="B89" s="24" t="s">
        <v>209</v>
      </c>
      <c r="C89" s="12" t="s">
        <v>210</v>
      </c>
      <c r="D89" s="60"/>
      <c r="E89" s="41" t="str">
        <f t="shared" si="2"/>
        <v>Еще фото</v>
      </c>
      <c r="F89" s="13"/>
      <c r="G89" s="24" t="s">
        <v>28</v>
      </c>
      <c r="H89" s="24" t="s">
        <v>27</v>
      </c>
      <c r="I89" s="24" t="s">
        <v>28</v>
      </c>
      <c r="J89" s="14" t="s">
        <v>211</v>
      </c>
      <c r="K89" s="15" t="s">
        <v>30</v>
      </c>
      <c r="L89" s="62"/>
      <c r="M89" s="14" t="s">
        <v>52</v>
      </c>
      <c r="N89" s="14" t="s">
        <v>62</v>
      </c>
      <c r="O89" s="14"/>
      <c r="P89" s="15" t="s">
        <v>213</v>
      </c>
      <c r="Q89" s="16">
        <v>8199</v>
      </c>
      <c r="R89" s="17">
        <v>46</v>
      </c>
      <c r="S89" s="18">
        <v>5091.5789999999997</v>
      </c>
      <c r="T89" s="19" t="s">
        <v>36</v>
      </c>
      <c r="U89" s="20" t="s">
        <v>215</v>
      </c>
      <c r="V89" s="22">
        <v>48</v>
      </c>
      <c r="W89" s="22">
        <v>3</v>
      </c>
      <c r="X89" s="23"/>
    </row>
    <row r="90" spans="1:24" s="1" customFormat="1" ht="11" customHeight="1" x14ac:dyDescent="0.3">
      <c r="A90" s="24" t="s">
        <v>23</v>
      </c>
      <c r="B90" s="24" t="s">
        <v>209</v>
      </c>
      <c r="C90" s="12" t="s">
        <v>210</v>
      </c>
      <c r="D90" s="60"/>
      <c r="E90" s="41" t="str">
        <f t="shared" si="2"/>
        <v>Еще фото</v>
      </c>
      <c r="F90" s="13"/>
      <c r="G90" s="24" t="s">
        <v>28</v>
      </c>
      <c r="H90" s="24" t="s">
        <v>27</v>
      </c>
      <c r="I90" s="24" t="s">
        <v>28</v>
      </c>
      <c r="J90" s="14" t="s">
        <v>211</v>
      </c>
      <c r="K90" s="15" t="s">
        <v>30</v>
      </c>
      <c r="L90" s="62"/>
      <c r="M90" s="14" t="s">
        <v>52</v>
      </c>
      <c r="N90" s="14" t="s">
        <v>62</v>
      </c>
      <c r="O90" s="14"/>
      <c r="P90" s="15" t="s">
        <v>213</v>
      </c>
      <c r="Q90" s="16">
        <v>8199</v>
      </c>
      <c r="R90" s="17">
        <v>46</v>
      </c>
      <c r="S90" s="18">
        <v>5091.5789999999997</v>
      </c>
      <c r="T90" s="19" t="s">
        <v>36</v>
      </c>
      <c r="U90" s="20" t="s">
        <v>216</v>
      </c>
      <c r="V90" s="22">
        <v>48</v>
      </c>
      <c r="W90" s="22">
        <v>6</v>
      </c>
      <c r="X90" s="23"/>
    </row>
    <row r="91" spans="1:24" s="1" customFormat="1" ht="11" customHeight="1" x14ac:dyDescent="0.3">
      <c r="A91" s="24" t="s">
        <v>23</v>
      </c>
      <c r="B91" s="24" t="s">
        <v>209</v>
      </c>
      <c r="C91" s="12" t="s">
        <v>210</v>
      </c>
      <c r="D91" s="60"/>
      <c r="E91" s="41" t="str">
        <f t="shared" si="2"/>
        <v>Еще фото</v>
      </c>
      <c r="F91" s="13"/>
      <c r="G91" s="24" t="s">
        <v>28</v>
      </c>
      <c r="H91" s="24" t="s">
        <v>27</v>
      </c>
      <c r="I91" s="24" t="s">
        <v>28</v>
      </c>
      <c r="J91" s="14" t="s">
        <v>211</v>
      </c>
      <c r="K91" s="15" t="s">
        <v>30</v>
      </c>
      <c r="L91" s="62"/>
      <c r="M91" s="14" t="s">
        <v>52</v>
      </c>
      <c r="N91" s="14" t="s">
        <v>62</v>
      </c>
      <c r="O91" s="14"/>
      <c r="P91" s="15" t="s">
        <v>213</v>
      </c>
      <c r="Q91" s="16">
        <v>8199</v>
      </c>
      <c r="R91" s="17">
        <v>46</v>
      </c>
      <c r="S91" s="18">
        <v>5091.5789999999997</v>
      </c>
      <c r="T91" s="19" t="s">
        <v>36</v>
      </c>
      <c r="U91" s="20" t="s">
        <v>217</v>
      </c>
      <c r="V91" s="22">
        <v>50</v>
      </c>
      <c r="W91" s="22">
        <v>5</v>
      </c>
      <c r="X91" s="23"/>
    </row>
    <row r="92" spans="1:24" s="1" customFormat="1" ht="11" customHeight="1" x14ac:dyDescent="0.3">
      <c r="A92" s="24" t="s">
        <v>23</v>
      </c>
      <c r="B92" s="24" t="s">
        <v>209</v>
      </c>
      <c r="C92" s="12" t="s">
        <v>210</v>
      </c>
      <c r="D92" s="60"/>
      <c r="E92" s="41" t="str">
        <f t="shared" si="2"/>
        <v>Еще фото</v>
      </c>
      <c r="F92" s="13"/>
      <c r="G92" s="24" t="s">
        <v>28</v>
      </c>
      <c r="H92" s="24" t="s">
        <v>27</v>
      </c>
      <c r="I92" s="24" t="s">
        <v>28</v>
      </c>
      <c r="J92" s="14" t="s">
        <v>211</v>
      </c>
      <c r="K92" s="15" t="s">
        <v>30</v>
      </c>
      <c r="L92" s="62"/>
      <c r="M92" s="14" t="s">
        <v>52</v>
      </c>
      <c r="N92" s="14" t="s">
        <v>62</v>
      </c>
      <c r="O92" s="14"/>
      <c r="P92" s="15" t="s">
        <v>213</v>
      </c>
      <c r="Q92" s="16">
        <v>8199</v>
      </c>
      <c r="R92" s="17">
        <v>46</v>
      </c>
      <c r="S92" s="18">
        <v>5091.5789999999997</v>
      </c>
      <c r="T92" s="19" t="s">
        <v>36</v>
      </c>
      <c r="U92" s="20" t="s">
        <v>218</v>
      </c>
      <c r="V92" s="22">
        <v>50</v>
      </c>
      <c r="W92" s="22">
        <v>10</v>
      </c>
      <c r="X92" s="23"/>
    </row>
    <row r="93" spans="1:24" s="1" customFormat="1" ht="11" customHeight="1" x14ac:dyDescent="0.3">
      <c r="A93" s="24" t="s">
        <v>23</v>
      </c>
      <c r="B93" s="24" t="s">
        <v>209</v>
      </c>
      <c r="C93" s="12" t="s">
        <v>210</v>
      </c>
      <c r="D93" s="60"/>
      <c r="E93" s="41" t="str">
        <f t="shared" si="2"/>
        <v>Еще фото</v>
      </c>
      <c r="F93" s="13"/>
      <c r="G93" s="24" t="s">
        <v>28</v>
      </c>
      <c r="H93" s="24" t="s">
        <v>27</v>
      </c>
      <c r="I93" s="24" t="s">
        <v>28</v>
      </c>
      <c r="J93" s="14" t="s">
        <v>211</v>
      </c>
      <c r="K93" s="15" t="s">
        <v>30</v>
      </c>
      <c r="L93" s="62"/>
      <c r="M93" s="14" t="s">
        <v>52</v>
      </c>
      <c r="N93" s="14" t="s">
        <v>62</v>
      </c>
      <c r="O93" s="14"/>
      <c r="P93" s="15" t="s">
        <v>213</v>
      </c>
      <c r="Q93" s="16">
        <v>8199</v>
      </c>
      <c r="R93" s="17">
        <v>46</v>
      </c>
      <c r="S93" s="18">
        <v>5091.5789999999997</v>
      </c>
      <c r="T93" s="19" t="s">
        <v>36</v>
      </c>
      <c r="U93" s="20" t="s">
        <v>219</v>
      </c>
      <c r="V93" s="22">
        <v>52</v>
      </c>
      <c r="W93" s="22">
        <v>3</v>
      </c>
      <c r="X93" s="23"/>
    </row>
    <row r="94" spans="1:24" s="1" customFormat="1" ht="11" customHeight="1" x14ac:dyDescent="0.3">
      <c r="A94" s="24" t="s">
        <v>23</v>
      </c>
      <c r="B94" s="24" t="s">
        <v>209</v>
      </c>
      <c r="C94" s="12" t="s">
        <v>210</v>
      </c>
      <c r="D94" s="60"/>
      <c r="E94" s="41" t="str">
        <f t="shared" si="2"/>
        <v>Еще фото</v>
      </c>
      <c r="F94" s="13"/>
      <c r="G94" s="24" t="s">
        <v>28</v>
      </c>
      <c r="H94" s="24" t="s">
        <v>27</v>
      </c>
      <c r="I94" s="24" t="s">
        <v>28</v>
      </c>
      <c r="J94" s="14" t="s">
        <v>211</v>
      </c>
      <c r="K94" s="15" t="s">
        <v>30</v>
      </c>
      <c r="L94" s="62"/>
      <c r="M94" s="14" t="s">
        <v>52</v>
      </c>
      <c r="N94" s="14" t="s">
        <v>62</v>
      </c>
      <c r="O94" s="14"/>
      <c r="P94" s="15" t="s">
        <v>213</v>
      </c>
      <c r="Q94" s="16">
        <v>8199</v>
      </c>
      <c r="R94" s="17">
        <v>46</v>
      </c>
      <c r="S94" s="18">
        <v>5091.5789999999997</v>
      </c>
      <c r="T94" s="19" t="s">
        <v>36</v>
      </c>
      <c r="U94" s="20" t="s">
        <v>220</v>
      </c>
      <c r="V94" s="22">
        <v>52</v>
      </c>
      <c r="W94" s="22">
        <v>6</v>
      </c>
      <c r="X94" s="23"/>
    </row>
    <row r="95" spans="1:24" s="1" customFormat="1" ht="11" customHeight="1" x14ac:dyDescent="0.3">
      <c r="A95" s="24" t="s">
        <v>23</v>
      </c>
      <c r="B95" s="24" t="s">
        <v>209</v>
      </c>
      <c r="C95" s="12" t="s">
        <v>210</v>
      </c>
      <c r="D95" s="60"/>
      <c r="E95" s="41" t="str">
        <f t="shared" si="2"/>
        <v>Еще фото</v>
      </c>
      <c r="F95" s="13"/>
      <c r="G95" s="24" t="s">
        <v>28</v>
      </c>
      <c r="H95" s="24" t="s">
        <v>27</v>
      </c>
      <c r="I95" s="24" t="s">
        <v>28</v>
      </c>
      <c r="J95" s="14" t="s">
        <v>211</v>
      </c>
      <c r="K95" s="15" t="s">
        <v>30</v>
      </c>
      <c r="L95" s="62"/>
      <c r="M95" s="14" t="s">
        <v>52</v>
      </c>
      <c r="N95" s="14" t="s">
        <v>62</v>
      </c>
      <c r="O95" s="14"/>
      <c r="P95" s="15" t="s">
        <v>213</v>
      </c>
      <c r="Q95" s="16">
        <v>8199</v>
      </c>
      <c r="R95" s="17">
        <v>46</v>
      </c>
      <c r="S95" s="18">
        <v>5091.5789999999997</v>
      </c>
      <c r="T95" s="19" t="s">
        <v>36</v>
      </c>
      <c r="U95" s="20" t="s">
        <v>221</v>
      </c>
      <c r="V95" s="22">
        <v>54</v>
      </c>
      <c r="W95" s="22">
        <v>2</v>
      </c>
      <c r="X95" s="23"/>
    </row>
    <row r="96" spans="1:24" s="1" customFormat="1" ht="11" customHeight="1" x14ac:dyDescent="0.3">
      <c r="A96" s="24" t="s">
        <v>23</v>
      </c>
      <c r="B96" s="24" t="s">
        <v>209</v>
      </c>
      <c r="C96" s="12" t="s">
        <v>210</v>
      </c>
      <c r="D96" s="61"/>
      <c r="E96" s="41" t="str">
        <f t="shared" si="2"/>
        <v>Еще фото</v>
      </c>
      <c r="F96" s="13"/>
      <c r="G96" s="24" t="s">
        <v>28</v>
      </c>
      <c r="H96" s="24" t="s">
        <v>27</v>
      </c>
      <c r="I96" s="24" t="s">
        <v>28</v>
      </c>
      <c r="J96" s="14" t="s">
        <v>211</v>
      </c>
      <c r="K96" s="15" t="s">
        <v>30</v>
      </c>
      <c r="L96" s="58"/>
      <c r="M96" s="14" t="s">
        <v>52</v>
      </c>
      <c r="N96" s="14" t="s">
        <v>62</v>
      </c>
      <c r="O96" s="14"/>
      <c r="P96" s="15" t="s">
        <v>213</v>
      </c>
      <c r="Q96" s="16">
        <v>8199</v>
      </c>
      <c r="R96" s="17">
        <v>46</v>
      </c>
      <c r="S96" s="18">
        <v>5091.5789999999997</v>
      </c>
      <c r="T96" s="19" t="s">
        <v>36</v>
      </c>
      <c r="U96" s="20" t="s">
        <v>222</v>
      </c>
      <c r="V96" s="22">
        <v>54</v>
      </c>
      <c r="W96" s="22">
        <v>5</v>
      </c>
      <c r="X96" s="23"/>
    </row>
    <row r="97" spans="1:24" s="1" customFormat="1" ht="11" customHeight="1" x14ac:dyDescent="0.3">
      <c r="A97" s="11" t="s">
        <v>23</v>
      </c>
      <c r="B97" s="11" t="s">
        <v>209</v>
      </c>
      <c r="C97" s="12" t="s">
        <v>223</v>
      </c>
      <c r="D97" s="59"/>
      <c r="E97" s="41" t="str">
        <f t="shared" ref="E97:E105" si="3">HYPERLINK("https://www.google.ru/search?q=1364410-069&amp;newwindow=1&amp;tbm=isch","Еще фото")</f>
        <v>Еще фото</v>
      </c>
      <c r="F97" s="13"/>
      <c r="G97" s="11" t="s">
        <v>28</v>
      </c>
      <c r="H97" s="11" t="s">
        <v>27</v>
      </c>
      <c r="I97" s="14" t="s">
        <v>28</v>
      </c>
      <c r="J97" s="14" t="s">
        <v>211</v>
      </c>
      <c r="K97" s="15" t="s">
        <v>30</v>
      </c>
      <c r="L97" s="57" t="s">
        <v>224</v>
      </c>
      <c r="M97" s="14"/>
      <c r="N97" s="14" t="s">
        <v>62</v>
      </c>
      <c r="O97" s="14"/>
      <c r="P97" s="15" t="s">
        <v>213</v>
      </c>
      <c r="Q97" s="16">
        <v>8199</v>
      </c>
      <c r="R97" s="17">
        <v>46</v>
      </c>
      <c r="S97" s="18">
        <v>5091.5789999999997</v>
      </c>
      <c r="T97" s="19" t="s">
        <v>36</v>
      </c>
      <c r="U97" s="20" t="s">
        <v>214</v>
      </c>
      <c r="V97" s="22">
        <v>46</v>
      </c>
      <c r="W97" s="22">
        <v>4</v>
      </c>
      <c r="X97" s="23"/>
    </row>
    <row r="98" spans="1:24" s="1" customFormat="1" ht="11" customHeight="1" x14ac:dyDescent="0.3">
      <c r="A98" s="24" t="s">
        <v>23</v>
      </c>
      <c r="B98" s="24" t="s">
        <v>209</v>
      </c>
      <c r="C98" s="12" t="s">
        <v>223</v>
      </c>
      <c r="D98" s="60"/>
      <c r="E98" s="41" t="str">
        <f t="shared" si="3"/>
        <v>Еще фото</v>
      </c>
      <c r="F98" s="13"/>
      <c r="G98" s="24" t="s">
        <v>28</v>
      </c>
      <c r="H98" s="24" t="s">
        <v>27</v>
      </c>
      <c r="I98" s="24" t="s">
        <v>28</v>
      </c>
      <c r="J98" s="14" t="s">
        <v>211</v>
      </c>
      <c r="K98" s="15" t="s">
        <v>30</v>
      </c>
      <c r="L98" s="62"/>
      <c r="M98" s="14"/>
      <c r="N98" s="14" t="s">
        <v>62</v>
      </c>
      <c r="O98" s="14"/>
      <c r="P98" s="15" t="s">
        <v>213</v>
      </c>
      <c r="Q98" s="16">
        <v>8199</v>
      </c>
      <c r="R98" s="17">
        <v>46</v>
      </c>
      <c r="S98" s="18">
        <v>5091.5789999999997</v>
      </c>
      <c r="T98" s="19" t="s">
        <v>36</v>
      </c>
      <c r="U98" s="20" t="s">
        <v>215</v>
      </c>
      <c r="V98" s="22">
        <v>48</v>
      </c>
      <c r="W98" s="22">
        <v>4</v>
      </c>
      <c r="X98" s="23"/>
    </row>
    <row r="99" spans="1:24" s="1" customFormat="1" ht="11" customHeight="1" x14ac:dyDescent="0.3">
      <c r="A99" s="24" t="s">
        <v>23</v>
      </c>
      <c r="B99" s="24" t="s">
        <v>209</v>
      </c>
      <c r="C99" s="12" t="s">
        <v>223</v>
      </c>
      <c r="D99" s="60"/>
      <c r="E99" s="41" t="str">
        <f t="shared" si="3"/>
        <v>Еще фото</v>
      </c>
      <c r="F99" s="13"/>
      <c r="G99" s="24" t="s">
        <v>28</v>
      </c>
      <c r="H99" s="24" t="s">
        <v>27</v>
      </c>
      <c r="I99" s="24" t="s">
        <v>28</v>
      </c>
      <c r="J99" s="14" t="s">
        <v>211</v>
      </c>
      <c r="K99" s="15" t="s">
        <v>30</v>
      </c>
      <c r="L99" s="62"/>
      <c r="M99" s="14"/>
      <c r="N99" s="14" t="s">
        <v>62</v>
      </c>
      <c r="O99" s="14"/>
      <c r="P99" s="15" t="s">
        <v>213</v>
      </c>
      <c r="Q99" s="16">
        <v>8199</v>
      </c>
      <c r="R99" s="17">
        <v>46</v>
      </c>
      <c r="S99" s="18">
        <v>5091.5789999999997</v>
      </c>
      <c r="T99" s="19" t="s">
        <v>36</v>
      </c>
      <c r="U99" s="20" t="s">
        <v>216</v>
      </c>
      <c r="V99" s="22">
        <v>48</v>
      </c>
      <c r="W99" s="22">
        <v>11</v>
      </c>
      <c r="X99" s="23"/>
    </row>
    <row r="100" spans="1:24" s="1" customFormat="1" ht="11" customHeight="1" x14ac:dyDescent="0.3">
      <c r="A100" s="24" t="s">
        <v>23</v>
      </c>
      <c r="B100" s="24" t="s">
        <v>209</v>
      </c>
      <c r="C100" s="12" t="s">
        <v>223</v>
      </c>
      <c r="D100" s="60"/>
      <c r="E100" s="41" t="str">
        <f t="shared" si="3"/>
        <v>Еще фото</v>
      </c>
      <c r="F100" s="13"/>
      <c r="G100" s="24" t="s">
        <v>28</v>
      </c>
      <c r="H100" s="24" t="s">
        <v>27</v>
      </c>
      <c r="I100" s="24" t="s">
        <v>28</v>
      </c>
      <c r="J100" s="14" t="s">
        <v>211</v>
      </c>
      <c r="K100" s="15" t="s">
        <v>30</v>
      </c>
      <c r="L100" s="62"/>
      <c r="M100" s="14"/>
      <c r="N100" s="14" t="s">
        <v>62</v>
      </c>
      <c r="O100" s="14"/>
      <c r="P100" s="15" t="s">
        <v>213</v>
      </c>
      <c r="Q100" s="16">
        <v>8199</v>
      </c>
      <c r="R100" s="17">
        <v>46</v>
      </c>
      <c r="S100" s="18">
        <v>5091.5789999999997</v>
      </c>
      <c r="T100" s="19" t="s">
        <v>36</v>
      </c>
      <c r="U100" s="20" t="s">
        <v>217</v>
      </c>
      <c r="V100" s="22">
        <v>50</v>
      </c>
      <c r="W100" s="22">
        <v>4</v>
      </c>
      <c r="X100" s="23"/>
    </row>
    <row r="101" spans="1:24" s="1" customFormat="1" ht="11" customHeight="1" x14ac:dyDescent="0.3">
      <c r="A101" s="24" t="s">
        <v>23</v>
      </c>
      <c r="B101" s="24" t="s">
        <v>209</v>
      </c>
      <c r="C101" s="12" t="s">
        <v>223</v>
      </c>
      <c r="D101" s="60"/>
      <c r="E101" s="41" t="str">
        <f t="shared" si="3"/>
        <v>Еще фото</v>
      </c>
      <c r="F101" s="13"/>
      <c r="G101" s="24" t="s">
        <v>28</v>
      </c>
      <c r="H101" s="24" t="s">
        <v>27</v>
      </c>
      <c r="I101" s="24" t="s">
        <v>28</v>
      </c>
      <c r="J101" s="14" t="s">
        <v>211</v>
      </c>
      <c r="K101" s="15" t="s">
        <v>30</v>
      </c>
      <c r="L101" s="62"/>
      <c r="M101" s="14"/>
      <c r="N101" s="14" t="s">
        <v>62</v>
      </c>
      <c r="O101" s="14"/>
      <c r="P101" s="15" t="s">
        <v>213</v>
      </c>
      <c r="Q101" s="16">
        <v>8199</v>
      </c>
      <c r="R101" s="17">
        <v>46</v>
      </c>
      <c r="S101" s="18">
        <v>5091.5789999999997</v>
      </c>
      <c r="T101" s="19" t="s">
        <v>36</v>
      </c>
      <c r="U101" s="20" t="s">
        <v>218</v>
      </c>
      <c r="V101" s="22">
        <v>50</v>
      </c>
      <c r="W101" s="22">
        <v>9</v>
      </c>
      <c r="X101" s="23"/>
    </row>
    <row r="102" spans="1:24" s="1" customFormat="1" ht="11" customHeight="1" x14ac:dyDescent="0.3">
      <c r="A102" s="24" t="s">
        <v>23</v>
      </c>
      <c r="B102" s="24" t="s">
        <v>209</v>
      </c>
      <c r="C102" s="12" t="s">
        <v>223</v>
      </c>
      <c r="D102" s="60"/>
      <c r="E102" s="41" t="str">
        <f t="shared" si="3"/>
        <v>Еще фото</v>
      </c>
      <c r="F102" s="13"/>
      <c r="G102" s="24" t="s">
        <v>28</v>
      </c>
      <c r="H102" s="24" t="s">
        <v>27</v>
      </c>
      <c r="I102" s="24" t="s">
        <v>28</v>
      </c>
      <c r="J102" s="14" t="s">
        <v>211</v>
      </c>
      <c r="K102" s="15" t="s">
        <v>30</v>
      </c>
      <c r="L102" s="62"/>
      <c r="M102" s="14"/>
      <c r="N102" s="14" t="s">
        <v>62</v>
      </c>
      <c r="O102" s="14"/>
      <c r="P102" s="15" t="s">
        <v>213</v>
      </c>
      <c r="Q102" s="16">
        <v>8199</v>
      </c>
      <c r="R102" s="17">
        <v>46</v>
      </c>
      <c r="S102" s="18">
        <v>5091.5789999999997</v>
      </c>
      <c r="T102" s="19" t="s">
        <v>36</v>
      </c>
      <c r="U102" s="20" t="s">
        <v>219</v>
      </c>
      <c r="V102" s="22">
        <v>52</v>
      </c>
      <c r="W102" s="22">
        <v>5</v>
      </c>
      <c r="X102" s="23"/>
    </row>
    <row r="103" spans="1:24" s="1" customFormat="1" ht="11" customHeight="1" x14ac:dyDescent="0.3">
      <c r="A103" s="24" t="s">
        <v>23</v>
      </c>
      <c r="B103" s="24" t="s">
        <v>209</v>
      </c>
      <c r="C103" s="12" t="s">
        <v>223</v>
      </c>
      <c r="D103" s="60"/>
      <c r="E103" s="41" t="str">
        <f t="shared" si="3"/>
        <v>Еще фото</v>
      </c>
      <c r="F103" s="13"/>
      <c r="G103" s="24" t="s">
        <v>28</v>
      </c>
      <c r="H103" s="24" t="s">
        <v>27</v>
      </c>
      <c r="I103" s="24" t="s">
        <v>28</v>
      </c>
      <c r="J103" s="14" t="s">
        <v>211</v>
      </c>
      <c r="K103" s="15" t="s">
        <v>30</v>
      </c>
      <c r="L103" s="62"/>
      <c r="M103" s="14"/>
      <c r="N103" s="14" t="s">
        <v>62</v>
      </c>
      <c r="O103" s="14"/>
      <c r="P103" s="15" t="s">
        <v>213</v>
      </c>
      <c r="Q103" s="16">
        <v>8199</v>
      </c>
      <c r="R103" s="17">
        <v>46</v>
      </c>
      <c r="S103" s="18">
        <v>5091.5789999999997</v>
      </c>
      <c r="T103" s="19" t="s">
        <v>36</v>
      </c>
      <c r="U103" s="20" t="s">
        <v>220</v>
      </c>
      <c r="V103" s="22">
        <v>52</v>
      </c>
      <c r="W103" s="22">
        <v>5</v>
      </c>
      <c r="X103" s="23"/>
    </row>
    <row r="104" spans="1:24" s="1" customFormat="1" ht="11" customHeight="1" x14ac:dyDescent="0.3">
      <c r="A104" s="24" t="s">
        <v>23</v>
      </c>
      <c r="B104" s="24" t="s">
        <v>209</v>
      </c>
      <c r="C104" s="12" t="s">
        <v>223</v>
      </c>
      <c r="D104" s="60"/>
      <c r="E104" s="41" t="str">
        <f t="shared" si="3"/>
        <v>Еще фото</v>
      </c>
      <c r="F104" s="13"/>
      <c r="G104" s="24" t="s">
        <v>28</v>
      </c>
      <c r="H104" s="24" t="s">
        <v>27</v>
      </c>
      <c r="I104" s="24" t="s">
        <v>28</v>
      </c>
      <c r="J104" s="14" t="s">
        <v>211</v>
      </c>
      <c r="K104" s="15" t="s">
        <v>30</v>
      </c>
      <c r="L104" s="62"/>
      <c r="M104" s="14"/>
      <c r="N104" s="14" t="s">
        <v>62</v>
      </c>
      <c r="O104" s="14"/>
      <c r="P104" s="15" t="s">
        <v>213</v>
      </c>
      <c r="Q104" s="16">
        <v>8199</v>
      </c>
      <c r="R104" s="17">
        <v>46</v>
      </c>
      <c r="S104" s="18">
        <v>5091.5789999999997</v>
      </c>
      <c r="T104" s="19" t="s">
        <v>36</v>
      </c>
      <c r="U104" s="20" t="s">
        <v>221</v>
      </c>
      <c r="V104" s="22">
        <v>54</v>
      </c>
      <c r="W104" s="22">
        <v>5</v>
      </c>
      <c r="X104" s="23"/>
    </row>
    <row r="105" spans="1:24" s="1" customFormat="1" ht="11" customHeight="1" x14ac:dyDescent="0.3">
      <c r="A105" s="24" t="s">
        <v>23</v>
      </c>
      <c r="B105" s="24" t="s">
        <v>209</v>
      </c>
      <c r="C105" s="12" t="s">
        <v>223</v>
      </c>
      <c r="D105" s="61"/>
      <c r="E105" s="41" t="str">
        <f t="shared" si="3"/>
        <v>Еще фото</v>
      </c>
      <c r="F105" s="13"/>
      <c r="G105" s="24" t="s">
        <v>28</v>
      </c>
      <c r="H105" s="24" t="s">
        <v>27</v>
      </c>
      <c r="I105" s="24" t="s">
        <v>28</v>
      </c>
      <c r="J105" s="14" t="s">
        <v>211</v>
      </c>
      <c r="K105" s="15" t="s">
        <v>30</v>
      </c>
      <c r="L105" s="58"/>
      <c r="M105" s="14"/>
      <c r="N105" s="14" t="s">
        <v>62</v>
      </c>
      <c r="O105" s="14"/>
      <c r="P105" s="15" t="s">
        <v>213</v>
      </c>
      <c r="Q105" s="16">
        <v>8199</v>
      </c>
      <c r="R105" s="17">
        <v>46</v>
      </c>
      <c r="S105" s="18">
        <v>5091.5789999999997</v>
      </c>
      <c r="T105" s="19" t="s">
        <v>36</v>
      </c>
      <c r="U105" s="20" t="s">
        <v>222</v>
      </c>
      <c r="V105" s="22">
        <v>54</v>
      </c>
      <c r="W105" s="22">
        <v>5</v>
      </c>
      <c r="X105" s="23"/>
    </row>
    <row r="106" spans="1:24" s="1" customFormat="1" ht="11" customHeight="1" x14ac:dyDescent="0.3">
      <c r="A106" s="11" t="s">
        <v>23</v>
      </c>
      <c r="B106" s="11" t="s">
        <v>209</v>
      </c>
      <c r="C106" s="12" t="s">
        <v>225</v>
      </c>
      <c r="D106" s="59"/>
      <c r="E106" s="41" t="str">
        <f t="shared" ref="E106:E114" si="4">HYPERLINK("https://www.google.ru/search?q=1364410-289&amp;newwindow=1&amp;tbm=isch","Еще фото")</f>
        <v>Еще фото</v>
      </c>
      <c r="F106" s="13"/>
      <c r="G106" s="11" t="s">
        <v>28</v>
      </c>
      <c r="H106" s="11" t="s">
        <v>27</v>
      </c>
      <c r="I106" s="14" t="s">
        <v>28</v>
      </c>
      <c r="J106" s="14" t="s">
        <v>211</v>
      </c>
      <c r="K106" s="15" t="s">
        <v>30</v>
      </c>
      <c r="L106" s="57" t="s">
        <v>212</v>
      </c>
      <c r="M106" s="14" t="s">
        <v>52</v>
      </c>
      <c r="N106" s="14" t="s">
        <v>127</v>
      </c>
      <c r="O106" s="14"/>
      <c r="P106" s="15" t="s">
        <v>213</v>
      </c>
      <c r="Q106" s="16">
        <v>8199</v>
      </c>
      <c r="R106" s="17">
        <v>46</v>
      </c>
      <c r="S106" s="18">
        <v>5091.5789999999997</v>
      </c>
      <c r="T106" s="19" t="s">
        <v>36</v>
      </c>
      <c r="U106" s="20" t="s">
        <v>214</v>
      </c>
      <c r="V106" s="22">
        <v>46</v>
      </c>
      <c r="W106" s="22">
        <v>5</v>
      </c>
      <c r="X106" s="23"/>
    </row>
    <row r="107" spans="1:24" s="1" customFormat="1" ht="11" customHeight="1" x14ac:dyDescent="0.3">
      <c r="A107" s="24" t="s">
        <v>23</v>
      </c>
      <c r="B107" s="24" t="s">
        <v>209</v>
      </c>
      <c r="C107" s="12" t="s">
        <v>225</v>
      </c>
      <c r="D107" s="60"/>
      <c r="E107" s="41" t="str">
        <f t="shared" si="4"/>
        <v>Еще фото</v>
      </c>
      <c r="F107" s="13"/>
      <c r="G107" s="24" t="s">
        <v>28</v>
      </c>
      <c r="H107" s="24" t="s">
        <v>27</v>
      </c>
      <c r="I107" s="24" t="s">
        <v>28</v>
      </c>
      <c r="J107" s="14" t="s">
        <v>211</v>
      </c>
      <c r="K107" s="15" t="s">
        <v>30</v>
      </c>
      <c r="L107" s="62"/>
      <c r="M107" s="14" t="s">
        <v>52</v>
      </c>
      <c r="N107" s="14" t="s">
        <v>127</v>
      </c>
      <c r="O107" s="14"/>
      <c r="P107" s="15" t="s">
        <v>213</v>
      </c>
      <c r="Q107" s="16">
        <v>8199</v>
      </c>
      <c r="R107" s="17">
        <v>46</v>
      </c>
      <c r="S107" s="18">
        <v>5091.5789999999997</v>
      </c>
      <c r="T107" s="19" t="s">
        <v>36</v>
      </c>
      <c r="U107" s="20" t="s">
        <v>215</v>
      </c>
      <c r="V107" s="22">
        <v>48</v>
      </c>
      <c r="W107" s="22">
        <v>1</v>
      </c>
      <c r="X107" s="23"/>
    </row>
    <row r="108" spans="1:24" s="1" customFormat="1" ht="11" customHeight="1" x14ac:dyDescent="0.3">
      <c r="A108" s="24" t="s">
        <v>23</v>
      </c>
      <c r="B108" s="24" t="s">
        <v>209</v>
      </c>
      <c r="C108" s="12" t="s">
        <v>225</v>
      </c>
      <c r="D108" s="60"/>
      <c r="E108" s="41" t="str">
        <f t="shared" si="4"/>
        <v>Еще фото</v>
      </c>
      <c r="F108" s="13"/>
      <c r="G108" s="24" t="s">
        <v>28</v>
      </c>
      <c r="H108" s="24" t="s">
        <v>27</v>
      </c>
      <c r="I108" s="24" t="s">
        <v>28</v>
      </c>
      <c r="J108" s="14" t="s">
        <v>211</v>
      </c>
      <c r="K108" s="15" t="s">
        <v>30</v>
      </c>
      <c r="L108" s="62"/>
      <c r="M108" s="14" t="s">
        <v>52</v>
      </c>
      <c r="N108" s="14" t="s">
        <v>127</v>
      </c>
      <c r="O108" s="14"/>
      <c r="P108" s="15" t="s">
        <v>213</v>
      </c>
      <c r="Q108" s="16">
        <v>8199</v>
      </c>
      <c r="R108" s="17">
        <v>46</v>
      </c>
      <c r="S108" s="18">
        <v>5091.5789999999997</v>
      </c>
      <c r="T108" s="19" t="s">
        <v>36</v>
      </c>
      <c r="U108" s="20" t="s">
        <v>216</v>
      </c>
      <c r="V108" s="22">
        <v>48</v>
      </c>
      <c r="W108" s="22">
        <v>8</v>
      </c>
      <c r="X108" s="23"/>
    </row>
    <row r="109" spans="1:24" s="1" customFormat="1" ht="11" customHeight="1" x14ac:dyDescent="0.3">
      <c r="A109" s="24" t="s">
        <v>23</v>
      </c>
      <c r="B109" s="24" t="s">
        <v>209</v>
      </c>
      <c r="C109" s="12" t="s">
        <v>225</v>
      </c>
      <c r="D109" s="60"/>
      <c r="E109" s="41" t="str">
        <f t="shared" si="4"/>
        <v>Еще фото</v>
      </c>
      <c r="F109" s="13"/>
      <c r="G109" s="24" t="s">
        <v>28</v>
      </c>
      <c r="H109" s="24" t="s">
        <v>27</v>
      </c>
      <c r="I109" s="24" t="s">
        <v>28</v>
      </c>
      <c r="J109" s="14" t="s">
        <v>211</v>
      </c>
      <c r="K109" s="15" t="s">
        <v>30</v>
      </c>
      <c r="L109" s="62"/>
      <c r="M109" s="14" t="s">
        <v>52</v>
      </c>
      <c r="N109" s="14" t="s">
        <v>127</v>
      </c>
      <c r="O109" s="14"/>
      <c r="P109" s="15" t="s">
        <v>213</v>
      </c>
      <c r="Q109" s="16">
        <v>8199</v>
      </c>
      <c r="R109" s="17">
        <v>46</v>
      </c>
      <c r="S109" s="18">
        <v>5091.5789999999997</v>
      </c>
      <c r="T109" s="19" t="s">
        <v>36</v>
      </c>
      <c r="U109" s="20" t="s">
        <v>217</v>
      </c>
      <c r="V109" s="22">
        <v>50</v>
      </c>
      <c r="W109" s="22">
        <v>1</v>
      </c>
      <c r="X109" s="23"/>
    </row>
    <row r="110" spans="1:24" s="1" customFormat="1" ht="11" customHeight="1" x14ac:dyDescent="0.3">
      <c r="A110" s="24" t="s">
        <v>23</v>
      </c>
      <c r="B110" s="24" t="s">
        <v>209</v>
      </c>
      <c r="C110" s="12" t="s">
        <v>225</v>
      </c>
      <c r="D110" s="60"/>
      <c r="E110" s="41" t="str">
        <f t="shared" si="4"/>
        <v>Еще фото</v>
      </c>
      <c r="F110" s="13"/>
      <c r="G110" s="24" t="s">
        <v>28</v>
      </c>
      <c r="H110" s="24" t="s">
        <v>27</v>
      </c>
      <c r="I110" s="24" t="s">
        <v>28</v>
      </c>
      <c r="J110" s="14" t="s">
        <v>211</v>
      </c>
      <c r="K110" s="15" t="s">
        <v>30</v>
      </c>
      <c r="L110" s="62"/>
      <c r="M110" s="14" t="s">
        <v>52</v>
      </c>
      <c r="N110" s="14" t="s">
        <v>127</v>
      </c>
      <c r="O110" s="14"/>
      <c r="P110" s="15" t="s">
        <v>213</v>
      </c>
      <c r="Q110" s="16">
        <v>8199</v>
      </c>
      <c r="R110" s="17">
        <v>46</v>
      </c>
      <c r="S110" s="18">
        <v>5091.5789999999997</v>
      </c>
      <c r="T110" s="19" t="s">
        <v>36</v>
      </c>
      <c r="U110" s="20" t="s">
        <v>218</v>
      </c>
      <c r="V110" s="22">
        <v>50</v>
      </c>
      <c r="W110" s="22">
        <v>12</v>
      </c>
      <c r="X110" s="23"/>
    </row>
    <row r="111" spans="1:24" s="1" customFormat="1" ht="11" customHeight="1" x14ac:dyDescent="0.3">
      <c r="A111" s="24" t="s">
        <v>23</v>
      </c>
      <c r="B111" s="24" t="s">
        <v>209</v>
      </c>
      <c r="C111" s="12" t="s">
        <v>225</v>
      </c>
      <c r="D111" s="60"/>
      <c r="E111" s="41" t="str">
        <f t="shared" si="4"/>
        <v>Еще фото</v>
      </c>
      <c r="F111" s="13"/>
      <c r="G111" s="24" t="s">
        <v>28</v>
      </c>
      <c r="H111" s="24" t="s">
        <v>27</v>
      </c>
      <c r="I111" s="24" t="s">
        <v>28</v>
      </c>
      <c r="J111" s="14" t="s">
        <v>211</v>
      </c>
      <c r="K111" s="15" t="s">
        <v>30</v>
      </c>
      <c r="L111" s="62"/>
      <c r="M111" s="14" t="s">
        <v>52</v>
      </c>
      <c r="N111" s="14" t="s">
        <v>127</v>
      </c>
      <c r="O111" s="14"/>
      <c r="P111" s="15" t="s">
        <v>213</v>
      </c>
      <c r="Q111" s="16">
        <v>8199</v>
      </c>
      <c r="R111" s="17">
        <v>46</v>
      </c>
      <c r="S111" s="18">
        <v>5091.5789999999997</v>
      </c>
      <c r="T111" s="19" t="s">
        <v>36</v>
      </c>
      <c r="U111" s="20" t="s">
        <v>219</v>
      </c>
      <c r="V111" s="22">
        <v>52</v>
      </c>
      <c r="W111" s="22">
        <v>5</v>
      </c>
      <c r="X111" s="23"/>
    </row>
    <row r="112" spans="1:24" s="1" customFormat="1" ht="11" customHeight="1" x14ac:dyDescent="0.3">
      <c r="A112" s="24" t="s">
        <v>23</v>
      </c>
      <c r="B112" s="24" t="s">
        <v>209</v>
      </c>
      <c r="C112" s="12" t="s">
        <v>225</v>
      </c>
      <c r="D112" s="60"/>
      <c r="E112" s="41" t="str">
        <f t="shared" si="4"/>
        <v>Еще фото</v>
      </c>
      <c r="F112" s="13"/>
      <c r="G112" s="24" t="s">
        <v>28</v>
      </c>
      <c r="H112" s="24" t="s">
        <v>27</v>
      </c>
      <c r="I112" s="24" t="s">
        <v>28</v>
      </c>
      <c r="J112" s="14" t="s">
        <v>211</v>
      </c>
      <c r="K112" s="15" t="s">
        <v>30</v>
      </c>
      <c r="L112" s="62"/>
      <c r="M112" s="14" t="s">
        <v>52</v>
      </c>
      <c r="N112" s="14" t="s">
        <v>127</v>
      </c>
      <c r="O112" s="14"/>
      <c r="P112" s="15" t="s">
        <v>213</v>
      </c>
      <c r="Q112" s="16">
        <v>8199</v>
      </c>
      <c r="R112" s="17">
        <v>46</v>
      </c>
      <c r="S112" s="18">
        <v>5091.5789999999997</v>
      </c>
      <c r="T112" s="19" t="s">
        <v>36</v>
      </c>
      <c r="U112" s="20" t="s">
        <v>220</v>
      </c>
      <c r="V112" s="22">
        <v>52</v>
      </c>
      <c r="W112" s="22">
        <v>2</v>
      </c>
      <c r="X112" s="23"/>
    </row>
    <row r="113" spans="1:24" s="1" customFormat="1" ht="11" customHeight="1" x14ac:dyDescent="0.3">
      <c r="A113" s="24" t="s">
        <v>23</v>
      </c>
      <c r="B113" s="24" t="s">
        <v>209</v>
      </c>
      <c r="C113" s="12" t="s">
        <v>225</v>
      </c>
      <c r="D113" s="60"/>
      <c r="E113" s="41" t="str">
        <f t="shared" si="4"/>
        <v>Еще фото</v>
      </c>
      <c r="F113" s="13"/>
      <c r="G113" s="24" t="s">
        <v>28</v>
      </c>
      <c r="H113" s="24" t="s">
        <v>27</v>
      </c>
      <c r="I113" s="24" t="s">
        <v>28</v>
      </c>
      <c r="J113" s="14" t="s">
        <v>211</v>
      </c>
      <c r="K113" s="15" t="s">
        <v>30</v>
      </c>
      <c r="L113" s="62"/>
      <c r="M113" s="14" t="s">
        <v>52</v>
      </c>
      <c r="N113" s="14" t="s">
        <v>127</v>
      </c>
      <c r="O113" s="14"/>
      <c r="P113" s="15" t="s">
        <v>213</v>
      </c>
      <c r="Q113" s="16">
        <v>8199</v>
      </c>
      <c r="R113" s="17">
        <v>46</v>
      </c>
      <c r="S113" s="18">
        <v>5091.5789999999997</v>
      </c>
      <c r="T113" s="19" t="s">
        <v>36</v>
      </c>
      <c r="U113" s="20" t="s">
        <v>221</v>
      </c>
      <c r="V113" s="22">
        <v>54</v>
      </c>
      <c r="W113" s="22">
        <v>6</v>
      </c>
      <c r="X113" s="23"/>
    </row>
    <row r="114" spans="1:24" s="1" customFormat="1" ht="11" customHeight="1" x14ac:dyDescent="0.3">
      <c r="A114" s="24" t="s">
        <v>23</v>
      </c>
      <c r="B114" s="24" t="s">
        <v>209</v>
      </c>
      <c r="C114" s="12" t="s">
        <v>225</v>
      </c>
      <c r="D114" s="61"/>
      <c r="E114" s="41" t="str">
        <f t="shared" si="4"/>
        <v>Еще фото</v>
      </c>
      <c r="F114" s="13"/>
      <c r="G114" s="24" t="s">
        <v>28</v>
      </c>
      <c r="H114" s="24" t="s">
        <v>27</v>
      </c>
      <c r="I114" s="24" t="s">
        <v>28</v>
      </c>
      <c r="J114" s="14" t="s">
        <v>211</v>
      </c>
      <c r="K114" s="15" t="s">
        <v>30</v>
      </c>
      <c r="L114" s="58"/>
      <c r="M114" s="14" t="s">
        <v>52</v>
      </c>
      <c r="N114" s="14" t="s">
        <v>127</v>
      </c>
      <c r="O114" s="14"/>
      <c r="P114" s="15" t="s">
        <v>213</v>
      </c>
      <c r="Q114" s="16">
        <v>8199</v>
      </c>
      <c r="R114" s="17">
        <v>46</v>
      </c>
      <c r="S114" s="18">
        <v>5091.5789999999997</v>
      </c>
      <c r="T114" s="19" t="s">
        <v>36</v>
      </c>
      <c r="U114" s="20" t="s">
        <v>222</v>
      </c>
      <c r="V114" s="22">
        <v>54</v>
      </c>
      <c r="W114" s="22">
        <v>6</v>
      </c>
      <c r="X114" s="23"/>
    </row>
    <row r="115" spans="1:24" s="1" customFormat="1" ht="21" customHeight="1" x14ac:dyDescent="0.3">
      <c r="A115" s="11" t="s">
        <v>23</v>
      </c>
      <c r="B115" s="11" t="s">
        <v>226</v>
      </c>
      <c r="C115" s="26" t="s">
        <v>227</v>
      </c>
      <c r="D115" s="59"/>
      <c r="E115" s="41" t="str">
        <f>HYPERLINK("https://www.google.ru/search?q=1373882-110&amp;newwindow=1&amp;tbm=isch","Еще фото")</f>
        <v>Еще фото</v>
      </c>
      <c r="F115" s="13"/>
      <c r="G115" s="11" t="s">
        <v>28</v>
      </c>
      <c r="H115" s="11" t="s">
        <v>27</v>
      </c>
      <c r="I115" s="14" t="s">
        <v>28</v>
      </c>
      <c r="J115" s="14" t="s">
        <v>43</v>
      </c>
      <c r="K115" s="15" t="s">
        <v>30</v>
      </c>
      <c r="L115" s="57" t="s">
        <v>228</v>
      </c>
      <c r="M115" s="14"/>
      <c r="N115" s="14" t="s">
        <v>229</v>
      </c>
      <c r="O115" s="14"/>
      <c r="P115" s="15" t="s">
        <v>120</v>
      </c>
      <c r="Q115" s="16">
        <v>6299</v>
      </c>
      <c r="R115" s="17">
        <v>46</v>
      </c>
      <c r="S115" s="18">
        <v>3911.6789999999996</v>
      </c>
      <c r="T115" s="19" t="s">
        <v>36</v>
      </c>
      <c r="U115" s="20" t="s">
        <v>37</v>
      </c>
      <c r="V115" s="21" t="s">
        <v>38</v>
      </c>
      <c r="W115" s="22">
        <v>4</v>
      </c>
      <c r="X115" s="23"/>
    </row>
    <row r="116" spans="1:24" s="1" customFormat="1" ht="21" customHeight="1" x14ac:dyDescent="0.3">
      <c r="A116" s="24" t="s">
        <v>23</v>
      </c>
      <c r="B116" s="24" t="s">
        <v>226</v>
      </c>
      <c r="C116" s="27" t="s">
        <v>227</v>
      </c>
      <c r="D116" s="60"/>
      <c r="E116" s="41" t="str">
        <f>HYPERLINK("https://www.google.ru/search?q=1373882-110&amp;newwindow=1&amp;tbm=isch","Еще фото")</f>
        <v>Еще фото</v>
      </c>
      <c r="F116" s="13"/>
      <c r="G116" s="24" t="s">
        <v>28</v>
      </c>
      <c r="H116" s="24" t="s">
        <v>27</v>
      </c>
      <c r="I116" s="24" t="s">
        <v>28</v>
      </c>
      <c r="J116" s="14" t="s">
        <v>43</v>
      </c>
      <c r="K116" s="15" t="s">
        <v>30</v>
      </c>
      <c r="L116" s="62"/>
      <c r="M116" s="14"/>
      <c r="N116" s="14" t="s">
        <v>229</v>
      </c>
      <c r="O116" s="14"/>
      <c r="P116" s="15" t="s">
        <v>120</v>
      </c>
      <c r="Q116" s="16">
        <v>6299</v>
      </c>
      <c r="R116" s="17">
        <v>46</v>
      </c>
      <c r="S116" s="18">
        <v>3911.6789999999996</v>
      </c>
      <c r="T116" s="19" t="s">
        <v>36</v>
      </c>
      <c r="U116" s="20" t="s">
        <v>39</v>
      </c>
      <c r="V116" s="21" t="s">
        <v>40</v>
      </c>
      <c r="W116" s="22">
        <v>15</v>
      </c>
      <c r="X116" s="23"/>
    </row>
    <row r="117" spans="1:24" s="1" customFormat="1" ht="21" customHeight="1" x14ac:dyDescent="0.3">
      <c r="A117" s="24" t="s">
        <v>23</v>
      </c>
      <c r="B117" s="24" t="s">
        <v>226</v>
      </c>
      <c r="C117" s="27" t="s">
        <v>227</v>
      </c>
      <c r="D117" s="60"/>
      <c r="E117" s="41" t="str">
        <f>HYPERLINK("https://www.google.ru/search?q=1373882-110&amp;newwindow=1&amp;tbm=isch","Еще фото")</f>
        <v>Еще фото</v>
      </c>
      <c r="F117" s="13"/>
      <c r="G117" s="24" t="s">
        <v>28</v>
      </c>
      <c r="H117" s="24" t="s">
        <v>27</v>
      </c>
      <c r="I117" s="24" t="s">
        <v>28</v>
      </c>
      <c r="J117" s="14" t="s">
        <v>43</v>
      </c>
      <c r="K117" s="15" t="s">
        <v>30</v>
      </c>
      <c r="L117" s="62"/>
      <c r="M117" s="14"/>
      <c r="N117" s="14" t="s">
        <v>229</v>
      </c>
      <c r="O117" s="14"/>
      <c r="P117" s="15" t="s">
        <v>120</v>
      </c>
      <c r="Q117" s="16">
        <v>6299</v>
      </c>
      <c r="R117" s="17">
        <v>46</v>
      </c>
      <c r="S117" s="18">
        <v>3911.6789999999996</v>
      </c>
      <c r="T117" s="19" t="s">
        <v>36</v>
      </c>
      <c r="U117" s="20" t="s">
        <v>86</v>
      </c>
      <c r="V117" s="21" t="s">
        <v>87</v>
      </c>
      <c r="W117" s="22">
        <v>15</v>
      </c>
      <c r="X117" s="23"/>
    </row>
    <row r="118" spans="1:24" s="1" customFormat="1" ht="21" customHeight="1" x14ac:dyDescent="0.3">
      <c r="A118" s="24" t="s">
        <v>23</v>
      </c>
      <c r="B118" s="24" t="s">
        <v>226</v>
      </c>
      <c r="C118" s="27" t="s">
        <v>227</v>
      </c>
      <c r="D118" s="60"/>
      <c r="E118" s="41" t="str">
        <f>HYPERLINK("https://www.google.ru/search?q=1373882-110&amp;newwindow=1&amp;tbm=isch","Еще фото")</f>
        <v>Еще фото</v>
      </c>
      <c r="F118" s="13"/>
      <c r="G118" s="24" t="s">
        <v>28</v>
      </c>
      <c r="H118" s="24" t="s">
        <v>27</v>
      </c>
      <c r="I118" s="24" t="s">
        <v>28</v>
      </c>
      <c r="J118" s="14" t="s">
        <v>43</v>
      </c>
      <c r="K118" s="15" t="s">
        <v>30</v>
      </c>
      <c r="L118" s="62"/>
      <c r="M118" s="14"/>
      <c r="N118" s="14" t="s">
        <v>229</v>
      </c>
      <c r="O118" s="14"/>
      <c r="P118" s="15" t="s">
        <v>120</v>
      </c>
      <c r="Q118" s="16">
        <v>6299</v>
      </c>
      <c r="R118" s="17">
        <v>46</v>
      </c>
      <c r="S118" s="18">
        <v>3911.6789999999996</v>
      </c>
      <c r="T118" s="19" t="s">
        <v>36</v>
      </c>
      <c r="U118" s="20" t="s">
        <v>88</v>
      </c>
      <c r="V118" s="21" t="s">
        <v>89</v>
      </c>
      <c r="W118" s="22">
        <v>12</v>
      </c>
      <c r="X118" s="23"/>
    </row>
    <row r="119" spans="1:24" s="1" customFormat="1" ht="32" customHeight="1" x14ac:dyDescent="0.3">
      <c r="A119" s="24" t="s">
        <v>23</v>
      </c>
      <c r="B119" s="24" t="s">
        <v>226</v>
      </c>
      <c r="C119" s="27" t="s">
        <v>227</v>
      </c>
      <c r="D119" s="61"/>
      <c r="E119" s="41" t="str">
        <f>HYPERLINK("https://www.google.ru/search?q=1373882-110&amp;newwindow=1&amp;tbm=isch","Еще фото")</f>
        <v>Еще фото</v>
      </c>
      <c r="F119" s="13"/>
      <c r="G119" s="24" t="s">
        <v>28</v>
      </c>
      <c r="H119" s="24" t="s">
        <v>27</v>
      </c>
      <c r="I119" s="24" t="s">
        <v>28</v>
      </c>
      <c r="J119" s="14" t="s">
        <v>43</v>
      </c>
      <c r="K119" s="15" t="s">
        <v>30</v>
      </c>
      <c r="L119" s="58"/>
      <c r="M119" s="14"/>
      <c r="N119" s="14" t="s">
        <v>229</v>
      </c>
      <c r="O119" s="14"/>
      <c r="P119" s="15" t="s">
        <v>120</v>
      </c>
      <c r="Q119" s="16">
        <v>6299</v>
      </c>
      <c r="R119" s="17">
        <v>46</v>
      </c>
      <c r="S119" s="18">
        <v>3911.6789999999996</v>
      </c>
      <c r="T119" s="19" t="s">
        <v>36</v>
      </c>
      <c r="U119" s="20" t="s">
        <v>90</v>
      </c>
      <c r="V119" s="21" t="s">
        <v>91</v>
      </c>
      <c r="W119" s="22">
        <v>6</v>
      </c>
      <c r="X119" s="23"/>
    </row>
    <row r="120" spans="1:24" s="1" customFormat="1" ht="21" customHeight="1" x14ac:dyDescent="0.3">
      <c r="A120" s="11" t="s">
        <v>23</v>
      </c>
      <c r="B120" s="11" t="s">
        <v>226</v>
      </c>
      <c r="C120" s="26" t="s">
        <v>230</v>
      </c>
      <c r="D120" s="59"/>
      <c r="E120" s="41" t="str">
        <f>HYPERLINK("https://www.google.ru/search?q=1373882-477&amp;newwindow=1&amp;tbm=isch","Еще фото")</f>
        <v>Еще фото</v>
      </c>
      <c r="F120" s="13"/>
      <c r="G120" s="11" t="s">
        <v>28</v>
      </c>
      <c r="H120" s="11" t="s">
        <v>27</v>
      </c>
      <c r="I120" s="14" t="s">
        <v>28</v>
      </c>
      <c r="J120" s="14" t="s">
        <v>43</v>
      </c>
      <c r="K120" s="15" t="s">
        <v>30</v>
      </c>
      <c r="L120" s="57" t="s">
        <v>228</v>
      </c>
      <c r="M120" s="14"/>
      <c r="N120" s="14" t="s">
        <v>46</v>
      </c>
      <c r="O120" s="14"/>
      <c r="P120" s="15" t="s">
        <v>120</v>
      </c>
      <c r="Q120" s="16">
        <v>6299</v>
      </c>
      <c r="R120" s="17">
        <v>46</v>
      </c>
      <c r="S120" s="18">
        <v>3911.6789999999996</v>
      </c>
      <c r="T120" s="19" t="s">
        <v>36</v>
      </c>
      <c r="U120" s="20" t="s">
        <v>37</v>
      </c>
      <c r="V120" s="21" t="s">
        <v>38</v>
      </c>
      <c r="W120" s="22">
        <v>3</v>
      </c>
      <c r="X120" s="23"/>
    </row>
    <row r="121" spans="1:24" s="1" customFormat="1" ht="21" customHeight="1" x14ac:dyDescent="0.3">
      <c r="A121" s="24" t="s">
        <v>23</v>
      </c>
      <c r="B121" s="24" t="s">
        <v>226</v>
      </c>
      <c r="C121" s="27" t="s">
        <v>230</v>
      </c>
      <c r="D121" s="60"/>
      <c r="E121" s="41" t="str">
        <f>HYPERLINK("https://www.google.ru/search?q=1373882-477&amp;newwindow=1&amp;tbm=isch","Еще фото")</f>
        <v>Еще фото</v>
      </c>
      <c r="F121" s="13"/>
      <c r="G121" s="24" t="s">
        <v>28</v>
      </c>
      <c r="H121" s="24" t="s">
        <v>27</v>
      </c>
      <c r="I121" s="24" t="s">
        <v>28</v>
      </c>
      <c r="J121" s="14" t="s">
        <v>43</v>
      </c>
      <c r="K121" s="15" t="s">
        <v>30</v>
      </c>
      <c r="L121" s="62"/>
      <c r="M121" s="14"/>
      <c r="N121" s="14" t="s">
        <v>46</v>
      </c>
      <c r="O121" s="14"/>
      <c r="P121" s="15" t="s">
        <v>120</v>
      </c>
      <c r="Q121" s="16">
        <v>6299</v>
      </c>
      <c r="R121" s="17">
        <v>46</v>
      </c>
      <c r="S121" s="18">
        <v>3911.6789999999996</v>
      </c>
      <c r="T121" s="19" t="s">
        <v>36</v>
      </c>
      <c r="U121" s="20" t="s">
        <v>39</v>
      </c>
      <c r="V121" s="21" t="s">
        <v>40</v>
      </c>
      <c r="W121" s="22">
        <v>16</v>
      </c>
      <c r="X121" s="23"/>
    </row>
    <row r="122" spans="1:24" s="1" customFormat="1" ht="21" customHeight="1" x14ac:dyDescent="0.3">
      <c r="A122" s="24" t="s">
        <v>23</v>
      </c>
      <c r="B122" s="24" t="s">
        <v>226</v>
      </c>
      <c r="C122" s="27" t="s">
        <v>230</v>
      </c>
      <c r="D122" s="60"/>
      <c r="E122" s="41" t="str">
        <f>HYPERLINK("https://www.google.ru/search?q=1373882-477&amp;newwindow=1&amp;tbm=isch","Еще фото")</f>
        <v>Еще фото</v>
      </c>
      <c r="F122" s="13"/>
      <c r="G122" s="24" t="s">
        <v>28</v>
      </c>
      <c r="H122" s="24" t="s">
        <v>27</v>
      </c>
      <c r="I122" s="24" t="s">
        <v>28</v>
      </c>
      <c r="J122" s="14" t="s">
        <v>43</v>
      </c>
      <c r="K122" s="15" t="s">
        <v>30</v>
      </c>
      <c r="L122" s="62"/>
      <c r="M122" s="14"/>
      <c r="N122" s="14" t="s">
        <v>46</v>
      </c>
      <c r="O122" s="14"/>
      <c r="P122" s="15" t="s">
        <v>120</v>
      </c>
      <c r="Q122" s="16">
        <v>6299</v>
      </c>
      <c r="R122" s="17">
        <v>46</v>
      </c>
      <c r="S122" s="18">
        <v>3911.6789999999996</v>
      </c>
      <c r="T122" s="19" t="s">
        <v>36</v>
      </c>
      <c r="U122" s="20" t="s">
        <v>86</v>
      </c>
      <c r="V122" s="21" t="s">
        <v>87</v>
      </c>
      <c r="W122" s="22">
        <v>15</v>
      </c>
      <c r="X122" s="23"/>
    </row>
    <row r="123" spans="1:24" s="1" customFormat="1" ht="21" customHeight="1" x14ac:dyDescent="0.3">
      <c r="A123" s="24" t="s">
        <v>23</v>
      </c>
      <c r="B123" s="24" t="s">
        <v>226</v>
      </c>
      <c r="C123" s="27" t="s">
        <v>230</v>
      </c>
      <c r="D123" s="60"/>
      <c r="E123" s="41" t="str">
        <f>HYPERLINK("https://www.google.ru/search?q=1373882-477&amp;newwindow=1&amp;tbm=isch","Еще фото")</f>
        <v>Еще фото</v>
      </c>
      <c r="F123" s="13"/>
      <c r="G123" s="24" t="s">
        <v>28</v>
      </c>
      <c r="H123" s="24" t="s">
        <v>27</v>
      </c>
      <c r="I123" s="24" t="s">
        <v>28</v>
      </c>
      <c r="J123" s="14" t="s">
        <v>43</v>
      </c>
      <c r="K123" s="15" t="s">
        <v>30</v>
      </c>
      <c r="L123" s="62"/>
      <c r="M123" s="14"/>
      <c r="N123" s="14" t="s">
        <v>46</v>
      </c>
      <c r="O123" s="14"/>
      <c r="P123" s="15" t="s">
        <v>120</v>
      </c>
      <c r="Q123" s="16">
        <v>6299</v>
      </c>
      <c r="R123" s="17">
        <v>46</v>
      </c>
      <c r="S123" s="18">
        <v>3911.6789999999996</v>
      </c>
      <c r="T123" s="19" t="s">
        <v>36</v>
      </c>
      <c r="U123" s="20" t="s">
        <v>88</v>
      </c>
      <c r="V123" s="21" t="s">
        <v>89</v>
      </c>
      <c r="W123" s="22">
        <v>11</v>
      </c>
      <c r="X123" s="23"/>
    </row>
    <row r="124" spans="1:24" s="1" customFormat="1" ht="32" customHeight="1" x14ac:dyDescent="0.3">
      <c r="A124" s="24" t="s">
        <v>23</v>
      </c>
      <c r="B124" s="24" t="s">
        <v>226</v>
      </c>
      <c r="C124" s="27" t="s">
        <v>230</v>
      </c>
      <c r="D124" s="61"/>
      <c r="E124" s="41" t="str">
        <f>HYPERLINK("https://www.google.ru/search?q=1373882-477&amp;newwindow=1&amp;tbm=isch","Еще фото")</f>
        <v>Еще фото</v>
      </c>
      <c r="F124" s="13"/>
      <c r="G124" s="24" t="s">
        <v>28</v>
      </c>
      <c r="H124" s="24" t="s">
        <v>27</v>
      </c>
      <c r="I124" s="24" t="s">
        <v>28</v>
      </c>
      <c r="J124" s="14" t="s">
        <v>43</v>
      </c>
      <c r="K124" s="15" t="s">
        <v>30</v>
      </c>
      <c r="L124" s="58"/>
      <c r="M124" s="14"/>
      <c r="N124" s="14" t="s">
        <v>46</v>
      </c>
      <c r="O124" s="14"/>
      <c r="P124" s="15" t="s">
        <v>120</v>
      </c>
      <c r="Q124" s="16">
        <v>6299</v>
      </c>
      <c r="R124" s="17">
        <v>46</v>
      </c>
      <c r="S124" s="18">
        <v>3911.6789999999996</v>
      </c>
      <c r="T124" s="19" t="s">
        <v>36</v>
      </c>
      <c r="U124" s="20" t="s">
        <v>90</v>
      </c>
      <c r="V124" s="21" t="s">
        <v>91</v>
      </c>
      <c r="W124" s="22">
        <v>6</v>
      </c>
      <c r="X124" s="23"/>
    </row>
    <row r="125" spans="1:24" s="1" customFormat="1" ht="21" customHeight="1" x14ac:dyDescent="0.3">
      <c r="A125" s="11" t="s">
        <v>23</v>
      </c>
      <c r="B125" s="11" t="s">
        <v>231</v>
      </c>
      <c r="C125" s="26" t="s">
        <v>232</v>
      </c>
      <c r="D125" s="59"/>
      <c r="E125" s="41" t="str">
        <f>HYPERLINK("https://www.google.ru/search?q=1390155-001&amp;newwindow=1&amp;tbm=isch","Еще фото")</f>
        <v>Еще фото</v>
      </c>
      <c r="F125" s="13"/>
      <c r="G125" s="11" t="s">
        <v>28</v>
      </c>
      <c r="H125" s="11" t="s">
        <v>27</v>
      </c>
      <c r="I125" s="14" t="s">
        <v>28</v>
      </c>
      <c r="J125" s="14" t="s">
        <v>43</v>
      </c>
      <c r="K125" s="15" t="s">
        <v>50</v>
      </c>
      <c r="L125" s="57" t="s">
        <v>233</v>
      </c>
      <c r="M125" s="14"/>
      <c r="N125" s="14" t="s">
        <v>33</v>
      </c>
      <c r="O125" s="14"/>
      <c r="P125" s="15" t="s">
        <v>47</v>
      </c>
      <c r="Q125" s="16">
        <v>4499</v>
      </c>
      <c r="R125" s="17">
        <v>46</v>
      </c>
      <c r="S125" s="18">
        <v>2793.8789999999999</v>
      </c>
      <c r="T125" s="19" t="s">
        <v>36</v>
      </c>
      <c r="U125" s="20" t="s">
        <v>99</v>
      </c>
      <c r="V125" s="21" t="s">
        <v>100</v>
      </c>
      <c r="W125" s="22">
        <v>5</v>
      </c>
      <c r="X125" s="23"/>
    </row>
    <row r="126" spans="1:24" s="1" customFormat="1" ht="21" customHeight="1" x14ac:dyDescent="0.3">
      <c r="A126" s="24" t="s">
        <v>23</v>
      </c>
      <c r="B126" s="24" t="s">
        <v>231</v>
      </c>
      <c r="C126" s="27" t="s">
        <v>232</v>
      </c>
      <c r="D126" s="60"/>
      <c r="E126" s="41" t="str">
        <f>HYPERLINK("https://www.google.ru/search?q=1390155-001&amp;newwindow=1&amp;tbm=isch","Еще фото")</f>
        <v>Еще фото</v>
      </c>
      <c r="F126" s="13"/>
      <c r="G126" s="24" t="s">
        <v>28</v>
      </c>
      <c r="H126" s="24" t="s">
        <v>27</v>
      </c>
      <c r="I126" s="24" t="s">
        <v>28</v>
      </c>
      <c r="J126" s="14" t="s">
        <v>43</v>
      </c>
      <c r="K126" s="15" t="s">
        <v>50</v>
      </c>
      <c r="L126" s="62"/>
      <c r="M126" s="14"/>
      <c r="N126" s="14" t="s">
        <v>33</v>
      </c>
      <c r="O126" s="14"/>
      <c r="P126" s="15" t="s">
        <v>47</v>
      </c>
      <c r="Q126" s="16">
        <v>4499</v>
      </c>
      <c r="R126" s="17">
        <v>46</v>
      </c>
      <c r="S126" s="18">
        <v>2793.8789999999999</v>
      </c>
      <c r="T126" s="19" t="s">
        <v>36</v>
      </c>
      <c r="U126" s="20" t="s">
        <v>54</v>
      </c>
      <c r="V126" s="21" t="s">
        <v>55</v>
      </c>
      <c r="W126" s="22">
        <v>11</v>
      </c>
      <c r="X126" s="23"/>
    </row>
    <row r="127" spans="1:24" s="1" customFormat="1" ht="21" customHeight="1" x14ac:dyDescent="0.3">
      <c r="A127" s="24" t="s">
        <v>23</v>
      </c>
      <c r="B127" s="24" t="s">
        <v>231</v>
      </c>
      <c r="C127" s="27" t="s">
        <v>232</v>
      </c>
      <c r="D127" s="60"/>
      <c r="E127" s="41" t="str">
        <f>HYPERLINK("https://www.google.ru/search?q=1390155-001&amp;newwindow=1&amp;tbm=isch","Еще фото")</f>
        <v>Еще фото</v>
      </c>
      <c r="F127" s="13"/>
      <c r="G127" s="24" t="s">
        <v>28</v>
      </c>
      <c r="H127" s="24" t="s">
        <v>27</v>
      </c>
      <c r="I127" s="24" t="s">
        <v>28</v>
      </c>
      <c r="J127" s="14" t="s">
        <v>43</v>
      </c>
      <c r="K127" s="15" t="s">
        <v>50</v>
      </c>
      <c r="L127" s="62"/>
      <c r="M127" s="14"/>
      <c r="N127" s="14" t="s">
        <v>33</v>
      </c>
      <c r="O127" s="14"/>
      <c r="P127" s="15" t="s">
        <v>47</v>
      </c>
      <c r="Q127" s="16">
        <v>4499</v>
      </c>
      <c r="R127" s="17">
        <v>46</v>
      </c>
      <c r="S127" s="18">
        <v>2793.8789999999999</v>
      </c>
      <c r="T127" s="19" t="s">
        <v>36</v>
      </c>
      <c r="U127" s="20" t="s">
        <v>234</v>
      </c>
      <c r="V127" s="21" t="s">
        <v>235</v>
      </c>
      <c r="W127" s="22">
        <v>9</v>
      </c>
      <c r="X127" s="23"/>
    </row>
    <row r="128" spans="1:24" s="1" customFormat="1" ht="21" customHeight="1" x14ac:dyDescent="0.3">
      <c r="A128" s="24" t="s">
        <v>23</v>
      </c>
      <c r="B128" s="24" t="s">
        <v>231</v>
      </c>
      <c r="C128" s="27" t="s">
        <v>232</v>
      </c>
      <c r="D128" s="60"/>
      <c r="E128" s="41" t="str">
        <f>HYPERLINK("https://www.google.ru/search?q=1390155-001&amp;newwindow=1&amp;tbm=isch","Еще фото")</f>
        <v>Еще фото</v>
      </c>
      <c r="F128" s="13"/>
      <c r="G128" s="24" t="s">
        <v>28</v>
      </c>
      <c r="H128" s="24" t="s">
        <v>27</v>
      </c>
      <c r="I128" s="24" t="s">
        <v>28</v>
      </c>
      <c r="J128" s="14" t="s">
        <v>43</v>
      </c>
      <c r="K128" s="15" t="s">
        <v>50</v>
      </c>
      <c r="L128" s="62"/>
      <c r="M128" s="14"/>
      <c r="N128" s="14" t="s">
        <v>33</v>
      </c>
      <c r="O128" s="14"/>
      <c r="P128" s="15" t="s">
        <v>47</v>
      </c>
      <c r="Q128" s="16">
        <v>4499</v>
      </c>
      <c r="R128" s="17">
        <v>46</v>
      </c>
      <c r="S128" s="18">
        <v>2793.8789999999999</v>
      </c>
      <c r="T128" s="19" t="s">
        <v>36</v>
      </c>
      <c r="U128" s="20" t="s">
        <v>71</v>
      </c>
      <c r="V128" s="21" t="s">
        <v>72</v>
      </c>
      <c r="W128" s="22">
        <v>13</v>
      </c>
      <c r="X128" s="23"/>
    </row>
    <row r="129" spans="1:24" s="1" customFormat="1" ht="32" customHeight="1" x14ac:dyDescent="0.3">
      <c r="A129" s="24" t="s">
        <v>23</v>
      </c>
      <c r="B129" s="24" t="s">
        <v>231</v>
      </c>
      <c r="C129" s="27" t="s">
        <v>232</v>
      </c>
      <c r="D129" s="61"/>
      <c r="E129" s="41" t="str">
        <f>HYPERLINK("https://www.google.ru/search?q=1390155-001&amp;newwindow=1&amp;tbm=isch","Еще фото")</f>
        <v>Еще фото</v>
      </c>
      <c r="F129" s="13"/>
      <c r="G129" s="24" t="s">
        <v>28</v>
      </c>
      <c r="H129" s="24" t="s">
        <v>27</v>
      </c>
      <c r="I129" s="24" t="s">
        <v>28</v>
      </c>
      <c r="J129" s="14" t="s">
        <v>43</v>
      </c>
      <c r="K129" s="15" t="s">
        <v>50</v>
      </c>
      <c r="L129" s="58"/>
      <c r="M129" s="14"/>
      <c r="N129" s="14" t="s">
        <v>33</v>
      </c>
      <c r="O129" s="14"/>
      <c r="P129" s="15" t="s">
        <v>47</v>
      </c>
      <c r="Q129" s="16">
        <v>4499</v>
      </c>
      <c r="R129" s="17">
        <v>46</v>
      </c>
      <c r="S129" s="18">
        <v>2793.8789999999999</v>
      </c>
      <c r="T129" s="19" t="s">
        <v>36</v>
      </c>
      <c r="U129" s="20" t="s">
        <v>73</v>
      </c>
      <c r="V129" s="21" t="s">
        <v>74</v>
      </c>
      <c r="W129" s="22">
        <v>10</v>
      </c>
      <c r="X129" s="23"/>
    </row>
    <row r="130" spans="1:24" s="1" customFormat="1" ht="21" customHeight="1" x14ac:dyDescent="0.3">
      <c r="A130" s="11" t="s">
        <v>23</v>
      </c>
      <c r="B130" s="11" t="s">
        <v>231</v>
      </c>
      <c r="C130" s="26" t="s">
        <v>236</v>
      </c>
      <c r="D130" s="59"/>
      <c r="E130" s="41" t="str">
        <f>HYPERLINK("https://www.google.ru/search?q=1390155-390&amp;newwindow=1&amp;tbm=isch","Еще фото")</f>
        <v>Еще фото</v>
      </c>
      <c r="F130" s="13"/>
      <c r="G130" s="11" t="s">
        <v>28</v>
      </c>
      <c r="H130" s="11" t="s">
        <v>27</v>
      </c>
      <c r="I130" s="14" t="s">
        <v>28</v>
      </c>
      <c r="J130" s="14" t="s">
        <v>43</v>
      </c>
      <c r="K130" s="15" t="s">
        <v>50</v>
      </c>
      <c r="L130" s="57" t="s">
        <v>233</v>
      </c>
      <c r="M130" s="14"/>
      <c r="N130" s="14" t="s">
        <v>127</v>
      </c>
      <c r="O130" s="14"/>
      <c r="P130" s="15" t="s">
        <v>47</v>
      </c>
      <c r="Q130" s="16">
        <v>4499</v>
      </c>
      <c r="R130" s="17">
        <v>46</v>
      </c>
      <c r="S130" s="18">
        <v>2793.8789999999999</v>
      </c>
      <c r="T130" s="19" t="s">
        <v>36</v>
      </c>
      <c r="U130" s="20" t="s">
        <v>99</v>
      </c>
      <c r="V130" s="21" t="s">
        <v>100</v>
      </c>
      <c r="W130" s="22">
        <v>6</v>
      </c>
      <c r="X130" s="23"/>
    </row>
    <row r="131" spans="1:24" s="1" customFormat="1" ht="21" customHeight="1" x14ac:dyDescent="0.3">
      <c r="A131" s="24" t="s">
        <v>23</v>
      </c>
      <c r="B131" s="24" t="s">
        <v>231</v>
      </c>
      <c r="C131" s="27" t="s">
        <v>236</v>
      </c>
      <c r="D131" s="60"/>
      <c r="E131" s="41" t="str">
        <f>HYPERLINK("https://www.google.ru/search?q=1390155-390&amp;newwindow=1&amp;tbm=isch","Еще фото")</f>
        <v>Еще фото</v>
      </c>
      <c r="F131" s="13"/>
      <c r="G131" s="24" t="s">
        <v>28</v>
      </c>
      <c r="H131" s="24" t="s">
        <v>27</v>
      </c>
      <c r="I131" s="24" t="s">
        <v>28</v>
      </c>
      <c r="J131" s="14" t="s">
        <v>43</v>
      </c>
      <c r="K131" s="15" t="s">
        <v>50</v>
      </c>
      <c r="L131" s="62"/>
      <c r="M131" s="14"/>
      <c r="N131" s="14" t="s">
        <v>127</v>
      </c>
      <c r="O131" s="14"/>
      <c r="P131" s="15" t="s">
        <v>47</v>
      </c>
      <c r="Q131" s="16">
        <v>4499</v>
      </c>
      <c r="R131" s="17">
        <v>46</v>
      </c>
      <c r="S131" s="18">
        <v>2793.8789999999999</v>
      </c>
      <c r="T131" s="19" t="s">
        <v>36</v>
      </c>
      <c r="U131" s="20" t="s">
        <v>54</v>
      </c>
      <c r="V131" s="21" t="s">
        <v>55</v>
      </c>
      <c r="W131" s="22">
        <v>12</v>
      </c>
      <c r="X131" s="23"/>
    </row>
    <row r="132" spans="1:24" s="1" customFormat="1" ht="21" customHeight="1" x14ac:dyDescent="0.3">
      <c r="A132" s="24" t="s">
        <v>23</v>
      </c>
      <c r="B132" s="24" t="s">
        <v>231</v>
      </c>
      <c r="C132" s="27" t="s">
        <v>236</v>
      </c>
      <c r="D132" s="60"/>
      <c r="E132" s="41" t="str">
        <f>HYPERLINK("https://www.google.ru/search?q=1390155-390&amp;newwindow=1&amp;tbm=isch","Еще фото")</f>
        <v>Еще фото</v>
      </c>
      <c r="F132" s="13"/>
      <c r="G132" s="24" t="s">
        <v>28</v>
      </c>
      <c r="H132" s="24" t="s">
        <v>27</v>
      </c>
      <c r="I132" s="24" t="s">
        <v>28</v>
      </c>
      <c r="J132" s="14" t="s">
        <v>43</v>
      </c>
      <c r="K132" s="15" t="s">
        <v>50</v>
      </c>
      <c r="L132" s="62"/>
      <c r="M132" s="14"/>
      <c r="N132" s="14" t="s">
        <v>127</v>
      </c>
      <c r="O132" s="14"/>
      <c r="P132" s="15" t="s">
        <v>47</v>
      </c>
      <c r="Q132" s="16">
        <v>4499</v>
      </c>
      <c r="R132" s="17">
        <v>46</v>
      </c>
      <c r="S132" s="18">
        <v>2793.8789999999999</v>
      </c>
      <c r="T132" s="19" t="s">
        <v>36</v>
      </c>
      <c r="U132" s="20" t="s">
        <v>234</v>
      </c>
      <c r="V132" s="21" t="s">
        <v>235</v>
      </c>
      <c r="W132" s="22">
        <v>12</v>
      </c>
      <c r="X132" s="23"/>
    </row>
    <row r="133" spans="1:24" s="1" customFormat="1" ht="21" customHeight="1" x14ac:dyDescent="0.3">
      <c r="A133" s="24" t="s">
        <v>23</v>
      </c>
      <c r="B133" s="24" t="s">
        <v>231</v>
      </c>
      <c r="C133" s="27" t="s">
        <v>236</v>
      </c>
      <c r="D133" s="60"/>
      <c r="E133" s="41" t="str">
        <f>HYPERLINK("https://www.google.ru/search?q=1390155-390&amp;newwindow=1&amp;tbm=isch","Еще фото")</f>
        <v>Еще фото</v>
      </c>
      <c r="F133" s="13"/>
      <c r="G133" s="24" t="s">
        <v>28</v>
      </c>
      <c r="H133" s="24" t="s">
        <v>27</v>
      </c>
      <c r="I133" s="24" t="s">
        <v>28</v>
      </c>
      <c r="J133" s="14" t="s">
        <v>43</v>
      </c>
      <c r="K133" s="15" t="s">
        <v>50</v>
      </c>
      <c r="L133" s="62"/>
      <c r="M133" s="14"/>
      <c r="N133" s="14" t="s">
        <v>127</v>
      </c>
      <c r="O133" s="14"/>
      <c r="P133" s="15" t="s">
        <v>47</v>
      </c>
      <c r="Q133" s="16">
        <v>4499</v>
      </c>
      <c r="R133" s="17">
        <v>46</v>
      </c>
      <c r="S133" s="18">
        <v>2793.8789999999999</v>
      </c>
      <c r="T133" s="19" t="s">
        <v>36</v>
      </c>
      <c r="U133" s="20" t="s">
        <v>71</v>
      </c>
      <c r="V133" s="21" t="s">
        <v>72</v>
      </c>
      <c r="W133" s="22">
        <v>18</v>
      </c>
      <c r="X133" s="23"/>
    </row>
    <row r="134" spans="1:24" s="1" customFormat="1" ht="32" customHeight="1" x14ac:dyDescent="0.3">
      <c r="A134" s="24" t="s">
        <v>23</v>
      </c>
      <c r="B134" s="24" t="s">
        <v>231</v>
      </c>
      <c r="C134" s="27" t="s">
        <v>236</v>
      </c>
      <c r="D134" s="61"/>
      <c r="E134" s="41" t="str">
        <f>HYPERLINK("https://www.google.ru/search?q=1390155-390&amp;newwindow=1&amp;tbm=isch","Еще фото")</f>
        <v>Еще фото</v>
      </c>
      <c r="F134" s="13"/>
      <c r="G134" s="24" t="s">
        <v>28</v>
      </c>
      <c r="H134" s="24" t="s">
        <v>27</v>
      </c>
      <c r="I134" s="24" t="s">
        <v>28</v>
      </c>
      <c r="J134" s="14" t="s">
        <v>43</v>
      </c>
      <c r="K134" s="15" t="s">
        <v>50</v>
      </c>
      <c r="L134" s="58"/>
      <c r="M134" s="14"/>
      <c r="N134" s="14" t="s">
        <v>127</v>
      </c>
      <c r="O134" s="14"/>
      <c r="P134" s="15" t="s">
        <v>47</v>
      </c>
      <c r="Q134" s="16">
        <v>4499</v>
      </c>
      <c r="R134" s="17">
        <v>46</v>
      </c>
      <c r="S134" s="18">
        <v>2793.8789999999999</v>
      </c>
      <c r="T134" s="19" t="s">
        <v>36</v>
      </c>
      <c r="U134" s="20" t="s">
        <v>73</v>
      </c>
      <c r="V134" s="21" t="s">
        <v>74</v>
      </c>
      <c r="W134" s="22">
        <v>11</v>
      </c>
      <c r="X134" s="23"/>
    </row>
    <row r="135" spans="1:24" s="1" customFormat="1" ht="21" customHeight="1" x14ac:dyDescent="0.3">
      <c r="A135" s="11" t="s">
        <v>23</v>
      </c>
      <c r="B135" s="11" t="s">
        <v>231</v>
      </c>
      <c r="C135" s="26" t="s">
        <v>237</v>
      </c>
      <c r="D135" s="59"/>
      <c r="E135" s="41" t="str">
        <f>HYPERLINK("https://www.google.ru/search?q=1390155-410&amp;newwindow=1&amp;tbm=isch","Еще фото")</f>
        <v>Еще фото</v>
      </c>
      <c r="F135" s="13"/>
      <c r="G135" s="11" t="s">
        <v>28</v>
      </c>
      <c r="H135" s="11" t="s">
        <v>27</v>
      </c>
      <c r="I135" s="14" t="s">
        <v>28</v>
      </c>
      <c r="J135" s="14" t="s">
        <v>43</v>
      </c>
      <c r="K135" s="15" t="s">
        <v>50</v>
      </c>
      <c r="L135" s="57" t="s">
        <v>233</v>
      </c>
      <c r="M135" s="14"/>
      <c r="N135" s="14" t="s">
        <v>115</v>
      </c>
      <c r="O135" s="14"/>
      <c r="P135" s="15" t="s">
        <v>47</v>
      </c>
      <c r="Q135" s="16">
        <v>4499</v>
      </c>
      <c r="R135" s="17">
        <v>46</v>
      </c>
      <c r="S135" s="18">
        <v>2793.8789999999999</v>
      </c>
      <c r="T135" s="19" t="s">
        <v>36</v>
      </c>
      <c r="U135" s="20" t="s">
        <v>99</v>
      </c>
      <c r="V135" s="21" t="s">
        <v>100</v>
      </c>
      <c r="W135" s="22">
        <v>5</v>
      </c>
      <c r="X135" s="23"/>
    </row>
    <row r="136" spans="1:24" s="1" customFormat="1" ht="21" customHeight="1" x14ac:dyDescent="0.3">
      <c r="A136" s="24" t="s">
        <v>23</v>
      </c>
      <c r="B136" s="24" t="s">
        <v>231</v>
      </c>
      <c r="C136" s="27" t="s">
        <v>237</v>
      </c>
      <c r="D136" s="60"/>
      <c r="E136" s="41" t="str">
        <f>HYPERLINK("https://www.google.ru/search?q=1390155-410&amp;newwindow=1&amp;tbm=isch","Еще фото")</f>
        <v>Еще фото</v>
      </c>
      <c r="F136" s="13"/>
      <c r="G136" s="24" t="s">
        <v>28</v>
      </c>
      <c r="H136" s="24" t="s">
        <v>27</v>
      </c>
      <c r="I136" s="24" t="s">
        <v>28</v>
      </c>
      <c r="J136" s="14" t="s">
        <v>43</v>
      </c>
      <c r="K136" s="15" t="s">
        <v>50</v>
      </c>
      <c r="L136" s="62"/>
      <c r="M136" s="14"/>
      <c r="N136" s="14" t="s">
        <v>115</v>
      </c>
      <c r="O136" s="14"/>
      <c r="P136" s="15" t="s">
        <v>47</v>
      </c>
      <c r="Q136" s="16">
        <v>4499</v>
      </c>
      <c r="R136" s="17">
        <v>46</v>
      </c>
      <c r="S136" s="18">
        <v>2793.8789999999999</v>
      </c>
      <c r="T136" s="19" t="s">
        <v>36</v>
      </c>
      <c r="U136" s="20" t="s">
        <v>54</v>
      </c>
      <c r="V136" s="21" t="s">
        <v>55</v>
      </c>
      <c r="W136" s="22">
        <v>10</v>
      </c>
      <c r="X136" s="23"/>
    </row>
    <row r="137" spans="1:24" s="1" customFormat="1" ht="21" customHeight="1" x14ac:dyDescent="0.3">
      <c r="A137" s="24" t="s">
        <v>23</v>
      </c>
      <c r="B137" s="24" t="s">
        <v>231</v>
      </c>
      <c r="C137" s="27" t="s">
        <v>237</v>
      </c>
      <c r="D137" s="60"/>
      <c r="E137" s="41" t="str">
        <f>HYPERLINK("https://www.google.ru/search?q=1390155-410&amp;newwindow=1&amp;tbm=isch","Еще фото")</f>
        <v>Еще фото</v>
      </c>
      <c r="F137" s="13"/>
      <c r="G137" s="24" t="s">
        <v>28</v>
      </c>
      <c r="H137" s="24" t="s">
        <v>27</v>
      </c>
      <c r="I137" s="24" t="s">
        <v>28</v>
      </c>
      <c r="J137" s="14" t="s">
        <v>43</v>
      </c>
      <c r="K137" s="15" t="s">
        <v>50</v>
      </c>
      <c r="L137" s="62"/>
      <c r="M137" s="14"/>
      <c r="N137" s="14" t="s">
        <v>115</v>
      </c>
      <c r="O137" s="14"/>
      <c r="P137" s="15" t="s">
        <v>47</v>
      </c>
      <c r="Q137" s="16">
        <v>4499</v>
      </c>
      <c r="R137" s="17">
        <v>46</v>
      </c>
      <c r="S137" s="18">
        <v>2793.8789999999999</v>
      </c>
      <c r="T137" s="19" t="s">
        <v>36</v>
      </c>
      <c r="U137" s="20" t="s">
        <v>234</v>
      </c>
      <c r="V137" s="21" t="s">
        <v>235</v>
      </c>
      <c r="W137" s="22">
        <v>8</v>
      </c>
      <c r="X137" s="23"/>
    </row>
    <row r="138" spans="1:24" s="1" customFormat="1" ht="21" customHeight="1" x14ac:dyDescent="0.3">
      <c r="A138" s="24" t="s">
        <v>23</v>
      </c>
      <c r="B138" s="24" t="s">
        <v>231</v>
      </c>
      <c r="C138" s="27" t="s">
        <v>237</v>
      </c>
      <c r="D138" s="60"/>
      <c r="E138" s="41" t="str">
        <f>HYPERLINK("https://www.google.ru/search?q=1390155-410&amp;newwindow=1&amp;tbm=isch","Еще фото")</f>
        <v>Еще фото</v>
      </c>
      <c r="F138" s="13"/>
      <c r="G138" s="24" t="s">
        <v>28</v>
      </c>
      <c r="H138" s="24" t="s">
        <v>27</v>
      </c>
      <c r="I138" s="24" t="s">
        <v>28</v>
      </c>
      <c r="J138" s="14" t="s">
        <v>43</v>
      </c>
      <c r="K138" s="15" t="s">
        <v>50</v>
      </c>
      <c r="L138" s="62"/>
      <c r="M138" s="14"/>
      <c r="N138" s="14" t="s">
        <v>115</v>
      </c>
      <c r="O138" s="14"/>
      <c r="P138" s="15" t="s">
        <v>47</v>
      </c>
      <c r="Q138" s="16">
        <v>4499</v>
      </c>
      <c r="R138" s="17">
        <v>46</v>
      </c>
      <c r="S138" s="18">
        <v>2793.8789999999999</v>
      </c>
      <c r="T138" s="19" t="s">
        <v>36</v>
      </c>
      <c r="U138" s="20" t="s">
        <v>71</v>
      </c>
      <c r="V138" s="21" t="s">
        <v>72</v>
      </c>
      <c r="W138" s="22">
        <v>10</v>
      </c>
      <c r="X138" s="23"/>
    </row>
    <row r="139" spans="1:24" s="1" customFormat="1" ht="32" customHeight="1" x14ac:dyDescent="0.3">
      <c r="A139" s="24" t="s">
        <v>23</v>
      </c>
      <c r="B139" s="24" t="s">
        <v>231</v>
      </c>
      <c r="C139" s="27" t="s">
        <v>237</v>
      </c>
      <c r="D139" s="61"/>
      <c r="E139" s="41" t="str">
        <f>HYPERLINK("https://www.google.ru/search?q=1390155-410&amp;newwindow=1&amp;tbm=isch","Еще фото")</f>
        <v>Еще фото</v>
      </c>
      <c r="F139" s="13"/>
      <c r="G139" s="24" t="s">
        <v>28</v>
      </c>
      <c r="H139" s="24" t="s">
        <v>27</v>
      </c>
      <c r="I139" s="24" t="s">
        <v>28</v>
      </c>
      <c r="J139" s="14" t="s">
        <v>43</v>
      </c>
      <c r="K139" s="15" t="s">
        <v>50</v>
      </c>
      <c r="L139" s="58"/>
      <c r="M139" s="14"/>
      <c r="N139" s="14" t="s">
        <v>115</v>
      </c>
      <c r="O139" s="14"/>
      <c r="P139" s="15" t="s">
        <v>47</v>
      </c>
      <c r="Q139" s="16">
        <v>4499</v>
      </c>
      <c r="R139" s="17">
        <v>46</v>
      </c>
      <c r="S139" s="18">
        <v>2793.8789999999999</v>
      </c>
      <c r="T139" s="19" t="s">
        <v>36</v>
      </c>
      <c r="U139" s="20" t="s">
        <v>73</v>
      </c>
      <c r="V139" s="21" t="s">
        <v>74</v>
      </c>
      <c r="W139" s="22">
        <v>11</v>
      </c>
      <c r="X139" s="23"/>
    </row>
    <row r="140" spans="1:24" s="1" customFormat="1" ht="21" customHeight="1" x14ac:dyDescent="0.3">
      <c r="A140" s="11" t="s">
        <v>23</v>
      </c>
      <c r="B140" s="11" t="s">
        <v>238</v>
      </c>
      <c r="C140" s="26" t="s">
        <v>239</v>
      </c>
      <c r="D140" s="59"/>
      <c r="E140" s="41" t="str">
        <f>HYPERLINK("https://www.google.ru/search?q=6004997-011&amp;newwindow=1&amp;tbm=isch","Еще фото")</f>
        <v>Еще фото</v>
      </c>
      <c r="F140" s="13"/>
      <c r="G140" s="11" t="s">
        <v>28</v>
      </c>
      <c r="H140" s="11" t="s">
        <v>27</v>
      </c>
      <c r="I140" s="14" t="s">
        <v>28</v>
      </c>
      <c r="J140" s="14" t="s">
        <v>43</v>
      </c>
      <c r="K140" s="15" t="s">
        <v>50</v>
      </c>
      <c r="L140" s="57" t="s">
        <v>240</v>
      </c>
      <c r="M140" s="14"/>
      <c r="N140" s="14" t="s">
        <v>62</v>
      </c>
      <c r="O140" s="14"/>
      <c r="P140" s="15" t="s">
        <v>47</v>
      </c>
      <c r="Q140" s="16">
        <v>3499</v>
      </c>
      <c r="R140" s="17">
        <v>46</v>
      </c>
      <c r="S140" s="18">
        <v>2172.8789999999999</v>
      </c>
      <c r="T140" s="19" t="s">
        <v>36</v>
      </c>
      <c r="U140" s="20" t="s">
        <v>99</v>
      </c>
      <c r="V140" s="21" t="s">
        <v>100</v>
      </c>
      <c r="W140" s="22">
        <v>4</v>
      </c>
      <c r="X140" s="23"/>
    </row>
    <row r="141" spans="1:24" s="1" customFormat="1" ht="21" customHeight="1" x14ac:dyDescent="0.3">
      <c r="A141" s="24" t="s">
        <v>23</v>
      </c>
      <c r="B141" s="24" t="s">
        <v>238</v>
      </c>
      <c r="C141" s="27" t="s">
        <v>239</v>
      </c>
      <c r="D141" s="60"/>
      <c r="E141" s="41" t="str">
        <f>HYPERLINK("https://www.google.ru/search?q=6004997-011&amp;newwindow=1&amp;tbm=isch","Еще фото")</f>
        <v>Еще фото</v>
      </c>
      <c r="F141" s="13"/>
      <c r="G141" s="24" t="s">
        <v>28</v>
      </c>
      <c r="H141" s="24" t="s">
        <v>27</v>
      </c>
      <c r="I141" s="24" t="s">
        <v>28</v>
      </c>
      <c r="J141" s="14" t="s">
        <v>43</v>
      </c>
      <c r="K141" s="15" t="s">
        <v>50</v>
      </c>
      <c r="L141" s="62"/>
      <c r="M141" s="14"/>
      <c r="N141" s="14" t="s">
        <v>62</v>
      </c>
      <c r="O141" s="14"/>
      <c r="P141" s="15" t="s">
        <v>47</v>
      </c>
      <c r="Q141" s="16">
        <v>3499</v>
      </c>
      <c r="R141" s="17">
        <v>46</v>
      </c>
      <c r="S141" s="18">
        <v>2172.8789999999999</v>
      </c>
      <c r="T141" s="19" t="s">
        <v>36</v>
      </c>
      <c r="U141" s="20" t="s">
        <v>54</v>
      </c>
      <c r="V141" s="21" t="s">
        <v>55</v>
      </c>
      <c r="W141" s="22">
        <v>9</v>
      </c>
      <c r="X141" s="23"/>
    </row>
    <row r="142" spans="1:24" s="1" customFormat="1" ht="21" customHeight="1" x14ac:dyDescent="0.3">
      <c r="A142" s="24" t="s">
        <v>23</v>
      </c>
      <c r="B142" s="24" t="s">
        <v>238</v>
      </c>
      <c r="C142" s="27" t="s">
        <v>239</v>
      </c>
      <c r="D142" s="60"/>
      <c r="E142" s="41" t="str">
        <f>HYPERLINK("https://www.google.ru/search?q=6004997-011&amp;newwindow=1&amp;tbm=isch","Еще фото")</f>
        <v>Еще фото</v>
      </c>
      <c r="F142" s="13"/>
      <c r="G142" s="24" t="s">
        <v>28</v>
      </c>
      <c r="H142" s="24" t="s">
        <v>27</v>
      </c>
      <c r="I142" s="24" t="s">
        <v>28</v>
      </c>
      <c r="J142" s="14" t="s">
        <v>43</v>
      </c>
      <c r="K142" s="15" t="s">
        <v>50</v>
      </c>
      <c r="L142" s="62"/>
      <c r="M142" s="14"/>
      <c r="N142" s="14" t="s">
        <v>62</v>
      </c>
      <c r="O142" s="14"/>
      <c r="P142" s="15" t="s">
        <v>47</v>
      </c>
      <c r="Q142" s="16">
        <v>3499</v>
      </c>
      <c r="R142" s="17">
        <v>46</v>
      </c>
      <c r="S142" s="18">
        <v>2172.8789999999999</v>
      </c>
      <c r="T142" s="19" t="s">
        <v>36</v>
      </c>
      <c r="U142" s="20" t="s">
        <v>234</v>
      </c>
      <c r="V142" s="21" t="s">
        <v>235</v>
      </c>
      <c r="W142" s="22">
        <v>4</v>
      </c>
      <c r="X142" s="23"/>
    </row>
    <row r="143" spans="1:24" s="1" customFormat="1" ht="21" customHeight="1" x14ac:dyDescent="0.3">
      <c r="A143" s="24" t="s">
        <v>23</v>
      </c>
      <c r="B143" s="24" t="s">
        <v>238</v>
      </c>
      <c r="C143" s="27" t="s">
        <v>239</v>
      </c>
      <c r="D143" s="60"/>
      <c r="E143" s="41" t="str">
        <f>HYPERLINK("https://www.google.ru/search?q=6004997-011&amp;newwindow=1&amp;tbm=isch","Еще фото")</f>
        <v>Еще фото</v>
      </c>
      <c r="F143" s="13"/>
      <c r="G143" s="24" t="s">
        <v>28</v>
      </c>
      <c r="H143" s="24" t="s">
        <v>27</v>
      </c>
      <c r="I143" s="24" t="s">
        <v>28</v>
      </c>
      <c r="J143" s="14" t="s">
        <v>43</v>
      </c>
      <c r="K143" s="15" t="s">
        <v>50</v>
      </c>
      <c r="L143" s="62"/>
      <c r="M143" s="14"/>
      <c r="N143" s="14" t="s">
        <v>62</v>
      </c>
      <c r="O143" s="14"/>
      <c r="P143" s="15" t="s">
        <v>47</v>
      </c>
      <c r="Q143" s="16">
        <v>3499</v>
      </c>
      <c r="R143" s="17">
        <v>46</v>
      </c>
      <c r="S143" s="18">
        <v>2172.8789999999999</v>
      </c>
      <c r="T143" s="19" t="s">
        <v>36</v>
      </c>
      <c r="U143" s="20" t="s">
        <v>71</v>
      </c>
      <c r="V143" s="21" t="s">
        <v>72</v>
      </c>
      <c r="W143" s="22">
        <v>7</v>
      </c>
      <c r="X143" s="23"/>
    </row>
    <row r="144" spans="1:24" s="1" customFormat="1" ht="32" customHeight="1" x14ac:dyDescent="0.3">
      <c r="A144" s="24" t="s">
        <v>23</v>
      </c>
      <c r="B144" s="24" t="s">
        <v>238</v>
      </c>
      <c r="C144" s="27" t="s">
        <v>239</v>
      </c>
      <c r="D144" s="61"/>
      <c r="E144" s="41" t="str">
        <f>HYPERLINK("https://www.google.ru/search?q=6004997-011&amp;newwindow=1&amp;tbm=isch","Еще фото")</f>
        <v>Еще фото</v>
      </c>
      <c r="F144" s="13"/>
      <c r="G144" s="24" t="s">
        <v>28</v>
      </c>
      <c r="H144" s="24" t="s">
        <v>27</v>
      </c>
      <c r="I144" s="24" t="s">
        <v>28</v>
      </c>
      <c r="J144" s="14" t="s">
        <v>43</v>
      </c>
      <c r="K144" s="15" t="s">
        <v>50</v>
      </c>
      <c r="L144" s="58"/>
      <c r="M144" s="14"/>
      <c r="N144" s="14" t="s">
        <v>62</v>
      </c>
      <c r="O144" s="14"/>
      <c r="P144" s="15" t="s">
        <v>47</v>
      </c>
      <c r="Q144" s="16">
        <v>3499</v>
      </c>
      <c r="R144" s="17">
        <v>46</v>
      </c>
      <c r="S144" s="18">
        <v>2172.8789999999999</v>
      </c>
      <c r="T144" s="19" t="s">
        <v>36</v>
      </c>
      <c r="U144" s="20" t="s">
        <v>73</v>
      </c>
      <c r="V144" s="21" t="s">
        <v>74</v>
      </c>
      <c r="W144" s="22">
        <v>4</v>
      </c>
      <c r="X144" s="23"/>
    </row>
    <row r="145" spans="1:24" s="1" customFormat="1" ht="21" customHeight="1" x14ac:dyDescent="0.3">
      <c r="A145" s="11" t="s">
        <v>23</v>
      </c>
      <c r="B145" s="11" t="s">
        <v>241</v>
      </c>
      <c r="C145" s="26" t="s">
        <v>242</v>
      </c>
      <c r="D145" s="59"/>
      <c r="E145" s="41" t="str">
        <f>HYPERLINK("https://www.google.ru/search?q=6009318-001&amp;newwindow=1&amp;tbm=isch","Еще фото")</f>
        <v>Еще фото</v>
      </c>
      <c r="F145" s="13"/>
      <c r="G145" s="11" t="s">
        <v>28</v>
      </c>
      <c r="H145" s="11" t="s">
        <v>27</v>
      </c>
      <c r="I145" s="14" t="s">
        <v>28</v>
      </c>
      <c r="J145" s="14" t="s">
        <v>43</v>
      </c>
      <c r="K145" s="15" t="s">
        <v>50</v>
      </c>
      <c r="L145" s="57" t="s">
        <v>243</v>
      </c>
      <c r="M145" s="14"/>
      <c r="N145" s="14" t="s">
        <v>33</v>
      </c>
      <c r="O145" s="14"/>
      <c r="P145" s="15" t="s">
        <v>120</v>
      </c>
      <c r="Q145" s="16">
        <v>4899</v>
      </c>
      <c r="R145" s="17">
        <v>46</v>
      </c>
      <c r="S145" s="18">
        <v>3042.279</v>
      </c>
      <c r="T145" s="19" t="s">
        <v>36</v>
      </c>
      <c r="U145" s="20" t="s">
        <v>99</v>
      </c>
      <c r="V145" s="21" t="s">
        <v>100</v>
      </c>
      <c r="W145" s="22">
        <v>5</v>
      </c>
      <c r="X145" s="23"/>
    </row>
    <row r="146" spans="1:24" s="1" customFormat="1" ht="21" customHeight="1" x14ac:dyDescent="0.3">
      <c r="A146" s="24" t="s">
        <v>23</v>
      </c>
      <c r="B146" s="24" t="s">
        <v>241</v>
      </c>
      <c r="C146" s="27" t="s">
        <v>242</v>
      </c>
      <c r="D146" s="60"/>
      <c r="E146" s="41" t="str">
        <f>HYPERLINK("https://www.google.ru/search?q=6009318-001&amp;newwindow=1&amp;tbm=isch","Еще фото")</f>
        <v>Еще фото</v>
      </c>
      <c r="F146" s="13"/>
      <c r="G146" s="24" t="s">
        <v>28</v>
      </c>
      <c r="H146" s="24" t="s">
        <v>27</v>
      </c>
      <c r="I146" s="24" t="s">
        <v>28</v>
      </c>
      <c r="J146" s="14" t="s">
        <v>43</v>
      </c>
      <c r="K146" s="15" t="s">
        <v>50</v>
      </c>
      <c r="L146" s="62"/>
      <c r="M146" s="14"/>
      <c r="N146" s="14" t="s">
        <v>33</v>
      </c>
      <c r="O146" s="14"/>
      <c r="P146" s="15" t="s">
        <v>120</v>
      </c>
      <c r="Q146" s="16">
        <v>4899</v>
      </c>
      <c r="R146" s="17">
        <v>46</v>
      </c>
      <c r="S146" s="18">
        <v>3042.279</v>
      </c>
      <c r="T146" s="19" t="s">
        <v>36</v>
      </c>
      <c r="U146" s="20" t="s">
        <v>54</v>
      </c>
      <c r="V146" s="21" t="s">
        <v>55</v>
      </c>
      <c r="W146" s="22">
        <v>11</v>
      </c>
      <c r="X146" s="23"/>
    </row>
    <row r="147" spans="1:24" s="1" customFormat="1" ht="21" customHeight="1" x14ac:dyDescent="0.3">
      <c r="A147" s="24" t="s">
        <v>23</v>
      </c>
      <c r="B147" s="24" t="s">
        <v>241</v>
      </c>
      <c r="C147" s="27" t="s">
        <v>242</v>
      </c>
      <c r="D147" s="60"/>
      <c r="E147" s="41" t="str">
        <f>HYPERLINK("https://www.google.ru/search?q=6009318-001&amp;newwindow=1&amp;tbm=isch","Еще фото")</f>
        <v>Еще фото</v>
      </c>
      <c r="F147" s="13"/>
      <c r="G147" s="24" t="s">
        <v>28</v>
      </c>
      <c r="H147" s="24" t="s">
        <v>27</v>
      </c>
      <c r="I147" s="24" t="s">
        <v>28</v>
      </c>
      <c r="J147" s="14" t="s">
        <v>43</v>
      </c>
      <c r="K147" s="15" t="s">
        <v>50</v>
      </c>
      <c r="L147" s="62"/>
      <c r="M147" s="14"/>
      <c r="N147" s="14" t="s">
        <v>33</v>
      </c>
      <c r="O147" s="14"/>
      <c r="P147" s="15" t="s">
        <v>120</v>
      </c>
      <c r="Q147" s="16">
        <v>4899</v>
      </c>
      <c r="R147" s="17">
        <v>46</v>
      </c>
      <c r="S147" s="18">
        <v>3042.279</v>
      </c>
      <c r="T147" s="19" t="s">
        <v>36</v>
      </c>
      <c r="U147" s="20" t="s">
        <v>234</v>
      </c>
      <c r="V147" s="21" t="s">
        <v>235</v>
      </c>
      <c r="W147" s="22">
        <v>11</v>
      </c>
      <c r="X147" s="23"/>
    </row>
    <row r="148" spans="1:24" s="1" customFormat="1" ht="21" customHeight="1" x14ac:dyDescent="0.3">
      <c r="A148" s="24" t="s">
        <v>23</v>
      </c>
      <c r="B148" s="24" t="s">
        <v>241</v>
      </c>
      <c r="C148" s="27" t="s">
        <v>242</v>
      </c>
      <c r="D148" s="60"/>
      <c r="E148" s="41" t="str">
        <f>HYPERLINK("https://www.google.ru/search?q=6009318-001&amp;newwindow=1&amp;tbm=isch","Еще фото")</f>
        <v>Еще фото</v>
      </c>
      <c r="F148" s="13"/>
      <c r="G148" s="24" t="s">
        <v>28</v>
      </c>
      <c r="H148" s="24" t="s">
        <v>27</v>
      </c>
      <c r="I148" s="24" t="s">
        <v>28</v>
      </c>
      <c r="J148" s="14" t="s">
        <v>43</v>
      </c>
      <c r="K148" s="15" t="s">
        <v>50</v>
      </c>
      <c r="L148" s="62"/>
      <c r="M148" s="14"/>
      <c r="N148" s="14" t="s">
        <v>33</v>
      </c>
      <c r="O148" s="14"/>
      <c r="P148" s="15" t="s">
        <v>120</v>
      </c>
      <c r="Q148" s="16">
        <v>4899</v>
      </c>
      <c r="R148" s="17">
        <v>46</v>
      </c>
      <c r="S148" s="18">
        <v>3042.279</v>
      </c>
      <c r="T148" s="19" t="s">
        <v>36</v>
      </c>
      <c r="U148" s="20" t="s">
        <v>71</v>
      </c>
      <c r="V148" s="21" t="s">
        <v>72</v>
      </c>
      <c r="W148" s="22">
        <v>11</v>
      </c>
      <c r="X148" s="23"/>
    </row>
    <row r="149" spans="1:24" s="1" customFormat="1" ht="32" customHeight="1" x14ac:dyDescent="0.3">
      <c r="A149" s="24" t="s">
        <v>23</v>
      </c>
      <c r="B149" s="24" t="s">
        <v>241</v>
      </c>
      <c r="C149" s="27" t="s">
        <v>242</v>
      </c>
      <c r="D149" s="61"/>
      <c r="E149" s="41" t="str">
        <f>HYPERLINK("https://www.google.ru/search?q=6009318-001&amp;newwindow=1&amp;tbm=isch","Еще фото")</f>
        <v>Еще фото</v>
      </c>
      <c r="F149" s="13"/>
      <c r="G149" s="24" t="s">
        <v>28</v>
      </c>
      <c r="H149" s="24" t="s">
        <v>27</v>
      </c>
      <c r="I149" s="24" t="s">
        <v>28</v>
      </c>
      <c r="J149" s="14" t="s">
        <v>43</v>
      </c>
      <c r="K149" s="15" t="s">
        <v>50</v>
      </c>
      <c r="L149" s="58"/>
      <c r="M149" s="14"/>
      <c r="N149" s="14" t="s">
        <v>33</v>
      </c>
      <c r="O149" s="14"/>
      <c r="P149" s="15" t="s">
        <v>120</v>
      </c>
      <c r="Q149" s="16">
        <v>4899</v>
      </c>
      <c r="R149" s="17">
        <v>46</v>
      </c>
      <c r="S149" s="18">
        <v>3042.279</v>
      </c>
      <c r="T149" s="19" t="s">
        <v>36</v>
      </c>
      <c r="U149" s="20" t="s">
        <v>73</v>
      </c>
      <c r="V149" s="21" t="s">
        <v>74</v>
      </c>
      <c r="W149" s="22">
        <v>4</v>
      </c>
      <c r="X149" s="23"/>
    </row>
    <row r="150" spans="1:24" s="1" customFormat="1" ht="21" customHeight="1" x14ac:dyDescent="0.3">
      <c r="A150" s="11" t="s">
        <v>23</v>
      </c>
      <c r="B150" s="11" t="s">
        <v>241</v>
      </c>
      <c r="C150" s="26" t="s">
        <v>244</v>
      </c>
      <c r="D150" s="59"/>
      <c r="E150" s="41" t="str">
        <f>HYPERLINK("https://www.google.ru/search?q=6009318-011&amp;newwindow=1&amp;tbm=isch","Еще фото")</f>
        <v>Еще фото</v>
      </c>
      <c r="F150" s="13"/>
      <c r="G150" s="11" t="s">
        <v>28</v>
      </c>
      <c r="H150" s="11" t="s">
        <v>27</v>
      </c>
      <c r="I150" s="14" t="s">
        <v>28</v>
      </c>
      <c r="J150" s="14" t="s">
        <v>43</v>
      </c>
      <c r="K150" s="15" t="s">
        <v>50</v>
      </c>
      <c r="L150" s="57" t="s">
        <v>243</v>
      </c>
      <c r="M150" s="14"/>
      <c r="N150" s="14" t="s">
        <v>62</v>
      </c>
      <c r="O150" s="14"/>
      <c r="P150" s="15" t="s">
        <v>120</v>
      </c>
      <c r="Q150" s="16">
        <v>4899</v>
      </c>
      <c r="R150" s="17">
        <v>46</v>
      </c>
      <c r="S150" s="18">
        <v>3042.279</v>
      </c>
      <c r="T150" s="19" t="s">
        <v>36</v>
      </c>
      <c r="U150" s="20" t="s">
        <v>99</v>
      </c>
      <c r="V150" s="21" t="s">
        <v>100</v>
      </c>
      <c r="W150" s="22">
        <v>6</v>
      </c>
      <c r="X150" s="23"/>
    </row>
    <row r="151" spans="1:24" s="1" customFormat="1" ht="21" customHeight="1" x14ac:dyDescent="0.3">
      <c r="A151" s="24" t="s">
        <v>23</v>
      </c>
      <c r="B151" s="24" t="s">
        <v>241</v>
      </c>
      <c r="C151" s="27" t="s">
        <v>244</v>
      </c>
      <c r="D151" s="60"/>
      <c r="E151" s="41" t="str">
        <f>HYPERLINK("https://www.google.ru/search?q=6009318-011&amp;newwindow=1&amp;tbm=isch","Еще фото")</f>
        <v>Еще фото</v>
      </c>
      <c r="F151" s="13"/>
      <c r="G151" s="24" t="s">
        <v>28</v>
      </c>
      <c r="H151" s="24" t="s">
        <v>27</v>
      </c>
      <c r="I151" s="24" t="s">
        <v>28</v>
      </c>
      <c r="J151" s="14" t="s">
        <v>43</v>
      </c>
      <c r="K151" s="15" t="s">
        <v>50</v>
      </c>
      <c r="L151" s="62"/>
      <c r="M151" s="14"/>
      <c r="N151" s="14" t="s">
        <v>62</v>
      </c>
      <c r="O151" s="14"/>
      <c r="P151" s="15" t="s">
        <v>120</v>
      </c>
      <c r="Q151" s="16">
        <v>4899</v>
      </c>
      <c r="R151" s="17">
        <v>46</v>
      </c>
      <c r="S151" s="18">
        <v>3042.279</v>
      </c>
      <c r="T151" s="19" t="s">
        <v>36</v>
      </c>
      <c r="U151" s="20" t="s">
        <v>54</v>
      </c>
      <c r="V151" s="21" t="s">
        <v>55</v>
      </c>
      <c r="W151" s="22">
        <v>12</v>
      </c>
      <c r="X151" s="23"/>
    </row>
    <row r="152" spans="1:24" s="1" customFormat="1" ht="21" customHeight="1" x14ac:dyDescent="0.3">
      <c r="A152" s="24" t="s">
        <v>23</v>
      </c>
      <c r="B152" s="24" t="s">
        <v>241</v>
      </c>
      <c r="C152" s="27" t="s">
        <v>244</v>
      </c>
      <c r="D152" s="60"/>
      <c r="E152" s="41" t="str">
        <f>HYPERLINK("https://www.google.ru/search?q=6009318-011&amp;newwindow=1&amp;tbm=isch","Еще фото")</f>
        <v>Еще фото</v>
      </c>
      <c r="F152" s="13"/>
      <c r="G152" s="24" t="s">
        <v>28</v>
      </c>
      <c r="H152" s="24" t="s">
        <v>27</v>
      </c>
      <c r="I152" s="24" t="s">
        <v>28</v>
      </c>
      <c r="J152" s="14" t="s">
        <v>43</v>
      </c>
      <c r="K152" s="15" t="s">
        <v>50</v>
      </c>
      <c r="L152" s="62"/>
      <c r="M152" s="14"/>
      <c r="N152" s="14" t="s">
        <v>62</v>
      </c>
      <c r="O152" s="14"/>
      <c r="P152" s="15" t="s">
        <v>120</v>
      </c>
      <c r="Q152" s="16">
        <v>4899</v>
      </c>
      <c r="R152" s="17">
        <v>46</v>
      </c>
      <c r="S152" s="18">
        <v>3042.279</v>
      </c>
      <c r="T152" s="19" t="s">
        <v>36</v>
      </c>
      <c r="U152" s="20" t="s">
        <v>234</v>
      </c>
      <c r="V152" s="21" t="s">
        <v>235</v>
      </c>
      <c r="W152" s="22">
        <v>9</v>
      </c>
      <c r="X152" s="23"/>
    </row>
    <row r="153" spans="1:24" s="1" customFormat="1" ht="21" customHeight="1" x14ac:dyDescent="0.3">
      <c r="A153" s="24" t="s">
        <v>23</v>
      </c>
      <c r="B153" s="24" t="s">
        <v>241</v>
      </c>
      <c r="C153" s="27" t="s">
        <v>244</v>
      </c>
      <c r="D153" s="60"/>
      <c r="E153" s="41" t="str">
        <f>HYPERLINK("https://www.google.ru/search?q=6009318-011&amp;newwindow=1&amp;tbm=isch","Еще фото")</f>
        <v>Еще фото</v>
      </c>
      <c r="F153" s="13"/>
      <c r="G153" s="24" t="s">
        <v>28</v>
      </c>
      <c r="H153" s="24" t="s">
        <v>27</v>
      </c>
      <c r="I153" s="24" t="s">
        <v>28</v>
      </c>
      <c r="J153" s="14" t="s">
        <v>43</v>
      </c>
      <c r="K153" s="15" t="s">
        <v>50</v>
      </c>
      <c r="L153" s="62"/>
      <c r="M153" s="14"/>
      <c r="N153" s="14" t="s">
        <v>62</v>
      </c>
      <c r="O153" s="14"/>
      <c r="P153" s="15" t="s">
        <v>120</v>
      </c>
      <c r="Q153" s="16">
        <v>4899</v>
      </c>
      <c r="R153" s="17">
        <v>46</v>
      </c>
      <c r="S153" s="18">
        <v>3042.279</v>
      </c>
      <c r="T153" s="19" t="s">
        <v>36</v>
      </c>
      <c r="U153" s="20" t="s">
        <v>71</v>
      </c>
      <c r="V153" s="21" t="s">
        <v>72</v>
      </c>
      <c r="W153" s="22">
        <v>14</v>
      </c>
      <c r="X153" s="23"/>
    </row>
    <row r="154" spans="1:24" s="1" customFormat="1" ht="32" customHeight="1" x14ac:dyDescent="0.3">
      <c r="A154" s="24" t="s">
        <v>23</v>
      </c>
      <c r="B154" s="24" t="s">
        <v>241</v>
      </c>
      <c r="C154" s="27" t="s">
        <v>244</v>
      </c>
      <c r="D154" s="61"/>
      <c r="E154" s="41" t="str">
        <f>HYPERLINK("https://www.google.ru/search?q=6009318-011&amp;newwindow=1&amp;tbm=isch","Еще фото")</f>
        <v>Еще фото</v>
      </c>
      <c r="F154" s="13"/>
      <c r="G154" s="24" t="s">
        <v>28</v>
      </c>
      <c r="H154" s="24" t="s">
        <v>27</v>
      </c>
      <c r="I154" s="24" t="s">
        <v>28</v>
      </c>
      <c r="J154" s="14" t="s">
        <v>43</v>
      </c>
      <c r="K154" s="15" t="s">
        <v>50</v>
      </c>
      <c r="L154" s="58"/>
      <c r="M154" s="14"/>
      <c r="N154" s="14" t="s">
        <v>62</v>
      </c>
      <c r="O154" s="14"/>
      <c r="P154" s="15" t="s">
        <v>120</v>
      </c>
      <c r="Q154" s="16">
        <v>4899</v>
      </c>
      <c r="R154" s="17">
        <v>46</v>
      </c>
      <c r="S154" s="18">
        <v>3042.279</v>
      </c>
      <c r="T154" s="19" t="s">
        <v>36</v>
      </c>
      <c r="U154" s="20" t="s">
        <v>73</v>
      </c>
      <c r="V154" s="21" t="s">
        <v>74</v>
      </c>
      <c r="W154" s="22">
        <v>6</v>
      </c>
      <c r="X154" s="23"/>
    </row>
    <row r="155" spans="1:24" s="1" customFormat="1" ht="21" customHeight="1" x14ac:dyDescent="0.3">
      <c r="A155" s="11" t="s">
        <v>23</v>
      </c>
      <c r="B155" s="11" t="s">
        <v>245</v>
      </c>
      <c r="C155" s="26" t="s">
        <v>246</v>
      </c>
      <c r="D155" s="59"/>
      <c r="E155" s="41" t="str">
        <f>HYPERLINK("https://www.google.ru/search?q=6009662-919&amp;newwindow=1&amp;tbm=isch","Еще фото")</f>
        <v>Еще фото</v>
      </c>
      <c r="F155" s="13"/>
      <c r="G155" s="11" t="s">
        <v>28</v>
      </c>
      <c r="H155" s="11" t="s">
        <v>27</v>
      </c>
      <c r="I155" s="14" t="s">
        <v>28</v>
      </c>
      <c r="J155" s="14" t="s">
        <v>43</v>
      </c>
      <c r="K155" s="15" t="s">
        <v>30</v>
      </c>
      <c r="L155" s="57" t="s">
        <v>247</v>
      </c>
      <c r="M155" s="14"/>
      <c r="N155" s="14" t="s">
        <v>127</v>
      </c>
      <c r="O155" s="14"/>
      <c r="P155" s="15" t="s">
        <v>248</v>
      </c>
      <c r="Q155" s="16">
        <v>11099</v>
      </c>
      <c r="R155" s="17">
        <v>46</v>
      </c>
      <c r="S155" s="18">
        <v>6892.4789999999994</v>
      </c>
      <c r="T155" s="19" t="s">
        <v>36</v>
      </c>
      <c r="U155" s="20" t="s">
        <v>37</v>
      </c>
      <c r="V155" s="21" t="s">
        <v>38</v>
      </c>
      <c r="W155" s="22">
        <v>2</v>
      </c>
      <c r="X155" s="23"/>
    </row>
    <row r="156" spans="1:24" s="1" customFormat="1" ht="21" customHeight="1" x14ac:dyDescent="0.3">
      <c r="A156" s="24" t="s">
        <v>23</v>
      </c>
      <c r="B156" s="24" t="s">
        <v>245</v>
      </c>
      <c r="C156" s="27" t="s">
        <v>246</v>
      </c>
      <c r="D156" s="60"/>
      <c r="E156" s="41" t="str">
        <f>HYPERLINK("https://www.google.ru/search?q=6009662-919&amp;newwindow=1&amp;tbm=isch","Еще фото")</f>
        <v>Еще фото</v>
      </c>
      <c r="F156" s="13"/>
      <c r="G156" s="24" t="s">
        <v>28</v>
      </c>
      <c r="H156" s="24" t="s">
        <v>27</v>
      </c>
      <c r="I156" s="24" t="s">
        <v>28</v>
      </c>
      <c r="J156" s="14" t="s">
        <v>43</v>
      </c>
      <c r="K156" s="15" t="s">
        <v>30</v>
      </c>
      <c r="L156" s="62"/>
      <c r="M156" s="14"/>
      <c r="N156" s="14" t="s">
        <v>127</v>
      </c>
      <c r="O156" s="14"/>
      <c r="P156" s="15" t="s">
        <v>248</v>
      </c>
      <c r="Q156" s="16">
        <v>11099</v>
      </c>
      <c r="R156" s="17">
        <v>46</v>
      </c>
      <c r="S156" s="18">
        <v>6892.4789999999994</v>
      </c>
      <c r="T156" s="19" t="s">
        <v>36</v>
      </c>
      <c r="U156" s="20" t="s">
        <v>39</v>
      </c>
      <c r="V156" s="21" t="s">
        <v>40</v>
      </c>
      <c r="W156" s="22">
        <v>22</v>
      </c>
      <c r="X156" s="23"/>
    </row>
    <row r="157" spans="1:24" s="1" customFormat="1" ht="21" customHeight="1" x14ac:dyDescent="0.3">
      <c r="A157" s="24" t="s">
        <v>23</v>
      </c>
      <c r="B157" s="24" t="s">
        <v>245</v>
      </c>
      <c r="C157" s="27" t="s">
        <v>246</v>
      </c>
      <c r="D157" s="60"/>
      <c r="E157" s="41" t="str">
        <f>HYPERLINK("https://www.google.ru/search?q=6009662-919&amp;newwindow=1&amp;tbm=isch","Еще фото")</f>
        <v>Еще фото</v>
      </c>
      <c r="F157" s="13"/>
      <c r="G157" s="24" t="s">
        <v>28</v>
      </c>
      <c r="H157" s="24" t="s">
        <v>27</v>
      </c>
      <c r="I157" s="24" t="s">
        <v>28</v>
      </c>
      <c r="J157" s="14" t="s">
        <v>43</v>
      </c>
      <c r="K157" s="15" t="s">
        <v>30</v>
      </c>
      <c r="L157" s="62"/>
      <c r="M157" s="14"/>
      <c r="N157" s="14" t="s">
        <v>127</v>
      </c>
      <c r="O157" s="14"/>
      <c r="P157" s="15" t="s">
        <v>248</v>
      </c>
      <c r="Q157" s="16">
        <v>11099</v>
      </c>
      <c r="R157" s="17">
        <v>46</v>
      </c>
      <c r="S157" s="18">
        <v>6892.4789999999994</v>
      </c>
      <c r="T157" s="19" t="s">
        <v>36</v>
      </c>
      <c r="U157" s="20" t="s">
        <v>86</v>
      </c>
      <c r="V157" s="21" t="s">
        <v>87</v>
      </c>
      <c r="W157" s="22">
        <v>28</v>
      </c>
      <c r="X157" s="23"/>
    </row>
    <row r="158" spans="1:24" s="1" customFormat="1" ht="21" customHeight="1" x14ac:dyDescent="0.3">
      <c r="A158" s="24" t="s">
        <v>23</v>
      </c>
      <c r="B158" s="24" t="s">
        <v>245</v>
      </c>
      <c r="C158" s="27" t="s">
        <v>246</v>
      </c>
      <c r="D158" s="60"/>
      <c r="E158" s="41" t="str">
        <f>HYPERLINK("https://www.google.ru/search?q=6009662-919&amp;newwindow=1&amp;tbm=isch","Еще фото")</f>
        <v>Еще фото</v>
      </c>
      <c r="F158" s="13"/>
      <c r="G158" s="24" t="s">
        <v>28</v>
      </c>
      <c r="H158" s="24" t="s">
        <v>27</v>
      </c>
      <c r="I158" s="24" t="s">
        <v>28</v>
      </c>
      <c r="J158" s="14" t="s">
        <v>43</v>
      </c>
      <c r="K158" s="15" t="s">
        <v>30</v>
      </c>
      <c r="L158" s="62"/>
      <c r="M158" s="14"/>
      <c r="N158" s="14" t="s">
        <v>127</v>
      </c>
      <c r="O158" s="14"/>
      <c r="P158" s="15" t="s">
        <v>248</v>
      </c>
      <c r="Q158" s="16">
        <v>11099</v>
      </c>
      <c r="R158" s="17">
        <v>46</v>
      </c>
      <c r="S158" s="18">
        <v>6892.4789999999994</v>
      </c>
      <c r="T158" s="19" t="s">
        <v>36</v>
      </c>
      <c r="U158" s="20" t="s">
        <v>88</v>
      </c>
      <c r="V158" s="21" t="s">
        <v>89</v>
      </c>
      <c r="W158" s="22">
        <v>13</v>
      </c>
      <c r="X158" s="23"/>
    </row>
    <row r="159" spans="1:24" s="1" customFormat="1" ht="32" customHeight="1" x14ac:dyDescent="0.3">
      <c r="A159" s="24" t="s">
        <v>23</v>
      </c>
      <c r="B159" s="24" t="s">
        <v>245</v>
      </c>
      <c r="C159" s="27" t="s">
        <v>246</v>
      </c>
      <c r="D159" s="61"/>
      <c r="E159" s="41" t="str">
        <f>HYPERLINK("https://www.google.ru/search?q=6009662-919&amp;newwindow=1&amp;tbm=isch","Еще фото")</f>
        <v>Еще фото</v>
      </c>
      <c r="F159" s="13"/>
      <c r="G159" s="24" t="s">
        <v>28</v>
      </c>
      <c r="H159" s="24" t="s">
        <v>27</v>
      </c>
      <c r="I159" s="24" t="s">
        <v>28</v>
      </c>
      <c r="J159" s="14" t="s">
        <v>43</v>
      </c>
      <c r="K159" s="15" t="s">
        <v>30</v>
      </c>
      <c r="L159" s="58"/>
      <c r="M159" s="14"/>
      <c r="N159" s="14" t="s">
        <v>127</v>
      </c>
      <c r="O159" s="14"/>
      <c r="P159" s="15" t="s">
        <v>248</v>
      </c>
      <c r="Q159" s="16">
        <v>11099</v>
      </c>
      <c r="R159" s="17">
        <v>46</v>
      </c>
      <c r="S159" s="18">
        <v>6892.4789999999994</v>
      </c>
      <c r="T159" s="19" t="s">
        <v>36</v>
      </c>
      <c r="U159" s="20" t="s">
        <v>90</v>
      </c>
      <c r="V159" s="21" t="s">
        <v>91</v>
      </c>
      <c r="W159" s="22">
        <v>4</v>
      </c>
      <c r="X159" s="23"/>
    </row>
    <row r="160" spans="1:24" s="1" customFormat="1" ht="21" customHeight="1" x14ac:dyDescent="0.3">
      <c r="A160" s="11" t="s">
        <v>23</v>
      </c>
      <c r="B160" s="11" t="s">
        <v>249</v>
      </c>
      <c r="C160" s="26" t="s">
        <v>250</v>
      </c>
      <c r="D160" s="59"/>
      <c r="E160" s="41" t="str">
        <f>HYPERLINK("https://www.google.ru/search?q=6009975-001&amp;newwindow=1&amp;tbm=isch","Еще фото")</f>
        <v>Еще фото</v>
      </c>
      <c r="F160" s="13"/>
      <c r="G160" s="11" t="s">
        <v>77</v>
      </c>
      <c r="H160" s="11" t="s">
        <v>27</v>
      </c>
      <c r="I160" s="14" t="s">
        <v>28</v>
      </c>
      <c r="J160" s="14" t="s">
        <v>29</v>
      </c>
      <c r="K160" s="15" t="s">
        <v>50</v>
      </c>
      <c r="L160" s="57" t="s">
        <v>251</v>
      </c>
      <c r="M160" s="14"/>
      <c r="N160" s="14" t="s">
        <v>33</v>
      </c>
      <c r="O160" s="14"/>
      <c r="P160" s="15" t="s">
        <v>252</v>
      </c>
      <c r="Q160" s="16">
        <v>4599</v>
      </c>
      <c r="R160" s="17">
        <v>46</v>
      </c>
      <c r="S160" s="18">
        <v>2855.9789999999998</v>
      </c>
      <c r="T160" s="19" t="s">
        <v>36</v>
      </c>
      <c r="U160" s="20" t="s">
        <v>99</v>
      </c>
      <c r="V160" s="21" t="s">
        <v>100</v>
      </c>
      <c r="W160" s="22">
        <v>5</v>
      </c>
      <c r="X160" s="23"/>
    </row>
    <row r="161" spans="1:24" s="1" customFormat="1" ht="21" customHeight="1" x14ac:dyDescent="0.3">
      <c r="A161" s="24" t="s">
        <v>23</v>
      </c>
      <c r="B161" s="24" t="s">
        <v>249</v>
      </c>
      <c r="C161" s="27" t="s">
        <v>250</v>
      </c>
      <c r="D161" s="60"/>
      <c r="E161" s="41" t="str">
        <f>HYPERLINK("https://www.google.ru/search?q=6009975-001&amp;newwindow=1&amp;tbm=isch","Еще фото")</f>
        <v>Еще фото</v>
      </c>
      <c r="F161" s="13"/>
      <c r="G161" s="24" t="s">
        <v>77</v>
      </c>
      <c r="H161" s="24" t="s">
        <v>27</v>
      </c>
      <c r="I161" s="24" t="s">
        <v>28</v>
      </c>
      <c r="J161" s="14" t="s">
        <v>29</v>
      </c>
      <c r="K161" s="15" t="s">
        <v>50</v>
      </c>
      <c r="L161" s="62"/>
      <c r="M161" s="14"/>
      <c r="N161" s="14" t="s">
        <v>33</v>
      </c>
      <c r="O161" s="14"/>
      <c r="P161" s="15" t="s">
        <v>252</v>
      </c>
      <c r="Q161" s="16">
        <v>4599</v>
      </c>
      <c r="R161" s="17">
        <v>46</v>
      </c>
      <c r="S161" s="18">
        <v>2855.9789999999998</v>
      </c>
      <c r="T161" s="19" t="s">
        <v>36</v>
      </c>
      <c r="U161" s="20" t="s">
        <v>54</v>
      </c>
      <c r="V161" s="21" t="s">
        <v>55</v>
      </c>
      <c r="W161" s="22">
        <v>12</v>
      </c>
      <c r="X161" s="23"/>
    </row>
    <row r="162" spans="1:24" s="1" customFormat="1" ht="21" customHeight="1" x14ac:dyDescent="0.3">
      <c r="A162" s="24" t="s">
        <v>23</v>
      </c>
      <c r="B162" s="24" t="s">
        <v>249</v>
      </c>
      <c r="C162" s="27" t="s">
        <v>250</v>
      </c>
      <c r="D162" s="60"/>
      <c r="E162" s="41" t="str">
        <f>HYPERLINK("https://www.google.ru/search?q=6009975-001&amp;newwindow=1&amp;tbm=isch","Еще фото")</f>
        <v>Еще фото</v>
      </c>
      <c r="F162" s="13"/>
      <c r="G162" s="24" t="s">
        <v>77</v>
      </c>
      <c r="H162" s="24" t="s">
        <v>27</v>
      </c>
      <c r="I162" s="24" t="s">
        <v>28</v>
      </c>
      <c r="J162" s="14" t="s">
        <v>29</v>
      </c>
      <c r="K162" s="15" t="s">
        <v>50</v>
      </c>
      <c r="L162" s="62"/>
      <c r="M162" s="14"/>
      <c r="N162" s="14" t="s">
        <v>33</v>
      </c>
      <c r="O162" s="14"/>
      <c r="P162" s="15" t="s">
        <v>252</v>
      </c>
      <c r="Q162" s="16">
        <v>4599</v>
      </c>
      <c r="R162" s="17">
        <v>46</v>
      </c>
      <c r="S162" s="18">
        <v>2855.9789999999998</v>
      </c>
      <c r="T162" s="19" t="s">
        <v>36</v>
      </c>
      <c r="U162" s="20" t="s">
        <v>234</v>
      </c>
      <c r="V162" s="21" t="s">
        <v>235</v>
      </c>
      <c r="W162" s="22">
        <v>12</v>
      </c>
      <c r="X162" s="23"/>
    </row>
    <row r="163" spans="1:24" s="1" customFormat="1" ht="21" customHeight="1" x14ac:dyDescent="0.3">
      <c r="A163" s="24" t="s">
        <v>23</v>
      </c>
      <c r="B163" s="24" t="s">
        <v>249</v>
      </c>
      <c r="C163" s="27" t="s">
        <v>250</v>
      </c>
      <c r="D163" s="60"/>
      <c r="E163" s="41" t="str">
        <f>HYPERLINK("https://www.google.ru/search?q=6009975-001&amp;newwindow=1&amp;tbm=isch","Еще фото")</f>
        <v>Еще фото</v>
      </c>
      <c r="F163" s="13"/>
      <c r="G163" s="24" t="s">
        <v>77</v>
      </c>
      <c r="H163" s="24" t="s">
        <v>27</v>
      </c>
      <c r="I163" s="24" t="s">
        <v>28</v>
      </c>
      <c r="J163" s="14" t="s">
        <v>29</v>
      </c>
      <c r="K163" s="15" t="s">
        <v>50</v>
      </c>
      <c r="L163" s="62"/>
      <c r="M163" s="14"/>
      <c r="N163" s="14" t="s">
        <v>33</v>
      </c>
      <c r="O163" s="14"/>
      <c r="P163" s="15" t="s">
        <v>252</v>
      </c>
      <c r="Q163" s="16">
        <v>4599</v>
      </c>
      <c r="R163" s="17">
        <v>46</v>
      </c>
      <c r="S163" s="18">
        <v>2855.9789999999998</v>
      </c>
      <c r="T163" s="19" t="s">
        <v>36</v>
      </c>
      <c r="U163" s="20" t="s">
        <v>71</v>
      </c>
      <c r="V163" s="21" t="s">
        <v>72</v>
      </c>
      <c r="W163" s="22">
        <v>18</v>
      </c>
      <c r="X163" s="23"/>
    </row>
    <row r="164" spans="1:24" s="1" customFormat="1" ht="32" customHeight="1" x14ac:dyDescent="0.3">
      <c r="A164" s="24" t="s">
        <v>23</v>
      </c>
      <c r="B164" s="24" t="s">
        <v>249</v>
      </c>
      <c r="C164" s="27" t="s">
        <v>250</v>
      </c>
      <c r="D164" s="61"/>
      <c r="E164" s="41" t="str">
        <f>HYPERLINK("https://www.google.ru/search?q=6009975-001&amp;newwindow=1&amp;tbm=isch","Еще фото")</f>
        <v>Еще фото</v>
      </c>
      <c r="F164" s="13"/>
      <c r="G164" s="24" t="s">
        <v>77</v>
      </c>
      <c r="H164" s="24" t="s">
        <v>27</v>
      </c>
      <c r="I164" s="24" t="s">
        <v>28</v>
      </c>
      <c r="J164" s="14" t="s">
        <v>29</v>
      </c>
      <c r="K164" s="15" t="s">
        <v>50</v>
      </c>
      <c r="L164" s="58"/>
      <c r="M164" s="14"/>
      <c r="N164" s="14" t="s">
        <v>33</v>
      </c>
      <c r="O164" s="14"/>
      <c r="P164" s="15" t="s">
        <v>252</v>
      </c>
      <c r="Q164" s="16">
        <v>4599</v>
      </c>
      <c r="R164" s="17">
        <v>46</v>
      </c>
      <c r="S164" s="18">
        <v>2855.9789999999998</v>
      </c>
      <c r="T164" s="19" t="s">
        <v>36</v>
      </c>
      <c r="U164" s="20" t="s">
        <v>73</v>
      </c>
      <c r="V164" s="21" t="s">
        <v>74</v>
      </c>
      <c r="W164" s="22">
        <v>12</v>
      </c>
      <c r="X164" s="23"/>
    </row>
    <row r="165" spans="1:24" s="1" customFormat="1" ht="21" customHeight="1" x14ac:dyDescent="0.3">
      <c r="A165" s="11" t="s">
        <v>23</v>
      </c>
      <c r="B165" s="11" t="s">
        <v>249</v>
      </c>
      <c r="C165" s="26" t="s">
        <v>253</v>
      </c>
      <c r="D165" s="59"/>
      <c r="E165" s="41" t="str">
        <f>HYPERLINK("https://www.google.ru/search?q=6009975-600&amp;newwindow=1&amp;tbm=isch","Еще фото")</f>
        <v>Еще фото</v>
      </c>
      <c r="F165" s="13"/>
      <c r="G165" s="11" t="s">
        <v>77</v>
      </c>
      <c r="H165" s="11" t="s">
        <v>27</v>
      </c>
      <c r="I165" s="14" t="s">
        <v>28</v>
      </c>
      <c r="J165" s="14" t="s">
        <v>29</v>
      </c>
      <c r="K165" s="15" t="s">
        <v>50</v>
      </c>
      <c r="L165" s="57" t="s">
        <v>251</v>
      </c>
      <c r="M165" s="14"/>
      <c r="N165" s="14" t="s">
        <v>69</v>
      </c>
      <c r="O165" s="14"/>
      <c r="P165" s="15" t="s">
        <v>252</v>
      </c>
      <c r="Q165" s="16">
        <v>4599</v>
      </c>
      <c r="R165" s="17">
        <v>46</v>
      </c>
      <c r="S165" s="18">
        <v>2855.9789999999998</v>
      </c>
      <c r="T165" s="19" t="s">
        <v>36</v>
      </c>
      <c r="U165" s="20" t="s">
        <v>99</v>
      </c>
      <c r="V165" s="21" t="s">
        <v>100</v>
      </c>
      <c r="W165" s="22">
        <v>6</v>
      </c>
      <c r="X165" s="23"/>
    </row>
    <row r="166" spans="1:24" s="1" customFormat="1" ht="21" customHeight="1" x14ac:dyDescent="0.3">
      <c r="A166" s="24" t="s">
        <v>23</v>
      </c>
      <c r="B166" s="24" t="s">
        <v>249</v>
      </c>
      <c r="C166" s="27" t="s">
        <v>253</v>
      </c>
      <c r="D166" s="60"/>
      <c r="E166" s="41" t="str">
        <f>HYPERLINK("https://www.google.ru/search?q=6009975-600&amp;newwindow=1&amp;tbm=isch","Еще фото")</f>
        <v>Еще фото</v>
      </c>
      <c r="F166" s="13"/>
      <c r="G166" s="24" t="s">
        <v>77</v>
      </c>
      <c r="H166" s="24" t="s">
        <v>27</v>
      </c>
      <c r="I166" s="24" t="s">
        <v>28</v>
      </c>
      <c r="J166" s="14" t="s">
        <v>29</v>
      </c>
      <c r="K166" s="15" t="s">
        <v>50</v>
      </c>
      <c r="L166" s="62"/>
      <c r="M166" s="14"/>
      <c r="N166" s="14" t="s">
        <v>69</v>
      </c>
      <c r="O166" s="14"/>
      <c r="P166" s="15" t="s">
        <v>252</v>
      </c>
      <c r="Q166" s="16">
        <v>4599</v>
      </c>
      <c r="R166" s="17">
        <v>46</v>
      </c>
      <c r="S166" s="18">
        <v>2855.9789999999998</v>
      </c>
      <c r="T166" s="19" t="s">
        <v>36</v>
      </c>
      <c r="U166" s="20" t="s">
        <v>54</v>
      </c>
      <c r="V166" s="21" t="s">
        <v>55</v>
      </c>
      <c r="W166" s="22">
        <v>12</v>
      </c>
      <c r="X166" s="23"/>
    </row>
    <row r="167" spans="1:24" s="1" customFormat="1" ht="21" customHeight="1" x14ac:dyDescent="0.3">
      <c r="A167" s="24" t="s">
        <v>23</v>
      </c>
      <c r="B167" s="24" t="s">
        <v>249</v>
      </c>
      <c r="C167" s="27" t="s">
        <v>253</v>
      </c>
      <c r="D167" s="60"/>
      <c r="E167" s="41" t="str">
        <f>HYPERLINK("https://www.google.ru/search?q=6009975-600&amp;newwindow=1&amp;tbm=isch","Еще фото")</f>
        <v>Еще фото</v>
      </c>
      <c r="F167" s="13"/>
      <c r="G167" s="24" t="s">
        <v>77</v>
      </c>
      <c r="H167" s="24" t="s">
        <v>27</v>
      </c>
      <c r="I167" s="24" t="s">
        <v>28</v>
      </c>
      <c r="J167" s="14" t="s">
        <v>29</v>
      </c>
      <c r="K167" s="15" t="s">
        <v>50</v>
      </c>
      <c r="L167" s="62"/>
      <c r="M167" s="14"/>
      <c r="N167" s="14" t="s">
        <v>69</v>
      </c>
      <c r="O167" s="14"/>
      <c r="P167" s="15" t="s">
        <v>252</v>
      </c>
      <c r="Q167" s="16">
        <v>4599</v>
      </c>
      <c r="R167" s="17">
        <v>46</v>
      </c>
      <c r="S167" s="18">
        <v>2855.9789999999998</v>
      </c>
      <c r="T167" s="19" t="s">
        <v>36</v>
      </c>
      <c r="U167" s="20" t="s">
        <v>234</v>
      </c>
      <c r="V167" s="21" t="s">
        <v>235</v>
      </c>
      <c r="W167" s="22">
        <v>12</v>
      </c>
      <c r="X167" s="23"/>
    </row>
    <row r="168" spans="1:24" s="1" customFormat="1" ht="21" customHeight="1" x14ac:dyDescent="0.3">
      <c r="A168" s="24" t="s">
        <v>23</v>
      </c>
      <c r="B168" s="24" t="s">
        <v>249</v>
      </c>
      <c r="C168" s="27" t="s">
        <v>253</v>
      </c>
      <c r="D168" s="60"/>
      <c r="E168" s="41" t="str">
        <f>HYPERLINK("https://www.google.ru/search?q=6009975-600&amp;newwindow=1&amp;tbm=isch","Еще фото")</f>
        <v>Еще фото</v>
      </c>
      <c r="F168" s="13"/>
      <c r="G168" s="24" t="s">
        <v>77</v>
      </c>
      <c r="H168" s="24" t="s">
        <v>27</v>
      </c>
      <c r="I168" s="24" t="s">
        <v>28</v>
      </c>
      <c r="J168" s="14" t="s">
        <v>29</v>
      </c>
      <c r="K168" s="15" t="s">
        <v>50</v>
      </c>
      <c r="L168" s="62"/>
      <c r="M168" s="14"/>
      <c r="N168" s="14" t="s">
        <v>69</v>
      </c>
      <c r="O168" s="14"/>
      <c r="P168" s="15" t="s">
        <v>252</v>
      </c>
      <c r="Q168" s="16">
        <v>4599</v>
      </c>
      <c r="R168" s="17">
        <v>46</v>
      </c>
      <c r="S168" s="18">
        <v>2855.9789999999998</v>
      </c>
      <c r="T168" s="19" t="s">
        <v>36</v>
      </c>
      <c r="U168" s="20" t="s">
        <v>71</v>
      </c>
      <c r="V168" s="21" t="s">
        <v>72</v>
      </c>
      <c r="W168" s="22">
        <v>18</v>
      </c>
      <c r="X168" s="23"/>
    </row>
    <row r="169" spans="1:24" s="1" customFormat="1" ht="32" customHeight="1" x14ac:dyDescent="0.3">
      <c r="A169" s="24" t="s">
        <v>23</v>
      </c>
      <c r="B169" s="24" t="s">
        <v>249</v>
      </c>
      <c r="C169" s="27" t="s">
        <v>253</v>
      </c>
      <c r="D169" s="61"/>
      <c r="E169" s="41" t="str">
        <f>HYPERLINK("https://www.google.ru/search?q=6009975-600&amp;newwindow=1&amp;tbm=isch","Еще фото")</f>
        <v>Еще фото</v>
      </c>
      <c r="F169" s="13"/>
      <c r="G169" s="24" t="s">
        <v>77</v>
      </c>
      <c r="H169" s="24" t="s">
        <v>27</v>
      </c>
      <c r="I169" s="24" t="s">
        <v>28</v>
      </c>
      <c r="J169" s="14" t="s">
        <v>29</v>
      </c>
      <c r="K169" s="15" t="s">
        <v>50</v>
      </c>
      <c r="L169" s="58"/>
      <c r="M169" s="14"/>
      <c r="N169" s="14" t="s">
        <v>69</v>
      </c>
      <c r="O169" s="14"/>
      <c r="P169" s="15" t="s">
        <v>252</v>
      </c>
      <c r="Q169" s="16">
        <v>4599</v>
      </c>
      <c r="R169" s="17">
        <v>46</v>
      </c>
      <c r="S169" s="18">
        <v>2855.9789999999998</v>
      </c>
      <c r="T169" s="19" t="s">
        <v>36</v>
      </c>
      <c r="U169" s="20" t="s">
        <v>73</v>
      </c>
      <c r="V169" s="21" t="s">
        <v>74</v>
      </c>
      <c r="W169" s="22">
        <v>12</v>
      </c>
      <c r="X169" s="23"/>
    </row>
    <row r="170" spans="1:24" s="1" customFormat="1" ht="21" customHeight="1" x14ac:dyDescent="0.3">
      <c r="A170" s="11" t="s">
        <v>23</v>
      </c>
      <c r="B170" s="11" t="s">
        <v>254</v>
      </c>
      <c r="C170" s="26" t="s">
        <v>255</v>
      </c>
      <c r="D170" s="59"/>
      <c r="E170" s="41" t="str">
        <f>HYPERLINK("https://www.google.ru/search?q=6012636-001&amp;newwindow=1&amp;tbm=isch","Еще фото")</f>
        <v>Еще фото</v>
      </c>
      <c r="F170" s="13"/>
      <c r="G170" s="11" t="s">
        <v>77</v>
      </c>
      <c r="H170" s="11" t="s">
        <v>27</v>
      </c>
      <c r="I170" s="14" t="s">
        <v>28</v>
      </c>
      <c r="J170" s="14" t="s">
        <v>29</v>
      </c>
      <c r="K170" s="15" t="s">
        <v>50</v>
      </c>
      <c r="L170" s="57" t="s">
        <v>256</v>
      </c>
      <c r="M170" s="14"/>
      <c r="N170" s="14" t="s">
        <v>33</v>
      </c>
      <c r="O170" s="14"/>
      <c r="P170" s="15" t="s">
        <v>252</v>
      </c>
      <c r="Q170" s="16">
        <v>4799</v>
      </c>
      <c r="R170" s="17">
        <v>46</v>
      </c>
      <c r="S170" s="18">
        <v>2980.1789999999996</v>
      </c>
      <c r="T170" s="19" t="s">
        <v>36</v>
      </c>
      <c r="U170" s="20" t="s">
        <v>99</v>
      </c>
      <c r="V170" s="21" t="s">
        <v>100</v>
      </c>
      <c r="W170" s="22">
        <v>6</v>
      </c>
      <c r="X170" s="23"/>
    </row>
    <row r="171" spans="1:24" s="1" customFormat="1" ht="21" customHeight="1" x14ac:dyDescent="0.3">
      <c r="A171" s="24" t="s">
        <v>23</v>
      </c>
      <c r="B171" s="24" t="s">
        <v>254</v>
      </c>
      <c r="C171" s="27" t="s">
        <v>255</v>
      </c>
      <c r="D171" s="60"/>
      <c r="E171" s="41" t="str">
        <f>HYPERLINK("https://www.google.ru/search?q=6012636-001&amp;newwindow=1&amp;tbm=isch","Еще фото")</f>
        <v>Еще фото</v>
      </c>
      <c r="F171" s="13"/>
      <c r="G171" s="24" t="s">
        <v>77</v>
      </c>
      <c r="H171" s="24" t="s">
        <v>27</v>
      </c>
      <c r="I171" s="24" t="s">
        <v>28</v>
      </c>
      <c r="J171" s="14" t="s">
        <v>29</v>
      </c>
      <c r="K171" s="15" t="s">
        <v>50</v>
      </c>
      <c r="L171" s="62"/>
      <c r="M171" s="14"/>
      <c r="N171" s="14" t="s">
        <v>33</v>
      </c>
      <c r="O171" s="14"/>
      <c r="P171" s="15" t="s">
        <v>252</v>
      </c>
      <c r="Q171" s="16">
        <v>4799</v>
      </c>
      <c r="R171" s="17">
        <v>46</v>
      </c>
      <c r="S171" s="18">
        <v>2980.1789999999996</v>
      </c>
      <c r="T171" s="19" t="s">
        <v>36</v>
      </c>
      <c r="U171" s="20" t="s">
        <v>54</v>
      </c>
      <c r="V171" s="21" t="s">
        <v>55</v>
      </c>
      <c r="W171" s="22">
        <v>12</v>
      </c>
      <c r="X171" s="23"/>
    </row>
    <row r="172" spans="1:24" s="1" customFormat="1" ht="21" customHeight="1" x14ac:dyDescent="0.3">
      <c r="A172" s="24" t="s">
        <v>23</v>
      </c>
      <c r="B172" s="24" t="s">
        <v>254</v>
      </c>
      <c r="C172" s="27" t="s">
        <v>255</v>
      </c>
      <c r="D172" s="60"/>
      <c r="E172" s="41" t="str">
        <f>HYPERLINK("https://www.google.ru/search?q=6012636-001&amp;newwindow=1&amp;tbm=isch","Еще фото")</f>
        <v>Еще фото</v>
      </c>
      <c r="F172" s="13"/>
      <c r="G172" s="24" t="s">
        <v>77</v>
      </c>
      <c r="H172" s="24" t="s">
        <v>27</v>
      </c>
      <c r="I172" s="24" t="s">
        <v>28</v>
      </c>
      <c r="J172" s="14" t="s">
        <v>29</v>
      </c>
      <c r="K172" s="15" t="s">
        <v>50</v>
      </c>
      <c r="L172" s="62"/>
      <c r="M172" s="14"/>
      <c r="N172" s="14" t="s">
        <v>33</v>
      </c>
      <c r="O172" s="14"/>
      <c r="P172" s="15" t="s">
        <v>252</v>
      </c>
      <c r="Q172" s="16">
        <v>4799</v>
      </c>
      <c r="R172" s="17">
        <v>46</v>
      </c>
      <c r="S172" s="18">
        <v>2980.1789999999996</v>
      </c>
      <c r="T172" s="19" t="s">
        <v>36</v>
      </c>
      <c r="U172" s="20" t="s">
        <v>234</v>
      </c>
      <c r="V172" s="21" t="s">
        <v>235</v>
      </c>
      <c r="W172" s="22">
        <v>12</v>
      </c>
      <c r="X172" s="23"/>
    </row>
    <row r="173" spans="1:24" s="1" customFormat="1" ht="21" customHeight="1" x14ac:dyDescent="0.3">
      <c r="A173" s="24" t="s">
        <v>23</v>
      </c>
      <c r="B173" s="24" t="s">
        <v>254</v>
      </c>
      <c r="C173" s="27" t="s">
        <v>255</v>
      </c>
      <c r="D173" s="60"/>
      <c r="E173" s="41" t="str">
        <f>HYPERLINK("https://www.google.ru/search?q=6012636-001&amp;newwindow=1&amp;tbm=isch","Еще фото")</f>
        <v>Еще фото</v>
      </c>
      <c r="F173" s="13"/>
      <c r="G173" s="24" t="s">
        <v>77</v>
      </c>
      <c r="H173" s="24" t="s">
        <v>27</v>
      </c>
      <c r="I173" s="24" t="s">
        <v>28</v>
      </c>
      <c r="J173" s="14" t="s">
        <v>29</v>
      </c>
      <c r="K173" s="15" t="s">
        <v>50</v>
      </c>
      <c r="L173" s="62"/>
      <c r="M173" s="14"/>
      <c r="N173" s="14" t="s">
        <v>33</v>
      </c>
      <c r="O173" s="14"/>
      <c r="P173" s="15" t="s">
        <v>252</v>
      </c>
      <c r="Q173" s="16">
        <v>4799</v>
      </c>
      <c r="R173" s="17">
        <v>46</v>
      </c>
      <c r="S173" s="18">
        <v>2980.1789999999996</v>
      </c>
      <c r="T173" s="19" t="s">
        <v>36</v>
      </c>
      <c r="U173" s="20" t="s">
        <v>71</v>
      </c>
      <c r="V173" s="21" t="s">
        <v>72</v>
      </c>
      <c r="W173" s="22">
        <v>18</v>
      </c>
      <c r="X173" s="23"/>
    </row>
    <row r="174" spans="1:24" s="1" customFormat="1" ht="32" customHeight="1" x14ac:dyDescent="0.3">
      <c r="A174" s="24" t="s">
        <v>23</v>
      </c>
      <c r="B174" s="24" t="s">
        <v>254</v>
      </c>
      <c r="C174" s="27" t="s">
        <v>255</v>
      </c>
      <c r="D174" s="61"/>
      <c r="E174" s="41" t="str">
        <f>HYPERLINK("https://www.google.ru/search?q=6012636-001&amp;newwindow=1&amp;tbm=isch","Еще фото")</f>
        <v>Еще фото</v>
      </c>
      <c r="F174" s="13"/>
      <c r="G174" s="24" t="s">
        <v>77</v>
      </c>
      <c r="H174" s="24" t="s">
        <v>27</v>
      </c>
      <c r="I174" s="24" t="s">
        <v>28</v>
      </c>
      <c r="J174" s="14" t="s">
        <v>29</v>
      </c>
      <c r="K174" s="15" t="s">
        <v>50</v>
      </c>
      <c r="L174" s="58"/>
      <c r="M174" s="14"/>
      <c r="N174" s="14" t="s">
        <v>33</v>
      </c>
      <c r="O174" s="14"/>
      <c r="P174" s="15" t="s">
        <v>252</v>
      </c>
      <c r="Q174" s="16">
        <v>4799</v>
      </c>
      <c r="R174" s="17">
        <v>46</v>
      </c>
      <c r="S174" s="18">
        <v>2980.1789999999996</v>
      </c>
      <c r="T174" s="19" t="s">
        <v>36</v>
      </c>
      <c r="U174" s="20" t="s">
        <v>73</v>
      </c>
      <c r="V174" s="21" t="s">
        <v>74</v>
      </c>
      <c r="W174" s="22">
        <v>11</v>
      </c>
      <c r="X174" s="23"/>
    </row>
    <row r="175" spans="1:24" s="1" customFormat="1" ht="21" customHeight="1" x14ac:dyDescent="0.3">
      <c r="A175" s="11" t="s">
        <v>23</v>
      </c>
      <c r="B175" s="11" t="s">
        <v>254</v>
      </c>
      <c r="C175" s="26" t="s">
        <v>257</v>
      </c>
      <c r="D175" s="59"/>
      <c r="E175" s="41" t="str">
        <f>HYPERLINK("https://www.google.ru/search?q=6012636-690&amp;newwindow=1&amp;tbm=isch","Еще фото")</f>
        <v>Еще фото</v>
      </c>
      <c r="F175" s="13"/>
      <c r="G175" s="11" t="s">
        <v>77</v>
      </c>
      <c r="H175" s="11" t="s">
        <v>27</v>
      </c>
      <c r="I175" s="14" t="s">
        <v>28</v>
      </c>
      <c r="J175" s="14" t="s">
        <v>29</v>
      </c>
      <c r="K175" s="15" t="s">
        <v>50</v>
      </c>
      <c r="L175" s="57" t="s">
        <v>256</v>
      </c>
      <c r="M175" s="14"/>
      <c r="N175" s="14" t="s">
        <v>198</v>
      </c>
      <c r="O175" s="14"/>
      <c r="P175" s="15" t="s">
        <v>252</v>
      </c>
      <c r="Q175" s="16">
        <v>4799</v>
      </c>
      <c r="R175" s="17">
        <v>46</v>
      </c>
      <c r="S175" s="18">
        <v>2980.1789999999996</v>
      </c>
      <c r="T175" s="19" t="s">
        <v>36</v>
      </c>
      <c r="U175" s="20" t="s">
        <v>99</v>
      </c>
      <c r="V175" s="21" t="s">
        <v>100</v>
      </c>
      <c r="W175" s="22">
        <v>4</v>
      </c>
      <c r="X175" s="23"/>
    </row>
    <row r="176" spans="1:24" s="1" customFormat="1" ht="21" customHeight="1" x14ac:dyDescent="0.3">
      <c r="A176" s="24" t="s">
        <v>23</v>
      </c>
      <c r="B176" s="24" t="s">
        <v>254</v>
      </c>
      <c r="C176" s="27" t="s">
        <v>257</v>
      </c>
      <c r="D176" s="60"/>
      <c r="E176" s="41" t="str">
        <f>HYPERLINK("https://www.google.ru/search?q=6012636-690&amp;newwindow=1&amp;tbm=isch","Еще фото")</f>
        <v>Еще фото</v>
      </c>
      <c r="F176" s="13"/>
      <c r="G176" s="24" t="s">
        <v>77</v>
      </c>
      <c r="H176" s="24" t="s">
        <v>27</v>
      </c>
      <c r="I176" s="24" t="s">
        <v>28</v>
      </c>
      <c r="J176" s="14" t="s">
        <v>29</v>
      </c>
      <c r="K176" s="15" t="s">
        <v>50</v>
      </c>
      <c r="L176" s="62"/>
      <c r="M176" s="14"/>
      <c r="N176" s="14" t="s">
        <v>198</v>
      </c>
      <c r="O176" s="14"/>
      <c r="P176" s="15" t="s">
        <v>252</v>
      </c>
      <c r="Q176" s="16">
        <v>4799</v>
      </c>
      <c r="R176" s="17">
        <v>46</v>
      </c>
      <c r="S176" s="18">
        <v>2980.1789999999996</v>
      </c>
      <c r="T176" s="19" t="s">
        <v>36</v>
      </c>
      <c r="U176" s="20" t="s">
        <v>54</v>
      </c>
      <c r="V176" s="21" t="s">
        <v>55</v>
      </c>
      <c r="W176" s="22">
        <v>9</v>
      </c>
      <c r="X176" s="23"/>
    </row>
    <row r="177" spans="1:24" s="1" customFormat="1" ht="21" customHeight="1" x14ac:dyDescent="0.3">
      <c r="A177" s="24" t="s">
        <v>23</v>
      </c>
      <c r="B177" s="24" t="s">
        <v>254</v>
      </c>
      <c r="C177" s="27" t="s">
        <v>257</v>
      </c>
      <c r="D177" s="60"/>
      <c r="E177" s="41" t="str">
        <f>HYPERLINK("https://www.google.ru/search?q=6012636-690&amp;newwindow=1&amp;tbm=isch","Еще фото")</f>
        <v>Еще фото</v>
      </c>
      <c r="F177" s="13"/>
      <c r="G177" s="24" t="s">
        <v>77</v>
      </c>
      <c r="H177" s="24" t="s">
        <v>27</v>
      </c>
      <c r="I177" s="24" t="s">
        <v>28</v>
      </c>
      <c r="J177" s="14" t="s">
        <v>29</v>
      </c>
      <c r="K177" s="15" t="s">
        <v>50</v>
      </c>
      <c r="L177" s="62"/>
      <c r="M177" s="14"/>
      <c r="N177" s="14" t="s">
        <v>198</v>
      </c>
      <c r="O177" s="14"/>
      <c r="P177" s="15" t="s">
        <v>252</v>
      </c>
      <c r="Q177" s="16">
        <v>4799</v>
      </c>
      <c r="R177" s="17">
        <v>46</v>
      </c>
      <c r="S177" s="18">
        <v>2980.1789999999996</v>
      </c>
      <c r="T177" s="19" t="s">
        <v>36</v>
      </c>
      <c r="U177" s="20" t="s">
        <v>234</v>
      </c>
      <c r="V177" s="21" t="s">
        <v>235</v>
      </c>
      <c r="W177" s="22">
        <v>9</v>
      </c>
      <c r="X177" s="23"/>
    </row>
    <row r="178" spans="1:24" s="1" customFormat="1" ht="21" customHeight="1" x14ac:dyDescent="0.3">
      <c r="A178" s="24" t="s">
        <v>23</v>
      </c>
      <c r="B178" s="24" t="s">
        <v>254</v>
      </c>
      <c r="C178" s="27" t="s">
        <v>257</v>
      </c>
      <c r="D178" s="60"/>
      <c r="E178" s="41" t="str">
        <f>HYPERLINK("https://www.google.ru/search?q=6012636-690&amp;newwindow=1&amp;tbm=isch","Еще фото")</f>
        <v>Еще фото</v>
      </c>
      <c r="F178" s="13"/>
      <c r="G178" s="24" t="s">
        <v>77</v>
      </c>
      <c r="H178" s="24" t="s">
        <v>27</v>
      </c>
      <c r="I178" s="24" t="s">
        <v>28</v>
      </c>
      <c r="J178" s="14" t="s">
        <v>29</v>
      </c>
      <c r="K178" s="15" t="s">
        <v>50</v>
      </c>
      <c r="L178" s="62"/>
      <c r="M178" s="14"/>
      <c r="N178" s="14" t="s">
        <v>198</v>
      </c>
      <c r="O178" s="14"/>
      <c r="P178" s="15" t="s">
        <v>252</v>
      </c>
      <c r="Q178" s="16">
        <v>4799</v>
      </c>
      <c r="R178" s="17">
        <v>46</v>
      </c>
      <c r="S178" s="18">
        <v>2980.1789999999996</v>
      </c>
      <c r="T178" s="19" t="s">
        <v>36</v>
      </c>
      <c r="U178" s="20" t="s">
        <v>71</v>
      </c>
      <c r="V178" s="21" t="s">
        <v>72</v>
      </c>
      <c r="W178" s="22">
        <v>17</v>
      </c>
      <c r="X178" s="23"/>
    </row>
    <row r="179" spans="1:24" s="1" customFormat="1" ht="32" customHeight="1" x14ac:dyDescent="0.3">
      <c r="A179" s="24" t="s">
        <v>23</v>
      </c>
      <c r="B179" s="24" t="s">
        <v>254</v>
      </c>
      <c r="C179" s="27" t="s">
        <v>257</v>
      </c>
      <c r="D179" s="61"/>
      <c r="E179" s="41" t="str">
        <f>HYPERLINK("https://www.google.ru/search?q=6012636-690&amp;newwindow=1&amp;tbm=isch","Еще фото")</f>
        <v>Еще фото</v>
      </c>
      <c r="F179" s="13"/>
      <c r="G179" s="24" t="s">
        <v>77</v>
      </c>
      <c r="H179" s="24" t="s">
        <v>27</v>
      </c>
      <c r="I179" s="24" t="s">
        <v>28</v>
      </c>
      <c r="J179" s="14" t="s">
        <v>29</v>
      </c>
      <c r="K179" s="15" t="s">
        <v>50</v>
      </c>
      <c r="L179" s="58"/>
      <c r="M179" s="14"/>
      <c r="N179" s="14" t="s">
        <v>198</v>
      </c>
      <c r="O179" s="14"/>
      <c r="P179" s="15" t="s">
        <v>252</v>
      </c>
      <c r="Q179" s="16">
        <v>4799</v>
      </c>
      <c r="R179" s="17">
        <v>46</v>
      </c>
      <c r="S179" s="18">
        <v>2980.1789999999996</v>
      </c>
      <c r="T179" s="19" t="s">
        <v>36</v>
      </c>
      <c r="U179" s="20" t="s">
        <v>73</v>
      </c>
      <c r="V179" s="21" t="s">
        <v>74</v>
      </c>
      <c r="W179" s="22">
        <v>11</v>
      </c>
      <c r="X179" s="23"/>
    </row>
    <row r="180" spans="1:24" s="1" customFormat="1" ht="108" customHeight="1" x14ac:dyDescent="0.3">
      <c r="A180" s="11" t="s">
        <v>23</v>
      </c>
      <c r="B180" s="11" t="s">
        <v>258</v>
      </c>
      <c r="C180" s="12" t="s">
        <v>259</v>
      </c>
      <c r="D180" s="25"/>
      <c r="E180" s="41" t="str">
        <f>HYPERLINK("https://www.google.ru/search?q=1383401-001&amp;newwindow=1&amp;tbm=isch","Еще фото")</f>
        <v>Еще фото</v>
      </c>
      <c r="F180" s="13" t="s">
        <v>103</v>
      </c>
      <c r="G180" s="11" t="s">
        <v>28</v>
      </c>
      <c r="H180" s="11" t="s">
        <v>27</v>
      </c>
      <c r="I180" s="14" t="s">
        <v>28</v>
      </c>
      <c r="J180" s="14" t="s">
        <v>260</v>
      </c>
      <c r="K180" s="15" t="s">
        <v>30</v>
      </c>
      <c r="L180" s="14" t="s">
        <v>261</v>
      </c>
      <c r="M180" s="14"/>
      <c r="N180" s="14" t="s">
        <v>33</v>
      </c>
      <c r="O180" s="14"/>
      <c r="P180" s="15" t="s">
        <v>53</v>
      </c>
      <c r="Q180" s="16">
        <v>8699</v>
      </c>
      <c r="R180" s="17">
        <v>45.97</v>
      </c>
      <c r="S180" s="18">
        <v>5404.9884999999995</v>
      </c>
      <c r="T180" s="19" t="s">
        <v>36</v>
      </c>
      <c r="U180" s="20" t="s">
        <v>37</v>
      </c>
      <c r="V180" s="21" t="s">
        <v>38</v>
      </c>
      <c r="W180" s="22">
        <v>1</v>
      </c>
      <c r="X180" s="23"/>
    </row>
    <row r="181" spans="1:24" s="1" customFormat="1" ht="108" customHeight="1" x14ac:dyDescent="0.3">
      <c r="A181" s="11" t="s">
        <v>23</v>
      </c>
      <c r="B181" s="11" t="s">
        <v>262</v>
      </c>
      <c r="C181" s="12" t="s">
        <v>263</v>
      </c>
      <c r="D181" s="25"/>
      <c r="E181" s="41" t="str">
        <f>HYPERLINK("https://www.google.ru/search?q=1305748-001&amp;newwindow=1&amp;tbm=isch","Еще фото")</f>
        <v>Еще фото</v>
      </c>
      <c r="F181" s="13"/>
      <c r="G181" s="11" t="s">
        <v>28</v>
      </c>
      <c r="H181" s="11" t="s">
        <v>27</v>
      </c>
      <c r="I181" s="14" t="s">
        <v>28</v>
      </c>
      <c r="J181" s="14" t="s">
        <v>260</v>
      </c>
      <c r="K181" s="15" t="s">
        <v>30</v>
      </c>
      <c r="L181" s="14" t="s">
        <v>264</v>
      </c>
      <c r="M181" s="14"/>
      <c r="N181" s="14" t="s">
        <v>33</v>
      </c>
      <c r="O181" s="14"/>
      <c r="P181" s="15" t="s">
        <v>265</v>
      </c>
      <c r="Q181" s="16">
        <v>4990</v>
      </c>
      <c r="R181" s="17">
        <v>45.89</v>
      </c>
      <c r="S181" s="18">
        <v>3104.9884999999995</v>
      </c>
      <c r="T181" s="19" t="s">
        <v>36</v>
      </c>
      <c r="U181" s="20" t="s">
        <v>88</v>
      </c>
      <c r="V181" s="21" t="s">
        <v>89</v>
      </c>
      <c r="W181" s="22">
        <v>1</v>
      </c>
      <c r="X181" s="23"/>
    </row>
    <row r="182" spans="1:24" s="1" customFormat="1" ht="108" customHeight="1" x14ac:dyDescent="0.3">
      <c r="A182" s="11" t="s">
        <v>23</v>
      </c>
      <c r="B182" s="11" t="s">
        <v>266</v>
      </c>
      <c r="C182" s="12" t="s">
        <v>267</v>
      </c>
      <c r="D182" s="25"/>
      <c r="E182" s="41" t="str">
        <f>HYPERLINK("https://www.google.ru/search?q=1365602-554&amp;newwindow=1&amp;tbm=isch","Еще фото")</f>
        <v>Еще фото</v>
      </c>
      <c r="F182" s="13"/>
      <c r="G182" s="11" t="s">
        <v>77</v>
      </c>
      <c r="H182" s="11" t="s">
        <v>27</v>
      </c>
      <c r="I182" s="14" t="s">
        <v>28</v>
      </c>
      <c r="J182" s="14" t="s">
        <v>29</v>
      </c>
      <c r="K182" s="15" t="s">
        <v>59</v>
      </c>
      <c r="L182" s="14" t="s">
        <v>268</v>
      </c>
      <c r="M182" s="14" t="s">
        <v>45</v>
      </c>
      <c r="N182" s="14" t="s">
        <v>79</v>
      </c>
      <c r="O182" s="14" t="s">
        <v>34</v>
      </c>
      <c r="P182" s="15" t="s">
        <v>269</v>
      </c>
      <c r="Q182" s="16">
        <v>9790</v>
      </c>
      <c r="R182" s="17">
        <v>45.86</v>
      </c>
      <c r="S182" s="18">
        <v>6094.9884999999995</v>
      </c>
      <c r="T182" s="19" t="s">
        <v>36</v>
      </c>
      <c r="U182" s="20" t="s">
        <v>86</v>
      </c>
      <c r="V182" s="21" t="s">
        <v>38</v>
      </c>
      <c r="W182" s="22">
        <v>2</v>
      </c>
      <c r="X182" s="23"/>
    </row>
    <row r="183" spans="1:24" s="1" customFormat="1" ht="108" customHeight="1" x14ac:dyDescent="0.3">
      <c r="A183" s="11" t="s">
        <v>23</v>
      </c>
      <c r="B183" s="11" t="s">
        <v>270</v>
      </c>
      <c r="C183" s="12" t="s">
        <v>271</v>
      </c>
      <c r="D183" s="25"/>
      <c r="E183" s="41" t="str">
        <f>HYPERLINK("https://www.google.ru/search?q=1357123-001&amp;newwindow=1&amp;tbm=isch","Еще фото")</f>
        <v>Еще фото</v>
      </c>
      <c r="F183" s="13"/>
      <c r="G183" s="11" t="s">
        <v>28</v>
      </c>
      <c r="H183" s="11" t="s">
        <v>27</v>
      </c>
      <c r="I183" s="14" t="s">
        <v>28</v>
      </c>
      <c r="J183" s="14" t="s">
        <v>29</v>
      </c>
      <c r="K183" s="15" t="s">
        <v>30</v>
      </c>
      <c r="L183" s="14" t="s">
        <v>272</v>
      </c>
      <c r="M183" s="14" t="s">
        <v>140</v>
      </c>
      <c r="N183" s="14" t="s">
        <v>33</v>
      </c>
      <c r="O183" s="14" t="s">
        <v>34</v>
      </c>
      <c r="P183" s="15" t="s">
        <v>47</v>
      </c>
      <c r="Q183" s="16">
        <v>7199</v>
      </c>
      <c r="R183" s="17">
        <v>45.83</v>
      </c>
      <c r="S183" s="18">
        <v>4484.9884999999995</v>
      </c>
      <c r="T183" s="19" t="s">
        <v>36</v>
      </c>
      <c r="U183" s="20" t="s">
        <v>37</v>
      </c>
      <c r="V183" s="21" t="s">
        <v>38</v>
      </c>
      <c r="W183" s="22">
        <v>3</v>
      </c>
      <c r="X183" s="23"/>
    </row>
    <row r="184" spans="1:24" s="1" customFormat="1" ht="108" customHeight="1" x14ac:dyDescent="0.3">
      <c r="A184" s="11" t="s">
        <v>23</v>
      </c>
      <c r="B184" s="11" t="s">
        <v>273</v>
      </c>
      <c r="C184" s="12" t="s">
        <v>274</v>
      </c>
      <c r="D184" s="25"/>
      <c r="E184" s="41" t="str">
        <f>HYPERLINK("https://www.google.ru/search?q=1376800-025&amp;newwindow=1&amp;tbm=isch","Еще фото")</f>
        <v>Еще фото</v>
      </c>
      <c r="F184" s="13"/>
      <c r="G184" s="11" t="s">
        <v>28</v>
      </c>
      <c r="H184" s="11" t="s">
        <v>27</v>
      </c>
      <c r="I184" s="14" t="s">
        <v>28</v>
      </c>
      <c r="J184" s="14" t="s">
        <v>29</v>
      </c>
      <c r="K184" s="15" t="s">
        <v>30</v>
      </c>
      <c r="L184" s="14" t="s">
        <v>275</v>
      </c>
      <c r="M184" s="14" t="s">
        <v>32</v>
      </c>
      <c r="N184" s="14" t="s">
        <v>62</v>
      </c>
      <c r="O184" s="14"/>
      <c r="P184" s="15" t="s">
        <v>53</v>
      </c>
      <c r="Q184" s="16">
        <v>7199</v>
      </c>
      <c r="R184" s="17">
        <v>45.83</v>
      </c>
      <c r="S184" s="18">
        <v>4484.9884999999995</v>
      </c>
      <c r="T184" s="19" t="s">
        <v>36</v>
      </c>
      <c r="U184" s="20" t="s">
        <v>37</v>
      </c>
      <c r="V184" s="21" t="s">
        <v>38</v>
      </c>
      <c r="W184" s="22">
        <v>1</v>
      </c>
      <c r="X184" s="23"/>
    </row>
    <row r="185" spans="1:24" s="1" customFormat="1" ht="108" customHeight="1" x14ac:dyDescent="0.3">
      <c r="A185" s="11" t="s">
        <v>23</v>
      </c>
      <c r="B185" s="11" t="s">
        <v>276</v>
      </c>
      <c r="C185" s="12" t="s">
        <v>277</v>
      </c>
      <c r="D185" s="25"/>
      <c r="E185" s="41" t="str">
        <f>HYPERLINK("https://www.google.ru/search?q=1373362-390&amp;newwindow=1&amp;tbm=isch","Еще фото")</f>
        <v>Еще фото</v>
      </c>
      <c r="F185" s="13" t="s">
        <v>103</v>
      </c>
      <c r="G185" s="11" t="s">
        <v>28</v>
      </c>
      <c r="H185" s="11" t="s">
        <v>27</v>
      </c>
      <c r="I185" s="14" t="s">
        <v>28</v>
      </c>
      <c r="J185" s="14" t="s">
        <v>29</v>
      </c>
      <c r="K185" s="15" t="s">
        <v>30</v>
      </c>
      <c r="L185" s="14" t="s">
        <v>139</v>
      </c>
      <c r="M185" s="14" t="s">
        <v>140</v>
      </c>
      <c r="N185" s="14" t="s">
        <v>127</v>
      </c>
      <c r="O185" s="14"/>
      <c r="P185" s="15" t="s">
        <v>47</v>
      </c>
      <c r="Q185" s="16">
        <v>8299</v>
      </c>
      <c r="R185" s="17">
        <v>45.78</v>
      </c>
      <c r="S185" s="18">
        <v>5174.9884999999995</v>
      </c>
      <c r="T185" s="19" t="s">
        <v>36</v>
      </c>
      <c r="U185" s="20" t="s">
        <v>37</v>
      </c>
      <c r="V185" s="21" t="s">
        <v>38</v>
      </c>
      <c r="W185" s="22">
        <v>8</v>
      </c>
      <c r="X185" s="23"/>
    </row>
    <row r="186" spans="1:24" s="1" customFormat="1" ht="108" customHeight="1" x14ac:dyDescent="0.3">
      <c r="A186" s="11" t="s">
        <v>23</v>
      </c>
      <c r="B186" s="11" t="s">
        <v>278</v>
      </c>
      <c r="C186" s="12" t="s">
        <v>279</v>
      </c>
      <c r="D186" s="25"/>
      <c r="E186" s="41" t="str">
        <f>HYPERLINK("https://www.google.ru/search?q=1364407-001&amp;newwindow=1&amp;tbm=isch","Еще фото")</f>
        <v>Еще фото</v>
      </c>
      <c r="F186" s="13" t="s">
        <v>103</v>
      </c>
      <c r="G186" s="11" t="s">
        <v>28</v>
      </c>
      <c r="H186" s="11" t="s">
        <v>27</v>
      </c>
      <c r="I186" s="14" t="s">
        <v>28</v>
      </c>
      <c r="J186" s="14" t="s">
        <v>211</v>
      </c>
      <c r="K186" s="15" t="s">
        <v>30</v>
      </c>
      <c r="L186" s="14" t="s">
        <v>280</v>
      </c>
      <c r="M186" s="14"/>
      <c r="N186" s="14" t="s">
        <v>33</v>
      </c>
      <c r="O186" s="14"/>
      <c r="P186" s="15" t="s">
        <v>213</v>
      </c>
      <c r="Q186" s="16">
        <v>8999</v>
      </c>
      <c r="R186" s="17">
        <v>45.55</v>
      </c>
      <c r="S186" s="18">
        <v>5634.9884999999995</v>
      </c>
      <c r="T186" s="19" t="s">
        <v>36</v>
      </c>
      <c r="U186" s="20" t="s">
        <v>220</v>
      </c>
      <c r="V186" s="22">
        <v>52</v>
      </c>
      <c r="W186" s="22">
        <v>1</v>
      </c>
      <c r="X186" s="23"/>
    </row>
    <row r="187" spans="1:24" s="1" customFormat="1" ht="108" customHeight="1" x14ac:dyDescent="0.3">
      <c r="A187" s="11" t="s">
        <v>23</v>
      </c>
      <c r="B187" s="11" t="s">
        <v>281</v>
      </c>
      <c r="C187" s="12" t="s">
        <v>282</v>
      </c>
      <c r="D187" s="25"/>
      <c r="E187" s="41" t="str">
        <f>HYPERLINK("https://www.google.ru/search?q=1373361-012&amp;newwindow=1&amp;tbm=isch","Еще фото")</f>
        <v>Еще фото</v>
      </c>
      <c r="F187" s="13"/>
      <c r="G187" s="11" t="s">
        <v>28</v>
      </c>
      <c r="H187" s="11" t="s">
        <v>27</v>
      </c>
      <c r="I187" s="14" t="s">
        <v>28</v>
      </c>
      <c r="J187" s="14" t="s">
        <v>29</v>
      </c>
      <c r="K187" s="15" t="s">
        <v>30</v>
      </c>
      <c r="L187" s="14" t="s">
        <v>283</v>
      </c>
      <c r="M187" s="14" t="s">
        <v>140</v>
      </c>
      <c r="N187" s="14" t="s">
        <v>284</v>
      </c>
      <c r="O187" s="14"/>
      <c r="P187" s="15" t="s">
        <v>47</v>
      </c>
      <c r="Q187" s="16">
        <v>8999</v>
      </c>
      <c r="R187" s="17">
        <v>45.55</v>
      </c>
      <c r="S187" s="18">
        <v>5634.9884999999995</v>
      </c>
      <c r="T187" s="19" t="s">
        <v>36</v>
      </c>
      <c r="U187" s="20" t="s">
        <v>63</v>
      </c>
      <c r="V187" s="21" t="s">
        <v>85</v>
      </c>
      <c r="W187" s="22">
        <v>2</v>
      </c>
      <c r="X187" s="23"/>
    </row>
    <row r="188" spans="1:24" s="1" customFormat="1" ht="108" customHeight="1" x14ac:dyDescent="0.3">
      <c r="A188" s="11" t="s">
        <v>23</v>
      </c>
      <c r="B188" s="11" t="s">
        <v>281</v>
      </c>
      <c r="C188" s="12" t="s">
        <v>285</v>
      </c>
      <c r="D188" s="25"/>
      <c r="E188" s="41" t="str">
        <f>HYPERLINK("https://www.google.ru/search?q=1373361-410&amp;newwindow=1&amp;tbm=isch","Еще фото")</f>
        <v>Еще фото</v>
      </c>
      <c r="F188" s="13"/>
      <c r="G188" s="11" t="s">
        <v>28</v>
      </c>
      <c r="H188" s="11" t="s">
        <v>27</v>
      </c>
      <c r="I188" s="14" t="s">
        <v>28</v>
      </c>
      <c r="J188" s="14" t="s">
        <v>29</v>
      </c>
      <c r="K188" s="15" t="s">
        <v>30</v>
      </c>
      <c r="L188" s="14" t="s">
        <v>283</v>
      </c>
      <c r="M188" s="14" t="s">
        <v>140</v>
      </c>
      <c r="N188" s="14" t="s">
        <v>115</v>
      </c>
      <c r="O188" s="14"/>
      <c r="P188" s="15" t="s">
        <v>47</v>
      </c>
      <c r="Q188" s="16">
        <v>8999</v>
      </c>
      <c r="R188" s="17">
        <v>45.55</v>
      </c>
      <c r="S188" s="18">
        <v>5634.9884999999995</v>
      </c>
      <c r="T188" s="19" t="s">
        <v>36</v>
      </c>
      <c r="U188" s="20" t="s">
        <v>63</v>
      </c>
      <c r="V188" s="21" t="s">
        <v>85</v>
      </c>
      <c r="W188" s="22">
        <v>1</v>
      </c>
      <c r="X188" s="23"/>
    </row>
    <row r="189" spans="1:24" s="1" customFormat="1" ht="108" customHeight="1" x14ac:dyDescent="0.3">
      <c r="A189" s="11" t="s">
        <v>23</v>
      </c>
      <c r="B189" s="11" t="s">
        <v>286</v>
      </c>
      <c r="C189" s="12" t="s">
        <v>287</v>
      </c>
      <c r="D189" s="25"/>
      <c r="E189" s="41" t="str">
        <f>HYPERLINK("https://www.google.ru/search?q=1364934-001&amp;newwindow=1&amp;tbm=isch","Еще фото")</f>
        <v>Еще фото</v>
      </c>
      <c r="F189" s="13" t="s">
        <v>103</v>
      </c>
      <c r="G189" s="11" t="s">
        <v>28</v>
      </c>
      <c r="H189" s="11" t="s">
        <v>27</v>
      </c>
      <c r="I189" s="14" t="s">
        <v>28</v>
      </c>
      <c r="J189" s="14" t="s">
        <v>211</v>
      </c>
      <c r="K189" s="15" t="s">
        <v>30</v>
      </c>
      <c r="L189" s="14" t="s">
        <v>288</v>
      </c>
      <c r="M189" s="14" t="s">
        <v>52</v>
      </c>
      <c r="N189" s="14" t="s">
        <v>33</v>
      </c>
      <c r="O189" s="14"/>
      <c r="P189" s="15" t="s">
        <v>213</v>
      </c>
      <c r="Q189" s="16">
        <v>12099</v>
      </c>
      <c r="R189" s="17">
        <v>45.45</v>
      </c>
      <c r="S189" s="18">
        <v>7589.9884999999995</v>
      </c>
      <c r="T189" s="19" t="s">
        <v>36</v>
      </c>
      <c r="U189" s="20" t="s">
        <v>216</v>
      </c>
      <c r="V189" s="22">
        <v>48</v>
      </c>
      <c r="W189" s="22">
        <v>1</v>
      </c>
      <c r="X189" s="23"/>
    </row>
    <row r="190" spans="1:24" s="1" customFormat="1" ht="108" customHeight="1" x14ac:dyDescent="0.3">
      <c r="A190" s="11" t="s">
        <v>23</v>
      </c>
      <c r="B190" s="11" t="s">
        <v>289</v>
      </c>
      <c r="C190" s="12" t="s">
        <v>290</v>
      </c>
      <c r="D190" s="25"/>
      <c r="E190" s="41" t="str">
        <f>HYPERLINK("https://www.google.ru/search?q=1359547-554&amp;newwindow=1&amp;tbm=isch","Еще фото")</f>
        <v>Еще фото</v>
      </c>
      <c r="F190" s="13"/>
      <c r="G190" s="11" t="s">
        <v>77</v>
      </c>
      <c r="H190" s="11" t="s">
        <v>27</v>
      </c>
      <c r="I190" s="14" t="s">
        <v>28</v>
      </c>
      <c r="J190" s="14" t="s">
        <v>29</v>
      </c>
      <c r="K190" s="15" t="s">
        <v>59</v>
      </c>
      <c r="L190" s="14" t="s">
        <v>291</v>
      </c>
      <c r="M190" s="14" t="s">
        <v>292</v>
      </c>
      <c r="N190" s="14" t="s">
        <v>79</v>
      </c>
      <c r="O190" s="14" t="s">
        <v>34</v>
      </c>
      <c r="P190" s="15" t="s">
        <v>80</v>
      </c>
      <c r="Q190" s="16">
        <v>10999</v>
      </c>
      <c r="R190" s="17">
        <v>45.45</v>
      </c>
      <c r="S190" s="18">
        <v>6899.9884999999995</v>
      </c>
      <c r="T190" s="19" t="s">
        <v>36</v>
      </c>
      <c r="U190" s="20" t="s">
        <v>63</v>
      </c>
      <c r="V190" s="21" t="s">
        <v>64</v>
      </c>
      <c r="W190" s="22">
        <v>1</v>
      </c>
      <c r="X190" s="23"/>
    </row>
    <row r="191" spans="1:24" s="1" customFormat="1" ht="108" customHeight="1" x14ac:dyDescent="0.3">
      <c r="A191" s="11" t="s">
        <v>23</v>
      </c>
      <c r="B191" s="11" t="s">
        <v>293</v>
      </c>
      <c r="C191" s="12" t="s">
        <v>294</v>
      </c>
      <c r="D191" s="25"/>
      <c r="E191" s="41" t="str">
        <f>HYPERLINK("https://www.google.ru/search?q=1366060-001&amp;newwindow=1&amp;tbm=isch","Еще фото")</f>
        <v>Еще фото</v>
      </c>
      <c r="F191" s="13"/>
      <c r="G191" s="11" t="s">
        <v>295</v>
      </c>
      <c r="H191" s="11" t="s">
        <v>27</v>
      </c>
      <c r="I191" s="14" t="s">
        <v>28</v>
      </c>
      <c r="J191" s="14" t="s">
        <v>29</v>
      </c>
      <c r="K191" s="15" t="s">
        <v>30</v>
      </c>
      <c r="L191" s="14" t="s">
        <v>296</v>
      </c>
      <c r="M191" s="14" t="s">
        <v>297</v>
      </c>
      <c r="N191" s="14" t="s">
        <v>33</v>
      </c>
      <c r="O191" s="14"/>
      <c r="P191" s="15" t="s">
        <v>298</v>
      </c>
      <c r="Q191" s="16">
        <v>10999</v>
      </c>
      <c r="R191" s="17">
        <v>45.45</v>
      </c>
      <c r="S191" s="18">
        <v>6899.9884999999995</v>
      </c>
      <c r="T191" s="19" t="s">
        <v>36</v>
      </c>
      <c r="U191" s="20" t="s">
        <v>63</v>
      </c>
      <c r="V191" s="21" t="s">
        <v>85</v>
      </c>
      <c r="W191" s="22">
        <v>2</v>
      </c>
      <c r="X191" s="23"/>
    </row>
    <row r="192" spans="1:24" s="1" customFormat="1" ht="108" customHeight="1" x14ac:dyDescent="0.3">
      <c r="A192" s="11" t="s">
        <v>23</v>
      </c>
      <c r="B192" s="11" t="s">
        <v>299</v>
      </c>
      <c r="C192" s="12" t="s">
        <v>300</v>
      </c>
      <c r="D192" s="25"/>
      <c r="E192" s="41" t="str">
        <f>HYPERLINK("https://www.google.ru/search?q=6006247-002&amp;newwindow=1&amp;tbm=isch","Еще фото")</f>
        <v>Еще фото</v>
      </c>
      <c r="F192" s="13" t="s">
        <v>103</v>
      </c>
      <c r="G192" s="11" t="s">
        <v>28</v>
      </c>
      <c r="H192" s="11" t="s">
        <v>27</v>
      </c>
      <c r="I192" s="14" t="s">
        <v>28</v>
      </c>
      <c r="J192" s="14" t="s">
        <v>43</v>
      </c>
      <c r="K192" s="15" t="s">
        <v>30</v>
      </c>
      <c r="L192" s="14" t="s">
        <v>301</v>
      </c>
      <c r="M192" s="14"/>
      <c r="N192" s="14" t="s">
        <v>33</v>
      </c>
      <c r="O192" s="14"/>
      <c r="P192" s="15" t="s">
        <v>302</v>
      </c>
      <c r="Q192" s="16">
        <v>9899</v>
      </c>
      <c r="R192" s="17">
        <v>45.45</v>
      </c>
      <c r="S192" s="18">
        <v>6209.9884999999995</v>
      </c>
      <c r="T192" s="19" t="s">
        <v>36</v>
      </c>
      <c r="U192" s="20" t="s">
        <v>37</v>
      </c>
      <c r="V192" s="21" t="s">
        <v>38</v>
      </c>
      <c r="W192" s="22">
        <v>1</v>
      </c>
      <c r="X192" s="23"/>
    </row>
    <row r="193" spans="1:24" s="1" customFormat="1" ht="108" customHeight="1" x14ac:dyDescent="0.3">
      <c r="A193" s="11" t="s">
        <v>23</v>
      </c>
      <c r="B193" s="11" t="s">
        <v>303</v>
      </c>
      <c r="C193" s="12" t="s">
        <v>304</v>
      </c>
      <c r="D193" s="25"/>
      <c r="E193" s="41" t="str">
        <f>HYPERLINK("https://www.google.ru/search?q=1350080-001&amp;newwindow=1&amp;tbm=isch","Еще фото")</f>
        <v>Еще фото</v>
      </c>
      <c r="F193" s="13"/>
      <c r="G193" s="11" t="s">
        <v>28</v>
      </c>
      <c r="H193" s="11" t="s">
        <v>27</v>
      </c>
      <c r="I193" s="14" t="s">
        <v>28</v>
      </c>
      <c r="J193" s="14" t="s">
        <v>29</v>
      </c>
      <c r="K193" s="15" t="s">
        <v>59</v>
      </c>
      <c r="L193" s="14" t="s">
        <v>305</v>
      </c>
      <c r="M193" s="14"/>
      <c r="N193" s="14" t="s">
        <v>33</v>
      </c>
      <c r="O193" s="14" t="s">
        <v>306</v>
      </c>
      <c r="P193" s="15" t="s">
        <v>164</v>
      </c>
      <c r="Q193" s="16">
        <v>5499</v>
      </c>
      <c r="R193" s="17">
        <v>45.44</v>
      </c>
      <c r="S193" s="18">
        <v>3449.9884999999995</v>
      </c>
      <c r="T193" s="19" t="s">
        <v>36</v>
      </c>
      <c r="U193" s="20" t="s">
        <v>63</v>
      </c>
      <c r="V193" s="21" t="s">
        <v>64</v>
      </c>
      <c r="W193" s="22">
        <v>2</v>
      </c>
      <c r="X193" s="23"/>
    </row>
    <row r="194" spans="1:24" s="1" customFormat="1" ht="108" customHeight="1" x14ac:dyDescent="0.3">
      <c r="A194" s="11" t="s">
        <v>23</v>
      </c>
      <c r="B194" s="11" t="s">
        <v>187</v>
      </c>
      <c r="C194" s="12" t="s">
        <v>307</v>
      </c>
      <c r="D194" s="25"/>
      <c r="E194" s="41" t="str">
        <f>HYPERLINK("https://www.google.ru/search?q=1356404-001&amp;newwindow=1&amp;tbm=isch","Еще фото")</f>
        <v>Еще фото</v>
      </c>
      <c r="F194" s="13"/>
      <c r="G194" s="11" t="s">
        <v>77</v>
      </c>
      <c r="H194" s="11" t="s">
        <v>27</v>
      </c>
      <c r="I194" s="14" t="s">
        <v>28</v>
      </c>
      <c r="J194" s="14" t="s">
        <v>29</v>
      </c>
      <c r="K194" s="15" t="s">
        <v>59</v>
      </c>
      <c r="L194" s="14" t="s">
        <v>308</v>
      </c>
      <c r="M194" s="14"/>
      <c r="N194" s="14" t="s">
        <v>33</v>
      </c>
      <c r="O194" s="14"/>
      <c r="P194" s="15" t="s">
        <v>111</v>
      </c>
      <c r="Q194" s="16">
        <v>5499</v>
      </c>
      <c r="R194" s="17">
        <v>45.44</v>
      </c>
      <c r="S194" s="18">
        <v>3449.9884999999995</v>
      </c>
      <c r="T194" s="19" t="s">
        <v>36</v>
      </c>
      <c r="U194" s="20" t="s">
        <v>63</v>
      </c>
      <c r="V194" s="21" t="s">
        <v>64</v>
      </c>
      <c r="W194" s="22">
        <v>1</v>
      </c>
      <c r="X194" s="23"/>
    </row>
    <row r="195" spans="1:24" s="1" customFormat="1" ht="108" customHeight="1" x14ac:dyDescent="0.3">
      <c r="A195" s="11" t="s">
        <v>23</v>
      </c>
      <c r="B195" s="11" t="s">
        <v>309</v>
      </c>
      <c r="C195" s="12" t="s">
        <v>310</v>
      </c>
      <c r="D195" s="25"/>
      <c r="E195" s="41" t="str">
        <f>HYPERLINK("https://www.google.ru/search?q=1365417-001&amp;newwindow=1&amp;tbm=isch","Еще фото")</f>
        <v>Еще фото</v>
      </c>
      <c r="F195" s="13"/>
      <c r="G195" s="11" t="s">
        <v>28</v>
      </c>
      <c r="H195" s="11" t="s">
        <v>27</v>
      </c>
      <c r="I195" s="14" t="s">
        <v>28</v>
      </c>
      <c r="J195" s="14" t="s">
        <v>311</v>
      </c>
      <c r="K195" s="15" t="s">
        <v>30</v>
      </c>
      <c r="L195" s="14" t="s">
        <v>312</v>
      </c>
      <c r="M195" s="14"/>
      <c r="N195" s="14" t="s">
        <v>33</v>
      </c>
      <c r="O195" s="14"/>
      <c r="P195" s="15" t="s">
        <v>213</v>
      </c>
      <c r="Q195" s="16">
        <v>4399</v>
      </c>
      <c r="R195" s="17">
        <v>45.44</v>
      </c>
      <c r="S195" s="18">
        <v>2759.9884999999995</v>
      </c>
      <c r="T195" s="19" t="s">
        <v>36</v>
      </c>
      <c r="U195" s="20" t="s">
        <v>37</v>
      </c>
      <c r="V195" s="21" t="s">
        <v>38</v>
      </c>
      <c r="W195" s="22">
        <v>1</v>
      </c>
      <c r="X195" s="23"/>
    </row>
    <row r="196" spans="1:24" s="1" customFormat="1" ht="108" customHeight="1" x14ac:dyDescent="0.3">
      <c r="A196" s="11" t="s">
        <v>23</v>
      </c>
      <c r="B196" s="11" t="s">
        <v>313</v>
      </c>
      <c r="C196" s="12" t="s">
        <v>314</v>
      </c>
      <c r="D196" s="25"/>
      <c r="E196" s="41" t="str">
        <f>HYPERLINK("https://www.google.ru/search?q=1361023-561&amp;newwindow=1&amp;tbm=isch","Еще фото")</f>
        <v>Еще фото</v>
      </c>
      <c r="F196" s="13"/>
      <c r="G196" s="11" t="s">
        <v>109</v>
      </c>
      <c r="H196" s="11" t="s">
        <v>27</v>
      </c>
      <c r="I196" s="14" t="s">
        <v>28</v>
      </c>
      <c r="J196" s="14" t="s">
        <v>29</v>
      </c>
      <c r="K196" s="15" t="s">
        <v>59</v>
      </c>
      <c r="L196" s="14" t="s">
        <v>315</v>
      </c>
      <c r="M196" s="14"/>
      <c r="N196" s="14" t="s">
        <v>79</v>
      </c>
      <c r="O196" s="14"/>
      <c r="P196" s="15" t="s">
        <v>316</v>
      </c>
      <c r="Q196" s="16">
        <v>8790</v>
      </c>
      <c r="R196" s="17">
        <v>45.39</v>
      </c>
      <c r="S196" s="18">
        <v>5519.9884999999995</v>
      </c>
      <c r="T196" s="19" t="s">
        <v>36</v>
      </c>
      <c r="U196" s="20" t="s">
        <v>86</v>
      </c>
      <c r="V196" s="21" t="s">
        <v>38</v>
      </c>
      <c r="W196" s="22">
        <v>2</v>
      </c>
      <c r="X196" s="23"/>
    </row>
    <row r="197" spans="1:24" s="1" customFormat="1" ht="108" customHeight="1" x14ac:dyDescent="0.3">
      <c r="A197" s="11" t="s">
        <v>23</v>
      </c>
      <c r="B197" s="11" t="s">
        <v>317</v>
      </c>
      <c r="C197" s="12" t="s">
        <v>318</v>
      </c>
      <c r="D197" s="25"/>
      <c r="E197" s="41" t="str">
        <f>HYPERLINK("https://www.google.ru/search?q=1371021-001&amp;newwindow=1&amp;tbm=isch","Еще фото")</f>
        <v>Еще фото</v>
      </c>
      <c r="F197" s="13"/>
      <c r="G197" s="11" t="s">
        <v>28</v>
      </c>
      <c r="H197" s="11" t="s">
        <v>27</v>
      </c>
      <c r="I197" s="14" t="s">
        <v>28</v>
      </c>
      <c r="J197" s="14" t="s">
        <v>29</v>
      </c>
      <c r="K197" s="15" t="s">
        <v>59</v>
      </c>
      <c r="L197" s="14" t="s">
        <v>319</v>
      </c>
      <c r="M197" s="14"/>
      <c r="N197" s="14" t="s">
        <v>33</v>
      </c>
      <c r="O197" s="14"/>
      <c r="P197" s="15" t="s">
        <v>320</v>
      </c>
      <c r="Q197" s="16">
        <v>8599</v>
      </c>
      <c r="R197" s="17">
        <v>45.34</v>
      </c>
      <c r="S197" s="18">
        <v>5404.9884999999995</v>
      </c>
      <c r="T197" s="19" t="s">
        <v>36</v>
      </c>
      <c r="U197" s="20" t="s">
        <v>63</v>
      </c>
      <c r="V197" s="21" t="s">
        <v>64</v>
      </c>
      <c r="W197" s="22">
        <v>1</v>
      </c>
      <c r="X197" s="23"/>
    </row>
    <row r="198" spans="1:24" s="1" customFormat="1" ht="108" customHeight="1" x14ac:dyDescent="0.3">
      <c r="A198" s="11" t="s">
        <v>23</v>
      </c>
      <c r="B198" s="11" t="s">
        <v>321</v>
      </c>
      <c r="C198" s="12" t="s">
        <v>322</v>
      </c>
      <c r="D198" s="25"/>
      <c r="E198" s="41" t="str">
        <f>HYPERLINK("https://www.google.ru/search?q=1359547-676&amp;newwindow=1&amp;tbm=isch","Еще фото")</f>
        <v>Еще фото</v>
      </c>
      <c r="F198" s="13"/>
      <c r="G198" s="11" t="s">
        <v>77</v>
      </c>
      <c r="H198" s="11" t="s">
        <v>27</v>
      </c>
      <c r="I198" s="14" t="s">
        <v>28</v>
      </c>
      <c r="J198" s="14" t="s">
        <v>29</v>
      </c>
      <c r="K198" s="15" t="s">
        <v>59</v>
      </c>
      <c r="L198" s="14" t="s">
        <v>323</v>
      </c>
      <c r="M198" s="14" t="s">
        <v>292</v>
      </c>
      <c r="N198" s="14" t="s">
        <v>69</v>
      </c>
      <c r="O198" s="14" t="s">
        <v>34</v>
      </c>
      <c r="P198" s="15" t="s">
        <v>80</v>
      </c>
      <c r="Q198" s="16">
        <v>7499</v>
      </c>
      <c r="R198" s="17">
        <v>45.33</v>
      </c>
      <c r="S198" s="18">
        <v>4714.9884999999995</v>
      </c>
      <c r="T198" s="19" t="s">
        <v>36</v>
      </c>
      <c r="U198" s="20" t="s">
        <v>86</v>
      </c>
      <c r="V198" s="21" t="s">
        <v>38</v>
      </c>
      <c r="W198" s="22">
        <v>1</v>
      </c>
      <c r="X198" s="23"/>
    </row>
    <row r="199" spans="1:24" s="1" customFormat="1" ht="108" customHeight="1" x14ac:dyDescent="0.3">
      <c r="A199" s="11" t="s">
        <v>23</v>
      </c>
      <c r="B199" s="11" t="s">
        <v>324</v>
      </c>
      <c r="C199" s="12" t="s">
        <v>325</v>
      </c>
      <c r="D199" s="25"/>
      <c r="E199" s="41" t="str">
        <f>HYPERLINK("https://www.google.ru/search?q=1365335-044&amp;newwindow=1&amp;tbm=isch","Еще фото")</f>
        <v>Еще фото</v>
      </c>
      <c r="F199" s="13"/>
      <c r="G199" s="11" t="s">
        <v>77</v>
      </c>
      <c r="H199" s="11" t="s">
        <v>27</v>
      </c>
      <c r="I199" s="14" t="s">
        <v>28</v>
      </c>
      <c r="J199" s="14" t="s">
        <v>29</v>
      </c>
      <c r="K199" s="15" t="s">
        <v>59</v>
      </c>
      <c r="L199" s="14" t="s">
        <v>326</v>
      </c>
      <c r="M199" s="14"/>
      <c r="N199" s="14" t="s">
        <v>62</v>
      </c>
      <c r="O199" s="14"/>
      <c r="P199" s="15" t="s">
        <v>53</v>
      </c>
      <c r="Q199" s="16">
        <v>6399</v>
      </c>
      <c r="R199" s="17">
        <v>45.3</v>
      </c>
      <c r="S199" s="18">
        <v>4024.9884999999995</v>
      </c>
      <c r="T199" s="19" t="s">
        <v>36</v>
      </c>
      <c r="U199" s="20" t="s">
        <v>63</v>
      </c>
      <c r="V199" s="21" t="s">
        <v>64</v>
      </c>
      <c r="W199" s="22">
        <v>1</v>
      </c>
      <c r="X199" s="23"/>
    </row>
    <row r="200" spans="1:24" s="1" customFormat="1" ht="108" customHeight="1" x14ac:dyDescent="0.3">
      <c r="A200" s="11" t="s">
        <v>23</v>
      </c>
      <c r="B200" s="11" t="s">
        <v>327</v>
      </c>
      <c r="C200" s="12" t="s">
        <v>328</v>
      </c>
      <c r="D200" s="25"/>
      <c r="E200" s="41" t="str">
        <f>HYPERLINK("https://www.google.ru/search?q=1369004-698&amp;newwindow=1&amp;tbm=isch","Еще фото")</f>
        <v>Еще фото</v>
      </c>
      <c r="F200" s="13"/>
      <c r="G200" s="11" t="s">
        <v>77</v>
      </c>
      <c r="H200" s="11" t="s">
        <v>27</v>
      </c>
      <c r="I200" s="14" t="s">
        <v>28</v>
      </c>
      <c r="J200" s="14" t="s">
        <v>29</v>
      </c>
      <c r="K200" s="15" t="s">
        <v>59</v>
      </c>
      <c r="L200" s="14" t="s">
        <v>78</v>
      </c>
      <c r="M200" s="14" t="s">
        <v>61</v>
      </c>
      <c r="N200" s="14" t="s">
        <v>69</v>
      </c>
      <c r="O200" s="14" t="s">
        <v>34</v>
      </c>
      <c r="P200" s="15" t="s">
        <v>80</v>
      </c>
      <c r="Q200" s="16">
        <v>7490</v>
      </c>
      <c r="R200" s="17">
        <v>45.26</v>
      </c>
      <c r="S200" s="18">
        <v>4714.9884999999995</v>
      </c>
      <c r="T200" s="19" t="s">
        <v>36</v>
      </c>
      <c r="U200" s="20" t="s">
        <v>63</v>
      </c>
      <c r="V200" s="21" t="s">
        <v>64</v>
      </c>
      <c r="W200" s="22">
        <v>1</v>
      </c>
      <c r="X200" s="23"/>
    </row>
    <row r="201" spans="1:24" s="1" customFormat="1" ht="108" customHeight="1" x14ac:dyDescent="0.3">
      <c r="A201" s="11" t="s">
        <v>23</v>
      </c>
      <c r="B201" s="11" t="s">
        <v>329</v>
      </c>
      <c r="C201" s="12" t="s">
        <v>330</v>
      </c>
      <c r="D201" s="25"/>
      <c r="E201" s="41" t="str">
        <f>HYPERLINK("https://www.google.ru/search?q=1352027-253&amp;newwindow=1&amp;tbm=isch","Еще фото")</f>
        <v>Еще фото</v>
      </c>
      <c r="F201" s="13"/>
      <c r="G201" s="11" t="s">
        <v>28</v>
      </c>
      <c r="H201" s="11" t="s">
        <v>27</v>
      </c>
      <c r="I201" s="14" t="s">
        <v>28</v>
      </c>
      <c r="J201" s="14" t="s">
        <v>29</v>
      </c>
      <c r="K201" s="15" t="s">
        <v>30</v>
      </c>
      <c r="L201" s="14" t="s">
        <v>331</v>
      </c>
      <c r="M201" s="14" t="s">
        <v>32</v>
      </c>
      <c r="N201" s="14" t="s">
        <v>332</v>
      </c>
      <c r="O201" s="14"/>
      <c r="P201" s="15" t="s">
        <v>213</v>
      </c>
      <c r="Q201" s="16">
        <v>9499</v>
      </c>
      <c r="R201" s="17">
        <v>45.26</v>
      </c>
      <c r="S201" s="18">
        <v>5979.9884999999995</v>
      </c>
      <c r="T201" s="19" t="s">
        <v>36</v>
      </c>
      <c r="U201" s="20" t="s">
        <v>37</v>
      </c>
      <c r="V201" s="21" t="s">
        <v>38</v>
      </c>
      <c r="W201" s="22">
        <v>3</v>
      </c>
      <c r="X201" s="23"/>
    </row>
    <row r="202" spans="1:24" s="1" customFormat="1" ht="108" customHeight="1" x14ac:dyDescent="0.3">
      <c r="A202" s="11" t="s">
        <v>23</v>
      </c>
      <c r="B202" s="11" t="s">
        <v>333</v>
      </c>
      <c r="C202" s="12" t="s">
        <v>334</v>
      </c>
      <c r="D202" s="25"/>
      <c r="E202" s="41" t="str">
        <f>HYPERLINK("https://www.google.ru/search?q=1352028-410&amp;newwindow=1&amp;tbm=isch","Еще фото")</f>
        <v>Еще фото</v>
      </c>
      <c r="F202" s="13"/>
      <c r="G202" s="11" t="s">
        <v>28</v>
      </c>
      <c r="H202" s="11" t="s">
        <v>27</v>
      </c>
      <c r="I202" s="14" t="s">
        <v>28</v>
      </c>
      <c r="J202" s="14" t="s">
        <v>29</v>
      </c>
      <c r="K202" s="15" t="s">
        <v>30</v>
      </c>
      <c r="L202" s="14" t="s">
        <v>335</v>
      </c>
      <c r="M202" s="14" t="s">
        <v>32</v>
      </c>
      <c r="N202" s="14" t="s">
        <v>115</v>
      </c>
      <c r="O202" s="14"/>
      <c r="P202" s="15" t="s">
        <v>213</v>
      </c>
      <c r="Q202" s="16">
        <v>9499</v>
      </c>
      <c r="R202" s="17">
        <v>45.26</v>
      </c>
      <c r="S202" s="18">
        <v>5979.9884999999995</v>
      </c>
      <c r="T202" s="19" t="s">
        <v>36</v>
      </c>
      <c r="U202" s="20" t="s">
        <v>37</v>
      </c>
      <c r="V202" s="21" t="s">
        <v>38</v>
      </c>
      <c r="W202" s="22">
        <v>1</v>
      </c>
      <c r="X202" s="23"/>
    </row>
    <row r="203" spans="1:24" s="1" customFormat="1" ht="108" customHeight="1" x14ac:dyDescent="0.3">
      <c r="A203" s="11" t="s">
        <v>23</v>
      </c>
      <c r="B203" s="11" t="s">
        <v>336</v>
      </c>
      <c r="C203" s="12" t="s">
        <v>337</v>
      </c>
      <c r="D203" s="25"/>
      <c r="E203" s="41" t="str">
        <f>HYPERLINK("https://www.google.ru/search?q=1300008-025&amp;newwindow=1&amp;tbm=isch","Еще фото")</f>
        <v>Еще фото</v>
      </c>
      <c r="F203" s="13"/>
      <c r="G203" s="11" t="s">
        <v>28</v>
      </c>
      <c r="H203" s="11" t="s">
        <v>27</v>
      </c>
      <c r="I203" s="14" t="s">
        <v>28</v>
      </c>
      <c r="J203" s="14" t="s">
        <v>43</v>
      </c>
      <c r="K203" s="15" t="s">
        <v>30</v>
      </c>
      <c r="L203" s="14" t="s">
        <v>338</v>
      </c>
      <c r="M203" s="14" t="s">
        <v>339</v>
      </c>
      <c r="N203" s="14" t="s">
        <v>62</v>
      </c>
      <c r="O203" s="14" t="s">
        <v>34</v>
      </c>
      <c r="P203" s="15" t="s">
        <v>340</v>
      </c>
      <c r="Q203" s="16">
        <v>8399</v>
      </c>
      <c r="R203" s="17">
        <v>45.23</v>
      </c>
      <c r="S203" s="18">
        <v>5289.9884999999995</v>
      </c>
      <c r="T203" s="19" t="s">
        <v>36</v>
      </c>
      <c r="U203" s="20" t="s">
        <v>63</v>
      </c>
      <c r="V203" s="21" t="s">
        <v>85</v>
      </c>
      <c r="W203" s="22">
        <v>3</v>
      </c>
      <c r="X203" s="23"/>
    </row>
    <row r="204" spans="1:24" s="1" customFormat="1" ht="108" customHeight="1" x14ac:dyDescent="0.3">
      <c r="A204" s="11" t="s">
        <v>23</v>
      </c>
      <c r="B204" s="11" t="s">
        <v>341</v>
      </c>
      <c r="C204" s="12" t="s">
        <v>342</v>
      </c>
      <c r="D204" s="25"/>
      <c r="E204" s="41" t="str">
        <f>HYPERLINK("https://www.google.ru/search?q=1361109-003&amp;newwindow=1&amp;tbm=isch","Еще фото")</f>
        <v>Еще фото</v>
      </c>
      <c r="F204" s="13"/>
      <c r="G204" s="11" t="s">
        <v>77</v>
      </c>
      <c r="H204" s="11" t="s">
        <v>27</v>
      </c>
      <c r="I204" s="14" t="s">
        <v>28</v>
      </c>
      <c r="J204" s="14" t="s">
        <v>29</v>
      </c>
      <c r="K204" s="15" t="s">
        <v>59</v>
      </c>
      <c r="L204" s="14" t="s">
        <v>343</v>
      </c>
      <c r="M204" s="14"/>
      <c r="N204" s="14" t="s">
        <v>33</v>
      </c>
      <c r="O204" s="14"/>
      <c r="P204" s="15" t="s">
        <v>344</v>
      </c>
      <c r="Q204" s="16">
        <v>6199</v>
      </c>
      <c r="R204" s="17">
        <v>45.15</v>
      </c>
      <c r="S204" s="18">
        <v>3909.9884999999995</v>
      </c>
      <c r="T204" s="19" t="s">
        <v>36</v>
      </c>
      <c r="U204" s="20" t="s">
        <v>63</v>
      </c>
      <c r="V204" s="21" t="s">
        <v>64</v>
      </c>
      <c r="W204" s="22">
        <v>1</v>
      </c>
      <c r="X204" s="23"/>
    </row>
    <row r="205" spans="1:24" s="1" customFormat="1" ht="108" customHeight="1" x14ac:dyDescent="0.3">
      <c r="A205" s="11" t="s">
        <v>23</v>
      </c>
      <c r="B205" s="11" t="s">
        <v>199</v>
      </c>
      <c r="C205" s="12" t="s">
        <v>345</v>
      </c>
      <c r="D205" s="25"/>
      <c r="E205" s="41" t="str">
        <f>HYPERLINK("https://www.google.ru/search?q=1386938-390&amp;newwindow=1&amp;tbm=isch","Еще фото")</f>
        <v>Еще фото</v>
      </c>
      <c r="F205" s="13"/>
      <c r="G205" s="11" t="s">
        <v>77</v>
      </c>
      <c r="H205" s="11" t="s">
        <v>27</v>
      </c>
      <c r="I205" s="14" t="s">
        <v>28</v>
      </c>
      <c r="J205" s="14" t="s">
        <v>29</v>
      </c>
      <c r="K205" s="15" t="s">
        <v>30</v>
      </c>
      <c r="L205" s="14" t="s">
        <v>201</v>
      </c>
      <c r="M205" s="14"/>
      <c r="N205" s="14" t="s">
        <v>127</v>
      </c>
      <c r="O205" s="14"/>
      <c r="P205" s="15" t="s">
        <v>202</v>
      </c>
      <c r="Q205" s="16">
        <v>6199</v>
      </c>
      <c r="R205" s="17">
        <v>45.15</v>
      </c>
      <c r="S205" s="18">
        <v>3909.9884999999995</v>
      </c>
      <c r="T205" s="19" t="s">
        <v>36</v>
      </c>
      <c r="U205" s="20" t="s">
        <v>37</v>
      </c>
      <c r="V205" s="21" t="s">
        <v>38</v>
      </c>
      <c r="W205" s="22">
        <v>2</v>
      </c>
      <c r="X205" s="23"/>
    </row>
    <row r="206" spans="1:24" s="1" customFormat="1" ht="26" customHeight="1" x14ac:dyDescent="0.3">
      <c r="A206" s="11" t="s">
        <v>23</v>
      </c>
      <c r="B206" s="11" t="s">
        <v>346</v>
      </c>
      <c r="C206" s="12" t="s">
        <v>347</v>
      </c>
      <c r="D206" s="59"/>
      <c r="E206" s="41" t="str">
        <f>HYPERLINK("https://www.google.ru/search?q=1365336-348&amp;newwindow=1&amp;tbm=isch","Еще фото")</f>
        <v>Еще фото</v>
      </c>
      <c r="F206" s="13" t="s">
        <v>103</v>
      </c>
      <c r="G206" s="11" t="s">
        <v>77</v>
      </c>
      <c r="H206" s="11" t="s">
        <v>27</v>
      </c>
      <c r="I206" s="14" t="s">
        <v>28</v>
      </c>
      <c r="J206" s="14" t="s">
        <v>29</v>
      </c>
      <c r="K206" s="15" t="s">
        <v>59</v>
      </c>
      <c r="L206" s="57" t="s">
        <v>348</v>
      </c>
      <c r="M206" s="14"/>
      <c r="N206" s="14" t="s">
        <v>127</v>
      </c>
      <c r="O206" s="14"/>
      <c r="P206" s="15" t="s">
        <v>53</v>
      </c>
      <c r="Q206" s="16">
        <v>5299</v>
      </c>
      <c r="R206" s="17">
        <v>45.13</v>
      </c>
      <c r="S206" s="18">
        <v>3343.9354999999996</v>
      </c>
      <c r="T206" s="19" t="s">
        <v>36</v>
      </c>
      <c r="U206" s="20" t="s">
        <v>63</v>
      </c>
      <c r="V206" s="21" t="s">
        <v>64</v>
      </c>
      <c r="W206" s="22">
        <v>4</v>
      </c>
      <c r="X206" s="23"/>
    </row>
    <row r="207" spans="1:24" s="1" customFormat="1" ht="26" customHeight="1" x14ac:dyDescent="0.3">
      <c r="A207" s="24" t="s">
        <v>23</v>
      </c>
      <c r="B207" s="24" t="s">
        <v>346</v>
      </c>
      <c r="C207" s="12" t="s">
        <v>347</v>
      </c>
      <c r="D207" s="60"/>
      <c r="E207" s="41" t="str">
        <f>HYPERLINK("https://www.google.ru/search?q=1365336-348&amp;newwindow=1&amp;tbm=isch","Еще фото")</f>
        <v>Еще фото</v>
      </c>
      <c r="F207" s="13" t="s">
        <v>103</v>
      </c>
      <c r="G207" s="24" t="s">
        <v>77</v>
      </c>
      <c r="H207" s="24" t="s">
        <v>27</v>
      </c>
      <c r="I207" s="24" t="s">
        <v>28</v>
      </c>
      <c r="J207" s="14" t="s">
        <v>29</v>
      </c>
      <c r="K207" s="15" t="s">
        <v>59</v>
      </c>
      <c r="L207" s="62"/>
      <c r="M207" s="14"/>
      <c r="N207" s="14" t="s">
        <v>127</v>
      </c>
      <c r="O207" s="14"/>
      <c r="P207" s="15" t="s">
        <v>53</v>
      </c>
      <c r="Q207" s="16">
        <v>5299</v>
      </c>
      <c r="R207" s="17">
        <v>45.13</v>
      </c>
      <c r="S207" s="18">
        <v>3343.9354999999996</v>
      </c>
      <c r="T207" s="19" t="s">
        <v>36</v>
      </c>
      <c r="U207" s="20" t="s">
        <v>37</v>
      </c>
      <c r="V207" s="21" t="s">
        <v>106</v>
      </c>
      <c r="W207" s="22">
        <v>6</v>
      </c>
      <c r="X207" s="23"/>
    </row>
    <row r="208" spans="1:24" s="1" customFormat="1" ht="26" customHeight="1" x14ac:dyDescent="0.3">
      <c r="A208" s="24" t="s">
        <v>23</v>
      </c>
      <c r="B208" s="24" t="s">
        <v>346</v>
      </c>
      <c r="C208" s="12" t="s">
        <v>347</v>
      </c>
      <c r="D208" s="60"/>
      <c r="E208" s="41" t="str">
        <f>HYPERLINK("https://www.google.ru/search?q=1365336-348&amp;newwindow=1&amp;tbm=isch","Еще фото")</f>
        <v>Еще фото</v>
      </c>
      <c r="F208" s="13" t="s">
        <v>103</v>
      </c>
      <c r="G208" s="24" t="s">
        <v>77</v>
      </c>
      <c r="H208" s="24" t="s">
        <v>27</v>
      </c>
      <c r="I208" s="24" t="s">
        <v>28</v>
      </c>
      <c r="J208" s="14" t="s">
        <v>29</v>
      </c>
      <c r="K208" s="15" t="s">
        <v>59</v>
      </c>
      <c r="L208" s="62"/>
      <c r="M208" s="14"/>
      <c r="N208" s="14" t="s">
        <v>127</v>
      </c>
      <c r="O208" s="14"/>
      <c r="P208" s="15" t="s">
        <v>53</v>
      </c>
      <c r="Q208" s="16">
        <v>5299</v>
      </c>
      <c r="R208" s="17">
        <v>45.13</v>
      </c>
      <c r="S208" s="18">
        <v>3343.9354999999996</v>
      </c>
      <c r="T208" s="19" t="s">
        <v>36</v>
      </c>
      <c r="U208" s="20" t="s">
        <v>39</v>
      </c>
      <c r="V208" s="21" t="s">
        <v>85</v>
      </c>
      <c r="W208" s="22">
        <v>4</v>
      </c>
      <c r="X208" s="23"/>
    </row>
    <row r="209" spans="1:24" s="1" customFormat="1" ht="26" customHeight="1" x14ac:dyDescent="0.3">
      <c r="A209" s="24" t="s">
        <v>23</v>
      </c>
      <c r="B209" s="24" t="s">
        <v>346</v>
      </c>
      <c r="C209" s="12" t="s">
        <v>347</v>
      </c>
      <c r="D209" s="61"/>
      <c r="E209" s="41" t="str">
        <f>HYPERLINK("https://www.google.ru/search?q=1365336-348&amp;newwindow=1&amp;tbm=isch","Еще фото")</f>
        <v>Еще фото</v>
      </c>
      <c r="F209" s="13" t="s">
        <v>103</v>
      </c>
      <c r="G209" s="24" t="s">
        <v>77</v>
      </c>
      <c r="H209" s="24" t="s">
        <v>27</v>
      </c>
      <c r="I209" s="24" t="s">
        <v>28</v>
      </c>
      <c r="J209" s="14" t="s">
        <v>29</v>
      </c>
      <c r="K209" s="15" t="s">
        <v>59</v>
      </c>
      <c r="L209" s="58"/>
      <c r="M209" s="14"/>
      <c r="N209" s="14" t="s">
        <v>127</v>
      </c>
      <c r="O209" s="14"/>
      <c r="P209" s="15" t="s">
        <v>53</v>
      </c>
      <c r="Q209" s="16">
        <v>5299</v>
      </c>
      <c r="R209" s="17">
        <v>45.13</v>
      </c>
      <c r="S209" s="18">
        <v>3343.9354999999996</v>
      </c>
      <c r="T209" s="19" t="s">
        <v>36</v>
      </c>
      <c r="U209" s="20" t="s">
        <v>86</v>
      </c>
      <c r="V209" s="21" t="s">
        <v>38</v>
      </c>
      <c r="W209" s="22">
        <v>1</v>
      </c>
      <c r="X209" s="23"/>
    </row>
    <row r="210" spans="1:24" s="1" customFormat="1" ht="21" customHeight="1" x14ac:dyDescent="0.3">
      <c r="A210" s="11" t="s">
        <v>23</v>
      </c>
      <c r="B210" s="11" t="s">
        <v>349</v>
      </c>
      <c r="C210" s="26" t="s">
        <v>350</v>
      </c>
      <c r="D210" s="59"/>
      <c r="E210" s="41" t="str">
        <f>HYPERLINK("https://www.google.ru/search?q=1379774-390&amp;newwindow=1&amp;tbm=isch","Еще фото")</f>
        <v>Еще фото</v>
      </c>
      <c r="F210" s="13" t="s">
        <v>103</v>
      </c>
      <c r="G210" s="11" t="s">
        <v>28</v>
      </c>
      <c r="H210" s="11" t="s">
        <v>27</v>
      </c>
      <c r="I210" s="14" t="s">
        <v>28</v>
      </c>
      <c r="J210" s="14" t="s">
        <v>29</v>
      </c>
      <c r="K210" s="15" t="s">
        <v>30</v>
      </c>
      <c r="L210" s="57" t="s">
        <v>351</v>
      </c>
      <c r="M210" s="14"/>
      <c r="N210" s="14" t="s">
        <v>127</v>
      </c>
      <c r="O210" s="14"/>
      <c r="P210" s="15" t="s">
        <v>120</v>
      </c>
      <c r="Q210" s="16">
        <v>5699</v>
      </c>
      <c r="R210" s="17">
        <v>45.12</v>
      </c>
      <c r="S210" s="18">
        <v>3596.9354999999996</v>
      </c>
      <c r="T210" s="19" t="s">
        <v>36</v>
      </c>
      <c r="U210" s="20" t="s">
        <v>37</v>
      </c>
      <c r="V210" s="21" t="s">
        <v>38</v>
      </c>
      <c r="W210" s="22">
        <v>8</v>
      </c>
      <c r="X210" s="23"/>
    </row>
    <row r="211" spans="1:24" s="1" customFormat="1" ht="21" customHeight="1" x14ac:dyDescent="0.3">
      <c r="A211" s="24" t="s">
        <v>23</v>
      </c>
      <c r="B211" s="24" t="s">
        <v>349</v>
      </c>
      <c r="C211" s="27" t="s">
        <v>350</v>
      </c>
      <c r="D211" s="60"/>
      <c r="E211" s="41" t="str">
        <f>HYPERLINK("https://www.google.ru/search?q=1379774-390&amp;newwindow=1&amp;tbm=isch","Еще фото")</f>
        <v>Еще фото</v>
      </c>
      <c r="F211" s="13" t="s">
        <v>103</v>
      </c>
      <c r="G211" s="24" t="s">
        <v>28</v>
      </c>
      <c r="H211" s="24" t="s">
        <v>27</v>
      </c>
      <c r="I211" s="24" t="s">
        <v>28</v>
      </c>
      <c r="J211" s="14" t="s">
        <v>29</v>
      </c>
      <c r="K211" s="15" t="s">
        <v>30</v>
      </c>
      <c r="L211" s="62"/>
      <c r="M211" s="14"/>
      <c r="N211" s="14" t="s">
        <v>127</v>
      </c>
      <c r="O211" s="14"/>
      <c r="P211" s="15" t="s">
        <v>120</v>
      </c>
      <c r="Q211" s="16">
        <v>5699</v>
      </c>
      <c r="R211" s="17">
        <v>45.12</v>
      </c>
      <c r="S211" s="18">
        <v>3596.9354999999996</v>
      </c>
      <c r="T211" s="19" t="s">
        <v>36</v>
      </c>
      <c r="U211" s="20" t="s">
        <v>39</v>
      </c>
      <c r="V211" s="21" t="s">
        <v>40</v>
      </c>
      <c r="W211" s="22">
        <v>14</v>
      </c>
      <c r="X211" s="23"/>
    </row>
    <row r="212" spans="1:24" s="1" customFormat="1" ht="21" customHeight="1" x14ac:dyDescent="0.3">
      <c r="A212" s="24" t="s">
        <v>23</v>
      </c>
      <c r="B212" s="24" t="s">
        <v>349</v>
      </c>
      <c r="C212" s="27" t="s">
        <v>350</v>
      </c>
      <c r="D212" s="60"/>
      <c r="E212" s="41" t="str">
        <f>HYPERLINK("https://www.google.ru/search?q=1379774-390&amp;newwindow=1&amp;tbm=isch","Еще фото")</f>
        <v>Еще фото</v>
      </c>
      <c r="F212" s="13" t="s">
        <v>103</v>
      </c>
      <c r="G212" s="24" t="s">
        <v>28</v>
      </c>
      <c r="H212" s="24" t="s">
        <v>27</v>
      </c>
      <c r="I212" s="24" t="s">
        <v>28</v>
      </c>
      <c r="J212" s="14" t="s">
        <v>29</v>
      </c>
      <c r="K212" s="15" t="s">
        <v>30</v>
      </c>
      <c r="L212" s="62"/>
      <c r="M212" s="14"/>
      <c r="N212" s="14" t="s">
        <v>127</v>
      </c>
      <c r="O212" s="14"/>
      <c r="P212" s="15" t="s">
        <v>120</v>
      </c>
      <c r="Q212" s="16">
        <v>5699</v>
      </c>
      <c r="R212" s="17">
        <v>45.12</v>
      </c>
      <c r="S212" s="18">
        <v>3596.9354999999996</v>
      </c>
      <c r="T212" s="19" t="s">
        <v>36</v>
      </c>
      <c r="U212" s="20" t="s">
        <v>86</v>
      </c>
      <c r="V212" s="21" t="s">
        <v>87</v>
      </c>
      <c r="W212" s="22">
        <v>22</v>
      </c>
      <c r="X212" s="23"/>
    </row>
    <row r="213" spans="1:24" s="1" customFormat="1" ht="21" customHeight="1" x14ac:dyDescent="0.3">
      <c r="A213" s="24" t="s">
        <v>23</v>
      </c>
      <c r="B213" s="24" t="s">
        <v>349</v>
      </c>
      <c r="C213" s="27" t="s">
        <v>350</v>
      </c>
      <c r="D213" s="60"/>
      <c r="E213" s="41" t="str">
        <f>HYPERLINK("https://www.google.ru/search?q=1379774-390&amp;newwindow=1&amp;tbm=isch","Еще фото")</f>
        <v>Еще фото</v>
      </c>
      <c r="F213" s="13" t="s">
        <v>103</v>
      </c>
      <c r="G213" s="24" t="s">
        <v>28</v>
      </c>
      <c r="H213" s="24" t="s">
        <v>27</v>
      </c>
      <c r="I213" s="24" t="s">
        <v>28</v>
      </c>
      <c r="J213" s="14" t="s">
        <v>29</v>
      </c>
      <c r="K213" s="15" t="s">
        <v>30</v>
      </c>
      <c r="L213" s="62"/>
      <c r="M213" s="14"/>
      <c r="N213" s="14" t="s">
        <v>127</v>
      </c>
      <c r="O213" s="14"/>
      <c r="P213" s="15" t="s">
        <v>120</v>
      </c>
      <c r="Q213" s="16">
        <v>5699</v>
      </c>
      <c r="R213" s="17">
        <v>45.12</v>
      </c>
      <c r="S213" s="18">
        <v>3596.9354999999996</v>
      </c>
      <c r="T213" s="19" t="s">
        <v>36</v>
      </c>
      <c r="U213" s="20" t="s">
        <v>88</v>
      </c>
      <c r="V213" s="21" t="s">
        <v>89</v>
      </c>
      <c r="W213" s="22">
        <v>9</v>
      </c>
      <c r="X213" s="23"/>
    </row>
    <row r="214" spans="1:24" s="1" customFormat="1" ht="32" customHeight="1" x14ac:dyDescent="0.3">
      <c r="A214" s="24" t="s">
        <v>23</v>
      </c>
      <c r="B214" s="24" t="s">
        <v>349</v>
      </c>
      <c r="C214" s="27" t="s">
        <v>350</v>
      </c>
      <c r="D214" s="61"/>
      <c r="E214" s="41" t="str">
        <f>HYPERLINK("https://www.google.ru/search?q=1379774-390&amp;newwindow=1&amp;tbm=isch","Еще фото")</f>
        <v>Еще фото</v>
      </c>
      <c r="F214" s="13" t="s">
        <v>103</v>
      </c>
      <c r="G214" s="24" t="s">
        <v>28</v>
      </c>
      <c r="H214" s="24" t="s">
        <v>27</v>
      </c>
      <c r="I214" s="24" t="s">
        <v>28</v>
      </c>
      <c r="J214" s="14" t="s">
        <v>29</v>
      </c>
      <c r="K214" s="15" t="s">
        <v>30</v>
      </c>
      <c r="L214" s="58"/>
      <c r="M214" s="14"/>
      <c r="N214" s="14" t="s">
        <v>127</v>
      </c>
      <c r="O214" s="14"/>
      <c r="P214" s="15" t="s">
        <v>120</v>
      </c>
      <c r="Q214" s="16">
        <v>5699</v>
      </c>
      <c r="R214" s="17">
        <v>45.12</v>
      </c>
      <c r="S214" s="18">
        <v>3596.9354999999996</v>
      </c>
      <c r="T214" s="19" t="s">
        <v>36</v>
      </c>
      <c r="U214" s="20" t="s">
        <v>90</v>
      </c>
      <c r="V214" s="21" t="s">
        <v>91</v>
      </c>
      <c r="W214" s="22">
        <v>2</v>
      </c>
      <c r="X214" s="23"/>
    </row>
    <row r="215" spans="1:24" s="1" customFormat="1" ht="108" customHeight="1" x14ac:dyDescent="0.3">
      <c r="A215" s="11" t="s">
        <v>23</v>
      </c>
      <c r="B215" s="11" t="s">
        <v>352</v>
      </c>
      <c r="C215" s="12" t="s">
        <v>353</v>
      </c>
      <c r="D215" s="25"/>
      <c r="E215" s="41" t="str">
        <f>HYPERLINK("https://www.google.ru/search?q=1361139-001&amp;newwindow=1&amp;tbm=isch","Еще фото")</f>
        <v>Еще фото</v>
      </c>
      <c r="F215" s="13"/>
      <c r="G215" s="11" t="s">
        <v>26</v>
      </c>
      <c r="H215" s="11" t="s">
        <v>27</v>
      </c>
      <c r="I215" s="14" t="s">
        <v>28</v>
      </c>
      <c r="J215" s="14" t="s">
        <v>43</v>
      </c>
      <c r="K215" s="15" t="s">
        <v>30</v>
      </c>
      <c r="L215" s="14" t="s">
        <v>354</v>
      </c>
      <c r="M215" s="14" t="s">
        <v>163</v>
      </c>
      <c r="N215" s="14" t="s">
        <v>33</v>
      </c>
      <c r="O215" s="14"/>
      <c r="P215" s="15" t="s">
        <v>355</v>
      </c>
      <c r="Q215" s="16">
        <v>8199</v>
      </c>
      <c r="R215" s="17">
        <v>45.12</v>
      </c>
      <c r="S215" s="18">
        <v>5174.9884999999995</v>
      </c>
      <c r="T215" s="19" t="s">
        <v>36</v>
      </c>
      <c r="U215" s="20" t="s">
        <v>37</v>
      </c>
      <c r="V215" s="21" t="s">
        <v>38</v>
      </c>
      <c r="W215" s="22">
        <v>1</v>
      </c>
      <c r="X215" s="23"/>
    </row>
    <row r="216" spans="1:24" s="1" customFormat="1" ht="108" customHeight="1" x14ac:dyDescent="0.3">
      <c r="A216" s="11" t="s">
        <v>23</v>
      </c>
      <c r="B216" s="11" t="s">
        <v>278</v>
      </c>
      <c r="C216" s="12" t="s">
        <v>356</v>
      </c>
      <c r="D216" s="25"/>
      <c r="E216" s="41" t="str">
        <f>HYPERLINK("https://www.google.ru/search?q=1364407-036&amp;newwindow=1&amp;tbm=isch","Еще фото")</f>
        <v>Еще фото</v>
      </c>
      <c r="F216" s="13" t="s">
        <v>103</v>
      </c>
      <c r="G216" s="11" t="s">
        <v>28</v>
      </c>
      <c r="H216" s="11" t="s">
        <v>27</v>
      </c>
      <c r="I216" s="14" t="s">
        <v>28</v>
      </c>
      <c r="J216" s="14" t="s">
        <v>211</v>
      </c>
      <c r="K216" s="15" t="s">
        <v>30</v>
      </c>
      <c r="L216" s="14" t="s">
        <v>357</v>
      </c>
      <c r="M216" s="14"/>
      <c r="N216" s="14" t="s">
        <v>62</v>
      </c>
      <c r="O216" s="14"/>
      <c r="P216" s="15" t="s">
        <v>213</v>
      </c>
      <c r="Q216" s="16">
        <v>10199</v>
      </c>
      <c r="R216" s="17">
        <v>45.09</v>
      </c>
      <c r="S216" s="18">
        <v>6439.9884999999995</v>
      </c>
      <c r="T216" s="19" t="s">
        <v>36</v>
      </c>
      <c r="U216" s="20" t="s">
        <v>217</v>
      </c>
      <c r="V216" s="22">
        <v>50</v>
      </c>
      <c r="W216" s="22">
        <v>1</v>
      </c>
      <c r="X216" s="23"/>
    </row>
    <row r="217" spans="1:24" s="1" customFormat="1" ht="108" customHeight="1" x14ac:dyDescent="0.3">
      <c r="A217" s="11" t="s">
        <v>23</v>
      </c>
      <c r="B217" s="11" t="s">
        <v>358</v>
      </c>
      <c r="C217" s="12" t="s">
        <v>359</v>
      </c>
      <c r="D217" s="25"/>
      <c r="E217" s="41" t="str">
        <f>HYPERLINK("https://www.google.ru/search?q=6000850-410&amp;newwindow=1&amp;tbm=isch","Еще фото")</f>
        <v>Еще фото</v>
      </c>
      <c r="F217" s="13"/>
      <c r="G217" s="11" t="s">
        <v>28</v>
      </c>
      <c r="H217" s="11" t="s">
        <v>27</v>
      </c>
      <c r="I217" s="14" t="s">
        <v>28</v>
      </c>
      <c r="J217" s="14" t="s">
        <v>43</v>
      </c>
      <c r="K217" s="15" t="s">
        <v>30</v>
      </c>
      <c r="L217" s="14" t="s">
        <v>360</v>
      </c>
      <c r="M217" s="14"/>
      <c r="N217" s="14" t="s">
        <v>115</v>
      </c>
      <c r="O217" s="14"/>
      <c r="P217" s="15" t="s">
        <v>53</v>
      </c>
      <c r="Q217" s="16">
        <v>12199</v>
      </c>
      <c r="R217" s="17">
        <v>45.08</v>
      </c>
      <c r="S217" s="18">
        <v>7704.9884999999995</v>
      </c>
      <c r="T217" s="19" t="s">
        <v>36</v>
      </c>
      <c r="U217" s="20" t="s">
        <v>88</v>
      </c>
      <c r="V217" s="21" t="s">
        <v>89</v>
      </c>
      <c r="W217" s="22">
        <v>1</v>
      </c>
      <c r="X217" s="23"/>
    </row>
    <row r="218" spans="1:24" s="1" customFormat="1" ht="108" customHeight="1" x14ac:dyDescent="0.3">
      <c r="A218" s="11" t="s">
        <v>23</v>
      </c>
      <c r="B218" s="11" t="s">
        <v>361</v>
      </c>
      <c r="C218" s="12" t="s">
        <v>362</v>
      </c>
      <c r="D218" s="25"/>
      <c r="E218" s="41" t="str">
        <f>HYPERLINK("https://www.google.ru/search?q=1383033-251&amp;newwindow=1&amp;tbm=isch","Еще фото")</f>
        <v>Еще фото</v>
      </c>
      <c r="F218" s="13"/>
      <c r="G218" s="11" t="s">
        <v>28</v>
      </c>
      <c r="H218" s="11" t="s">
        <v>27</v>
      </c>
      <c r="I218" s="14" t="s">
        <v>28</v>
      </c>
      <c r="J218" s="14" t="s">
        <v>43</v>
      </c>
      <c r="K218" s="15" t="s">
        <v>30</v>
      </c>
      <c r="L218" s="14" t="s">
        <v>363</v>
      </c>
      <c r="M218" s="14"/>
      <c r="N218" s="14" t="s">
        <v>127</v>
      </c>
      <c r="O218" s="14"/>
      <c r="P218" s="15" t="s">
        <v>364</v>
      </c>
      <c r="Q218" s="16">
        <v>11099</v>
      </c>
      <c r="R218" s="17">
        <v>45.04</v>
      </c>
      <c r="S218" s="18">
        <v>7014.9884999999995</v>
      </c>
      <c r="T218" s="19" t="s">
        <v>36</v>
      </c>
      <c r="U218" s="20" t="s">
        <v>37</v>
      </c>
      <c r="V218" s="21" t="s">
        <v>38</v>
      </c>
      <c r="W218" s="22">
        <v>2</v>
      </c>
      <c r="X218" s="23"/>
    </row>
    <row r="219" spans="1:24" s="1" customFormat="1" ht="108" customHeight="1" x14ac:dyDescent="0.3">
      <c r="A219" s="11" t="s">
        <v>23</v>
      </c>
      <c r="B219" s="11" t="s">
        <v>365</v>
      </c>
      <c r="C219" s="12" t="s">
        <v>366</v>
      </c>
      <c r="D219" s="25"/>
      <c r="E219" s="41" t="str">
        <f>HYPERLINK("https://www.google.ru/search?q=1386883-001&amp;newwindow=1&amp;tbm=isch","Еще фото")</f>
        <v>Еще фото</v>
      </c>
      <c r="F219" s="13"/>
      <c r="G219" s="11" t="s">
        <v>28</v>
      </c>
      <c r="H219" s="11" t="s">
        <v>27</v>
      </c>
      <c r="I219" s="14" t="s">
        <v>28</v>
      </c>
      <c r="J219" s="14" t="s">
        <v>29</v>
      </c>
      <c r="K219" s="15" t="s">
        <v>30</v>
      </c>
      <c r="L219" s="14" t="s">
        <v>367</v>
      </c>
      <c r="M219" s="14"/>
      <c r="N219" s="14" t="s">
        <v>33</v>
      </c>
      <c r="O219" s="14"/>
      <c r="P219" s="15" t="s">
        <v>120</v>
      </c>
      <c r="Q219" s="16">
        <v>15099</v>
      </c>
      <c r="R219" s="17">
        <v>45.03</v>
      </c>
      <c r="S219" s="18">
        <v>9544.9884999999995</v>
      </c>
      <c r="T219" s="19" t="s">
        <v>36</v>
      </c>
      <c r="U219" s="20" t="s">
        <v>37</v>
      </c>
      <c r="V219" s="21" t="s">
        <v>38</v>
      </c>
      <c r="W219" s="22">
        <v>1</v>
      </c>
      <c r="X219" s="23"/>
    </row>
    <row r="220" spans="1:24" s="1" customFormat="1" ht="21" customHeight="1" x14ac:dyDescent="0.3">
      <c r="A220" s="11" t="s">
        <v>23</v>
      </c>
      <c r="B220" s="11" t="s">
        <v>276</v>
      </c>
      <c r="C220" s="26" t="s">
        <v>368</v>
      </c>
      <c r="D220" s="59"/>
      <c r="E220" s="41" t="str">
        <f>HYPERLINK("https://www.google.ru/search?q=1373362-014&amp;newwindow=1&amp;tbm=isch","Еще фото")</f>
        <v>Еще фото</v>
      </c>
      <c r="F220" s="13"/>
      <c r="G220" s="11" t="s">
        <v>28</v>
      </c>
      <c r="H220" s="11" t="s">
        <v>27</v>
      </c>
      <c r="I220" s="14" t="s">
        <v>28</v>
      </c>
      <c r="J220" s="14" t="s">
        <v>29</v>
      </c>
      <c r="K220" s="15" t="s">
        <v>30</v>
      </c>
      <c r="L220" s="57" t="s">
        <v>369</v>
      </c>
      <c r="M220" s="14" t="s">
        <v>140</v>
      </c>
      <c r="N220" s="14" t="s">
        <v>62</v>
      </c>
      <c r="O220" s="14"/>
      <c r="P220" s="15" t="s">
        <v>47</v>
      </c>
      <c r="Q220" s="16">
        <v>8599</v>
      </c>
      <c r="R220" s="17">
        <v>45.02</v>
      </c>
      <c r="S220" s="18">
        <v>5436.9355000000005</v>
      </c>
      <c r="T220" s="19" t="s">
        <v>36</v>
      </c>
      <c r="U220" s="20" t="s">
        <v>37</v>
      </c>
      <c r="V220" s="21" t="s">
        <v>38</v>
      </c>
      <c r="W220" s="22">
        <v>10</v>
      </c>
      <c r="X220" s="23"/>
    </row>
    <row r="221" spans="1:24" s="1" customFormat="1" ht="21" customHeight="1" x14ac:dyDescent="0.3">
      <c r="A221" s="24" t="s">
        <v>23</v>
      </c>
      <c r="B221" s="24" t="s">
        <v>276</v>
      </c>
      <c r="C221" s="27" t="s">
        <v>368</v>
      </c>
      <c r="D221" s="60"/>
      <c r="E221" s="41" t="str">
        <f>HYPERLINK("https://www.google.ru/search?q=1373362-014&amp;newwindow=1&amp;tbm=isch","Еще фото")</f>
        <v>Еще фото</v>
      </c>
      <c r="F221" s="13"/>
      <c r="G221" s="24" t="s">
        <v>28</v>
      </c>
      <c r="H221" s="24" t="s">
        <v>27</v>
      </c>
      <c r="I221" s="24" t="s">
        <v>28</v>
      </c>
      <c r="J221" s="14" t="s">
        <v>29</v>
      </c>
      <c r="K221" s="15" t="s">
        <v>30</v>
      </c>
      <c r="L221" s="62"/>
      <c r="M221" s="14" t="s">
        <v>140</v>
      </c>
      <c r="N221" s="14" t="s">
        <v>62</v>
      </c>
      <c r="O221" s="14"/>
      <c r="P221" s="15" t="s">
        <v>47</v>
      </c>
      <c r="Q221" s="16">
        <v>8599</v>
      </c>
      <c r="R221" s="17">
        <v>45.02</v>
      </c>
      <c r="S221" s="18">
        <v>5436.9355000000005</v>
      </c>
      <c r="T221" s="19" t="s">
        <v>36</v>
      </c>
      <c r="U221" s="20" t="s">
        <v>39</v>
      </c>
      <c r="V221" s="21" t="s">
        <v>40</v>
      </c>
      <c r="W221" s="22">
        <v>17</v>
      </c>
      <c r="X221" s="23"/>
    </row>
    <row r="222" spans="1:24" s="1" customFormat="1" ht="21" customHeight="1" x14ac:dyDescent="0.3">
      <c r="A222" s="24" t="s">
        <v>23</v>
      </c>
      <c r="B222" s="24" t="s">
        <v>276</v>
      </c>
      <c r="C222" s="27" t="s">
        <v>368</v>
      </c>
      <c r="D222" s="60"/>
      <c r="E222" s="41" t="str">
        <f>HYPERLINK("https://www.google.ru/search?q=1373362-014&amp;newwindow=1&amp;tbm=isch","Еще фото")</f>
        <v>Еще фото</v>
      </c>
      <c r="F222" s="13"/>
      <c r="G222" s="24" t="s">
        <v>28</v>
      </c>
      <c r="H222" s="24" t="s">
        <v>27</v>
      </c>
      <c r="I222" s="24" t="s">
        <v>28</v>
      </c>
      <c r="J222" s="14" t="s">
        <v>29</v>
      </c>
      <c r="K222" s="15" t="s">
        <v>30</v>
      </c>
      <c r="L222" s="62"/>
      <c r="M222" s="14" t="s">
        <v>140</v>
      </c>
      <c r="N222" s="14" t="s">
        <v>62</v>
      </c>
      <c r="O222" s="14"/>
      <c r="P222" s="15" t="s">
        <v>47</v>
      </c>
      <c r="Q222" s="16">
        <v>8599</v>
      </c>
      <c r="R222" s="17">
        <v>45.02</v>
      </c>
      <c r="S222" s="18">
        <v>5436.9355000000005</v>
      </c>
      <c r="T222" s="19" t="s">
        <v>36</v>
      </c>
      <c r="U222" s="20" t="s">
        <v>86</v>
      </c>
      <c r="V222" s="21" t="s">
        <v>87</v>
      </c>
      <c r="W222" s="22">
        <v>17</v>
      </c>
      <c r="X222" s="23"/>
    </row>
    <row r="223" spans="1:24" s="1" customFormat="1" ht="21" customHeight="1" x14ac:dyDescent="0.3">
      <c r="A223" s="24" t="s">
        <v>23</v>
      </c>
      <c r="B223" s="24" t="s">
        <v>276</v>
      </c>
      <c r="C223" s="27" t="s">
        <v>368</v>
      </c>
      <c r="D223" s="60"/>
      <c r="E223" s="41" t="str">
        <f>HYPERLINK("https://www.google.ru/search?q=1373362-014&amp;newwindow=1&amp;tbm=isch","Еще фото")</f>
        <v>Еще фото</v>
      </c>
      <c r="F223" s="13"/>
      <c r="G223" s="24" t="s">
        <v>28</v>
      </c>
      <c r="H223" s="24" t="s">
        <v>27</v>
      </c>
      <c r="I223" s="24" t="s">
        <v>28</v>
      </c>
      <c r="J223" s="14" t="s">
        <v>29</v>
      </c>
      <c r="K223" s="15" t="s">
        <v>30</v>
      </c>
      <c r="L223" s="62"/>
      <c r="M223" s="14" t="s">
        <v>140</v>
      </c>
      <c r="N223" s="14" t="s">
        <v>62</v>
      </c>
      <c r="O223" s="14"/>
      <c r="P223" s="15" t="s">
        <v>47</v>
      </c>
      <c r="Q223" s="16">
        <v>8599</v>
      </c>
      <c r="R223" s="17">
        <v>45.02</v>
      </c>
      <c r="S223" s="18">
        <v>5436.9355000000005</v>
      </c>
      <c r="T223" s="19" t="s">
        <v>36</v>
      </c>
      <c r="U223" s="20" t="s">
        <v>88</v>
      </c>
      <c r="V223" s="21" t="s">
        <v>89</v>
      </c>
      <c r="W223" s="22">
        <v>13</v>
      </c>
      <c r="X223" s="23"/>
    </row>
    <row r="224" spans="1:24" s="1" customFormat="1" ht="32" customHeight="1" x14ac:dyDescent="0.3">
      <c r="A224" s="24" t="s">
        <v>23</v>
      </c>
      <c r="B224" s="24" t="s">
        <v>276</v>
      </c>
      <c r="C224" s="27" t="s">
        <v>368</v>
      </c>
      <c r="D224" s="61"/>
      <c r="E224" s="41" t="str">
        <f>HYPERLINK("https://www.google.ru/search?q=1373362-014&amp;newwindow=1&amp;tbm=isch","Еще фото")</f>
        <v>Еще фото</v>
      </c>
      <c r="F224" s="13"/>
      <c r="G224" s="24" t="s">
        <v>28</v>
      </c>
      <c r="H224" s="24" t="s">
        <v>27</v>
      </c>
      <c r="I224" s="24" t="s">
        <v>28</v>
      </c>
      <c r="J224" s="14" t="s">
        <v>29</v>
      </c>
      <c r="K224" s="15" t="s">
        <v>30</v>
      </c>
      <c r="L224" s="58"/>
      <c r="M224" s="14" t="s">
        <v>140</v>
      </c>
      <c r="N224" s="14" t="s">
        <v>62</v>
      </c>
      <c r="O224" s="14"/>
      <c r="P224" s="15" t="s">
        <v>47</v>
      </c>
      <c r="Q224" s="16">
        <v>8599</v>
      </c>
      <c r="R224" s="17">
        <v>45.02</v>
      </c>
      <c r="S224" s="18">
        <v>5436.9355000000005</v>
      </c>
      <c r="T224" s="19" t="s">
        <v>36</v>
      </c>
      <c r="U224" s="20" t="s">
        <v>90</v>
      </c>
      <c r="V224" s="21" t="s">
        <v>91</v>
      </c>
      <c r="W224" s="22">
        <v>5</v>
      </c>
      <c r="X224" s="23"/>
    </row>
    <row r="225" spans="1:24" s="1" customFormat="1" ht="52.05" customHeight="1" x14ac:dyDescent="0.3">
      <c r="A225" s="11" t="s">
        <v>23</v>
      </c>
      <c r="B225" s="11" t="s">
        <v>370</v>
      </c>
      <c r="C225" s="12" t="s">
        <v>371</v>
      </c>
      <c r="D225" s="55"/>
      <c r="E225" s="41" t="str">
        <f>HYPERLINK("https://www.google.ru/search?q=1290261-001&amp;newwindow=1&amp;tbm=isch","Еще фото")</f>
        <v>Еще фото</v>
      </c>
      <c r="F225" s="13" t="s">
        <v>152</v>
      </c>
      <c r="G225" s="11" t="s">
        <v>28</v>
      </c>
      <c r="H225" s="11" t="s">
        <v>27</v>
      </c>
      <c r="I225" s="14" t="s">
        <v>28</v>
      </c>
      <c r="J225" s="14" t="s">
        <v>29</v>
      </c>
      <c r="K225" s="15" t="s">
        <v>30</v>
      </c>
      <c r="L225" s="57" t="s">
        <v>114</v>
      </c>
      <c r="M225" s="14" t="s">
        <v>45</v>
      </c>
      <c r="N225" s="14" t="s">
        <v>33</v>
      </c>
      <c r="O225" s="14" t="s">
        <v>34</v>
      </c>
      <c r="P225" s="15" t="s">
        <v>47</v>
      </c>
      <c r="Q225" s="16">
        <v>5799</v>
      </c>
      <c r="R225" s="17">
        <v>40</v>
      </c>
      <c r="S225" s="18">
        <v>4001.31</v>
      </c>
      <c r="T225" s="19" t="s">
        <v>36</v>
      </c>
      <c r="U225" s="20" t="s">
        <v>37</v>
      </c>
      <c r="V225" s="21" t="s">
        <v>38</v>
      </c>
      <c r="W225" s="22">
        <v>68</v>
      </c>
      <c r="X225" s="23"/>
    </row>
    <row r="226" spans="1:24" s="1" customFormat="1" ht="61.05" customHeight="1" x14ac:dyDescent="0.3">
      <c r="A226" s="24" t="s">
        <v>23</v>
      </c>
      <c r="B226" s="24" t="s">
        <v>370</v>
      </c>
      <c r="C226" s="12" t="s">
        <v>371</v>
      </c>
      <c r="D226" s="56"/>
      <c r="E226" s="41" t="str">
        <f>HYPERLINK("https://www.google.ru/search?q=1290261-001&amp;newwindow=1&amp;tbm=isch","Еще фото")</f>
        <v>Еще фото</v>
      </c>
      <c r="F226" s="13" t="s">
        <v>152</v>
      </c>
      <c r="G226" s="24" t="s">
        <v>28</v>
      </c>
      <c r="H226" s="24" t="s">
        <v>27</v>
      </c>
      <c r="I226" s="24" t="s">
        <v>28</v>
      </c>
      <c r="J226" s="14" t="s">
        <v>29</v>
      </c>
      <c r="K226" s="15" t="s">
        <v>30</v>
      </c>
      <c r="L226" s="58"/>
      <c r="M226" s="14" t="s">
        <v>45</v>
      </c>
      <c r="N226" s="14" t="s">
        <v>33</v>
      </c>
      <c r="O226" s="14" t="s">
        <v>34</v>
      </c>
      <c r="P226" s="15" t="s">
        <v>47</v>
      </c>
      <c r="Q226" s="16">
        <v>5799</v>
      </c>
      <c r="R226" s="17">
        <v>40</v>
      </c>
      <c r="S226" s="18">
        <v>4001.31</v>
      </c>
      <c r="T226" s="19" t="s">
        <v>36</v>
      </c>
      <c r="U226" s="20" t="s">
        <v>39</v>
      </c>
      <c r="V226" s="21" t="s">
        <v>40</v>
      </c>
      <c r="W226" s="22">
        <v>2</v>
      </c>
      <c r="X226" s="23"/>
    </row>
    <row r="227" spans="1:24" s="1" customFormat="1" ht="35" customHeight="1" x14ac:dyDescent="0.3">
      <c r="A227" s="11" t="s">
        <v>23</v>
      </c>
      <c r="B227" s="11" t="s">
        <v>112</v>
      </c>
      <c r="C227" s="12" t="s">
        <v>372</v>
      </c>
      <c r="D227" s="59"/>
      <c r="E227" s="41" t="str">
        <f>HYPERLINK("https://www.google.ru/search?q=1290261-011&amp;newwindow=1&amp;tbm=isch","Еще фото")</f>
        <v>Еще фото</v>
      </c>
      <c r="F227" s="28" t="s">
        <v>138</v>
      </c>
      <c r="G227" s="11" t="s">
        <v>28</v>
      </c>
      <c r="H227" s="11" t="s">
        <v>27</v>
      </c>
      <c r="I227" s="14" t="s">
        <v>28</v>
      </c>
      <c r="J227" s="14" t="s">
        <v>29</v>
      </c>
      <c r="K227" s="15" t="s">
        <v>30</v>
      </c>
      <c r="L227" s="57" t="s">
        <v>373</v>
      </c>
      <c r="M227" s="14"/>
      <c r="N227" s="14" t="s">
        <v>374</v>
      </c>
      <c r="O227" s="14"/>
      <c r="P227" s="15" t="s">
        <v>47</v>
      </c>
      <c r="Q227" s="16">
        <v>8399</v>
      </c>
      <c r="R227" s="17">
        <v>40</v>
      </c>
      <c r="S227" s="18">
        <v>5795.3099999999995</v>
      </c>
      <c r="T227" s="19" t="s">
        <v>36</v>
      </c>
      <c r="U227" s="20" t="s">
        <v>37</v>
      </c>
      <c r="V227" s="21" t="s">
        <v>38</v>
      </c>
      <c r="W227" s="22">
        <v>10</v>
      </c>
      <c r="X227" s="23"/>
    </row>
    <row r="228" spans="1:24" s="1" customFormat="1" ht="35" customHeight="1" x14ac:dyDescent="0.3">
      <c r="A228" s="24" t="s">
        <v>23</v>
      </c>
      <c r="B228" s="24" t="s">
        <v>112</v>
      </c>
      <c r="C228" s="12" t="s">
        <v>372</v>
      </c>
      <c r="D228" s="60"/>
      <c r="E228" s="41" t="str">
        <f>HYPERLINK("https://www.google.ru/search?q=1290261-011&amp;newwindow=1&amp;tbm=isch","Еще фото")</f>
        <v>Еще фото</v>
      </c>
      <c r="F228" s="28" t="s">
        <v>138</v>
      </c>
      <c r="G228" s="24" t="s">
        <v>28</v>
      </c>
      <c r="H228" s="24" t="s">
        <v>27</v>
      </c>
      <c r="I228" s="24" t="s">
        <v>28</v>
      </c>
      <c r="J228" s="14" t="s">
        <v>29</v>
      </c>
      <c r="K228" s="15" t="s">
        <v>30</v>
      </c>
      <c r="L228" s="62"/>
      <c r="M228" s="14"/>
      <c r="N228" s="14" t="s">
        <v>374</v>
      </c>
      <c r="O228" s="14"/>
      <c r="P228" s="15" t="s">
        <v>47</v>
      </c>
      <c r="Q228" s="16">
        <v>8399</v>
      </c>
      <c r="R228" s="17">
        <v>40</v>
      </c>
      <c r="S228" s="18">
        <v>5795.3099999999995</v>
      </c>
      <c r="T228" s="19" t="s">
        <v>36</v>
      </c>
      <c r="U228" s="20" t="s">
        <v>39</v>
      </c>
      <c r="V228" s="21" t="s">
        <v>40</v>
      </c>
      <c r="W228" s="22">
        <v>4</v>
      </c>
      <c r="X228" s="23"/>
    </row>
    <row r="229" spans="1:24" s="1" customFormat="1" ht="37.049999999999997" customHeight="1" x14ac:dyDescent="0.3">
      <c r="A229" s="24" t="s">
        <v>23</v>
      </c>
      <c r="B229" s="24" t="s">
        <v>112</v>
      </c>
      <c r="C229" s="12" t="s">
        <v>372</v>
      </c>
      <c r="D229" s="61"/>
      <c r="E229" s="41" t="str">
        <f>HYPERLINK("https://www.google.ru/search?q=1290261-011&amp;newwindow=1&amp;tbm=isch","Еще фото")</f>
        <v>Еще фото</v>
      </c>
      <c r="F229" s="28" t="s">
        <v>138</v>
      </c>
      <c r="G229" s="24" t="s">
        <v>28</v>
      </c>
      <c r="H229" s="24" t="s">
        <v>27</v>
      </c>
      <c r="I229" s="24" t="s">
        <v>28</v>
      </c>
      <c r="J229" s="14" t="s">
        <v>29</v>
      </c>
      <c r="K229" s="15" t="s">
        <v>30</v>
      </c>
      <c r="L229" s="58"/>
      <c r="M229" s="14"/>
      <c r="N229" s="14" t="s">
        <v>374</v>
      </c>
      <c r="O229" s="14"/>
      <c r="P229" s="15" t="s">
        <v>47</v>
      </c>
      <c r="Q229" s="16">
        <v>8399</v>
      </c>
      <c r="R229" s="17">
        <v>40</v>
      </c>
      <c r="S229" s="18">
        <v>5795.3099999999995</v>
      </c>
      <c r="T229" s="19" t="s">
        <v>36</v>
      </c>
      <c r="U229" s="20" t="s">
        <v>90</v>
      </c>
      <c r="V229" s="21" t="s">
        <v>91</v>
      </c>
      <c r="W229" s="22">
        <v>1</v>
      </c>
      <c r="X229" s="23"/>
    </row>
    <row r="230" spans="1:24" s="1" customFormat="1" ht="21" customHeight="1" x14ac:dyDescent="0.3">
      <c r="A230" s="11" t="s">
        <v>23</v>
      </c>
      <c r="B230" s="11" t="s">
        <v>370</v>
      </c>
      <c r="C230" s="26" t="s">
        <v>375</v>
      </c>
      <c r="D230" s="59"/>
      <c r="E230" s="41" t="str">
        <f>HYPERLINK("https://www.google.ru/search?q=1290261-090&amp;newwindow=1&amp;tbm=isch","Еще фото")</f>
        <v>Еще фото</v>
      </c>
      <c r="F230" s="13" t="s">
        <v>152</v>
      </c>
      <c r="G230" s="11" t="s">
        <v>28</v>
      </c>
      <c r="H230" s="11" t="s">
        <v>27</v>
      </c>
      <c r="I230" s="14" t="s">
        <v>28</v>
      </c>
      <c r="J230" s="14" t="s">
        <v>29</v>
      </c>
      <c r="K230" s="15" t="s">
        <v>30</v>
      </c>
      <c r="L230" s="57" t="s">
        <v>376</v>
      </c>
      <c r="M230" s="14" t="s">
        <v>45</v>
      </c>
      <c r="N230" s="14" t="s">
        <v>62</v>
      </c>
      <c r="O230" s="14" t="s">
        <v>34</v>
      </c>
      <c r="P230" s="15" t="s">
        <v>47</v>
      </c>
      <c r="Q230" s="16">
        <v>5799</v>
      </c>
      <c r="R230" s="17">
        <v>40</v>
      </c>
      <c r="S230" s="18">
        <v>4001.31</v>
      </c>
      <c r="T230" s="19" t="s">
        <v>36</v>
      </c>
      <c r="U230" s="20" t="s">
        <v>37</v>
      </c>
      <c r="V230" s="21" t="s">
        <v>38</v>
      </c>
      <c r="W230" s="22">
        <v>67</v>
      </c>
      <c r="X230" s="23"/>
    </row>
    <row r="231" spans="1:24" s="1" customFormat="1" ht="21" customHeight="1" x14ac:dyDescent="0.3">
      <c r="A231" s="24" t="s">
        <v>23</v>
      </c>
      <c r="B231" s="24" t="s">
        <v>370</v>
      </c>
      <c r="C231" s="27" t="s">
        <v>375</v>
      </c>
      <c r="D231" s="60"/>
      <c r="E231" s="41" t="str">
        <f>HYPERLINK("https://www.google.ru/search?q=1290261-090&amp;newwindow=1&amp;tbm=isch","Еще фото")</f>
        <v>Еще фото</v>
      </c>
      <c r="F231" s="13" t="s">
        <v>152</v>
      </c>
      <c r="G231" s="24" t="s">
        <v>28</v>
      </c>
      <c r="H231" s="24" t="s">
        <v>27</v>
      </c>
      <c r="I231" s="24" t="s">
        <v>28</v>
      </c>
      <c r="J231" s="14" t="s">
        <v>29</v>
      </c>
      <c r="K231" s="15" t="s">
        <v>30</v>
      </c>
      <c r="L231" s="62"/>
      <c r="M231" s="14" t="s">
        <v>45</v>
      </c>
      <c r="N231" s="14" t="s">
        <v>62</v>
      </c>
      <c r="O231" s="14" t="s">
        <v>34</v>
      </c>
      <c r="P231" s="15" t="s">
        <v>47</v>
      </c>
      <c r="Q231" s="16">
        <v>5799</v>
      </c>
      <c r="R231" s="17">
        <v>40</v>
      </c>
      <c r="S231" s="18">
        <v>4001.31</v>
      </c>
      <c r="T231" s="19" t="s">
        <v>36</v>
      </c>
      <c r="U231" s="20" t="s">
        <v>39</v>
      </c>
      <c r="V231" s="21" t="s">
        <v>40</v>
      </c>
      <c r="W231" s="22">
        <v>96</v>
      </c>
      <c r="X231" s="23"/>
    </row>
    <row r="232" spans="1:24" s="1" customFormat="1" ht="21" customHeight="1" x14ac:dyDescent="0.3">
      <c r="A232" s="24" t="s">
        <v>23</v>
      </c>
      <c r="B232" s="24" t="s">
        <v>370</v>
      </c>
      <c r="C232" s="27" t="s">
        <v>375</v>
      </c>
      <c r="D232" s="60"/>
      <c r="E232" s="41" t="str">
        <f>HYPERLINK("https://www.google.ru/search?q=1290261-090&amp;newwindow=1&amp;tbm=isch","Еще фото")</f>
        <v>Еще фото</v>
      </c>
      <c r="F232" s="13" t="s">
        <v>152</v>
      </c>
      <c r="G232" s="24" t="s">
        <v>28</v>
      </c>
      <c r="H232" s="24" t="s">
        <v>27</v>
      </c>
      <c r="I232" s="24" t="s">
        <v>28</v>
      </c>
      <c r="J232" s="14" t="s">
        <v>29</v>
      </c>
      <c r="K232" s="15" t="s">
        <v>30</v>
      </c>
      <c r="L232" s="62"/>
      <c r="M232" s="14" t="s">
        <v>45</v>
      </c>
      <c r="N232" s="14" t="s">
        <v>62</v>
      </c>
      <c r="O232" s="14" t="s">
        <v>34</v>
      </c>
      <c r="P232" s="15" t="s">
        <v>47</v>
      </c>
      <c r="Q232" s="16">
        <v>5799</v>
      </c>
      <c r="R232" s="17">
        <v>40</v>
      </c>
      <c r="S232" s="18">
        <v>4001.31</v>
      </c>
      <c r="T232" s="19" t="s">
        <v>36</v>
      </c>
      <c r="U232" s="20" t="s">
        <v>86</v>
      </c>
      <c r="V232" s="21" t="s">
        <v>87</v>
      </c>
      <c r="W232" s="22">
        <v>50</v>
      </c>
      <c r="X232" s="23"/>
    </row>
    <row r="233" spans="1:24" s="1" customFormat="1" ht="21" customHeight="1" x14ac:dyDescent="0.3">
      <c r="A233" s="24" t="s">
        <v>23</v>
      </c>
      <c r="B233" s="24" t="s">
        <v>370</v>
      </c>
      <c r="C233" s="27" t="s">
        <v>375</v>
      </c>
      <c r="D233" s="60"/>
      <c r="E233" s="41" t="str">
        <f>HYPERLINK("https://www.google.ru/search?q=1290261-090&amp;newwindow=1&amp;tbm=isch","Еще фото")</f>
        <v>Еще фото</v>
      </c>
      <c r="F233" s="13" t="s">
        <v>152</v>
      </c>
      <c r="G233" s="24" t="s">
        <v>28</v>
      </c>
      <c r="H233" s="24" t="s">
        <v>27</v>
      </c>
      <c r="I233" s="24" t="s">
        <v>28</v>
      </c>
      <c r="J233" s="14" t="s">
        <v>29</v>
      </c>
      <c r="K233" s="15" t="s">
        <v>30</v>
      </c>
      <c r="L233" s="62"/>
      <c r="M233" s="14" t="s">
        <v>45</v>
      </c>
      <c r="N233" s="14" t="s">
        <v>62</v>
      </c>
      <c r="O233" s="14" t="s">
        <v>34</v>
      </c>
      <c r="P233" s="15" t="s">
        <v>47</v>
      </c>
      <c r="Q233" s="16">
        <v>5799</v>
      </c>
      <c r="R233" s="17">
        <v>40</v>
      </c>
      <c r="S233" s="18">
        <v>4001.31</v>
      </c>
      <c r="T233" s="19" t="s">
        <v>36</v>
      </c>
      <c r="U233" s="20" t="s">
        <v>88</v>
      </c>
      <c r="V233" s="21" t="s">
        <v>89</v>
      </c>
      <c r="W233" s="22">
        <v>21</v>
      </c>
      <c r="X233" s="23"/>
    </row>
    <row r="234" spans="1:24" s="1" customFormat="1" ht="32" customHeight="1" x14ac:dyDescent="0.3">
      <c r="A234" s="24" t="s">
        <v>23</v>
      </c>
      <c r="B234" s="24" t="s">
        <v>370</v>
      </c>
      <c r="C234" s="27" t="s">
        <v>375</v>
      </c>
      <c r="D234" s="61"/>
      <c r="E234" s="41" t="str">
        <f>HYPERLINK("https://www.google.ru/search?q=1290261-090&amp;newwindow=1&amp;tbm=isch","Еще фото")</f>
        <v>Еще фото</v>
      </c>
      <c r="F234" s="13" t="s">
        <v>152</v>
      </c>
      <c r="G234" s="24" t="s">
        <v>28</v>
      </c>
      <c r="H234" s="24" t="s">
        <v>27</v>
      </c>
      <c r="I234" s="24" t="s">
        <v>28</v>
      </c>
      <c r="J234" s="14" t="s">
        <v>29</v>
      </c>
      <c r="K234" s="15" t="s">
        <v>30</v>
      </c>
      <c r="L234" s="58"/>
      <c r="M234" s="14" t="s">
        <v>45</v>
      </c>
      <c r="N234" s="14" t="s">
        <v>62</v>
      </c>
      <c r="O234" s="14" t="s">
        <v>34</v>
      </c>
      <c r="P234" s="15" t="s">
        <v>47</v>
      </c>
      <c r="Q234" s="16">
        <v>5799</v>
      </c>
      <c r="R234" s="17">
        <v>40</v>
      </c>
      <c r="S234" s="18">
        <v>4001.31</v>
      </c>
      <c r="T234" s="19" t="s">
        <v>36</v>
      </c>
      <c r="U234" s="20" t="s">
        <v>90</v>
      </c>
      <c r="V234" s="21" t="s">
        <v>91</v>
      </c>
      <c r="W234" s="22">
        <v>9</v>
      </c>
      <c r="X234" s="23"/>
    </row>
    <row r="235" spans="1:24" s="1" customFormat="1" ht="17" customHeight="1" x14ac:dyDescent="0.3">
      <c r="A235" s="11" t="s">
        <v>23</v>
      </c>
      <c r="B235" s="11" t="s">
        <v>112</v>
      </c>
      <c r="C235" s="12" t="s">
        <v>377</v>
      </c>
      <c r="D235" s="59"/>
      <c r="E235" s="41" t="str">
        <f t="shared" ref="E235:E240" si="5">HYPERLINK("https://www.google.ru/search?q=1290261-390&amp;newwindow=1&amp;tbm=isch","Еще фото")</f>
        <v>Еще фото</v>
      </c>
      <c r="F235" s="13" t="s">
        <v>152</v>
      </c>
      <c r="G235" s="11" t="s">
        <v>28</v>
      </c>
      <c r="H235" s="11" t="s">
        <v>27</v>
      </c>
      <c r="I235" s="14" t="s">
        <v>28</v>
      </c>
      <c r="J235" s="14" t="s">
        <v>29</v>
      </c>
      <c r="K235" s="15" t="s">
        <v>30</v>
      </c>
      <c r="L235" s="57" t="s">
        <v>114</v>
      </c>
      <c r="M235" s="14" t="s">
        <v>45</v>
      </c>
      <c r="N235" s="14" t="s">
        <v>127</v>
      </c>
      <c r="O235" s="14" t="s">
        <v>34</v>
      </c>
      <c r="P235" s="15" t="s">
        <v>47</v>
      </c>
      <c r="Q235" s="16">
        <v>5799</v>
      </c>
      <c r="R235" s="17">
        <v>40</v>
      </c>
      <c r="S235" s="18">
        <v>4001.31</v>
      </c>
      <c r="T235" s="19" t="s">
        <v>36</v>
      </c>
      <c r="U235" s="20" t="s">
        <v>37</v>
      </c>
      <c r="V235" s="21" t="s">
        <v>38</v>
      </c>
      <c r="W235" s="22">
        <v>6</v>
      </c>
      <c r="X235" s="23"/>
    </row>
    <row r="236" spans="1:24" s="1" customFormat="1" ht="17" customHeight="1" x14ac:dyDescent="0.3">
      <c r="A236" s="24" t="s">
        <v>23</v>
      </c>
      <c r="B236" s="24" t="s">
        <v>112</v>
      </c>
      <c r="C236" s="12" t="s">
        <v>377</v>
      </c>
      <c r="D236" s="60"/>
      <c r="E236" s="41" t="str">
        <f t="shared" si="5"/>
        <v>Еще фото</v>
      </c>
      <c r="F236" s="13" t="s">
        <v>152</v>
      </c>
      <c r="G236" s="24" t="s">
        <v>28</v>
      </c>
      <c r="H236" s="24" t="s">
        <v>27</v>
      </c>
      <c r="I236" s="24" t="s">
        <v>28</v>
      </c>
      <c r="J236" s="14" t="s">
        <v>29</v>
      </c>
      <c r="K236" s="15" t="s">
        <v>30</v>
      </c>
      <c r="L236" s="62"/>
      <c r="M236" s="14" t="s">
        <v>45</v>
      </c>
      <c r="N236" s="14" t="s">
        <v>127</v>
      </c>
      <c r="O236" s="14" t="s">
        <v>34</v>
      </c>
      <c r="P236" s="15" t="s">
        <v>47</v>
      </c>
      <c r="Q236" s="16">
        <v>5799</v>
      </c>
      <c r="R236" s="17">
        <v>40</v>
      </c>
      <c r="S236" s="18">
        <v>4001.31</v>
      </c>
      <c r="T236" s="19" t="s">
        <v>36</v>
      </c>
      <c r="U236" s="20" t="s">
        <v>39</v>
      </c>
      <c r="V236" s="21" t="s">
        <v>40</v>
      </c>
      <c r="W236" s="22">
        <v>18</v>
      </c>
      <c r="X236" s="23"/>
    </row>
    <row r="237" spans="1:24" s="1" customFormat="1" ht="17" customHeight="1" x14ac:dyDescent="0.3">
      <c r="A237" s="24" t="s">
        <v>23</v>
      </c>
      <c r="B237" s="24" t="s">
        <v>112</v>
      </c>
      <c r="C237" s="12" t="s">
        <v>377</v>
      </c>
      <c r="D237" s="60"/>
      <c r="E237" s="41" t="str">
        <f t="shared" si="5"/>
        <v>Еще фото</v>
      </c>
      <c r="F237" s="13" t="s">
        <v>152</v>
      </c>
      <c r="G237" s="24" t="s">
        <v>28</v>
      </c>
      <c r="H237" s="24" t="s">
        <v>27</v>
      </c>
      <c r="I237" s="24" t="s">
        <v>28</v>
      </c>
      <c r="J237" s="14" t="s">
        <v>29</v>
      </c>
      <c r="K237" s="15" t="s">
        <v>30</v>
      </c>
      <c r="L237" s="62"/>
      <c r="M237" s="14" t="s">
        <v>45</v>
      </c>
      <c r="N237" s="14" t="s">
        <v>127</v>
      </c>
      <c r="O237" s="14" t="s">
        <v>34</v>
      </c>
      <c r="P237" s="15" t="s">
        <v>47</v>
      </c>
      <c r="Q237" s="16">
        <v>5799</v>
      </c>
      <c r="R237" s="17">
        <v>40</v>
      </c>
      <c r="S237" s="18">
        <v>4001.31</v>
      </c>
      <c r="T237" s="19" t="s">
        <v>36</v>
      </c>
      <c r="U237" s="20" t="s">
        <v>86</v>
      </c>
      <c r="V237" s="21" t="s">
        <v>87</v>
      </c>
      <c r="W237" s="22">
        <v>15</v>
      </c>
      <c r="X237" s="23"/>
    </row>
    <row r="238" spans="1:24" s="1" customFormat="1" ht="17" customHeight="1" x14ac:dyDescent="0.3">
      <c r="A238" s="24" t="s">
        <v>23</v>
      </c>
      <c r="B238" s="24" t="s">
        <v>112</v>
      </c>
      <c r="C238" s="12" t="s">
        <v>377</v>
      </c>
      <c r="D238" s="60"/>
      <c r="E238" s="41" t="str">
        <f t="shared" si="5"/>
        <v>Еще фото</v>
      </c>
      <c r="F238" s="13" t="s">
        <v>152</v>
      </c>
      <c r="G238" s="24" t="s">
        <v>28</v>
      </c>
      <c r="H238" s="24" t="s">
        <v>27</v>
      </c>
      <c r="I238" s="24" t="s">
        <v>28</v>
      </c>
      <c r="J238" s="14" t="s">
        <v>29</v>
      </c>
      <c r="K238" s="15" t="s">
        <v>30</v>
      </c>
      <c r="L238" s="62"/>
      <c r="M238" s="14" t="s">
        <v>45</v>
      </c>
      <c r="N238" s="14" t="s">
        <v>127</v>
      </c>
      <c r="O238" s="14" t="s">
        <v>34</v>
      </c>
      <c r="P238" s="15" t="s">
        <v>47</v>
      </c>
      <c r="Q238" s="16">
        <v>5799</v>
      </c>
      <c r="R238" s="17">
        <v>40</v>
      </c>
      <c r="S238" s="18">
        <v>4001.31</v>
      </c>
      <c r="T238" s="19" t="s">
        <v>36</v>
      </c>
      <c r="U238" s="20" t="s">
        <v>88</v>
      </c>
      <c r="V238" s="21" t="s">
        <v>89</v>
      </c>
      <c r="W238" s="22">
        <v>13</v>
      </c>
      <c r="X238" s="23"/>
    </row>
    <row r="239" spans="1:24" s="1" customFormat="1" ht="17" customHeight="1" x14ac:dyDescent="0.3">
      <c r="A239" s="24" t="s">
        <v>23</v>
      </c>
      <c r="B239" s="24" t="s">
        <v>112</v>
      </c>
      <c r="C239" s="12" t="s">
        <v>377</v>
      </c>
      <c r="D239" s="60"/>
      <c r="E239" s="41" t="str">
        <f t="shared" si="5"/>
        <v>Еще фото</v>
      </c>
      <c r="F239" s="13" t="s">
        <v>152</v>
      </c>
      <c r="G239" s="24" t="s">
        <v>28</v>
      </c>
      <c r="H239" s="24" t="s">
        <v>27</v>
      </c>
      <c r="I239" s="24" t="s">
        <v>28</v>
      </c>
      <c r="J239" s="14" t="s">
        <v>29</v>
      </c>
      <c r="K239" s="15" t="s">
        <v>30</v>
      </c>
      <c r="L239" s="62"/>
      <c r="M239" s="14" t="s">
        <v>45</v>
      </c>
      <c r="N239" s="14" t="s">
        <v>127</v>
      </c>
      <c r="O239" s="14" t="s">
        <v>34</v>
      </c>
      <c r="P239" s="15" t="s">
        <v>47</v>
      </c>
      <c r="Q239" s="16">
        <v>5799</v>
      </c>
      <c r="R239" s="17">
        <v>40</v>
      </c>
      <c r="S239" s="18">
        <v>4001.31</v>
      </c>
      <c r="T239" s="19" t="s">
        <v>36</v>
      </c>
      <c r="U239" s="20" t="s">
        <v>90</v>
      </c>
      <c r="V239" s="21" t="s">
        <v>91</v>
      </c>
      <c r="W239" s="22">
        <v>9</v>
      </c>
      <c r="X239" s="23"/>
    </row>
    <row r="240" spans="1:24" s="1" customFormat="1" ht="22.05" customHeight="1" x14ac:dyDescent="0.3">
      <c r="A240" s="24" t="s">
        <v>23</v>
      </c>
      <c r="B240" s="24" t="s">
        <v>112</v>
      </c>
      <c r="C240" s="12" t="s">
        <v>377</v>
      </c>
      <c r="D240" s="61"/>
      <c r="E240" s="41" t="str">
        <f t="shared" si="5"/>
        <v>Еще фото</v>
      </c>
      <c r="F240" s="13" t="s">
        <v>152</v>
      </c>
      <c r="G240" s="24" t="s">
        <v>28</v>
      </c>
      <c r="H240" s="24" t="s">
        <v>27</v>
      </c>
      <c r="I240" s="24" t="s">
        <v>28</v>
      </c>
      <c r="J240" s="14" t="s">
        <v>29</v>
      </c>
      <c r="K240" s="15" t="s">
        <v>30</v>
      </c>
      <c r="L240" s="58"/>
      <c r="M240" s="14" t="s">
        <v>45</v>
      </c>
      <c r="N240" s="14" t="s">
        <v>127</v>
      </c>
      <c r="O240" s="14" t="s">
        <v>34</v>
      </c>
      <c r="P240" s="15" t="s">
        <v>47</v>
      </c>
      <c r="Q240" s="16">
        <v>5799</v>
      </c>
      <c r="R240" s="17">
        <v>40</v>
      </c>
      <c r="S240" s="18">
        <v>4001.31</v>
      </c>
      <c r="T240" s="19" t="s">
        <v>36</v>
      </c>
      <c r="U240" s="20" t="s">
        <v>378</v>
      </c>
      <c r="V240" s="21" t="s">
        <v>379</v>
      </c>
      <c r="W240" s="22">
        <v>1</v>
      </c>
      <c r="X240" s="23"/>
    </row>
    <row r="241" spans="1:24" s="1" customFormat="1" ht="52.05" customHeight="1" x14ac:dyDescent="0.3">
      <c r="A241" s="11" t="s">
        <v>23</v>
      </c>
      <c r="B241" s="11" t="s">
        <v>380</v>
      </c>
      <c r="C241" s="12" t="s">
        <v>381</v>
      </c>
      <c r="D241" s="55"/>
      <c r="E241" s="41" t="str">
        <f>HYPERLINK("https://www.google.ru/search?q=1290261-690&amp;newwindow=1&amp;tbm=isch","Еще фото")</f>
        <v>Еще фото</v>
      </c>
      <c r="F241" s="13"/>
      <c r="G241" s="11" t="s">
        <v>28</v>
      </c>
      <c r="H241" s="11" t="s">
        <v>27</v>
      </c>
      <c r="I241" s="14" t="s">
        <v>28</v>
      </c>
      <c r="J241" s="14" t="s">
        <v>29</v>
      </c>
      <c r="K241" s="15" t="s">
        <v>30</v>
      </c>
      <c r="L241" s="57" t="s">
        <v>376</v>
      </c>
      <c r="M241" s="14" t="s">
        <v>45</v>
      </c>
      <c r="N241" s="14" t="s">
        <v>382</v>
      </c>
      <c r="O241" s="14" t="s">
        <v>34</v>
      </c>
      <c r="P241" s="15" t="s">
        <v>47</v>
      </c>
      <c r="Q241" s="16">
        <v>8399</v>
      </c>
      <c r="R241" s="17">
        <v>40</v>
      </c>
      <c r="S241" s="18">
        <v>5795.3099999999995</v>
      </c>
      <c r="T241" s="19" t="s">
        <v>36</v>
      </c>
      <c r="U241" s="20" t="s">
        <v>63</v>
      </c>
      <c r="V241" s="21" t="s">
        <v>85</v>
      </c>
      <c r="W241" s="22">
        <v>1</v>
      </c>
      <c r="X241" s="23"/>
    </row>
    <row r="242" spans="1:24" s="1" customFormat="1" ht="61.05" customHeight="1" x14ac:dyDescent="0.3">
      <c r="A242" s="24" t="s">
        <v>23</v>
      </c>
      <c r="B242" s="24" t="s">
        <v>380</v>
      </c>
      <c r="C242" s="12" t="s">
        <v>381</v>
      </c>
      <c r="D242" s="56"/>
      <c r="E242" s="41" t="str">
        <f>HYPERLINK("https://www.google.ru/search?q=1290261-690&amp;newwindow=1&amp;tbm=isch","Еще фото")</f>
        <v>Еще фото</v>
      </c>
      <c r="F242" s="13"/>
      <c r="G242" s="24" t="s">
        <v>28</v>
      </c>
      <c r="H242" s="24" t="s">
        <v>27</v>
      </c>
      <c r="I242" s="24" t="s">
        <v>28</v>
      </c>
      <c r="J242" s="14" t="s">
        <v>29</v>
      </c>
      <c r="K242" s="15" t="s">
        <v>30</v>
      </c>
      <c r="L242" s="58"/>
      <c r="M242" s="14" t="s">
        <v>45</v>
      </c>
      <c r="N242" s="14" t="s">
        <v>382</v>
      </c>
      <c r="O242" s="14" t="s">
        <v>34</v>
      </c>
      <c r="P242" s="15" t="s">
        <v>47</v>
      </c>
      <c r="Q242" s="16">
        <v>8399</v>
      </c>
      <c r="R242" s="17">
        <v>40</v>
      </c>
      <c r="S242" s="18">
        <v>5795.3099999999995</v>
      </c>
      <c r="T242" s="19" t="s">
        <v>36</v>
      </c>
      <c r="U242" s="20" t="s">
        <v>39</v>
      </c>
      <c r="V242" s="21" t="s">
        <v>40</v>
      </c>
      <c r="W242" s="22">
        <v>1</v>
      </c>
      <c r="X242" s="23"/>
    </row>
    <row r="243" spans="1:24" s="1" customFormat="1" ht="52.05" customHeight="1" x14ac:dyDescent="0.3">
      <c r="A243" s="11" t="s">
        <v>23</v>
      </c>
      <c r="B243" s="11" t="s">
        <v>383</v>
      </c>
      <c r="C243" s="12" t="s">
        <v>384</v>
      </c>
      <c r="D243" s="55"/>
      <c r="E243" s="41" t="str">
        <f>HYPERLINK("https://www.google.ru/search?q=1320953-299&amp;newwindow=1&amp;tbm=isch","Еще фото")</f>
        <v>Еще фото</v>
      </c>
      <c r="F243" s="13" t="s">
        <v>103</v>
      </c>
      <c r="G243" s="11" t="s">
        <v>28</v>
      </c>
      <c r="H243" s="11" t="s">
        <v>27</v>
      </c>
      <c r="I243" s="14" t="s">
        <v>28</v>
      </c>
      <c r="J243" s="14" t="s">
        <v>29</v>
      </c>
      <c r="K243" s="15" t="s">
        <v>30</v>
      </c>
      <c r="L243" s="57" t="s">
        <v>385</v>
      </c>
      <c r="M243" s="14" t="s">
        <v>32</v>
      </c>
      <c r="N243" s="14" t="s">
        <v>229</v>
      </c>
      <c r="O243" s="14" t="s">
        <v>34</v>
      </c>
      <c r="P243" s="15" t="s">
        <v>386</v>
      </c>
      <c r="Q243" s="16">
        <v>7499</v>
      </c>
      <c r="R243" s="17">
        <v>40</v>
      </c>
      <c r="S243" s="18">
        <v>5174.3099999999995</v>
      </c>
      <c r="T243" s="19" t="s">
        <v>36</v>
      </c>
      <c r="U243" s="20" t="s">
        <v>37</v>
      </c>
      <c r="V243" s="21" t="s">
        <v>38</v>
      </c>
      <c r="W243" s="22">
        <v>2</v>
      </c>
      <c r="X243" s="23"/>
    </row>
    <row r="244" spans="1:24" s="1" customFormat="1" ht="61.05" customHeight="1" x14ac:dyDescent="0.3">
      <c r="A244" s="24" t="s">
        <v>23</v>
      </c>
      <c r="B244" s="24" t="s">
        <v>383</v>
      </c>
      <c r="C244" s="12" t="s">
        <v>384</v>
      </c>
      <c r="D244" s="56"/>
      <c r="E244" s="41" t="str">
        <f>HYPERLINK("https://www.google.ru/search?q=1320953-299&amp;newwindow=1&amp;tbm=isch","Еще фото")</f>
        <v>Еще фото</v>
      </c>
      <c r="F244" s="13" t="s">
        <v>103</v>
      </c>
      <c r="G244" s="24" t="s">
        <v>28</v>
      </c>
      <c r="H244" s="24" t="s">
        <v>27</v>
      </c>
      <c r="I244" s="24" t="s">
        <v>28</v>
      </c>
      <c r="J244" s="14" t="s">
        <v>29</v>
      </c>
      <c r="K244" s="15" t="s">
        <v>30</v>
      </c>
      <c r="L244" s="58"/>
      <c r="M244" s="14" t="s">
        <v>32</v>
      </c>
      <c r="N244" s="14" t="s">
        <v>229</v>
      </c>
      <c r="O244" s="14" t="s">
        <v>34</v>
      </c>
      <c r="P244" s="15" t="s">
        <v>386</v>
      </c>
      <c r="Q244" s="16">
        <v>7499</v>
      </c>
      <c r="R244" s="17">
        <v>40</v>
      </c>
      <c r="S244" s="18">
        <v>5174.3099999999995</v>
      </c>
      <c r="T244" s="19" t="s">
        <v>36</v>
      </c>
      <c r="U244" s="20" t="s">
        <v>39</v>
      </c>
      <c r="V244" s="21" t="s">
        <v>40</v>
      </c>
      <c r="W244" s="22">
        <v>1</v>
      </c>
      <c r="X244" s="23"/>
    </row>
    <row r="245" spans="1:24" s="1" customFormat="1" ht="108" customHeight="1" x14ac:dyDescent="0.3">
      <c r="A245" s="11" t="s">
        <v>23</v>
      </c>
      <c r="B245" s="11" t="s">
        <v>387</v>
      </c>
      <c r="C245" s="12" t="s">
        <v>388</v>
      </c>
      <c r="D245" s="25"/>
      <c r="E245" s="41" t="str">
        <f>HYPERLINK("https://www.google.ru/search?q=1342718-001&amp;newwindow=1&amp;tbm=isch","Еще фото")</f>
        <v>Еще фото</v>
      </c>
      <c r="F245" s="13" t="s">
        <v>103</v>
      </c>
      <c r="G245" s="11" t="s">
        <v>28</v>
      </c>
      <c r="H245" s="11" t="s">
        <v>27</v>
      </c>
      <c r="I245" s="14" t="s">
        <v>28</v>
      </c>
      <c r="J245" s="14" t="s">
        <v>211</v>
      </c>
      <c r="K245" s="15" t="s">
        <v>30</v>
      </c>
      <c r="L245" s="14" t="s">
        <v>389</v>
      </c>
      <c r="M245" s="14" t="s">
        <v>32</v>
      </c>
      <c r="N245" s="14" t="s">
        <v>33</v>
      </c>
      <c r="O245" s="14"/>
      <c r="P245" s="15" t="s">
        <v>47</v>
      </c>
      <c r="Q245" s="16">
        <v>24999</v>
      </c>
      <c r="R245" s="17">
        <v>40</v>
      </c>
      <c r="S245" s="18">
        <v>17249.309999999998</v>
      </c>
      <c r="T245" s="19" t="s">
        <v>36</v>
      </c>
      <c r="U245" s="20" t="s">
        <v>39</v>
      </c>
      <c r="V245" s="21" t="s">
        <v>40</v>
      </c>
      <c r="W245" s="22">
        <v>1</v>
      </c>
      <c r="X245" s="23"/>
    </row>
    <row r="246" spans="1:24" s="1" customFormat="1" ht="52.05" customHeight="1" x14ac:dyDescent="0.3">
      <c r="A246" s="11" t="s">
        <v>23</v>
      </c>
      <c r="B246" s="11" t="s">
        <v>333</v>
      </c>
      <c r="C246" s="12" t="s">
        <v>390</v>
      </c>
      <c r="D246" s="55"/>
      <c r="E246" s="41" t="str">
        <f>HYPERLINK("https://www.google.ru/search?q=1352028-390&amp;newwindow=1&amp;tbm=isch","Еще фото")</f>
        <v>Еще фото</v>
      </c>
      <c r="F246" s="13" t="s">
        <v>103</v>
      </c>
      <c r="G246" s="11" t="s">
        <v>28</v>
      </c>
      <c r="H246" s="11" t="s">
        <v>27</v>
      </c>
      <c r="I246" s="14" t="s">
        <v>28</v>
      </c>
      <c r="J246" s="14" t="s">
        <v>29</v>
      </c>
      <c r="K246" s="15" t="s">
        <v>30</v>
      </c>
      <c r="L246" s="57" t="s">
        <v>391</v>
      </c>
      <c r="M246" s="14" t="s">
        <v>32</v>
      </c>
      <c r="N246" s="14" t="s">
        <v>127</v>
      </c>
      <c r="O246" s="14"/>
      <c r="P246" s="15" t="s">
        <v>213</v>
      </c>
      <c r="Q246" s="16">
        <v>9999</v>
      </c>
      <c r="R246" s="17">
        <v>40</v>
      </c>
      <c r="S246" s="18">
        <v>6899.3099999999995</v>
      </c>
      <c r="T246" s="19" t="s">
        <v>36</v>
      </c>
      <c r="U246" s="20" t="s">
        <v>86</v>
      </c>
      <c r="V246" s="21" t="s">
        <v>87</v>
      </c>
      <c r="W246" s="22">
        <v>1</v>
      </c>
      <c r="X246" s="23"/>
    </row>
    <row r="247" spans="1:24" s="1" customFormat="1" ht="61.05" customHeight="1" x14ac:dyDescent="0.3">
      <c r="A247" s="24" t="s">
        <v>23</v>
      </c>
      <c r="B247" s="24" t="s">
        <v>333</v>
      </c>
      <c r="C247" s="12" t="s">
        <v>390</v>
      </c>
      <c r="D247" s="56"/>
      <c r="E247" s="41" t="str">
        <f>HYPERLINK("https://www.google.ru/search?q=1352028-390&amp;newwindow=1&amp;tbm=isch","Еще фото")</f>
        <v>Еще фото</v>
      </c>
      <c r="F247" s="13" t="s">
        <v>103</v>
      </c>
      <c r="G247" s="24" t="s">
        <v>28</v>
      </c>
      <c r="H247" s="24" t="s">
        <v>27</v>
      </c>
      <c r="I247" s="24" t="s">
        <v>28</v>
      </c>
      <c r="J247" s="14" t="s">
        <v>29</v>
      </c>
      <c r="K247" s="15" t="s">
        <v>30</v>
      </c>
      <c r="L247" s="58"/>
      <c r="M247" s="14" t="s">
        <v>32</v>
      </c>
      <c r="N247" s="14" t="s">
        <v>127</v>
      </c>
      <c r="O247" s="14"/>
      <c r="P247" s="15" t="s">
        <v>213</v>
      </c>
      <c r="Q247" s="16">
        <v>9999</v>
      </c>
      <c r="R247" s="17">
        <v>40</v>
      </c>
      <c r="S247" s="18">
        <v>6899.3099999999995</v>
      </c>
      <c r="T247" s="19" t="s">
        <v>36</v>
      </c>
      <c r="U247" s="20" t="s">
        <v>143</v>
      </c>
      <c r="V247" s="21" t="s">
        <v>144</v>
      </c>
      <c r="W247" s="22">
        <v>1</v>
      </c>
      <c r="X247" s="23"/>
    </row>
    <row r="248" spans="1:24" s="1" customFormat="1" ht="108" customHeight="1" x14ac:dyDescent="0.3">
      <c r="A248" s="11" t="s">
        <v>23</v>
      </c>
      <c r="B248" s="11" t="s">
        <v>65</v>
      </c>
      <c r="C248" s="12" t="s">
        <v>392</v>
      </c>
      <c r="D248" s="25"/>
      <c r="E248" s="41" t="str">
        <f>HYPERLINK("https://www.google.ru/search?q=1356416-558&amp;newwindow=1&amp;tbm=isch","Еще фото")</f>
        <v>Еще фото</v>
      </c>
      <c r="F248" s="13"/>
      <c r="G248" s="11" t="s">
        <v>28</v>
      </c>
      <c r="H248" s="11" t="s">
        <v>27</v>
      </c>
      <c r="I248" s="14" t="s">
        <v>28</v>
      </c>
      <c r="J248" s="14" t="s">
        <v>29</v>
      </c>
      <c r="K248" s="15" t="s">
        <v>59</v>
      </c>
      <c r="L248" s="14" t="s">
        <v>393</v>
      </c>
      <c r="M248" s="14" t="s">
        <v>68</v>
      </c>
      <c r="N248" s="14" t="s">
        <v>62</v>
      </c>
      <c r="O248" s="14"/>
      <c r="P248" s="15" t="s">
        <v>120</v>
      </c>
      <c r="Q248" s="16">
        <v>6899</v>
      </c>
      <c r="R248" s="17">
        <v>40</v>
      </c>
      <c r="S248" s="18">
        <v>4760.3099999999995</v>
      </c>
      <c r="T248" s="19" t="s">
        <v>36</v>
      </c>
      <c r="U248" s="20" t="s">
        <v>37</v>
      </c>
      <c r="V248" s="21" t="s">
        <v>106</v>
      </c>
      <c r="W248" s="22">
        <v>1</v>
      </c>
      <c r="X248" s="23"/>
    </row>
    <row r="249" spans="1:24" s="1" customFormat="1" ht="108" customHeight="1" x14ac:dyDescent="0.3">
      <c r="A249" s="11" t="s">
        <v>23</v>
      </c>
      <c r="B249" s="11" t="s">
        <v>394</v>
      </c>
      <c r="C249" s="12" t="s">
        <v>395</v>
      </c>
      <c r="D249" s="25"/>
      <c r="E249" s="41" t="str">
        <f>HYPERLINK("https://www.google.ru/search?q=1356463-668&amp;newwindow=1&amp;tbm=isch","Еще фото")</f>
        <v>Еще фото</v>
      </c>
      <c r="F249" s="13"/>
      <c r="G249" s="11" t="s">
        <v>77</v>
      </c>
      <c r="H249" s="11" t="s">
        <v>27</v>
      </c>
      <c r="I249" s="14" t="s">
        <v>28</v>
      </c>
      <c r="J249" s="14" t="s">
        <v>29</v>
      </c>
      <c r="K249" s="15" t="s">
        <v>50</v>
      </c>
      <c r="L249" s="14" t="s">
        <v>396</v>
      </c>
      <c r="M249" s="14" t="s">
        <v>45</v>
      </c>
      <c r="N249" s="14" t="s">
        <v>69</v>
      </c>
      <c r="O249" s="14" t="s">
        <v>34</v>
      </c>
      <c r="P249" s="15" t="s">
        <v>397</v>
      </c>
      <c r="Q249" s="16">
        <v>3290</v>
      </c>
      <c r="R249" s="17">
        <v>40</v>
      </c>
      <c r="S249" s="18">
        <v>2270.1</v>
      </c>
      <c r="T249" s="19" t="s">
        <v>36</v>
      </c>
      <c r="U249" s="20" t="s">
        <v>73</v>
      </c>
      <c r="V249" s="21" t="s">
        <v>398</v>
      </c>
      <c r="W249" s="22">
        <v>4</v>
      </c>
      <c r="X249" s="23"/>
    </row>
    <row r="250" spans="1:24" s="1" customFormat="1" ht="108" customHeight="1" x14ac:dyDescent="0.3">
      <c r="A250" s="11" t="s">
        <v>23</v>
      </c>
      <c r="B250" s="11" t="s">
        <v>65</v>
      </c>
      <c r="C250" s="12" t="s">
        <v>399</v>
      </c>
      <c r="D250" s="25"/>
      <c r="E250" s="41" t="str">
        <f>HYPERLINK("https://www.google.ru/search?q=1356487-002&amp;newwindow=1&amp;tbm=isch","Еще фото")</f>
        <v>Еще фото</v>
      </c>
      <c r="F250" s="13"/>
      <c r="G250" s="11" t="s">
        <v>28</v>
      </c>
      <c r="H250" s="11" t="s">
        <v>27</v>
      </c>
      <c r="I250" s="14" t="s">
        <v>28</v>
      </c>
      <c r="J250" s="14" t="s">
        <v>29</v>
      </c>
      <c r="K250" s="15" t="s">
        <v>50</v>
      </c>
      <c r="L250" s="14" t="s">
        <v>93</v>
      </c>
      <c r="M250" s="14" t="s">
        <v>68</v>
      </c>
      <c r="N250" s="14" t="s">
        <v>33</v>
      </c>
      <c r="O250" s="14" t="s">
        <v>34</v>
      </c>
      <c r="P250" s="15" t="s">
        <v>70</v>
      </c>
      <c r="Q250" s="16">
        <v>3699</v>
      </c>
      <c r="R250" s="17">
        <v>40</v>
      </c>
      <c r="S250" s="18">
        <v>2552.31</v>
      </c>
      <c r="T250" s="19" t="s">
        <v>36</v>
      </c>
      <c r="U250" s="20" t="s">
        <v>99</v>
      </c>
      <c r="V250" s="21" t="s">
        <v>100</v>
      </c>
      <c r="W250" s="22">
        <v>1</v>
      </c>
      <c r="X250" s="23"/>
    </row>
    <row r="251" spans="1:24" s="1" customFormat="1" ht="52.05" customHeight="1" x14ac:dyDescent="0.3">
      <c r="A251" s="11" t="s">
        <v>23</v>
      </c>
      <c r="B251" s="11" t="s">
        <v>276</v>
      </c>
      <c r="C251" s="12" t="s">
        <v>400</v>
      </c>
      <c r="D251" s="55"/>
      <c r="E251" s="41" t="str">
        <f>HYPERLINK("https://www.google.ru/search?q=1357123-408&amp;newwindow=1&amp;tbm=isch","Еще фото")</f>
        <v>Еще фото</v>
      </c>
      <c r="F251" s="13"/>
      <c r="G251" s="11" t="s">
        <v>28</v>
      </c>
      <c r="H251" s="11" t="s">
        <v>27</v>
      </c>
      <c r="I251" s="14" t="s">
        <v>28</v>
      </c>
      <c r="J251" s="14" t="s">
        <v>29</v>
      </c>
      <c r="K251" s="15" t="s">
        <v>30</v>
      </c>
      <c r="L251" s="57" t="s">
        <v>401</v>
      </c>
      <c r="M251" s="14" t="s">
        <v>140</v>
      </c>
      <c r="N251" s="14" t="s">
        <v>115</v>
      </c>
      <c r="O251" s="14"/>
      <c r="P251" s="15" t="s">
        <v>47</v>
      </c>
      <c r="Q251" s="16">
        <v>7199</v>
      </c>
      <c r="R251" s="17">
        <v>40</v>
      </c>
      <c r="S251" s="18">
        <v>4967.3099999999995</v>
      </c>
      <c r="T251" s="19" t="s">
        <v>36</v>
      </c>
      <c r="U251" s="20" t="s">
        <v>37</v>
      </c>
      <c r="V251" s="21" t="s">
        <v>38</v>
      </c>
      <c r="W251" s="22">
        <v>4</v>
      </c>
      <c r="X251" s="23"/>
    </row>
    <row r="252" spans="1:24" s="1" customFormat="1" ht="61.05" customHeight="1" x14ac:dyDescent="0.3">
      <c r="A252" s="24" t="s">
        <v>23</v>
      </c>
      <c r="B252" s="24" t="s">
        <v>276</v>
      </c>
      <c r="C252" s="12" t="s">
        <v>400</v>
      </c>
      <c r="D252" s="56"/>
      <c r="E252" s="41" t="str">
        <f>HYPERLINK("https://www.google.ru/search?q=1357123-408&amp;newwindow=1&amp;tbm=isch","Еще фото")</f>
        <v>Еще фото</v>
      </c>
      <c r="F252" s="13"/>
      <c r="G252" s="24" t="s">
        <v>28</v>
      </c>
      <c r="H252" s="24" t="s">
        <v>27</v>
      </c>
      <c r="I252" s="24" t="s">
        <v>28</v>
      </c>
      <c r="J252" s="14" t="s">
        <v>29</v>
      </c>
      <c r="K252" s="15" t="s">
        <v>30</v>
      </c>
      <c r="L252" s="58"/>
      <c r="M252" s="14" t="s">
        <v>140</v>
      </c>
      <c r="N252" s="14" t="s">
        <v>115</v>
      </c>
      <c r="O252" s="14"/>
      <c r="P252" s="15" t="s">
        <v>47</v>
      </c>
      <c r="Q252" s="16">
        <v>7199</v>
      </c>
      <c r="R252" s="17">
        <v>40</v>
      </c>
      <c r="S252" s="18">
        <v>4967.3099999999995</v>
      </c>
      <c r="T252" s="19" t="s">
        <v>36</v>
      </c>
      <c r="U252" s="20" t="s">
        <v>86</v>
      </c>
      <c r="V252" s="21" t="s">
        <v>87</v>
      </c>
      <c r="W252" s="22">
        <v>1</v>
      </c>
      <c r="X252" s="23"/>
    </row>
    <row r="253" spans="1:24" s="1" customFormat="1" ht="108" customHeight="1" x14ac:dyDescent="0.3">
      <c r="A253" s="11" t="s">
        <v>23</v>
      </c>
      <c r="B253" s="11" t="s">
        <v>402</v>
      </c>
      <c r="C253" s="12" t="s">
        <v>403</v>
      </c>
      <c r="D253" s="25"/>
      <c r="E253" s="41" t="str">
        <f>HYPERLINK("https://www.google.ru/search?q=1361237-914&amp;newwindow=1&amp;tbm=isch","Еще фото")</f>
        <v>Еще фото</v>
      </c>
      <c r="F253" s="13"/>
      <c r="G253" s="11" t="s">
        <v>404</v>
      </c>
      <c r="H253" s="11" t="s">
        <v>27</v>
      </c>
      <c r="I253" s="14" t="s">
        <v>28</v>
      </c>
      <c r="J253" s="14" t="s">
        <v>43</v>
      </c>
      <c r="K253" s="15" t="s">
        <v>50</v>
      </c>
      <c r="L253" s="14" t="s">
        <v>405</v>
      </c>
      <c r="M253" s="14" t="s">
        <v>61</v>
      </c>
      <c r="N253" s="14" t="s">
        <v>46</v>
      </c>
      <c r="O253" s="14" t="s">
        <v>34</v>
      </c>
      <c r="P253" s="15" t="s">
        <v>252</v>
      </c>
      <c r="Q253" s="16">
        <v>3490</v>
      </c>
      <c r="R253" s="17">
        <v>40</v>
      </c>
      <c r="S253" s="18">
        <v>2408.1</v>
      </c>
      <c r="T253" s="19" t="s">
        <v>36</v>
      </c>
      <c r="U253" s="20" t="s">
        <v>73</v>
      </c>
      <c r="V253" s="21" t="s">
        <v>74</v>
      </c>
      <c r="W253" s="22">
        <v>1</v>
      </c>
      <c r="X253" s="23"/>
    </row>
    <row r="254" spans="1:24" s="1" customFormat="1" ht="17" customHeight="1" x14ac:dyDescent="0.3">
      <c r="A254" s="11" t="s">
        <v>23</v>
      </c>
      <c r="B254" s="11" t="s">
        <v>206</v>
      </c>
      <c r="C254" s="12" t="s">
        <v>406</v>
      </c>
      <c r="D254" s="59"/>
      <c r="E254" s="41" t="str">
        <f t="shared" ref="E254:E259" si="6">HYPERLINK("https://www.google.ru/search?q=1361586-001&amp;newwindow=1&amp;tbm=isch","Еще фото")</f>
        <v>Еще фото</v>
      </c>
      <c r="F254" s="13" t="s">
        <v>152</v>
      </c>
      <c r="G254" s="11" t="s">
        <v>77</v>
      </c>
      <c r="H254" s="11" t="s">
        <v>27</v>
      </c>
      <c r="I254" s="14" t="s">
        <v>28</v>
      </c>
      <c r="J254" s="14" t="s">
        <v>29</v>
      </c>
      <c r="K254" s="15" t="s">
        <v>30</v>
      </c>
      <c r="L254" s="57" t="s">
        <v>407</v>
      </c>
      <c r="M254" s="14" t="s">
        <v>61</v>
      </c>
      <c r="N254" s="14" t="s">
        <v>33</v>
      </c>
      <c r="O254" s="14"/>
      <c r="P254" s="15" t="s">
        <v>202</v>
      </c>
      <c r="Q254" s="16">
        <v>4799</v>
      </c>
      <c r="R254" s="17">
        <v>40</v>
      </c>
      <c r="S254" s="18">
        <v>3311.31</v>
      </c>
      <c r="T254" s="19" t="s">
        <v>36</v>
      </c>
      <c r="U254" s="20" t="s">
        <v>37</v>
      </c>
      <c r="V254" s="21" t="s">
        <v>38</v>
      </c>
      <c r="W254" s="22">
        <v>58</v>
      </c>
      <c r="X254" s="23"/>
    </row>
    <row r="255" spans="1:24" s="1" customFormat="1" ht="17" customHeight="1" x14ac:dyDescent="0.3">
      <c r="A255" s="24" t="s">
        <v>23</v>
      </c>
      <c r="B255" s="24" t="s">
        <v>206</v>
      </c>
      <c r="C255" s="12" t="s">
        <v>406</v>
      </c>
      <c r="D255" s="60"/>
      <c r="E255" s="41" t="str">
        <f t="shared" si="6"/>
        <v>Еще фото</v>
      </c>
      <c r="F255" s="13" t="s">
        <v>152</v>
      </c>
      <c r="G255" s="24" t="s">
        <v>77</v>
      </c>
      <c r="H255" s="24" t="s">
        <v>27</v>
      </c>
      <c r="I255" s="24" t="s">
        <v>28</v>
      </c>
      <c r="J255" s="14" t="s">
        <v>29</v>
      </c>
      <c r="K255" s="15" t="s">
        <v>30</v>
      </c>
      <c r="L255" s="62"/>
      <c r="M255" s="14" t="s">
        <v>61</v>
      </c>
      <c r="N255" s="14" t="s">
        <v>33</v>
      </c>
      <c r="O255" s="14"/>
      <c r="P255" s="15" t="s">
        <v>202</v>
      </c>
      <c r="Q255" s="16">
        <v>4799</v>
      </c>
      <c r="R255" s="17">
        <v>40</v>
      </c>
      <c r="S255" s="18">
        <v>3311.31</v>
      </c>
      <c r="T255" s="19" t="s">
        <v>36</v>
      </c>
      <c r="U255" s="20" t="s">
        <v>39</v>
      </c>
      <c r="V255" s="21" t="s">
        <v>40</v>
      </c>
      <c r="W255" s="22">
        <v>40</v>
      </c>
      <c r="X255" s="23"/>
    </row>
    <row r="256" spans="1:24" s="1" customFormat="1" ht="17" customHeight="1" x14ac:dyDescent="0.3">
      <c r="A256" s="24" t="s">
        <v>23</v>
      </c>
      <c r="B256" s="24" t="s">
        <v>206</v>
      </c>
      <c r="C256" s="12" t="s">
        <v>406</v>
      </c>
      <c r="D256" s="60"/>
      <c r="E256" s="41" t="str">
        <f t="shared" si="6"/>
        <v>Еще фото</v>
      </c>
      <c r="F256" s="13" t="s">
        <v>152</v>
      </c>
      <c r="G256" s="24" t="s">
        <v>77</v>
      </c>
      <c r="H256" s="24" t="s">
        <v>27</v>
      </c>
      <c r="I256" s="24" t="s">
        <v>28</v>
      </c>
      <c r="J256" s="14" t="s">
        <v>29</v>
      </c>
      <c r="K256" s="15" t="s">
        <v>30</v>
      </c>
      <c r="L256" s="62"/>
      <c r="M256" s="14" t="s">
        <v>61</v>
      </c>
      <c r="N256" s="14" t="s">
        <v>33</v>
      </c>
      <c r="O256" s="14"/>
      <c r="P256" s="15" t="s">
        <v>202</v>
      </c>
      <c r="Q256" s="16">
        <v>4799</v>
      </c>
      <c r="R256" s="17">
        <v>40</v>
      </c>
      <c r="S256" s="18">
        <v>3311.31</v>
      </c>
      <c r="T256" s="19" t="s">
        <v>36</v>
      </c>
      <c r="U256" s="20" t="s">
        <v>86</v>
      </c>
      <c r="V256" s="21" t="s">
        <v>87</v>
      </c>
      <c r="W256" s="22">
        <v>33</v>
      </c>
      <c r="X256" s="23"/>
    </row>
    <row r="257" spans="1:24" s="1" customFormat="1" ht="17" customHeight="1" x14ac:dyDescent="0.3">
      <c r="A257" s="24" t="s">
        <v>23</v>
      </c>
      <c r="B257" s="24" t="s">
        <v>206</v>
      </c>
      <c r="C257" s="12" t="s">
        <v>406</v>
      </c>
      <c r="D257" s="60"/>
      <c r="E257" s="41" t="str">
        <f t="shared" si="6"/>
        <v>Еще фото</v>
      </c>
      <c r="F257" s="13" t="s">
        <v>152</v>
      </c>
      <c r="G257" s="24" t="s">
        <v>77</v>
      </c>
      <c r="H257" s="24" t="s">
        <v>27</v>
      </c>
      <c r="I257" s="24" t="s">
        <v>28</v>
      </c>
      <c r="J257" s="14" t="s">
        <v>29</v>
      </c>
      <c r="K257" s="15" t="s">
        <v>30</v>
      </c>
      <c r="L257" s="62"/>
      <c r="M257" s="14" t="s">
        <v>61</v>
      </c>
      <c r="N257" s="14" t="s">
        <v>33</v>
      </c>
      <c r="O257" s="14"/>
      <c r="P257" s="15" t="s">
        <v>202</v>
      </c>
      <c r="Q257" s="16">
        <v>4799</v>
      </c>
      <c r="R257" s="17">
        <v>40</v>
      </c>
      <c r="S257" s="18">
        <v>3311.31</v>
      </c>
      <c r="T257" s="19" t="s">
        <v>36</v>
      </c>
      <c r="U257" s="20" t="s">
        <v>88</v>
      </c>
      <c r="V257" s="21" t="s">
        <v>89</v>
      </c>
      <c r="W257" s="22">
        <v>30</v>
      </c>
      <c r="X257" s="23"/>
    </row>
    <row r="258" spans="1:24" s="1" customFormat="1" ht="17" customHeight="1" x14ac:dyDescent="0.3">
      <c r="A258" s="24" t="s">
        <v>23</v>
      </c>
      <c r="B258" s="24" t="s">
        <v>206</v>
      </c>
      <c r="C258" s="12" t="s">
        <v>406</v>
      </c>
      <c r="D258" s="60"/>
      <c r="E258" s="41" t="str">
        <f t="shared" si="6"/>
        <v>Еще фото</v>
      </c>
      <c r="F258" s="13" t="s">
        <v>152</v>
      </c>
      <c r="G258" s="24" t="s">
        <v>77</v>
      </c>
      <c r="H258" s="24" t="s">
        <v>27</v>
      </c>
      <c r="I258" s="24" t="s">
        <v>28</v>
      </c>
      <c r="J258" s="14" t="s">
        <v>29</v>
      </c>
      <c r="K258" s="15" t="s">
        <v>30</v>
      </c>
      <c r="L258" s="62"/>
      <c r="M258" s="14" t="s">
        <v>61</v>
      </c>
      <c r="N258" s="14" t="s">
        <v>33</v>
      </c>
      <c r="O258" s="14"/>
      <c r="P258" s="15" t="s">
        <v>202</v>
      </c>
      <c r="Q258" s="16">
        <v>4799</v>
      </c>
      <c r="R258" s="17">
        <v>40</v>
      </c>
      <c r="S258" s="18">
        <v>3311.31</v>
      </c>
      <c r="T258" s="19" t="s">
        <v>36</v>
      </c>
      <c r="U258" s="20" t="s">
        <v>90</v>
      </c>
      <c r="V258" s="21" t="s">
        <v>91</v>
      </c>
      <c r="W258" s="22">
        <v>9</v>
      </c>
      <c r="X258" s="23"/>
    </row>
    <row r="259" spans="1:24" s="1" customFormat="1" ht="22.05" customHeight="1" x14ac:dyDescent="0.3">
      <c r="A259" s="24" t="s">
        <v>23</v>
      </c>
      <c r="B259" s="24" t="s">
        <v>206</v>
      </c>
      <c r="C259" s="12" t="s">
        <v>406</v>
      </c>
      <c r="D259" s="61"/>
      <c r="E259" s="41" t="str">
        <f t="shared" si="6"/>
        <v>Еще фото</v>
      </c>
      <c r="F259" s="13" t="s">
        <v>152</v>
      </c>
      <c r="G259" s="24" t="s">
        <v>77</v>
      </c>
      <c r="H259" s="24" t="s">
        <v>27</v>
      </c>
      <c r="I259" s="24" t="s">
        <v>28</v>
      </c>
      <c r="J259" s="14" t="s">
        <v>29</v>
      </c>
      <c r="K259" s="15" t="s">
        <v>30</v>
      </c>
      <c r="L259" s="58"/>
      <c r="M259" s="14" t="s">
        <v>61</v>
      </c>
      <c r="N259" s="14" t="s">
        <v>33</v>
      </c>
      <c r="O259" s="14"/>
      <c r="P259" s="15" t="s">
        <v>202</v>
      </c>
      <c r="Q259" s="16">
        <v>4799</v>
      </c>
      <c r="R259" s="17">
        <v>40</v>
      </c>
      <c r="S259" s="18">
        <v>3311.31</v>
      </c>
      <c r="T259" s="19" t="s">
        <v>36</v>
      </c>
      <c r="U259" s="20" t="s">
        <v>408</v>
      </c>
      <c r="V259" s="21" t="s">
        <v>409</v>
      </c>
      <c r="W259" s="22">
        <v>2</v>
      </c>
      <c r="X259" s="23"/>
    </row>
    <row r="260" spans="1:24" s="1" customFormat="1" ht="26" customHeight="1" x14ac:dyDescent="0.3">
      <c r="A260" s="11" t="s">
        <v>23</v>
      </c>
      <c r="B260" s="11" t="s">
        <v>206</v>
      </c>
      <c r="C260" s="12" t="s">
        <v>410</v>
      </c>
      <c r="D260" s="59"/>
      <c r="E260" s="41" t="str">
        <f>HYPERLINK("https://www.google.ru/search?q=1361586-090&amp;newwindow=1&amp;tbm=isch","Еще фото")</f>
        <v>Еще фото</v>
      </c>
      <c r="F260" s="13" t="s">
        <v>152</v>
      </c>
      <c r="G260" s="11" t="s">
        <v>77</v>
      </c>
      <c r="H260" s="11" t="s">
        <v>27</v>
      </c>
      <c r="I260" s="14" t="s">
        <v>28</v>
      </c>
      <c r="J260" s="14" t="s">
        <v>29</v>
      </c>
      <c r="K260" s="15" t="s">
        <v>30</v>
      </c>
      <c r="L260" s="57" t="s">
        <v>407</v>
      </c>
      <c r="M260" s="14" t="s">
        <v>61</v>
      </c>
      <c r="N260" s="14" t="s">
        <v>62</v>
      </c>
      <c r="O260" s="14" t="s">
        <v>34</v>
      </c>
      <c r="P260" s="15" t="s">
        <v>411</v>
      </c>
      <c r="Q260" s="16">
        <v>4899</v>
      </c>
      <c r="R260" s="17">
        <v>40</v>
      </c>
      <c r="S260" s="18">
        <v>3380.31</v>
      </c>
      <c r="T260" s="19" t="s">
        <v>36</v>
      </c>
      <c r="U260" s="20" t="s">
        <v>37</v>
      </c>
      <c r="V260" s="21" t="s">
        <v>38</v>
      </c>
      <c r="W260" s="22">
        <v>17</v>
      </c>
      <c r="X260" s="23"/>
    </row>
    <row r="261" spans="1:24" s="1" customFormat="1" ht="26" customHeight="1" x14ac:dyDescent="0.3">
      <c r="A261" s="24" t="s">
        <v>23</v>
      </c>
      <c r="B261" s="24" t="s">
        <v>206</v>
      </c>
      <c r="C261" s="12" t="s">
        <v>410</v>
      </c>
      <c r="D261" s="60"/>
      <c r="E261" s="41" t="str">
        <f>HYPERLINK("https://www.google.ru/search?q=1361586-090&amp;newwindow=1&amp;tbm=isch","Еще фото")</f>
        <v>Еще фото</v>
      </c>
      <c r="F261" s="13" t="s">
        <v>152</v>
      </c>
      <c r="G261" s="24" t="s">
        <v>77</v>
      </c>
      <c r="H261" s="24" t="s">
        <v>27</v>
      </c>
      <c r="I261" s="24" t="s">
        <v>28</v>
      </c>
      <c r="J261" s="14" t="s">
        <v>29</v>
      </c>
      <c r="K261" s="15" t="s">
        <v>30</v>
      </c>
      <c r="L261" s="62"/>
      <c r="M261" s="14" t="s">
        <v>61</v>
      </c>
      <c r="N261" s="14" t="s">
        <v>62</v>
      </c>
      <c r="O261" s="14" t="s">
        <v>34</v>
      </c>
      <c r="P261" s="15" t="s">
        <v>411</v>
      </c>
      <c r="Q261" s="16">
        <v>4899</v>
      </c>
      <c r="R261" s="17">
        <v>40</v>
      </c>
      <c r="S261" s="18">
        <v>3380.31</v>
      </c>
      <c r="T261" s="19" t="s">
        <v>36</v>
      </c>
      <c r="U261" s="20" t="s">
        <v>39</v>
      </c>
      <c r="V261" s="21" t="s">
        <v>40</v>
      </c>
      <c r="W261" s="22">
        <v>21</v>
      </c>
      <c r="X261" s="23"/>
    </row>
    <row r="262" spans="1:24" s="1" customFormat="1" ht="26" customHeight="1" x14ac:dyDescent="0.3">
      <c r="A262" s="24" t="s">
        <v>23</v>
      </c>
      <c r="B262" s="24" t="s">
        <v>206</v>
      </c>
      <c r="C262" s="12" t="s">
        <v>410</v>
      </c>
      <c r="D262" s="60"/>
      <c r="E262" s="41" t="str">
        <f>HYPERLINK("https://www.google.ru/search?q=1361586-090&amp;newwindow=1&amp;tbm=isch","Еще фото")</f>
        <v>Еще фото</v>
      </c>
      <c r="F262" s="13" t="s">
        <v>152</v>
      </c>
      <c r="G262" s="24" t="s">
        <v>77</v>
      </c>
      <c r="H262" s="24" t="s">
        <v>27</v>
      </c>
      <c r="I262" s="24" t="s">
        <v>28</v>
      </c>
      <c r="J262" s="14" t="s">
        <v>29</v>
      </c>
      <c r="K262" s="15" t="s">
        <v>30</v>
      </c>
      <c r="L262" s="62"/>
      <c r="M262" s="14" t="s">
        <v>61</v>
      </c>
      <c r="N262" s="14" t="s">
        <v>62</v>
      </c>
      <c r="O262" s="14" t="s">
        <v>34</v>
      </c>
      <c r="P262" s="15" t="s">
        <v>411</v>
      </c>
      <c r="Q262" s="16">
        <v>4899</v>
      </c>
      <c r="R262" s="17">
        <v>40</v>
      </c>
      <c r="S262" s="18">
        <v>3380.31</v>
      </c>
      <c r="T262" s="19" t="s">
        <v>36</v>
      </c>
      <c r="U262" s="20" t="s">
        <v>86</v>
      </c>
      <c r="V262" s="21" t="s">
        <v>87</v>
      </c>
      <c r="W262" s="22">
        <v>10</v>
      </c>
      <c r="X262" s="23"/>
    </row>
    <row r="263" spans="1:24" s="1" customFormat="1" ht="26" customHeight="1" x14ac:dyDescent="0.3">
      <c r="A263" s="24" t="s">
        <v>23</v>
      </c>
      <c r="B263" s="24" t="s">
        <v>206</v>
      </c>
      <c r="C263" s="12" t="s">
        <v>410</v>
      </c>
      <c r="D263" s="61"/>
      <c r="E263" s="41" t="str">
        <f>HYPERLINK("https://www.google.ru/search?q=1361586-090&amp;newwindow=1&amp;tbm=isch","Еще фото")</f>
        <v>Еще фото</v>
      </c>
      <c r="F263" s="13" t="s">
        <v>152</v>
      </c>
      <c r="G263" s="24" t="s">
        <v>77</v>
      </c>
      <c r="H263" s="24" t="s">
        <v>27</v>
      </c>
      <c r="I263" s="24" t="s">
        <v>28</v>
      </c>
      <c r="J263" s="14" t="s">
        <v>29</v>
      </c>
      <c r="K263" s="15" t="s">
        <v>30</v>
      </c>
      <c r="L263" s="58"/>
      <c r="M263" s="14" t="s">
        <v>61</v>
      </c>
      <c r="N263" s="14" t="s">
        <v>62</v>
      </c>
      <c r="O263" s="14" t="s">
        <v>34</v>
      </c>
      <c r="P263" s="15" t="s">
        <v>411</v>
      </c>
      <c r="Q263" s="16">
        <v>4899</v>
      </c>
      <c r="R263" s="17">
        <v>40</v>
      </c>
      <c r="S263" s="18">
        <v>3380.31</v>
      </c>
      <c r="T263" s="19" t="s">
        <v>36</v>
      </c>
      <c r="U263" s="20" t="s">
        <v>90</v>
      </c>
      <c r="V263" s="21" t="s">
        <v>91</v>
      </c>
      <c r="W263" s="22">
        <v>4</v>
      </c>
      <c r="X263" s="23"/>
    </row>
    <row r="264" spans="1:24" s="1" customFormat="1" ht="21" customHeight="1" x14ac:dyDescent="0.3">
      <c r="A264" s="11" t="s">
        <v>23</v>
      </c>
      <c r="B264" s="11" t="s">
        <v>206</v>
      </c>
      <c r="C264" s="26" t="s">
        <v>412</v>
      </c>
      <c r="D264" s="59"/>
      <c r="E264" s="41" t="str">
        <f>HYPERLINK("https://www.google.ru/search?q=1361586-100&amp;newwindow=1&amp;tbm=isch","Еще фото")</f>
        <v>Еще фото</v>
      </c>
      <c r="F264" s="13" t="s">
        <v>103</v>
      </c>
      <c r="G264" s="11" t="s">
        <v>77</v>
      </c>
      <c r="H264" s="11" t="s">
        <v>27</v>
      </c>
      <c r="I264" s="14" t="s">
        <v>28</v>
      </c>
      <c r="J264" s="14" t="s">
        <v>29</v>
      </c>
      <c r="K264" s="15" t="s">
        <v>30</v>
      </c>
      <c r="L264" s="57" t="s">
        <v>407</v>
      </c>
      <c r="M264" s="14" t="s">
        <v>61</v>
      </c>
      <c r="N264" s="14" t="s">
        <v>84</v>
      </c>
      <c r="O264" s="14" t="s">
        <v>34</v>
      </c>
      <c r="P264" s="15" t="s">
        <v>202</v>
      </c>
      <c r="Q264" s="16">
        <v>4799</v>
      </c>
      <c r="R264" s="17">
        <v>40</v>
      </c>
      <c r="S264" s="18">
        <v>3311.31</v>
      </c>
      <c r="T264" s="19" t="s">
        <v>36</v>
      </c>
      <c r="U264" s="20" t="s">
        <v>37</v>
      </c>
      <c r="V264" s="21" t="s">
        <v>38</v>
      </c>
      <c r="W264" s="22">
        <v>10</v>
      </c>
      <c r="X264" s="23"/>
    </row>
    <row r="265" spans="1:24" s="1" customFormat="1" ht="21" customHeight="1" x14ac:dyDescent="0.3">
      <c r="A265" s="24" t="s">
        <v>23</v>
      </c>
      <c r="B265" s="24" t="s">
        <v>206</v>
      </c>
      <c r="C265" s="27" t="s">
        <v>412</v>
      </c>
      <c r="D265" s="60"/>
      <c r="E265" s="41" t="str">
        <f>HYPERLINK("https://www.google.ru/search?q=1361586-100&amp;newwindow=1&amp;tbm=isch","Еще фото")</f>
        <v>Еще фото</v>
      </c>
      <c r="F265" s="13" t="s">
        <v>103</v>
      </c>
      <c r="G265" s="24" t="s">
        <v>77</v>
      </c>
      <c r="H265" s="24" t="s">
        <v>27</v>
      </c>
      <c r="I265" s="24" t="s">
        <v>28</v>
      </c>
      <c r="J265" s="14" t="s">
        <v>29</v>
      </c>
      <c r="K265" s="15" t="s">
        <v>30</v>
      </c>
      <c r="L265" s="62"/>
      <c r="M265" s="14" t="s">
        <v>61</v>
      </c>
      <c r="N265" s="14" t="s">
        <v>84</v>
      </c>
      <c r="O265" s="14" t="s">
        <v>34</v>
      </c>
      <c r="P265" s="15" t="s">
        <v>202</v>
      </c>
      <c r="Q265" s="16">
        <v>4799</v>
      </c>
      <c r="R265" s="17">
        <v>40</v>
      </c>
      <c r="S265" s="18">
        <v>3311.31</v>
      </c>
      <c r="T265" s="19" t="s">
        <v>36</v>
      </c>
      <c r="U265" s="20" t="s">
        <v>39</v>
      </c>
      <c r="V265" s="21" t="s">
        <v>40</v>
      </c>
      <c r="W265" s="22">
        <v>19</v>
      </c>
      <c r="X265" s="23"/>
    </row>
    <row r="266" spans="1:24" s="1" customFormat="1" ht="21" customHeight="1" x14ac:dyDescent="0.3">
      <c r="A266" s="24" t="s">
        <v>23</v>
      </c>
      <c r="B266" s="24" t="s">
        <v>206</v>
      </c>
      <c r="C266" s="27" t="s">
        <v>412</v>
      </c>
      <c r="D266" s="60"/>
      <c r="E266" s="41" t="str">
        <f>HYPERLINK("https://www.google.ru/search?q=1361586-100&amp;newwindow=1&amp;tbm=isch","Еще фото")</f>
        <v>Еще фото</v>
      </c>
      <c r="F266" s="13" t="s">
        <v>103</v>
      </c>
      <c r="G266" s="24" t="s">
        <v>77</v>
      </c>
      <c r="H266" s="24" t="s">
        <v>27</v>
      </c>
      <c r="I266" s="24" t="s">
        <v>28</v>
      </c>
      <c r="J266" s="14" t="s">
        <v>29</v>
      </c>
      <c r="K266" s="15" t="s">
        <v>30</v>
      </c>
      <c r="L266" s="62"/>
      <c r="M266" s="14" t="s">
        <v>61</v>
      </c>
      <c r="N266" s="14" t="s">
        <v>84</v>
      </c>
      <c r="O266" s="14" t="s">
        <v>34</v>
      </c>
      <c r="P266" s="15" t="s">
        <v>202</v>
      </c>
      <c r="Q266" s="16">
        <v>4799</v>
      </c>
      <c r="R266" s="17">
        <v>40</v>
      </c>
      <c r="S266" s="18">
        <v>3311.31</v>
      </c>
      <c r="T266" s="19" t="s">
        <v>36</v>
      </c>
      <c r="U266" s="20" t="s">
        <v>86</v>
      </c>
      <c r="V266" s="21" t="s">
        <v>87</v>
      </c>
      <c r="W266" s="22">
        <v>27</v>
      </c>
      <c r="X266" s="23"/>
    </row>
    <row r="267" spans="1:24" s="1" customFormat="1" ht="21" customHeight="1" x14ac:dyDescent="0.3">
      <c r="A267" s="24" t="s">
        <v>23</v>
      </c>
      <c r="B267" s="24" t="s">
        <v>206</v>
      </c>
      <c r="C267" s="27" t="s">
        <v>412</v>
      </c>
      <c r="D267" s="60"/>
      <c r="E267" s="41" t="str">
        <f>HYPERLINK("https://www.google.ru/search?q=1361586-100&amp;newwindow=1&amp;tbm=isch","Еще фото")</f>
        <v>Еще фото</v>
      </c>
      <c r="F267" s="13" t="s">
        <v>103</v>
      </c>
      <c r="G267" s="24" t="s">
        <v>77</v>
      </c>
      <c r="H267" s="24" t="s">
        <v>27</v>
      </c>
      <c r="I267" s="24" t="s">
        <v>28</v>
      </c>
      <c r="J267" s="14" t="s">
        <v>29</v>
      </c>
      <c r="K267" s="15" t="s">
        <v>30</v>
      </c>
      <c r="L267" s="62"/>
      <c r="M267" s="14" t="s">
        <v>61</v>
      </c>
      <c r="N267" s="14" t="s">
        <v>84</v>
      </c>
      <c r="O267" s="14" t="s">
        <v>34</v>
      </c>
      <c r="P267" s="15" t="s">
        <v>202</v>
      </c>
      <c r="Q267" s="16">
        <v>4799</v>
      </c>
      <c r="R267" s="17">
        <v>40</v>
      </c>
      <c r="S267" s="18">
        <v>3311.31</v>
      </c>
      <c r="T267" s="19" t="s">
        <v>36</v>
      </c>
      <c r="U267" s="20" t="s">
        <v>88</v>
      </c>
      <c r="V267" s="21" t="s">
        <v>89</v>
      </c>
      <c r="W267" s="22">
        <v>4</v>
      </c>
      <c r="X267" s="23"/>
    </row>
    <row r="268" spans="1:24" s="1" customFormat="1" ht="32" customHeight="1" x14ac:dyDescent="0.3">
      <c r="A268" s="24" t="s">
        <v>23</v>
      </c>
      <c r="B268" s="24" t="s">
        <v>206</v>
      </c>
      <c r="C268" s="27" t="s">
        <v>412</v>
      </c>
      <c r="D268" s="61"/>
      <c r="E268" s="41" t="str">
        <f>HYPERLINK("https://www.google.ru/search?q=1361586-100&amp;newwindow=1&amp;tbm=isch","Еще фото")</f>
        <v>Еще фото</v>
      </c>
      <c r="F268" s="13" t="s">
        <v>103</v>
      </c>
      <c r="G268" s="24" t="s">
        <v>77</v>
      </c>
      <c r="H268" s="24" t="s">
        <v>27</v>
      </c>
      <c r="I268" s="24" t="s">
        <v>28</v>
      </c>
      <c r="J268" s="14" t="s">
        <v>29</v>
      </c>
      <c r="K268" s="15" t="s">
        <v>30</v>
      </c>
      <c r="L268" s="58"/>
      <c r="M268" s="14" t="s">
        <v>61</v>
      </c>
      <c r="N268" s="14" t="s">
        <v>84</v>
      </c>
      <c r="O268" s="14" t="s">
        <v>34</v>
      </c>
      <c r="P268" s="15" t="s">
        <v>202</v>
      </c>
      <c r="Q268" s="16">
        <v>4799</v>
      </c>
      <c r="R268" s="17">
        <v>40</v>
      </c>
      <c r="S268" s="18">
        <v>3311.31</v>
      </c>
      <c r="T268" s="19" t="s">
        <v>36</v>
      </c>
      <c r="U268" s="20" t="s">
        <v>90</v>
      </c>
      <c r="V268" s="21" t="s">
        <v>91</v>
      </c>
      <c r="W268" s="22">
        <v>15</v>
      </c>
      <c r="X268" s="23"/>
    </row>
    <row r="269" spans="1:24" s="1" customFormat="1" ht="108" customHeight="1" x14ac:dyDescent="0.3">
      <c r="A269" s="11" t="s">
        <v>23</v>
      </c>
      <c r="B269" s="11" t="s">
        <v>206</v>
      </c>
      <c r="C269" s="12" t="s">
        <v>413</v>
      </c>
      <c r="D269" s="25"/>
      <c r="E269" s="41" t="str">
        <f>HYPERLINK("https://www.google.ru/search?q=1361586-390&amp;newwindow=1&amp;tbm=isch","Еще фото")</f>
        <v>Еще фото</v>
      </c>
      <c r="F269" s="28" t="s">
        <v>152</v>
      </c>
      <c r="G269" s="11" t="s">
        <v>77</v>
      </c>
      <c r="H269" s="11" t="s">
        <v>27</v>
      </c>
      <c r="I269" s="14" t="s">
        <v>28</v>
      </c>
      <c r="J269" s="14" t="s">
        <v>29</v>
      </c>
      <c r="K269" s="15" t="s">
        <v>30</v>
      </c>
      <c r="L269" s="14" t="s">
        <v>208</v>
      </c>
      <c r="M269" s="14" t="s">
        <v>61</v>
      </c>
      <c r="N269" s="14" t="s">
        <v>127</v>
      </c>
      <c r="O269" s="14"/>
      <c r="P269" s="15" t="s">
        <v>202</v>
      </c>
      <c r="Q269" s="16">
        <v>5299</v>
      </c>
      <c r="R269" s="17">
        <v>40</v>
      </c>
      <c r="S269" s="18">
        <v>3656.31</v>
      </c>
      <c r="T269" s="19" t="s">
        <v>36</v>
      </c>
      <c r="U269" s="20" t="s">
        <v>37</v>
      </c>
      <c r="V269" s="21" t="s">
        <v>38</v>
      </c>
      <c r="W269" s="22">
        <v>13</v>
      </c>
      <c r="X269" s="23"/>
    </row>
    <row r="270" spans="1:24" s="1" customFormat="1" ht="26" customHeight="1" x14ac:dyDescent="0.3">
      <c r="A270" s="11" t="s">
        <v>23</v>
      </c>
      <c r="B270" s="11" t="s">
        <v>414</v>
      </c>
      <c r="C270" s="12" t="s">
        <v>415</v>
      </c>
      <c r="D270" s="59"/>
      <c r="E270" s="41" t="str">
        <f>HYPERLINK("https://www.google.ru/search?q=1361588-001&amp;newwindow=1&amp;tbm=isch","Еще фото")</f>
        <v>Еще фото</v>
      </c>
      <c r="F270" s="13" t="s">
        <v>103</v>
      </c>
      <c r="G270" s="11" t="s">
        <v>77</v>
      </c>
      <c r="H270" s="11" t="s">
        <v>27</v>
      </c>
      <c r="I270" s="14" t="s">
        <v>28</v>
      </c>
      <c r="J270" s="14" t="s">
        <v>29</v>
      </c>
      <c r="K270" s="15" t="s">
        <v>30</v>
      </c>
      <c r="L270" s="57" t="s">
        <v>208</v>
      </c>
      <c r="M270" s="14" t="s">
        <v>61</v>
      </c>
      <c r="N270" s="14" t="s">
        <v>33</v>
      </c>
      <c r="O270" s="14" t="s">
        <v>34</v>
      </c>
      <c r="P270" s="15" t="s">
        <v>202</v>
      </c>
      <c r="Q270" s="16">
        <v>4499</v>
      </c>
      <c r="R270" s="17">
        <v>40</v>
      </c>
      <c r="S270" s="18">
        <v>3104.31</v>
      </c>
      <c r="T270" s="19" t="s">
        <v>36</v>
      </c>
      <c r="U270" s="20" t="s">
        <v>37</v>
      </c>
      <c r="V270" s="21" t="s">
        <v>38</v>
      </c>
      <c r="W270" s="22">
        <v>19</v>
      </c>
      <c r="X270" s="23"/>
    </row>
    <row r="271" spans="1:24" s="1" customFormat="1" ht="26" customHeight="1" x14ac:dyDescent="0.3">
      <c r="A271" s="24" t="s">
        <v>23</v>
      </c>
      <c r="B271" s="24" t="s">
        <v>414</v>
      </c>
      <c r="C271" s="12" t="s">
        <v>415</v>
      </c>
      <c r="D271" s="60"/>
      <c r="E271" s="41" t="str">
        <f>HYPERLINK("https://www.google.ru/search?q=1361588-001&amp;newwindow=1&amp;tbm=isch","Еще фото")</f>
        <v>Еще фото</v>
      </c>
      <c r="F271" s="13" t="s">
        <v>103</v>
      </c>
      <c r="G271" s="24" t="s">
        <v>77</v>
      </c>
      <c r="H271" s="24" t="s">
        <v>27</v>
      </c>
      <c r="I271" s="24" t="s">
        <v>28</v>
      </c>
      <c r="J271" s="14" t="s">
        <v>29</v>
      </c>
      <c r="K271" s="15" t="s">
        <v>30</v>
      </c>
      <c r="L271" s="62"/>
      <c r="M271" s="14" t="s">
        <v>61</v>
      </c>
      <c r="N271" s="14" t="s">
        <v>33</v>
      </c>
      <c r="O271" s="14" t="s">
        <v>34</v>
      </c>
      <c r="P271" s="15" t="s">
        <v>202</v>
      </c>
      <c r="Q271" s="16">
        <v>4499</v>
      </c>
      <c r="R271" s="17">
        <v>40</v>
      </c>
      <c r="S271" s="18">
        <v>3104.31</v>
      </c>
      <c r="T271" s="19" t="s">
        <v>36</v>
      </c>
      <c r="U271" s="20" t="s">
        <v>39</v>
      </c>
      <c r="V271" s="21" t="s">
        <v>40</v>
      </c>
      <c r="W271" s="22">
        <v>9</v>
      </c>
      <c r="X271" s="23"/>
    </row>
    <row r="272" spans="1:24" s="1" customFormat="1" ht="26" customHeight="1" x14ac:dyDescent="0.3">
      <c r="A272" s="24" t="s">
        <v>23</v>
      </c>
      <c r="B272" s="24" t="s">
        <v>414</v>
      </c>
      <c r="C272" s="12" t="s">
        <v>415</v>
      </c>
      <c r="D272" s="60"/>
      <c r="E272" s="41" t="str">
        <f>HYPERLINK("https://www.google.ru/search?q=1361588-001&amp;newwindow=1&amp;tbm=isch","Еще фото")</f>
        <v>Еще фото</v>
      </c>
      <c r="F272" s="13" t="s">
        <v>103</v>
      </c>
      <c r="G272" s="24" t="s">
        <v>77</v>
      </c>
      <c r="H272" s="24" t="s">
        <v>27</v>
      </c>
      <c r="I272" s="24" t="s">
        <v>28</v>
      </c>
      <c r="J272" s="14" t="s">
        <v>29</v>
      </c>
      <c r="K272" s="15" t="s">
        <v>30</v>
      </c>
      <c r="L272" s="62"/>
      <c r="M272" s="14" t="s">
        <v>61</v>
      </c>
      <c r="N272" s="14" t="s">
        <v>33</v>
      </c>
      <c r="O272" s="14" t="s">
        <v>34</v>
      </c>
      <c r="P272" s="15" t="s">
        <v>202</v>
      </c>
      <c r="Q272" s="16">
        <v>4499</v>
      </c>
      <c r="R272" s="17">
        <v>40</v>
      </c>
      <c r="S272" s="18">
        <v>3104.31</v>
      </c>
      <c r="T272" s="19" t="s">
        <v>36</v>
      </c>
      <c r="U272" s="20" t="s">
        <v>88</v>
      </c>
      <c r="V272" s="21" t="s">
        <v>89</v>
      </c>
      <c r="W272" s="22">
        <v>5</v>
      </c>
      <c r="X272" s="23"/>
    </row>
    <row r="273" spans="1:24" s="1" customFormat="1" ht="26" customHeight="1" x14ac:dyDescent="0.3">
      <c r="A273" s="24" t="s">
        <v>23</v>
      </c>
      <c r="B273" s="24" t="s">
        <v>414</v>
      </c>
      <c r="C273" s="12" t="s">
        <v>415</v>
      </c>
      <c r="D273" s="61"/>
      <c r="E273" s="41" t="str">
        <f>HYPERLINK("https://www.google.ru/search?q=1361588-001&amp;newwindow=1&amp;tbm=isch","Еще фото")</f>
        <v>Еще фото</v>
      </c>
      <c r="F273" s="13" t="s">
        <v>103</v>
      </c>
      <c r="G273" s="24" t="s">
        <v>77</v>
      </c>
      <c r="H273" s="24" t="s">
        <v>27</v>
      </c>
      <c r="I273" s="24" t="s">
        <v>28</v>
      </c>
      <c r="J273" s="14" t="s">
        <v>29</v>
      </c>
      <c r="K273" s="15" t="s">
        <v>30</v>
      </c>
      <c r="L273" s="58"/>
      <c r="M273" s="14" t="s">
        <v>61</v>
      </c>
      <c r="N273" s="14" t="s">
        <v>33</v>
      </c>
      <c r="O273" s="14" t="s">
        <v>34</v>
      </c>
      <c r="P273" s="15" t="s">
        <v>202</v>
      </c>
      <c r="Q273" s="16">
        <v>4499</v>
      </c>
      <c r="R273" s="17">
        <v>40</v>
      </c>
      <c r="S273" s="18">
        <v>3104.31</v>
      </c>
      <c r="T273" s="19" t="s">
        <v>36</v>
      </c>
      <c r="U273" s="20" t="s">
        <v>90</v>
      </c>
      <c r="V273" s="21" t="s">
        <v>91</v>
      </c>
      <c r="W273" s="22">
        <v>5</v>
      </c>
      <c r="X273" s="23"/>
    </row>
    <row r="274" spans="1:24" s="1" customFormat="1" ht="52.05" customHeight="1" x14ac:dyDescent="0.3">
      <c r="A274" s="11" t="s">
        <v>23</v>
      </c>
      <c r="B274" s="11" t="s">
        <v>414</v>
      </c>
      <c r="C274" s="12" t="s">
        <v>416</v>
      </c>
      <c r="D274" s="55"/>
      <c r="E274" s="41" t="str">
        <f>HYPERLINK("https://www.google.ru/search?q=1361588-025&amp;newwindow=1&amp;tbm=isch","Еще фото")</f>
        <v>Еще фото</v>
      </c>
      <c r="F274" s="13"/>
      <c r="G274" s="11" t="s">
        <v>77</v>
      </c>
      <c r="H274" s="11" t="s">
        <v>27</v>
      </c>
      <c r="I274" s="14" t="s">
        <v>28</v>
      </c>
      <c r="J274" s="14" t="s">
        <v>29</v>
      </c>
      <c r="K274" s="15" t="s">
        <v>30</v>
      </c>
      <c r="L274" s="57" t="s">
        <v>417</v>
      </c>
      <c r="M274" s="14"/>
      <c r="N274" s="14" t="s">
        <v>62</v>
      </c>
      <c r="O274" s="14"/>
      <c r="P274" s="15" t="s">
        <v>202</v>
      </c>
      <c r="Q274" s="16">
        <v>4899</v>
      </c>
      <c r="R274" s="17">
        <v>40</v>
      </c>
      <c r="S274" s="18">
        <v>3380.31</v>
      </c>
      <c r="T274" s="19" t="s">
        <v>36</v>
      </c>
      <c r="U274" s="20" t="s">
        <v>37</v>
      </c>
      <c r="V274" s="21" t="s">
        <v>38</v>
      </c>
      <c r="W274" s="22">
        <v>2</v>
      </c>
      <c r="X274" s="23"/>
    </row>
    <row r="275" spans="1:24" s="1" customFormat="1" ht="61.05" customHeight="1" x14ac:dyDescent="0.3">
      <c r="A275" s="24" t="s">
        <v>23</v>
      </c>
      <c r="B275" s="24" t="s">
        <v>414</v>
      </c>
      <c r="C275" s="12" t="s">
        <v>416</v>
      </c>
      <c r="D275" s="56"/>
      <c r="E275" s="41" t="str">
        <f>HYPERLINK("https://www.google.ru/search?q=1361588-025&amp;newwindow=1&amp;tbm=isch","Еще фото")</f>
        <v>Еще фото</v>
      </c>
      <c r="F275" s="13"/>
      <c r="G275" s="24" t="s">
        <v>77</v>
      </c>
      <c r="H275" s="24" t="s">
        <v>27</v>
      </c>
      <c r="I275" s="24" t="s">
        <v>28</v>
      </c>
      <c r="J275" s="14" t="s">
        <v>29</v>
      </c>
      <c r="K275" s="15" t="s">
        <v>30</v>
      </c>
      <c r="L275" s="58"/>
      <c r="M275" s="14"/>
      <c r="N275" s="14" t="s">
        <v>62</v>
      </c>
      <c r="O275" s="14"/>
      <c r="P275" s="15" t="s">
        <v>202</v>
      </c>
      <c r="Q275" s="16">
        <v>4899</v>
      </c>
      <c r="R275" s="17">
        <v>40</v>
      </c>
      <c r="S275" s="18">
        <v>3380.31</v>
      </c>
      <c r="T275" s="19" t="s">
        <v>36</v>
      </c>
      <c r="U275" s="20" t="s">
        <v>39</v>
      </c>
      <c r="V275" s="21" t="s">
        <v>40</v>
      </c>
      <c r="W275" s="22">
        <v>2</v>
      </c>
      <c r="X275" s="23"/>
    </row>
    <row r="276" spans="1:24" s="1" customFormat="1" ht="21" customHeight="1" x14ac:dyDescent="0.3">
      <c r="A276" s="11" t="s">
        <v>23</v>
      </c>
      <c r="B276" s="11" t="s">
        <v>414</v>
      </c>
      <c r="C276" s="26" t="s">
        <v>418</v>
      </c>
      <c r="D276" s="59"/>
      <c r="E276" s="41" t="str">
        <f>HYPERLINK("https://www.google.ru/search?q=1361588-100&amp;newwindow=1&amp;tbm=isch","Еще фото")</f>
        <v>Еще фото</v>
      </c>
      <c r="F276" s="13" t="s">
        <v>103</v>
      </c>
      <c r="G276" s="11" t="s">
        <v>77</v>
      </c>
      <c r="H276" s="11" t="s">
        <v>27</v>
      </c>
      <c r="I276" s="14" t="s">
        <v>28</v>
      </c>
      <c r="J276" s="14" t="s">
        <v>29</v>
      </c>
      <c r="K276" s="15" t="s">
        <v>30</v>
      </c>
      <c r="L276" s="57" t="s">
        <v>417</v>
      </c>
      <c r="M276" s="14" t="s">
        <v>61</v>
      </c>
      <c r="N276" s="14" t="s">
        <v>84</v>
      </c>
      <c r="O276" s="14"/>
      <c r="P276" s="15" t="s">
        <v>202</v>
      </c>
      <c r="Q276" s="16">
        <v>3599</v>
      </c>
      <c r="R276" s="17">
        <v>40</v>
      </c>
      <c r="S276" s="18">
        <v>2483.31</v>
      </c>
      <c r="T276" s="19" t="s">
        <v>36</v>
      </c>
      <c r="U276" s="20" t="s">
        <v>37</v>
      </c>
      <c r="V276" s="21" t="s">
        <v>38</v>
      </c>
      <c r="W276" s="22">
        <v>10</v>
      </c>
      <c r="X276" s="23"/>
    </row>
    <row r="277" spans="1:24" s="1" customFormat="1" ht="21" customHeight="1" x14ac:dyDescent="0.3">
      <c r="A277" s="24" t="s">
        <v>23</v>
      </c>
      <c r="B277" s="24" t="s">
        <v>414</v>
      </c>
      <c r="C277" s="27" t="s">
        <v>418</v>
      </c>
      <c r="D277" s="60"/>
      <c r="E277" s="41" t="str">
        <f>HYPERLINK("https://www.google.ru/search?q=1361588-100&amp;newwindow=1&amp;tbm=isch","Еще фото")</f>
        <v>Еще фото</v>
      </c>
      <c r="F277" s="13" t="s">
        <v>103</v>
      </c>
      <c r="G277" s="24" t="s">
        <v>77</v>
      </c>
      <c r="H277" s="24" t="s">
        <v>27</v>
      </c>
      <c r="I277" s="24" t="s">
        <v>28</v>
      </c>
      <c r="J277" s="14" t="s">
        <v>29</v>
      </c>
      <c r="K277" s="15" t="s">
        <v>30</v>
      </c>
      <c r="L277" s="62"/>
      <c r="M277" s="14" t="s">
        <v>61</v>
      </c>
      <c r="N277" s="14" t="s">
        <v>84</v>
      </c>
      <c r="O277" s="14"/>
      <c r="P277" s="15" t="s">
        <v>202</v>
      </c>
      <c r="Q277" s="16">
        <v>3599</v>
      </c>
      <c r="R277" s="17">
        <v>40</v>
      </c>
      <c r="S277" s="18">
        <v>2483.31</v>
      </c>
      <c r="T277" s="19" t="s">
        <v>36</v>
      </c>
      <c r="U277" s="20" t="s">
        <v>39</v>
      </c>
      <c r="V277" s="21" t="s">
        <v>40</v>
      </c>
      <c r="W277" s="22">
        <v>13</v>
      </c>
      <c r="X277" s="23"/>
    </row>
    <row r="278" spans="1:24" s="1" customFormat="1" ht="21" customHeight="1" x14ac:dyDescent="0.3">
      <c r="A278" s="24" t="s">
        <v>23</v>
      </c>
      <c r="B278" s="24" t="s">
        <v>414</v>
      </c>
      <c r="C278" s="27" t="s">
        <v>418</v>
      </c>
      <c r="D278" s="60"/>
      <c r="E278" s="41" t="str">
        <f>HYPERLINK("https://www.google.ru/search?q=1361588-100&amp;newwindow=1&amp;tbm=isch","Еще фото")</f>
        <v>Еще фото</v>
      </c>
      <c r="F278" s="13" t="s">
        <v>103</v>
      </c>
      <c r="G278" s="24" t="s">
        <v>77</v>
      </c>
      <c r="H278" s="24" t="s">
        <v>27</v>
      </c>
      <c r="I278" s="24" t="s">
        <v>28</v>
      </c>
      <c r="J278" s="14" t="s">
        <v>29</v>
      </c>
      <c r="K278" s="15" t="s">
        <v>30</v>
      </c>
      <c r="L278" s="62"/>
      <c r="M278" s="14" t="s">
        <v>61</v>
      </c>
      <c r="N278" s="14" t="s">
        <v>84</v>
      </c>
      <c r="O278" s="14"/>
      <c r="P278" s="15" t="s">
        <v>202</v>
      </c>
      <c r="Q278" s="16">
        <v>3599</v>
      </c>
      <c r="R278" s="17">
        <v>40</v>
      </c>
      <c r="S278" s="18">
        <v>2483.31</v>
      </c>
      <c r="T278" s="19" t="s">
        <v>36</v>
      </c>
      <c r="U278" s="20" t="s">
        <v>86</v>
      </c>
      <c r="V278" s="21" t="s">
        <v>87</v>
      </c>
      <c r="W278" s="22">
        <v>3</v>
      </c>
      <c r="X278" s="23"/>
    </row>
    <row r="279" spans="1:24" s="1" customFormat="1" ht="21" customHeight="1" x14ac:dyDescent="0.3">
      <c r="A279" s="24" t="s">
        <v>23</v>
      </c>
      <c r="B279" s="24" t="s">
        <v>414</v>
      </c>
      <c r="C279" s="27" t="s">
        <v>418</v>
      </c>
      <c r="D279" s="60"/>
      <c r="E279" s="41" t="str">
        <f>HYPERLINK("https://www.google.ru/search?q=1361588-100&amp;newwindow=1&amp;tbm=isch","Еще фото")</f>
        <v>Еще фото</v>
      </c>
      <c r="F279" s="13" t="s">
        <v>103</v>
      </c>
      <c r="G279" s="24" t="s">
        <v>77</v>
      </c>
      <c r="H279" s="24" t="s">
        <v>27</v>
      </c>
      <c r="I279" s="24" t="s">
        <v>28</v>
      </c>
      <c r="J279" s="14" t="s">
        <v>29</v>
      </c>
      <c r="K279" s="15" t="s">
        <v>30</v>
      </c>
      <c r="L279" s="62"/>
      <c r="M279" s="14" t="s">
        <v>61</v>
      </c>
      <c r="N279" s="14" t="s">
        <v>84</v>
      </c>
      <c r="O279" s="14"/>
      <c r="P279" s="15" t="s">
        <v>202</v>
      </c>
      <c r="Q279" s="16">
        <v>3599</v>
      </c>
      <c r="R279" s="17">
        <v>40</v>
      </c>
      <c r="S279" s="18">
        <v>2483.31</v>
      </c>
      <c r="T279" s="19" t="s">
        <v>36</v>
      </c>
      <c r="U279" s="20" t="s">
        <v>88</v>
      </c>
      <c r="V279" s="21" t="s">
        <v>89</v>
      </c>
      <c r="W279" s="22">
        <v>6</v>
      </c>
      <c r="X279" s="23"/>
    </row>
    <row r="280" spans="1:24" s="1" customFormat="1" ht="32" customHeight="1" x14ac:dyDescent="0.3">
      <c r="A280" s="24" t="s">
        <v>23</v>
      </c>
      <c r="B280" s="24" t="s">
        <v>414</v>
      </c>
      <c r="C280" s="27" t="s">
        <v>418</v>
      </c>
      <c r="D280" s="61"/>
      <c r="E280" s="41" t="str">
        <f>HYPERLINK("https://www.google.ru/search?q=1361588-100&amp;newwindow=1&amp;tbm=isch","Еще фото")</f>
        <v>Еще фото</v>
      </c>
      <c r="F280" s="13" t="s">
        <v>103</v>
      </c>
      <c r="G280" s="24" t="s">
        <v>77</v>
      </c>
      <c r="H280" s="24" t="s">
        <v>27</v>
      </c>
      <c r="I280" s="24" t="s">
        <v>28</v>
      </c>
      <c r="J280" s="14" t="s">
        <v>29</v>
      </c>
      <c r="K280" s="15" t="s">
        <v>30</v>
      </c>
      <c r="L280" s="58"/>
      <c r="M280" s="14" t="s">
        <v>61</v>
      </c>
      <c r="N280" s="14" t="s">
        <v>84</v>
      </c>
      <c r="O280" s="14"/>
      <c r="P280" s="15" t="s">
        <v>202</v>
      </c>
      <c r="Q280" s="16">
        <v>3599</v>
      </c>
      <c r="R280" s="17">
        <v>40</v>
      </c>
      <c r="S280" s="18">
        <v>2483.31</v>
      </c>
      <c r="T280" s="19" t="s">
        <v>36</v>
      </c>
      <c r="U280" s="20" t="s">
        <v>408</v>
      </c>
      <c r="V280" s="21" t="s">
        <v>409</v>
      </c>
      <c r="W280" s="22">
        <v>3</v>
      </c>
      <c r="X280" s="23"/>
    </row>
    <row r="281" spans="1:24" s="1" customFormat="1" ht="108" customHeight="1" x14ac:dyDescent="0.3">
      <c r="A281" s="11" t="s">
        <v>23</v>
      </c>
      <c r="B281" s="11" t="s">
        <v>419</v>
      </c>
      <c r="C281" s="12" t="s">
        <v>420</v>
      </c>
      <c r="D281" s="25"/>
      <c r="E281" s="41" t="str">
        <f>HYPERLINK("https://www.google.ru/search?q=1361959-310&amp;newwindow=1&amp;tbm=isch","Еще фото")</f>
        <v>Еще фото</v>
      </c>
      <c r="F281" s="13" t="s">
        <v>103</v>
      </c>
      <c r="G281" s="11" t="s">
        <v>28</v>
      </c>
      <c r="H281" s="11" t="s">
        <v>27</v>
      </c>
      <c r="I281" s="14" t="s">
        <v>28</v>
      </c>
      <c r="J281" s="14" t="s">
        <v>43</v>
      </c>
      <c r="K281" s="15" t="s">
        <v>50</v>
      </c>
      <c r="L281" s="14" t="s">
        <v>421</v>
      </c>
      <c r="M281" s="14" t="s">
        <v>45</v>
      </c>
      <c r="N281" s="14" t="s">
        <v>127</v>
      </c>
      <c r="O281" s="14" t="s">
        <v>34</v>
      </c>
      <c r="P281" s="15" t="s">
        <v>422</v>
      </c>
      <c r="Q281" s="16">
        <v>7499</v>
      </c>
      <c r="R281" s="17">
        <v>40</v>
      </c>
      <c r="S281" s="18">
        <v>5174.3099999999995</v>
      </c>
      <c r="T281" s="19" t="s">
        <v>36</v>
      </c>
      <c r="U281" s="20" t="s">
        <v>71</v>
      </c>
      <c r="V281" s="21" t="s">
        <v>72</v>
      </c>
      <c r="W281" s="22">
        <v>2</v>
      </c>
      <c r="X281" s="23"/>
    </row>
    <row r="282" spans="1:24" s="1" customFormat="1" ht="11" customHeight="1" x14ac:dyDescent="0.3">
      <c r="A282" s="11" t="s">
        <v>23</v>
      </c>
      <c r="B282" s="11" t="s">
        <v>209</v>
      </c>
      <c r="C282" s="12" t="s">
        <v>423</v>
      </c>
      <c r="D282" s="59"/>
      <c r="E282" s="41" t="str">
        <f t="shared" ref="E282:E291" si="7">HYPERLINK("https://www.google.ru/search?q=1364410-001&amp;newwindow=1&amp;tbm=isch","Еще фото")</f>
        <v>Еще фото</v>
      </c>
      <c r="F282" s="13" t="s">
        <v>103</v>
      </c>
      <c r="G282" s="11" t="s">
        <v>28</v>
      </c>
      <c r="H282" s="11" t="s">
        <v>27</v>
      </c>
      <c r="I282" s="14" t="s">
        <v>28</v>
      </c>
      <c r="J282" s="14" t="s">
        <v>211</v>
      </c>
      <c r="K282" s="15" t="s">
        <v>30</v>
      </c>
      <c r="L282" s="57" t="s">
        <v>212</v>
      </c>
      <c r="M282" s="14" t="s">
        <v>52</v>
      </c>
      <c r="N282" s="14" t="s">
        <v>33</v>
      </c>
      <c r="O282" s="14"/>
      <c r="P282" s="15" t="s">
        <v>213</v>
      </c>
      <c r="Q282" s="16">
        <v>8199</v>
      </c>
      <c r="R282" s="17">
        <v>40</v>
      </c>
      <c r="S282" s="18">
        <v>5657.3099999999995</v>
      </c>
      <c r="T282" s="19" t="s">
        <v>36</v>
      </c>
      <c r="U282" s="20" t="s">
        <v>214</v>
      </c>
      <c r="V282" s="22">
        <v>46</v>
      </c>
      <c r="W282" s="22">
        <v>5</v>
      </c>
      <c r="X282" s="23"/>
    </row>
    <row r="283" spans="1:24" s="1" customFormat="1" ht="11" customHeight="1" x14ac:dyDescent="0.3">
      <c r="A283" s="24" t="s">
        <v>23</v>
      </c>
      <c r="B283" s="24" t="s">
        <v>209</v>
      </c>
      <c r="C283" s="12" t="s">
        <v>423</v>
      </c>
      <c r="D283" s="60"/>
      <c r="E283" s="41" t="str">
        <f t="shared" si="7"/>
        <v>Еще фото</v>
      </c>
      <c r="F283" s="13" t="s">
        <v>103</v>
      </c>
      <c r="G283" s="24" t="s">
        <v>28</v>
      </c>
      <c r="H283" s="24" t="s">
        <v>27</v>
      </c>
      <c r="I283" s="24" t="s">
        <v>28</v>
      </c>
      <c r="J283" s="14" t="s">
        <v>211</v>
      </c>
      <c r="K283" s="15" t="s">
        <v>30</v>
      </c>
      <c r="L283" s="62"/>
      <c r="M283" s="14" t="s">
        <v>52</v>
      </c>
      <c r="N283" s="14" t="s">
        <v>33</v>
      </c>
      <c r="O283" s="14"/>
      <c r="P283" s="15" t="s">
        <v>213</v>
      </c>
      <c r="Q283" s="16">
        <v>8199</v>
      </c>
      <c r="R283" s="17">
        <v>40</v>
      </c>
      <c r="S283" s="18">
        <v>5657.3099999999995</v>
      </c>
      <c r="T283" s="19" t="s">
        <v>36</v>
      </c>
      <c r="U283" s="20" t="s">
        <v>216</v>
      </c>
      <c r="V283" s="22">
        <v>48</v>
      </c>
      <c r="W283" s="22">
        <v>15</v>
      </c>
      <c r="X283" s="23"/>
    </row>
    <row r="284" spans="1:24" s="1" customFormat="1" ht="11" customHeight="1" x14ac:dyDescent="0.3">
      <c r="A284" s="24" t="s">
        <v>23</v>
      </c>
      <c r="B284" s="24" t="s">
        <v>209</v>
      </c>
      <c r="C284" s="12" t="s">
        <v>423</v>
      </c>
      <c r="D284" s="60"/>
      <c r="E284" s="41" t="str">
        <f t="shared" si="7"/>
        <v>Еще фото</v>
      </c>
      <c r="F284" s="13" t="s">
        <v>103</v>
      </c>
      <c r="G284" s="24" t="s">
        <v>28</v>
      </c>
      <c r="H284" s="24" t="s">
        <v>27</v>
      </c>
      <c r="I284" s="24" t="s">
        <v>28</v>
      </c>
      <c r="J284" s="14" t="s">
        <v>211</v>
      </c>
      <c r="K284" s="15" t="s">
        <v>30</v>
      </c>
      <c r="L284" s="62"/>
      <c r="M284" s="14" t="s">
        <v>52</v>
      </c>
      <c r="N284" s="14" t="s">
        <v>33</v>
      </c>
      <c r="O284" s="14"/>
      <c r="P284" s="15" t="s">
        <v>213</v>
      </c>
      <c r="Q284" s="16">
        <v>8199</v>
      </c>
      <c r="R284" s="17">
        <v>40</v>
      </c>
      <c r="S284" s="18">
        <v>5657.3099999999995</v>
      </c>
      <c r="T284" s="19" t="s">
        <v>36</v>
      </c>
      <c r="U284" s="20" t="s">
        <v>424</v>
      </c>
      <c r="V284" s="22">
        <v>48</v>
      </c>
      <c r="W284" s="22">
        <v>4</v>
      </c>
      <c r="X284" s="23"/>
    </row>
    <row r="285" spans="1:24" s="1" customFormat="1" ht="11" customHeight="1" x14ac:dyDescent="0.3">
      <c r="A285" s="24" t="s">
        <v>23</v>
      </c>
      <c r="B285" s="24" t="s">
        <v>209</v>
      </c>
      <c r="C285" s="12" t="s">
        <v>423</v>
      </c>
      <c r="D285" s="60"/>
      <c r="E285" s="41" t="str">
        <f t="shared" si="7"/>
        <v>Еще фото</v>
      </c>
      <c r="F285" s="13" t="s">
        <v>103</v>
      </c>
      <c r="G285" s="24" t="s">
        <v>28</v>
      </c>
      <c r="H285" s="24" t="s">
        <v>27</v>
      </c>
      <c r="I285" s="24" t="s">
        <v>28</v>
      </c>
      <c r="J285" s="14" t="s">
        <v>211</v>
      </c>
      <c r="K285" s="15" t="s">
        <v>30</v>
      </c>
      <c r="L285" s="62"/>
      <c r="M285" s="14" t="s">
        <v>52</v>
      </c>
      <c r="N285" s="14" t="s">
        <v>33</v>
      </c>
      <c r="O285" s="14"/>
      <c r="P285" s="15" t="s">
        <v>213</v>
      </c>
      <c r="Q285" s="16">
        <v>8199</v>
      </c>
      <c r="R285" s="17">
        <v>40</v>
      </c>
      <c r="S285" s="18">
        <v>5657.3099999999995</v>
      </c>
      <c r="T285" s="19" t="s">
        <v>36</v>
      </c>
      <c r="U285" s="20" t="s">
        <v>425</v>
      </c>
      <c r="V285" s="22">
        <v>50</v>
      </c>
      <c r="W285" s="22">
        <v>3</v>
      </c>
      <c r="X285" s="23"/>
    </row>
    <row r="286" spans="1:24" s="1" customFormat="1" ht="11" customHeight="1" x14ac:dyDescent="0.3">
      <c r="A286" s="24" t="s">
        <v>23</v>
      </c>
      <c r="B286" s="24" t="s">
        <v>209</v>
      </c>
      <c r="C286" s="12" t="s">
        <v>423</v>
      </c>
      <c r="D286" s="60"/>
      <c r="E286" s="41" t="str">
        <f t="shared" si="7"/>
        <v>Еще фото</v>
      </c>
      <c r="F286" s="13" t="s">
        <v>103</v>
      </c>
      <c r="G286" s="24" t="s">
        <v>28</v>
      </c>
      <c r="H286" s="24" t="s">
        <v>27</v>
      </c>
      <c r="I286" s="24" t="s">
        <v>28</v>
      </c>
      <c r="J286" s="14" t="s">
        <v>211</v>
      </c>
      <c r="K286" s="15" t="s">
        <v>30</v>
      </c>
      <c r="L286" s="62"/>
      <c r="M286" s="14" t="s">
        <v>52</v>
      </c>
      <c r="N286" s="14" t="s">
        <v>33</v>
      </c>
      <c r="O286" s="14"/>
      <c r="P286" s="15" t="s">
        <v>213</v>
      </c>
      <c r="Q286" s="16">
        <v>8199</v>
      </c>
      <c r="R286" s="17">
        <v>40</v>
      </c>
      <c r="S286" s="18">
        <v>5657.3099999999995</v>
      </c>
      <c r="T286" s="19" t="s">
        <v>36</v>
      </c>
      <c r="U286" s="20" t="s">
        <v>217</v>
      </c>
      <c r="V286" s="22">
        <v>50</v>
      </c>
      <c r="W286" s="22">
        <v>1</v>
      </c>
      <c r="X286" s="23"/>
    </row>
    <row r="287" spans="1:24" s="1" customFormat="1" ht="11" customHeight="1" x14ac:dyDescent="0.3">
      <c r="A287" s="24" t="s">
        <v>23</v>
      </c>
      <c r="B287" s="24" t="s">
        <v>209</v>
      </c>
      <c r="C287" s="12" t="s">
        <v>423</v>
      </c>
      <c r="D287" s="60"/>
      <c r="E287" s="41" t="str">
        <f t="shared" si="7"/>
        <v>Еще фото</v>
      </c>
      <c r="F287" s="13" t="s">
        <v>103</v>
      </c>
      <c r="G287" s="24" t="s">
        <v>28</v>
      </c>
      <c r="H287" s="24" t="s">
        <v>27</v>
      </c>
      <c r="I287" s="24" t="s">
        <v>28</v>
      </c>
      <c r="J287" s="14" t="s">
        <v>211</v>
      </c>
      <c r="K287" s="15" t="s">
        <v>30</v>
      </c>
      <c r="L287" s="62"/>
      <c r="M287" s="14" t="s">
        <v>52</v>
      </c>
      <c r="N287" s="14" t="s">
        <v>33</v>
      </c>
      <c r="O287" s="14"/>
      <c r="P287" s="15" t="s">
        <v>213</v>
      </c>
      <c r="Q287" s="16">
        <v>8199</v>
      </c>
      <c r="R287" s="17">
        <v>40</v>
      </c>
      <c r="S287" s="18">
        <v>5657.3099999999995</v>
      </c>
      <c r="T287" s="19" t="s">
        <v>36</v>
      </c>
      <c r="U287" s="20" t="s">
        <v>218</v>
      </c>
      <c r="V287" s="22">
        <v>50</v>
      </c>
      <c r="W287" s="22">
        <v>21</v>
      </c>
      <c r="X287" s="23"/>
    </row>
    <row r="288" spans="1:24" s="1" customFormat="1" ht="11" customHeight="1" x14ac:dyDescent="0.3">
      <c r="A288" s="24" t="s">
        <v>23</v>
      </c>
      <c r="B288" s="24" t="s">
        <v>209</v>
      </c>
      <c r="C288" s="12" t="s">
        <v>423</v>
      </c>
      <c r="D288" s="60"/>
      <c r="E288" s="41" t="str">
        <f t="shared" si="7"/>
        <v>Еще фото</v>
      </c>
      <c r="F288" s="13" t="s">
        <v>103</v>
      </c>
      <c r="G288" s="24" t="s">
        <v>28</v>
      </c>
      <c r="H288" s="24" t="s">
        <v>27</v>
      </c>
      <c r="I288" s="24" t="s">
        <v>28</v>
      </c>
      <c r="J288" s="14" t="s">
        <v>211</v>
      </c>
      <c r="K288" s="15" t="s">
        <v>30</v>
      </c>
      <c r="L288" s="62"/>
      <c r="M288" s="14" t="s">
        <v>52</v>
      </c>
      <c r="N288" s="14" t="s">
        <v>33</v>
      </c>
      <c r="O288" s="14"/>
      <c r="P288" s="15" t="s">
        <v>213</v>
      </c>
      <c r="Q288" s="16">
        <v>8199</v>
      </c>
      <c r="R288" s="17">
        <v>40</v>
      </c>
      <c r="S288" s="18">
        <v>5657.3099999999995</v>
      </c>
      <c r="T288" s="19" t="s">
        <v>36</v>
      </c>
      <c r="U288" s="20" t="s">
        <v>220</v>
      </c>
      <c r="V288" s="22">
        <v>52</v>
      </c>
      <c r="W288" s="22">
        <v>7</v>
      </c>
      <c r="X288" s="23"/>
    </row>
    <row r="289" spans="1:24" s="1" customFormat="1" ht="11" customHeight="1" x14ac:dyDescent="0.3">
      <c r="A289" s="24" t="s">
        <v>23</v>
      </c>
      <c r="B289" s="24" t="s">
        <v>209</v>
      </c>
      <c r="C289" s="12" t="s">
        <v>423</v>
      </c>
      <c r="D289" s="60"/>
      <c r="E289" s="41" t="str">
        <f t="shared" si="7"/>
        <v>Еще фото</v>
      </c>
      <c r="F289" s="13" t="s">
        <v>103</v>
      </c>
      <c r="G289" s="24" t="s">
        <v>28</v>
      </c>
      <c r="H289" s="24" t="s">
        <v>27</v>
      </c>
      <c r="I289" s="24" t="s">
        <v>28</v>
      </c>
      <c r="J289" s="14" t="s">
        <v>211</v>
      </c>
      <c r="K289" s="15" t="s">
        <v>30</v>
      </c>
      <c r="L289" s="62"/>
      <c r="M289" s="14" t="s">
        <v>52</v>
      </c>
      <c r="N289" s="14" t="s">
        <v>33</v>
      </c>
      <c r="O289" s="14"/>
      <c r="P289" s="15" t="s">
        <v>213</v>
      </c>
      <c r="Q289" s="16">
        <v>8199</v>
      </c>
      <c r="R289" s="17">
        <v>40</v>
      </c>
      <c r="S289" s="18">
        <v>5657.3099999999995</v>
      </c>
      <c r="T289" s="19" t="s">
        <v>36</v>
      </c>
      <c r="U289" s="20" t="s">
        <v>426</v>
      </c>
      <c r="V289" s="22">
        <v>54</v>
      </c>
      <c r="W289" s="22">
        <v>3</v>
      </c>
      <c r="X289" s="23"/>
    </row>
    <row r="290" spans="1:24" s="1" customFormat="1" ht="11" customHeight="1" x14ac:dyDescent="0.3">
      <c r="A290" s="24" t="s">
        <v>23</v>
      </c>
      <c r="B290" s="24" t="s">
        <v>209</v>
      </c>
      <c r="C290" s="12" t="s">
        <v>423</v>
      </c>
      <c r="D290" s="60"/>
      <c r="E290" s="41" t="str">
        <f t="shared" si="7"/>
        <v>Еще фото</v>
      </c>
      <c r="F290" s="13" t="s">
        <v>103</v>
      </c>
      <c r="G290" s="24" t="s">
        <v>28</v>
      </c>
      <c r="H290" s="24" t="s">
        <v>27</v>
      </c>
      <c r="I290" s="24" t="s">
        <v>28</v>
      </c>
      <c r="J290" s="14" t="s">
        <v>211</v>
      </c>
      <c r="K290" s="15" t="s">
        <v>30</v>
      </c>
      <c r="L290" s="62"/>
      <c r="M290" s="14" t="s">
        <v>52</v>
      </c>
      <c r="N290" s="14" t="s">
        <v>33</v>
      </c>
      <c r="O290" s="14"/>
      <c r="P290" s="15" t="s">
        <v>213</v>
      </c>
      <c r="Q290" s="16">
        <v>8199</v>
      </c>
      <c r="R290" s="17">
        <v>40</v>
      </c>
      <c r="S290" s="18">
        <v>5657.3099999999995</v>
      </c>
      <c r="T290" s="19" t="s">
        <v>36</v>
      </c>
      <c r="U290" s="20" t="s">
        <v>221</v>
      </c>
      <c r="V290" s="22">
        <v>54</v>
      </c>
      <c r="W290" s="22">
        <v>4</v>
      </c>
      <c r="X290" s="23"/>
    </row>
    <row r="291" spans="1:24" s="1" customFormat="1" ht="11" customHeight="1" x14ac:dyDescent="0.3">
      <c r="A291" s="14" t="s">
        <v>23</v>
      </c>
      <c r="B291" s="14" t="s">
        <v>209</v>
      </c>
      <c r="C291" s="12" t="s">
        <v>423</v>
      </c>
      <c r="D291" s="61"/>
      <c r="E291" s="41" t="str">
        <f t="shared" si="7"/>
        <v>Еще фото</v>
      </c>
      <c r="F291" s="29" t="s">
        <v>103</v>
      </c>
      <c r="G291" s="14" t="s">
        <v>28</v>
      </c>
      <c r="H291" s="14" t="s">
        <v>27</v>
      </c>
      <c r="I291" s="14" t="s">
        <v>28</v>
      </c>
      <c r="J291" s="14" t="s">
        <v>211</v>
      </c>
      <c r="K291" s="14" t="s">
        <v>30</v>
      </c>
      <c r="L291" s="58"/>
      <c r="M291" s="14" t="s">
        <v>52</v>
      </c>
      <c r="N291" s="14" t="s">
        <v>33</v>
      </c>
      <c r="O291" s="14"/>
      <c r="P291" s="14" t="s">
        <v>213</v>
      </c>
      <c r="Q291" s="30">
        <v>8199</v>
      </c>
      <c r="R291" s="31">
        <v>40</v>
      </c>
      <c r="S291" s="32">
        <v>5657.3099999999995</v>
      </c>
      <c r="T291" s="19" t="s">
        <v>36</v>
      </c>
      <c r="U291" s="20" t="s">
        <v>222</v>
      </c>
      <c r="V291" s="22">
        <v>54</v>
      </c>
      <c r="W291" s="22">
        <v>8</v>
      </c>
      <c r="X291" s="23"/>
    </row>
    <row r="292" spans="1:24" s="1" customFormat="1" ht="11" customHeight="1" x14ac:dyDescent="0.3">
      <c r="A292" s="11" t="s">
        <v>23</v>
      </c>
      <c r="B292" s="11" t="s">
        <v>209</v>
      </c>
      <c r="C292" s="12" t="s">
        <v>427</v>
      </c>
      <c r="D292" s="59"/>
      <c r="E292" s="41" t="str">
        <f t="shared" ref="E292:E305" si="8">HYPERLINK("https://www.google.ru/search?q=1364410-036&amp;newwindow=1&amp;tbm=isch","Еще фото")</f>
        <v>Еще фото</v>
      </c>
      <c r="F292" s="13"/>
      <c r="G292" s="11" t="s">
        <v>28</v>
      </c>
      <c r="H292" s="11" t="s">
        <v>27</v>
      </c>
      <c r="I292" s="14" t="s">
        <v>28</v>
      </c>
      <c r="J292" s="14" t="s">
        <v>211</v>
      </c>
      <c r="K292" s="15" t="s">
        <v>30</v>
      </c>
      <c r="L292" s="57" t="s">
        <v>212</v>
      </c>
      <c r="M292" s="14" t="s">
        <v>52</v>
      </c>
      <c r="N292" s="14" t="s">
        <v>62</v>
      </c>
      <c r="O292" s="14"/>
      <c r="P292" s="15" t="s">
        <v>213</v>
      </c>
      <c r="Q292" s="16">
        <v>8199</v>
      </c>
      <c r="R292" s="17">
        <v>40</v>
      </c>
      <c r="S292" s="18">
        <v>5657.3099999999995</v>
      </c>
      <c r="T292" s="19" t="s">
        <v>36</v>
      </c>
      <c r="U292" s="20" t="s">
        <v>428</v>
      </c>
      <c r="V292" s="22">
        <v>46</v>
      </c>
      <c r="W292" s="22">
        <v>3</v>
      </c>
      <c r="X292" s="23"/>
    </row>
    <row r="293" spans="1:24" s="1" customFormat="1" ht="11" customHeight="1" x14ac:dyDescent="0.3">
      <c r="A293" s="24" t="s">
        <v>23</v>
      </c>
      <c r="B293" s="24" t="s">
        <v>209</v>
      </c>
      <c r="C293" s="12" t="s">
        <v>427</v>
      </c>
      <c r="D293" s="60"/>
      <c r="E293" s="41" t="str">
        <f t="shared" si="8"/>
        <v>Еще фото</v>
      </c>
      <c r="F293" s="13"/>
      <c r="G293" s="24" t="s">
        <v>28</v>
      </c>
      <c r="H293" s="24" t="s">
        <v>27</v>
      </c>
      <c r="I293" s="24" t="s">
        <v>28</v>
      </c>
      <c r="J293" s="14" t="s">
        <v>211</v>
      </c>
      <c r="K293" s="15" t="s">
        <v>30</v>
      </c>
      <c r="L293" s="62"/>
      <c r="M293" s="14" t="s">
        <v>52</v>
      </c>
      <c r="N293" s="14" t="s">
        <v>62</v>
      </c>
      <c r="O293" s="14"/>
      <c r="P293" s="15" t="s">
        <v>213</v>
      </c>
      <c r="Q293" s="16">
        <v>8199</v>
      </c>
      <c r="R293" s="17">
        <v>40</v>
      </c>
      <c r="S293" s="18">
        <v>5657.3099999999995</v>
      </c>
      <c r="T293" s="19" t="s">
        <v>36</v>
      </c>
      <c r="U293" s="20" t="s">
        <v>214</v>
      </c>
      <c r="V293" s="22">
        <v>46</v>
      </c>
      <c r="W293" s="22">
        <v>3</v>
      </c>
      <c r="X293" s="23"/>
    </row>
    <row r="294" spans="1:24" s="1" customFormat="1" ht="11" customHeight="1" x14ac:dyDescent="0.3">
      <c r="A294" s="24" t="s">
        <v>23</v>
      </c>
      <c r="B294" s="24" t="s">
        <v>209</v>
      </c>
      <c r="C294" s="12" t="s">
        <v>427</v>
      </c>
      <c r="D294" s="60"/>
      <c r="E294" s="41" t="str">
        <f t="shared" si="8"/>
        <v>Еще фото</v>
      </c>
      <c r="F294" s="13"/>
      <c r="G294" s="24" t="s">
        <v>28</v>
      </c>
      <c r="H294" s="24" t="s">
        <v>27</v>
      </c>
      <c r="I294" s="24" t="s">
        <v>28</v>
      </c>
      <c r="J294" s="14" t="s">
        <v>211</v>
      </c>
      <c r="K294" s="15" t="s">
        <v>30</v>
      </c>
      <c r="L294" s="62"/>
      <c r="M294" s="14" t="s">
        <v>52</v>
      </c>
      <c r="N294" s="14" t="s">
        <v>62</v>
      </c>
      <c r="O294" s="14"/>
      <c r="P294" s="15" t="s">
        <v>213</v>
      </c>
      <c r="Q294" s="16">
        <v>8199</v>
      </c>
      <c r="R294" s="17">
        <v>40</v>
      </c>
      <c r="S294" s="18">
        <v>5657.3099999999995</v>
      </c>
      <c r="T294" s="19" t="s">
        <v>36</v>
      </c>
      <c r="U294" s="20" t="s">
        <v>215</v>
      </c>
      <c r="V294" s="22">
        <v>48</v>
      </c>
      <c r="W294" s="22">
        <v>7</v>
      </c>
      <c r="X294" s="23"/>
    </row>
    <row r="295" spans="1:24" s="1" customFormat="1" ht="11" customHeight="1" x14ac:dyDescent="0.3">
      <c r="A295" s="24" t="s">
        <v>23</v>
      </c>
      <c r="B295" s="24" t="s">
        <v>209</v>
      </c>
      <c r="C295" s="12" t="s">
        <v>427</v>
      </c>
      <c r="D295" s="60"/>
      <c r="E295" s="41" t="str">
        <f t="shared" si="8"/>
        <v>Еще фото</v>
      </c>
      <c r="F295" s="13"/>
      <c r="G295" s="24" t="s">
        <v>28</v>
      </c>
      <c r="H295" s="24" t="s">
        <v>27</v>
      </c>
      <c r="I295" s="24" t="s">
        <v>28</v>
      </c>
      <c r="J295" s="14" t="s">
        <v>211</v>
      </c>
      <c r="K295" s="15" t="s">
        <v>30</v>
      </c>
      <c r="L295" s="62"/>
      <c r="M295" s="14" t="s">
        <v>52</v>
      </c>
      <c r="N295" s="14" t="s">
        <v>62</v>
      </c>
      <c r="O295" s="14"/>
      <c r="P295" s="15" t="s">
        <v>213</v>
      </c>
      <c r="Q295" s="16">
        <v>8199</v>
      </c>
      <c r="R295" s="17">
        <v>40</v>
      </c>
      <c r="S295" s="18">
        <v>5657.3099999999995</v>
      </c>
      <c r="T295" s="19" t="s">
        <v>36</v>
      </c>
      <c r="U295" s="20" t="s">
        <v>216</v>
      </c>
      <c r="V295" s="22">
        <v>48</v>
      </c>
      <c r="W295" s="22">
        <v>9</v>
      </c>
      <c r="X295" s="23"/>
    </row>
    <row r="296" spans="1:24" s="1" customFormat="1" ht="11" customHeight="1" x14ac:dyDescent="0.3">
      <c r="A296" s="24" t="s">
        <v>23</v>
      </c>
      <c r="B296" s="24" t="s">
        <v>209</v>
      </c>
      <c r="C296" s="12" t="s">
        <v>427</v>
      </c>
      <c r="D296" s="60"/>
      <c r="E296" s="41" t="str">
        <f t="shared" si="8"/>
        <v>Еще фото</v>
      </c>
      <c r="F296" s="13"/>
      <c r="G296" s="24" t="s">
        <v>28</v>
      </c>
      <c r="H296" s="24" t="s">
        <v>27</v>
      </c>
      <c r="I296" s="24" t="s">
        <v>28</v>
      </c>
      <c r="J296" s="14" t="s">
        <v>211</v>
      </c>
      <c r="K296" s="15" t="s">
        <v>30</v>
      </c>
      <c r="L296" s="62"/>
      <c r="M296" s="14" t="s">
        <v>52</v>
      </c>
      <c r="N296" s="14" t="s">
        <v>62</v>
      </c>
      <c r="O296" s="14"/>
      <c r="P296" s="15" t="s">
        <v>213</v>
      </c>
      <c r="Q296" s="16">
        <v>8199</v>
      </c>
      <c r="R296" s="17">
        <v>40</v>
      </c>
      <c r="S296" s="18">
        <v>5657.3099999999995</v>
      </c>
      <c r="T296" s="19" t="s">
        <v>36</v>
      </c>
      <c r="U296" s="20" t="s">
        <v>424</v>
      </c>
      <c r="V296" s="22">
        <v>48</v>
      </c>
      <c r="W296" s="22">
        <v>4</v>
      </c>
      <c r="X296" s="23"/>
    </row>
    <row r="297" spans="1:24" s="1" customFormat="1" ht="11" customHeight="1" x14ac:dyDescent="0.3">
      <c r="A297" s="24" t="s">
        <v>23</v>
      </c>
      <c r="B297" s="24" t="s">
        <v>209</v>
      </c>
      <c r="C297" s="12" t="s">
        <v>427</v>
      </c>
      <c r="D297" s="60"/>
      <c r="E297" s="41" t="str">
        <f t="shared" si="8"/>
        <v>Еще фото</v>
      </c>
      <c r="F297" s="13"/>
      <c r="G297" s="24" t="s">
        <v>28</v>
      </c>
      <c r="H297" s="24" t="s">
        <v>27</v>
      </c>
      <c r="I297" s="24" t="s">
        <v>28</v>
      </c>
      <c r="J297" s="14" t="s">
        <v>211</v>
      </c>
      <c r="K297" s="15" t="s">
        <v>30</v>
      </c>
      <c r="L297" s="62"/>
      <c r="M297" s="14" t="s">
        <v>52</v>
      </c>
      <c r="N297" s="14" t="s">
        <v>62</v>
      </c>
      <c r="O297" s="14"/>
      <c r="P297" s="15" t="s">
        <v>213</v>
      </c>
      <c r="Q297" s="16">
        <v>8199</v>
      </c>
      <c r="R297" s="17">
        <v>40</v>
      </c>
      <c r="S297" s="18">
        <v>5657.3099999999995</v>
      </c>
      <c r="T297" s="19" t="s">
        <v>36</v>
      </c>
      <c r="U297" s="20" t="s">
        <v>217</v>
      </c>
      <c r="V297" s="22">
        <v>50</v>
      </c>
      <c r="W297" s="22">
        <v>4</v>
      </c>
      <c r="X297" s="23"/>
    </row>
    <row r="298" spans="1:24" s="1" customFormat="1" ht="11" customHeight="1" x14ac:dyDescent="0.3">
      <c r="A298" s="24" t="s">
        <v>23</v>
      </c>
      <c r="B298" s="24" t="s">
        <v>209</v>
      </c>
      <c r="C298" s="12" t="s">
        <v>427</v>
      </c>
      <c r="D298" s="60"/>
      <c r="E298" s="41" t="str">
        <f t="shared" si="8"/>
        <v>Еще фото</v>
      </c>
      <c r="F298" s="13"/>
      <c r="G298" s="24" t="s">
        <v>28</v>
      </c>
      <c r="H298" s="24" t="s">
        <v>27</v>
      </c>
      <c r="I298" s="24" t="s">
        <v>28</v>
      </c>
      <c r="J298" s="14" t="s">
        <v>211</v>
      </c>
      <c r="K298" s="15" t="s">
        <v>30</v>
      </c>
      <c r="L298" s="62"/>
      <c r="M298" s="14" t="s">
        <v>52</v>
      </c>
      <c r="N298" s="14" t="s">
        <v>62</v>
      </c>
      <c r="O298" s="14"/>
      <c r="P298" s="15" t="s">
        <v>213</v>
      </c>
      <c r="Q298" s="16">
        <v>8199</v>
      </c>
      <c r="R298" s="17">
        <v>40</v>
      </c>
      <c r="S298" s="18">
        <v>5657.3099999999995</v>
      </c>
      <c r="T298" s="19" t="s">
        <v>36</v>
      </c>
      <c r="U298" s="20" t="s">
        <v>218</v>
      </c>
      <c r="V298" s="22">
        <v>50</v>
      </c>
      <c r="W298" s="22">
        <v>5</v>
      </c>
      <c r="X298" s="23"/>
    </row>
    <row r="299" spans="1:24" s="1" customFormat="1" ht="11" customHeight="1" x14ac:dyDescent="0.3">
      <c r="A299" s="24" t="s">
        <v>23</v>
      </c>
      <c r="B299" s="24" t="s">
        <v>209</v>
      </c>
      <c r="C299" s="12" t="s">
        <v>427</v>
      </c>
      <c r="D299" s="60"/>
      <c r="E299" s="41" t="str">
        <f t="shared" si="8"/>
        <v>Еще фото</v>
      </c>
      <c r="F299" s="13"/>
      <c r="G299" s="24" t="s">
        <v>28</v>
      </c>
      <c r="H299" s="24" t="s">
        <v>27</v>
      </c>
      <c r="I299" s="24" t="s">
        <v>28</v>
      </c>
      <c r="J299" s="14" t="s">
        <v>211</v>
      </c>
      <c r="K299" s="15" t="s">
        <v>30</v>
      </c>
      <c r="L299" s="62"/>
      <c r="M299" s="14" t="s">
        <v>52</v>
      </c>
      <c r="N299" s="14" t="s">
        <v>62</v>
      </c>
      <c r="O299" s="14"/>
      <c r="P299" s="15" t="s">
        <v>213</v>
      </c>
      <c r="Q299" s="16">
        <v>8199</v>
      </c>
      <c r="R299" s="17">
        <v>40</v>
      </c>
      <c r="S299" s="18">
        <v>5657.3099999999995</v>
      </c>
      <c r="T299" s="19" t="s">
        <v>36</v>
      </c>
      <c r="U299" s="20" t="s">
        <v>429</v>
      </c>
      <c r="V299" s="22">
        <v>52</v>
      </c>
      <c r="W299" s="22">
        <v>2</v>
      </c>
      <c r="X299" s="23"/>
    </row>
    <row r="300" spans="1:24" s="1" customFormat="1" ht="11" customHeight="1" x14ac:dyDescent="0.3">
      <c r="A300" s="24" t="s">
        <v>23</v>
      </c>
      <c r="B300" s="24" t="s">
        <v>209</v>
      </c>
      <c r="C300" s="12" t="s">
        <v>427</v>
      </c>
      <c r="D300" s="60"/>
      <c r="E300" s="41" t="str">
        <f t="shared" si="8"/>
        <v>Еще фото</v>
      </c>
      <c r="F300" s="13"/>
      <c r="G300" s="24" t="s">
        <v>28</v>
      </c>
      <c r="H300" s="24" t="s">
        <v>27</v>
      </c>
      <c r="I300" s="24" t="s">
        <v>28</v>
      </c>
      <c r="J300" s="14" t="s">
        <v>211</v>
      </c>
      <c r="K300" s="15" t="s">
        <v>30</v>
      </c>
      <c r="L300" s="62"/>
      <c r="M300" s="14" t="s">
        <v>52</v>
      </c>
      <c r="N300" s="14" t="s">
        <v>62</v>
      </c>
      <c r="O300" s="14"/>
      <c r="P300" s="15" t="s">
        <v>213</v>
      </c>
      <c r="Q300" s="16">
        <v>8199</v>
      </c>
      <c r="R300" s="17">
        <v>40</v>
      </c>
      <c r="S300" s="18">
        <v>5657.3099999999995</v>
      </c>
      <c r="T300" s="19" t="s">
        <v>36</v>
      </c>
      <c r="U300" s="20" t="s">
        <v>219</v>
      </c>
      <c r="V300" s="22">
        <v>52</v>
      </c>
      <c r="W300" s="22">
        <v>3</v>
      </c>
      <c r="X300" s="23"/>
    </row>
    <row r="301" spans="1:24" s="1" customFormat="1" ht="11" customHeight="1" x14ac:dyDescent="0.3">
      <c r="A301" s="14" t="s">
        <v>23</v>
      </c>
      <c r="B301" s="14" t="s">
        <v>209</v>
      </c>
      <c r="C301" s="12" t="s">
        <v>427</v>
      </c>
      <c r="D301" s="60"/>
      <c r="E301" s="41" t="str">
        <f t="shared" si="8"/>
        <v>Еще фото</v>
      </c>
      <c r="F301" s="29"/>
      <c r="G301" s="14" t="s">
        <v>28</v>
      </c>
      <c r="H301" s="14" t="s">
        <v>27</v>
      </c>
      <c r="I301" s="14" t="s">
        <v>28</v>
      </c>
      <c r="J301" s="14" t="s">
        <v>211</v>
      </c>
      <c r="K301" s="14" t="s">
        <v>30</v>
      </c>
      <c r="L301" s="62"/>
      <c r="M301" s="14" t="s">
        <v>52</v>
      </c>
      <c r="N301" s="14" t="s">
        <v>62</v>
      </c>
      <c r="O301" s="14"/>
      <c r="P301" s="14" t="s">
        <v>213</v>
      </c>
      <c r="Q301" s="30">
        <v>8199</v>
      </c>
      <c r="R301" s="31">
        <v>40</v>
      </c>
      <c r="S301" s="32">
        <v>5657.3099999999995</v>
      </c>
      <c r="T301" s="19" t="s">
        <v>36</v>
      </c>
      <c r="U301" s="20" t="s">
        <v>220</v>
      </c>
      <c r="V301" s="22">
        <v>52</v>
      </c>
      <c r="W301" s="22">
        <v>7</v>
      </c>
      <c r="X301" s="23"/>
    </row>
    <row r="302" spans="1:24" s="1" customFormat="1" ht="11" customHeight="1" x14ac:dyDescent="0.3">
      <c r="A302" s="14" t="s">
        <v>23</v>
      </c>
      <c r="B302" s="14" t="s">
        <v>209</v>
      </c>
      <c r="C302" s="12" t="s">
        <v>427</v>
      </c>
      <c r="D302" s="60"/>
      <c r="E302" s="41" t="str">
        <f t="shared" si="8"/>
        <v>Еще фото</v>
      </c>
      <c r="F302" s="29"/>
      <c r="G302" s="14" t="s">
        <v>28</v>
      </c>
      <c r="H302" s="14" t="s">
        <v>27</v>
      </c>
      <c r="I302" s="14" t="s">
        <v>28</v>
      </c>
      <c r="J302" s="14" t="s">
        <v>211</v>
      </c>
      <c r="K302" s="14" t="s">
        <v>30</v>
      </c>
      <c r="L302" s="62"/>
      <c r="M302" s="14" t="s">
        <v>52</v>
      </c>
      <c r="N302" s="14" t="s">
        <v>62</v>
      </c>
      <c r="O302" s="14"/>
      <c r="P302" s="14" t="s">
        <v>213</v>
      </c>
      <c r="Q302" s="30">
        <v>8199</v>
      </c>
      <c r="R302" s="31">
        <v>40</v>
      </c>
      <c r="S302" s="32">
        <v>5657.3099999999995</v>
      </c>
      <c r="T302" s="19" t="s">
        <v>36</v>
      </c>
      <c r="U302" s="20" t="s">
        <v>426</v>
      </c>
      <c r="V302" s="22">
        <v>54</v>
      </c>
      <c r="W302" s="22">
        <v>3</v>
      </c>
      <c r="X302" s="23"/>
    </row>
    <row r="303" spans="1:24" s="1" customFormat="1" ht="11" customHeight="1" x14ac:dyDescent="0.3">
      <c r="A303" s="14" t="s">
        <v>23</v>
      </c>
      <c r="B303" s="14" t="s">
        <v>209</v>
      </c>
      <c r="C303" s="12" t="s">
        <v>427</v>
      </c>
      <c r="D303" s="60"/>
      <c r="E303" s="41" t="str">
        <f t="shared" si="8"/>
        <v>Еще фото</v>
      </c>
      <c r="F303" s="29"/>
      <c r="G303" s="14" t="s">
        <v>28</v>
      </c>
      <c r="H303" s="14" t="s">
        <v>27</v>
      </c>
      <c r="I303" s="14" t="s">
        <v>28</v>
      </c>
      <c r="J303" s="14" t="s">
        <v>211</v>
      </c>
      <c r="K303" s="14" t="s">
        <v>30</v>
      </c>
      <c r="L303" s="62"/>
      <c r="M303" s="14" t="s">
        <v>52</v>
      </c>
      <c r="N303" s="14" t="s">
        <v>62</v>
      </c>
      <c r="O303" s="14"/>
      <c r="P303" s="14" t="s">
        <v>213</v>
      </c>
      <c r="Q303" s="30">
        <v>8199</v>
      </c>
      <c r="R303" s="31">
        <v>40</v>
      </c>
      <c r="S303" s="32">
        <v>5657.3099999999995</v>
      </c>
      <c r="T303" s="19" t="s">
        <v>36</v>
      </c>
      <c r="U303" s="20" t="s">
        <v>221</v>
      </c>
      <c r="V303" s="22">
        <v>54</v>
      </c>
      <c r="W303" s="22">
        <v>3</v>
      </c>
      <c r="X303" s="23"/>
    </row>
    <row r="304" spans="1:24" s="1" customFormat="1" ht="11" customHeight="1" x14ac:dyDescent="0.3">
      <c r="A304" s="14" t="s">
        <v>23</v>
      </c>
      <c r="B304" s="14" t="s">
        <v>209</v>
      </c>
      <c r="C304" s="12" t="s">
        <v>427</v>
      </c>
      <c r="D304" s="60"/>
      <c r="E304" s="41" t="str">
        <f t="shared" si="8"/>
        <v>Еще фото</v>
      </c>
      <c r="F304" s="29"/>
      <c r="G304" s="14" t="s">
        <v>28</v>
      </c>
      <c r="H304" s="14" t="s">
        <v>27</v>
      </c>
      <c r="I304" s="14" t="s">
        <v>28</v>
      </c>
      <c r="J304" s="14" t="s">
        <v>211</v>
      </c>
      <c r="K304" s="14" t="s">
        <v>30</v>
      </c>
      <c r="L304" s="62"/>
      <c r="M304" s="14" t="s">
        <v>52</v>
      </c>
      <c r="N304" s="14" t="s">
        <v>62</v>
      </c>
      <c r="O304" s="14"/>
      <c r="P304" s="14" t="s">
        <v>213</v>
      </c>
      <c r="Q304" s="30">
        <v>8199</v>
      </c>
      <c r="R304" s="31">
        <v>40</v>
      </c>
      <c r="S304" s="32">
        <v>5657.3099999999995</v>
      </c>
      <c r="T304" s="19" t="s">
        <v>36</v>
      </c>
      <c r="U304" s="20" t="s">
        <v>222</v>
      </c>
      <c r="V304" s="22">
        <v>54</v>
      </c>
      <c r="W304" s="22">
        <v>2</v>
      </c>
      <c r="X304" s="23"/>
    </row>
    <row r="305" spans="1:24" s="1" customFormat="1" ht="11" customHeight="1" x14ac:dyDescent="0.3">
      <c r="A305" s="14" t="s">
        <v>23</v>
      </c>
      <c r="B305" s="14" t="s">
        <v>209</v>
      </c>
      <c r="C305" s="12" t="s">
        <v>427</v>
      </c>
      <c r="D305" s="61"/>
      <c r="E305" s="41" t="str">
        <f t="shared" si="8"/>
        <v>Еще фото</v>
      </c>
      <c r="F305" s="29"/>
      <c r="G305" s="14" t="s">
        <v>28</v>
      </c>
      <c r="H305" s="14" t="s">
        <v>27</v>
      </c>
      <c r="I305" s="14" t="s">
        <v>28</v>
      </c>
      <c r="J305" s="14" t="s">
        <v>211</v>
      </c>
      <c r="K305" s="14" t="s">
        <v>30</v>
      </c>
      <c r="L305" s="58"/>
      <c r="M305" s="14" t="s">
        <v>52</v>
      </c>
      <c r="N305" s="14" t="s">
        <v>62</v>
      </c>
      <c r="O305" s="14"/>
      <c r="P305" s="14" t="s">
        <v>213</v>
      </c>
      <c r="Q305" s="30">
        <v>8199</v>
      </c>
      <c r="R305" s="31">
        <v>40</v>
      </c>
      <c r="S305" s="32">
        <v>5657.3099999999995</v>
      </c>
      <c r="T305" s="19" t="s">
        <v>36</v>
      </c>
      <c r="U305" s="20" t="s">
        <v>430</v>
      </c>
      <c r="V305" s="22">
        <v>56</v>
      </c>
      <c r="W305" s="22">
        <v>5</v>
      </c>
      <c r="X305" s="23"/>
    </row>
    <row r="306" spans="1:24" s="1" customFormat="1" ht="13.05" customHeight="1" x14ac:dyDescent="0.3">
      <c r="A306" s="11" t="s">
        <v>23</v>
      </c>
      <c r="B306" s="11" t="s">
        <v>209</v>
      </c>
      <c r="C306" s="12" t="s">
        <v>431</v>
      </c>
      <c r="D306" s="59"/>
      <c r="E306" s="41" t="str">
        <f t="shared" ref="E306:E313" si="9">HYPERLINK("https://www.google.ru/search?q=1364410-044&amp;newwindow=1&amp;tbm=isch","Еще фото")</f>
        <v>Еще фото</v>
      </c>
      <c r="F306" s="13"/>
      <c r="G306" s="11" t="s">
        <v>28</v>
      </c>
      <c r="H306" s="11" t="s">
        <v>27</v>
      </c>
      <c r="I306" s="14" t="s">
        <v>28</v>
      </c>
      <c r="J306" s="14" t="s">
        <v>211</v>
      </c>
      <c r="K306" s="15" t="s">
        <v>30</v>
      </c>
      <c r="L306" s="57" t="s">
        <v>212</v>
      </c>
      <c r="M306" s="14" t="s">
        <v>52</v>
      </c>
      <c r="N306" s="14" t="s">
        <v>62</v>
      </c>
      <c r="O306" s="14"/>
      <c r="P306" s="15" t="s">
        <v>213</v>
      </c>
      <c r="Q306" s="16">
        <v>8199</v>
      </c>
      <c r="R306" s="17">
        <v>40</v>
      </c>
      <c r="S306" s="18">
        <v>5657.3099999999995</v>
      </c>
      <c r="T306" s="19" t="s">
        <v>36</v>
      </c>
      <c r="U306" s="33" t="s">
        <v>215</v>
      </c>
      <c r="V306" s="22">
        <v>48</v>
      </c>
      <c r="W306" s="22">
        <v>5</v>
      </c>
      <c r="X306" s="23"/>
    </row>
    <row r="307" spans="1:24" s="1" customFormat="1" ht="13.05" customHeight="1" x14ac:dyDescent="0.3">
      <c r="A307" s="24" t="s">
        <v>23</v>
      </c>
      <c r="B307" s="24" t="s">
        <v>209</v>
      </c>
      <c r="C307" s="12" t="s">
        <v>431</v>
      </c>
      <c r="D307" s="60"/>
      <c r="E307" s="41" t="str">
        <f t="shared" si="9"/>
        <v>Еще фото</v>
      </c>
      <c r="F307" s="13"/>
      <c r="G307" s="24" t="s">
        <v>28</v>
      </c>
      <c r="H307" s="24" t="s">
        <v>27</v>
      </c>
      <c r="I307" s="24" t="s">
        <v>28</v>
      </c>
      <c r="J307" s="14" t="s">
        <v>211</v>
      </c>
      <c r="K307" s="15" t="s">
        <v>30</v>
      </c>
      <c r="L307" s="62"/>
      <c r="M307" s="14" t="s">
        <v>52</v>
      </c>
      <c r="N307" s="14" t="s">
        <v>62</v>
      </c>
      <c r="O307" s="14"/>
      <c r="P307" s="15" t="s">
        <v>213</v>
      </c>
      <c r="Q307" s="16">
        <v>8199</v>
      </c>
      <c r="R307" s="17">
        <v>40</v>
      </c>
      <c r="S307" s="18">
        <v>5657.3099999999995</v>
      </c>
      <c r="T307" s="19" t="s">
        <v>36</v>
      </c>
      <c r="U307" s="20" t="s">
        <v>216</v>
      </c>
      <c r="V307" s="22">
        <v>48</v>
      </c>
      <c r="W307" s="22">
        <v>7</v>
      </c>
      <c r="X307" s="23"/>
    </row>
    <row r="308" spans="1:24" s="1" customFormat="1" ht="13.05" customHeight="1" x14ac:dyDescent="0.3">
      <c r="A308" s="24" t="s">
        <v>23</v>
      </c>
      <c r="B308" s="24" t="s">
        <v>209</v>
      </c>
      <c r="C308" s="12" t="s">
        <v>431</v>
      </c>
      <c r="D308" s="60"/>
      <c r="E308" s="41" t="str">
        <f t="shared" si="9"/>
        <v>Еще фото</v>
      </c>
      <c r="F308" s="13"/>
      <c r="G308" s="24" t="s">
        <v>28</v>
      </c>
      <c r="H308" s="24" t="s">
        <v>27</v>
      </c>
      <c r="I308" s="24" t="s">
        <v>28</v>
      </c>
      <c r="J308" s="14" t="s">
        <v>211</v>
      </c>
      <c r="K308" s="15" t="s">
        <v>30</v>
      </c>
      <c r="L308" s="62"/>
      <c r="M308" s="14" t="s">
        <v>52</v>
      </c>
      <c r="N308" s="14" t="s">
        <v>62</v>
      </c>
      <c r="O308" s="14"/>
      <c r="P308" s="15" t="s">
        <v>213</v>
      </c>
      <c r="Q308" s="16">
        <v>8199</v>
      </c>
      <c r="R308" s="17">
        <v>40</v>
      </c>
      <c r="S308" s="18">
        <v>5657.3099999999995</v>
      </c>
      <c r="T308" s="19" t="s">
        <v>36</v>
      </c>
      <c r="U308" s="20" t="s">
        <v>217</v>
      </c>
      <c r="V308" s="22">
        <v>50</v>
      </c>
      <c r="W308" s="22">
        <v>3</v>
      </c>
      <c r="X308" s="23"/>
    </row>
    <row r="309" spans="1:24" s="1" customFormat="1" ht="13.05" customHeight="1" x14ac:dyDescent="0.3">
      <c r="A309" s="24" t="s">
        <v>23</v>
      </c>
      <c r="B309" s="24" t="s">
        <v>209</v>
      </c>
      <c r="C309" s="12" t="s">
        <v>431</v>
      </c>
      <c r="D309" s="60"/>
      <c r="E309" s="41" t="str">
        <f t="shared" si="9"/>
        <v>Еще фото</v>
      </c>
      <c r="F309" s="13"/>
      <c r="G309" s="24" t="s">
        <v>28</v>
      </c>
      <c r="H309" s="24" t="s">
        <v>27</v>
      </c>
      <c r="I309" s="24" t="s">
        <v>28</v>
      </c>
      <c r="J309" s="14" t="s">
        <v>211</v>
      </c>
      <c r="K309" s="15" t="s">
        <v>30</v>
      </c>
      <c r="L309" s="62"/>
      <c r="M309" s="14" t="s">
        <v>52</v>
      </c>
      <c r="N309" s="14" t="s">
        <v>62</v>
      </c>
      <c r="O309" s="14"/>
      <c r="P309" s="15" t="s">
        <v>213</v>
      </c>
      <c r="Q309" s="16">
        <v>8199</v>
      </c>
      <c r="R309" s="17">
        <v>40</v>
      </c>
      <c r="S309" s="18">
        <v>5657.3099999999995</v>
      </c>
      <c r="T309" s="19" t="s">
        <v>36</v>
      </c>
      <c r="U309" s="20" t="s">
        <v>218</v>
      </c>
      <c r="V309" s="22">
        <v>50</v>
      </c>
      <c r="W309" s="22">
        <v>8</v>
      </c>
      <c r="X309" s="23"/>
    </row>
    <row r="310" spans="1:24" s="1" customFormat="1" ht="13.05" customHeight="1" x14ac:dyDescent="0.3">
      <c r="A310" s="24" t="s">
        <v>23</v>
      </c>
      <c r="B310" s="24" t="s">
        <v>209</v>
      </c>
      <c r="C310" s="12" t="s">
        <v>431</v>
      </c>
      <c r="D310" s="60"/>
      <c r="E310" s="41" t="str">
        <f t="shared" si="9"/>
        <v>Еще фото</v>
      </c>
      <c r="F310" s="13"/>
      <c r="G310" s="24" t="s">
        <v>28</v>
      </c>
      <c r="H310" s="24" t="s">
        <v>27</v>
      </c>
      <c r="I310" s="24" t="s">
        <v>28</v>
      </c>
      <c r="J310" s="14" t="s">
        <v>211</v>
      </c>
      <c r="K310" s="15" t="s">
        <v>30</v>
      </c>
      <c r="L310" s="62"/>
      <c r="M310" s="14" t="s">
        <v>52</v>
      </c>
      <c r="N310" s="14" t="s">
        <v>62</v>
      </c>
      <c r="O310" s="14"/>
      <c r="P310" s="15" t="s">
        <v>213</v>
      </c>
      <c r="Q310" s="16">
        <v>8199</v>
      </c>
      <c r="R310" s="17">
        <v>40</v>
      </c>
      <c r="S310" s="18">
        <v>5657.3099999999995</v>
      </c>
      <c r="T310" s="19" t="s">
        <v>36</v>
      </c>
      <c r="U310" s="20" t="s">
        <v>219</v>
      </c>
      <c r="V310" s="22">
        <v>52</v>
      </c>
      <c r="W310" s="22">
        <v>2</v>
      </c>
      <c r="X310" s="23"/>
    </row>
    <row r="311" spans="1:24" s="1" customFormat="1" ht="13.05" customHeight="1" x14ac:dyDescent="0.3">
      <c r="A311" s="24" t="s">
        <v>23</v>
      </c>
      <c r="B311" s="24" t="s">
        <v>209</v>
      </c>
      <c r="C311" s="12" t="s">
        <v>431</v>
      </c>
      <c r="D311" s="60"/>
      <c r="E311" s="41" t="str">
        <f t="shared" si="9"/>
        <v>Еще фото</v>
      </c>
      <c r="F311" s="13"/>
      <c r="G311" s="24" t="s">
        <v>28</v>
      </c>
      <c r="H311" s="24" t="s">
        <v>27</v>
      </c>
      <c r="I311" s="24" t="s">
        <v>28</v>
      </c>
      <c r="J311" s="14" t="s">
        <v>211</v>
      </c>
      <c r="K311" s="15" t="s">
        <v>30</v>
      </c>
      <c r="L311" s="62"/>
      <c r="M311" s="14" t="s">
        <v>52</v>
      </c>
      <c r="N311" s="14" t="s">
        <v>62</v>
      </c>
      <c r="O311" s="14"/>
      <c r="P311" s="15" t="s">
        <v>213</v>
      </c>
      <c r="Q311" s="16">
        <v>8199</v>
      </c>
      <c r="R311" s="17">
        <v>40</v>
      </c>
      <c r="S311" s="18">
        <v>5657.3099999999995</v>
      </c>
      <c r="T311" s="19" t="s">
        <v>36</v>
      </c>
      <c r="U311" s="20" t="s">
        <v>220</v>
      </c>
      <c r="V311" s="22">
        <v>52</v>
      </c>
      <c r="W311" s="22">
        <v>5</v>
      </c>
      <c r="X311" s="23"/>
    </row>
    <row r="312" spans="1:24" s="1" customFormat="1" ht="13.05" customHeight="1" x14ac:dyDescent="0.3">
      <c r="A312" s="24" t="s">
        <v>23</v>
      </c>
      <c r="B312" s="24" t="s">
        <v>209</v>
      </c>
      <c r="C312" s="12" t="s">
        <v>431</v>
      </c>
      <c r="D312" s="60"/>
      <c r="E312" s="41" t="str">
        <f t="shared" si="9"/>
        <v>Еще фото</v>
      </c>
      <c r="F312" s="13"/>
      <c r="G312" s="24" t="s">
        <v>28</v>
      </c>
      <c r="H312" s="24" t="s">
        <v>27</v>
      </c>
      <c r="I312" s="24" t="s">
        <v>28</v>
      </c>
      <c r="J312" s="14" t="s">
        <v>211</v>
      </c>
      <c r="K312" s="15" t="s">
        <v>30</v>
      </c>
      <c r="L312" s="62"/>
      <c r="M312" s="14" t="s">
        <v>52</v>
      </c>
      <c r="N312" s="14" t="s">
        <v>62</v>
      </c>
      <c r="O312" s="14"/>
      <c r="P312" s="15" t="s">
        <v>213</v>
      </c>
      <c r="Q312" s="16">
        <v>8199</v>
      </c>
      <c r="R312" s="17">
        <v>40</v>
      </c>
      <c r="S312" s="18">
        <v>5657.3099999999995</v>
      </c>
      <c r="T312" s="19" t="s">
        <v>36</v>
      </c>
      <c r="U312" s="20" t="s">
        <v>221</v>
      </c>
      <c r="V312" s="22">
        <v>54</v>
      </c>
      <c r="W312" s="22">
        <v>3</v>
      </c>
      <c r="X312" s="23"/>
    </row>
    <row r="313" spans="1:24" s="1" customFormat="1" ht="18" customHeight="1" x14ac:dyDescent="0.3">
      <c r="A313" s="24" t="s">
        <v>23</v>
      </c>
      <c r="B313" s="24" t="s">
        <v>209</v>
      </c>
      <c r="C313" s="12" t="s">
        <v>431</v>
      </c>
      <c r="D313" s="61"/>
      <c r="E313" s="41" t="str">
        <f t="shared" si="9"/>
        <v>Еще фото</v>
      </c>
      <c r="F313" s="13"/>
      <c r="G313" s="24" t="s">
        <v>28</v>
      </c>
      <c r="H313" s="24" t="s">
        <v>27</v>
      </c>
      <c r="I313" s="24" t="s">
        <v>28</v>
      </c>
      <c r="J313" s="14" t="s">
        <v>211</v>
      </c>
      <c r="K313" s="15" t="s">
        <v>30</v>
      </c>
      <c r="L313" s="58"/>
      <c r="M313" s="14" t="s">
        <v>52</v>
      </c>
      <c r="N313" s="14" t="s">
        <v>62</v>
      </c>
      <c r="O313" s="14"/>
      <c r="P313" s="15" t="s">
        <v>213</v>
      </c>
      <c r="Q313" s="16">
        <v>8199</v>
      </c>
      <c r="R313" s="17">
        <v>40</v>
      </c>
      <c r="S313" s="18">
        <v>5657.3099999999995</v>
      </c>
      <c r="T313" s="19" t="s">
        <v>36</v>
      </c>
      <c r="U313" s="20" t="s">
        <v>222</v>
      </c>
      <c r="V313" s="22">
        <v>54</v>
      </c>
      <c r="W313" s="22">
        <v>7</v>
      </c>
      <c r="X313" s="23"/>
    </row>
    <row r="314" spans="1:24" s="1" customFormat="1" ht="14" customHeight="1" x14ac:dyDescent="0.3">
      <c r="A314" s="11" t="s">
        <v>23</v>
      </c>
      <c r="B314" s="11" t="s">
        <v>209</v>
      </c>
      <c r="C314" s="12" t="s">
        <v>432</v>
      </c>
      <c r="D314" s="59"/>
      <c r="E314" s="41" t="str">
        <f t="shared" ref="E314:E320" si="10">HYPERLINK("https://www.google.ru/search?q=1364410-410&amp;newwindow=1&amp;tbm=isch","Еще фото")</f>
        <v>Еще фото</v>
      </c>
      <c r="F314" s="13" t="s">
        <v>103</v>
      </c>
      <c r="G314" s="11" t="s">
        <v>28</v>
      </c>
      <c r="H314" s="11" t="s">
        <v>27</v>
      </c>
      <c r="I314" s="14" t="s">
        <v>28</v>
      </c>
      <c r="J314" s="14" t="s">
        <v>211</v>
      </c>
      <c r="K314" s="15" t="s">
        <v>30</v>
      </c>
      <c r="L314" s="57" t="s">
        <v>212</v>
      </c>
      <c r="M314" s="14" t="s">
        <v>52</v>
      </c>
      <c r="N314" s="14" t="s">
        <v>115</v>
      </c>
      <c r="O314" s="14"/>
      <c r="P314" s="15" t="s">
        <v>213</v>
      </c>
      <c r="Q314" s="16">
        <v>8199</v>
      </c>
      <c r="R314" s="17">
        <v>40</v>
      </c>
      <c r="S314" s="18">
        <v>5657.3099999999995</v>
      </c>
      <c r="T314" s="19" t="s">
        <v>36</v>
      </c>
      <c r="U314" s="20" t="s">
        <v>216</v>
      </c>
      <c r="V314" s="22">
        <v>48</v>
      </c>
      <c r="W314" s="22">
        <v>1</v>
      </c>
      <c r="X314" s="23"/>
    </row>
    <row r="315" spans="1:24" s="1" customFormat="1" ht="14" customHeight="1" x14ac:dyDescent="0.3">
      <c r="A315" s="24" t="s">
        <v>23</v>
      </c>
      <c r="B315" s="24" t="s">
        <v>209</v>
      </c>
      <c r="C315" s="12" t="s">
        <v>432</v>
      </c>
      <c r="D315" s="60"/>
      <c r="E315" s="41" t="str">
        <f t="shared" si="10"/>
        <v>Еще фото</v>
      </c>
      <c r="F315" s="13" t="s">
        <v>103</v>
      </c>
      <c r="G315" s="24" t="s">
        <v>28</v>
      </c>
      <c r="H315" s="24" t="s">
        <v>27</v>
      </c>
      <c r="I315" s="24" t="s">
        <v>28</v>
      </c>
      <c r="J315" s="14" t="s">
        <v>211</v>
      </c>
      <c r="K315" s="15" t="s">
        <v>30</v>
      </c>
      <c r="L315" s="62"/>
      <c r="M315" s="14" t="s">
        <v>52</v>
      </c>
      <c r="N315" s="14" t="s">
        <v>115</v>
      </c>
      <c r="O315" s="14"/>
      <c r="P315" s="15" t="s">
        <v>213</v>
      </c>
      <c r="Q315" s="16">
        <v>8199</v>
      </c>
      <c r="R315" s="17">
        <v>40</v>
      </c>
      <c r="S315" s="18">
        <v>5657.3099999999995</v>
      </c>
      <c r="T315" s="19" t="s">
        <v>36</v>
      </c>
      <c r="U315" s="20" t="s">
        <v>217</v>
      </c>
      <c r="V315" s="22">
        <v>50</v>
      </c>
      <c r="W315" s="22">
        <v>3</v>
      </c>
      <c r="X315" s="23"/>
    </row>
    <row r="316" spans="1:24" s="1" customFormat="1" ht="14" customHeight="1" x14ac:dyDescent="0.3">
      <c r="A316" s="24" t="s">
        <v>23</v>
      </c>
      <c r="B316" s="24" t="s">
        <v>209</v>
      </c>
      <c r="C316" s="12" t="s">
        <v>432</v>
      </c>
      <c r="D316" s="60"/>
      <c r="E316" s="41" t="str">
        <f t="shared" si="10"/>
        <v>Еще фото</v>
      </c>
      <c r="F316" s="13" t="s">
        <v>103</v>
      </c>
      <c r="G316" s="24" t="s">
        <v>28</v>
      </c>
      <c r="H316" s="24" t="s">
        <v>27</v>
      </c>
      <c r="I316" s="24" t="s">
        <v>28</v>
      </c>
      <c r="J316" s="14" t="s">
        <v>211</v>
      </c>
      <c r="K316" s="15" t="s">
        <v>30</v>
      </c>
      <c r="L316" s="62"/>
      <c r="M316" s="14" t="s">
        <v>52</v>
      </c>
      <c r="N316" s="14" t="s">
        <v>115</v>
      </c>
      <c r="O316" s="14"/>
      <c r="P316" s="15" t="s">
        <v>213</v>
      </c>
      <c r="Q316" s="16">
        <v>8199</v>
      </c>
      <c r="R316" s="17">
        <v>40</v>
      </c>
      <c r="S316" s="18">
        <v>5657.3099999999995</v>
      </c>
      <c r="T316" s="19" t="s">
        <v>36</v>
      </c>
      <c r="U316" s="20" t="s">
        <v>218</v>
      </c>
      <c r="V316" s="22">
        <v>50</v>
      </c>
      <c r="W316" s="22">
        <v>2</v>
      </c>
      <c r="X316" s="23"/>
    </row>
    <row r="317" spans="1:24" s="1" customFormat="1" ht="14" customHeight="1" x14ac:dyDescent="0.3">
      <c r="A317" s="24" t="s">
        <v>23</v>
      </c>
      <c r="B317" s="24" t="s">
        <v>209</v>
      </c>
      <c r="C317" s="12" t="s">
        <v>432</v>
      </c>
      <c r="D317" s="60"/>
      <c r="E317" s="41" t="str">
        <f t="shared" si="10"/>
        <v>Еще фото</v>
      </c>
      <c r="F317" s="13" t="s">
        <v>103</v>
      </c>
      <c r="G317" s="24" t="s">
        <v>28</v>
      </c>
      <c r="H317" s="24" t="s">
        <v>27</v>
      </c>
      <c r="I317" s="24" t="s">
        <v>28</v>
      </c>
      <c r="J317" s="14" t="s">
        <v>211</v>
      </c>
      <c r="K317" s="15" t="s">
        <v>30</v>
      </c>
      <c r="L317" s="62"/>
      <c r="M317" s="14" t="s">
        <v>52</v>
      </c>
      <c r="N317" s="14" t="s">
        <v>115</v>
      </c>
      <c r="O317" s="14"/>
      <c r="P317" s="15" t="s">
        <v>213</v>
      </c>
      <c r="Q317" s="16">
        <v>8199</v>
      </c>
      <c r="R317" s="17">
        <v>40</v>
      </c>
      <c r="S317" s="18">
        <v>5657.3099999999995</v>
      </c>
      <c r="T317" s="19" t="s">
        <v>36</v>
      </c>
      <c r="U317" s="20" t="s">
        <v>220</v>
      </c>
      <c r="V317" s="22">
        <v>52</v>
      </c>
      <c r="W317" s="22">
        <v>1</v>
      </c>
      <c r="X317" s="23"/>
    </row>
    <row r="318" spans="1:24" s="1" customFormat="1" ht="14" customHeight="1" x14ac:dyDescent="0.3">
      <c r="A318" s="24" t="s">
        <v>23</v>
      </c>
      <c r="B318" s="24" t="s">
        <v>209</v>
      </c>
      <c r="C318" s="12" t="s">
        <v>432</v>
      </c>
      <c r="D318" s="60"/>
      <c r="E318" s="41" t="str">
        <f t="shared" si="10"/>
        <v>Еще фото</v>
      </c>
      <c r="F318" s="13" t="s">
        <v>103</v>
      </c>
      <c r="G318" s="24" t="s">
        <v>28</v>
      </c>
      <c r="H318" s="24" t="s">
        <v>27</v>
      </c>
      <c r="I318" s="24" t="s">
        <v>28</v>
      </c>
      <c r="J318" s="14" t="s">
        <v>211</v>
      </c>
      <c r="K318" s="15" t="s">
        <v>30</v>
      </c>
      <c r="L318" s="62"/>
      <c r="M318" s="14" t="s">
        <v>52</v>
      </c>
      <c r="N318" s="14" t="s">
        <v>115</v>
      </c>
      <c r="O318" s="14"/>
      <c r="P318" s="15" t="s">
        <v>213</v>
      </c>
      <c r="Q318" s="16">
        <v>8199</v>
      </c>
      <c r="R318" s="17">
        <v>40</v>
      </c>
      <c r="S318" s="18">
        <v>5657.3099999999995</v>
      </c>
      <c r="T318" s="19" t="s">
        <v>36</v>
      </c>
      <c r="U318" s="20" t="s">
        <v>221</v>
      </c>
      <c r="V318" s="22">
        <v>54</v>
      </c>
      <c r="W318" s="22">
        <v>3</v>
      </c>
      <c r="X318" s="23"/>
    </row>
    <row r="319" spans="1:24" s="1" customFormat="1" ht="14" customHeight="1" x14ac:dyDescent="0.3">
      <c r="A319" s="24" t="s">
        <v>23</v>
      </c>
      <c r="B319" s="24" t="s">
        <v>209</v>
      </c>
      <c r="C319" s="12" t="s">
        <v>432</v>
      </c>
      <c r="D319" s="60"/>
      <c r="E319" s="41" t="str">
        <f t="shared" si="10"/>
        <v>Еще фото</v>
      </c>
      <c r="F319" s="13" t="s">
        <v>103</v>
      </c>
      <c r="G319" s="24" t="s">
        <v>28</v>
      </c>
      <c r="H319" s="24" t="s">
        <v>27</v>
      </c>
      <c r="I319" s="24" t="s">
        <v>28</v>
      </c>
      <c r="J319" s="14" t="s">
        <v>211</v>
      </c>
      <c r="K319" s="15" t="s">
        <v>30</v>
      </c>
      <c r="L319" s="62"/>
      <c r="M319" s="14" t="s">
        <v>52</v>
      </c>
      <c r="N319" s="14" t="s">
        <v>115</v>
      </c>
      <c r="O319" s="14"/>
      <c r="P319" s="15" t="s">
        <v>213</v>
      </c>
      <c r="Q319" s="16">
        <v>8199</v>
      </c>
      <c r="R319" s="17">
        <v>40</v>
      </c>
      <c r="S319" s="18">
        <v>5657.3099999999995</v>
      </c>
      <c r="T319" s="19" t="s">
        <v>36</v>
      </c>
      <c r="U319" s="20" t="s">
        <v>222</v>
      </c>
      <c r="V319" s="22">
        <v>54</v>
      </c>
      <c r="W319" s="22">
        <v>2</v>
      </c>
      <c r="X319" s="23"/>
    </row>
    <row r="320" spans="1:24" s="1" customFormat="1" ht="17" customHeight="1" x14ac:dyDescent="0.3">
      <c r="A320" s="24" t="s">
        <v>23</v>
      </c>
      <c r="B320" s="24" t="s">
        <v>209</v>
      </c>
      <c r="C320" s="12" t="s">
        <v>432</v>
      </c>
      <c r="D320" s="61"/>
      <c r="E320" s="41" t="str">
        <f t="shared" si="10"/>
        <v>Еще фото</v>
      </c>
      <c r="F320" s="13" t="s">
        <v>103</v>
      </c>
      <c r="G320" s="24" t="s">
        <v>28</v>
      </c>
      <c r="H320" s="24" t="s">
        <v>27</v>
      </c>
      <c r="I320" s="24" t="s">
        <v>28</v>
      </c>
      <c r="J320" s="14" t="s">
        <v>211</v>
      </c>
      <c r="K320" s="15" t="s">
        <v>30</v>
      </c>
      <c r="L320" s="58"/>
      <c r="M320" s="14" t="s">
        <v>52</v>
      </c>
      <c r="N320" s="14" t="s">
        <v>115</v>
      </c>
      <c r="O320" s="14"/>
      <c r="P320" s="15" t="s">
        <v>213</v>
      </c>
      <c r="Q320" s="16">
        <v>8199</v>
      </c>
      <c r="R320" s="17">
        <v>40</v>
      </c>
      <c r="S320" s="18">
        <v>5657.3099999999995</v>
      </c>
      <c r="T320" s="19" t="s">
        <v>36</v>
      </c>
      <c r="U320" s="20" t="s">
        <v>433</v>
      </c>
      <c r="V320" s="22">
        <v>56</v>
      </c>
      <c r="W320" s="22">
        <v>2</v>
      </c>
      <c r="X320" s="23"/>
    </row>
    <row r="321" spans="1:24" s="1" customFormat="1" ht="52.05" customHeight="1" x14ac:dyDescent="0.3">
      <c r="A321" s="11" t="s">
        <v>23</v>
      </c>
      <c r="B321" s="11" t="s">
        <v>56</v>
      </c>
      <c r="C321" s="12" t="s">
        <v>434</v>
      </c>
      <c r="D321" s="55"/>
      <c r="E321" s="41" t="str">
        <f>HYPERLINK("https://www.google.ru/search?q=1365334-001&amp;newwindow=1&amp;tbm=isch","Еще фото")</f>
        <v>Еще фото</v>
      </c>
      <c r="F321" s="13" t="s">
        <v>103</v>
      </c>
      <c r="G321" s="11" t="s">
        <v>58</v>
      </c>
      <c r="H321" s="11" t="s">
        <v>27</v>
      </c>
      <c r="I321" s="14" t="s">
        <v>28</v>
      </c>
      <c r="J321" s="14" t="s">
        <v>29</v>
      </c>
      <c r="K321" s="15" t="s">
        <v>59</v>
      </c>
      <c r="L321" s="57" t="s">
        <v>60</v>
      </c>
      <c r="M321" s="14"/>
      <c r="N321" s="14" t="s">
        <v>33</v>
      </c>
      <c r="O321" s="14"/>
      <c r="P321" s="15" t="s">
        <v>53</v>
      </c>
      <c r="Q321" s="16">
        <v>4399</v>
      </c>
      <c r="R321" s="17">
        <v>40</v>
      </c>
      <c r="S321" s="18">
        <v>3035.31</v>
      </c>
      <c r="T321" s="19" t="s">
        <v>36</v>
      </c>
      <c r="U321" s="20" t="s">
        <v>63</v>
      </c>
      <c r="V321" s="21" t="s">
        <v>64</v>
      </c>
      <c r="W321" s="22">
        <v>8</v>
      </c>
      <c r="X321" s="23"/>
    </row>
    <row r="322" spans="1:24" s="1" customFormat="1" ht="61.05" customHeight="1" x14ac:dyDescent="0.3">
      <c r="A322" s="24" t="s">
        <v>23</v>
      </c>
      <c r="B322" s="24" t="s">
        <v>56</v>
      </c>
      <c r="C322" s="12" t="s">
        <v>434</v>
      </c>
      <c r="D322" s="56"/>
      <c r="E322" s="41" t="str">
        <f>HYPERLINK("https://www.google.ru/search?q=1365334-001&amp;newwindow=1&amp;tbm=isch","Еще фото")</f>
        <v>Еще фото</v>
      </c>
      <c r="F322" s="13" t="s">
        <v>103</v>
      </c>
      <c r="G322" s="24" t="s">
        <v>58</v>
      </c>
      <c r="H322" s="24" t="s">
        <v>27</v>
      </c>
      <c r="I322" s="24" t="s">
        <v>28</v>
      </c>
      <c r="J322" s="14" t="s">
        <v>29</v>
      </c>
      <c r="K322" s="15" t="s">
        <v>59</v>
      </c>
      <c r="L322" s="58"/>
      <c r="M322" s="14"/>
      <c r="N322" s="14" t="s">
        <v>33</v>
      </c>
      <c r="O322" s="14"/>
      <c r="P322" s="15" t="s">
        <v>53</v>
      </c>
      <c r="Q322" s="16">
        <v>4399</v>
      </c>
      <c r="R322" s="17">
        <v>40</v>
      </c>
      <c r="S322" s="18">
        <v>3035.31</v>
      </c>
      <c r="T322" s="19" t="s">
        <v>36</v>
      </c>
      <c r="U322" s="20" t="s">
        <v>37</v>
      </c>
      <c r="V322" s="21" t="s">
        <v>106</v>
      </c>
      <c r="W322" s="22">
        <v>4</v>
      </c>
      <c r="X322" s="23"/>
    </row>
    <row r="323" spans="1:24" s="1" customFormat="1" ht="52.05" customHeight="1" x14ac:dyDescent="0.3">
      <c r="A323" s="11" t="s">
        <v>23</v>
      </c>
      <c r="B323" s="11" t="s">
        <v>435</v>
      </c>
      <c r="C323" s="12" t="s">
        <v>436</v>
      </c>
      <c r="D323" s="55"/>
      <c r="E323" s="41" t="str">
        <f>HYPERLINK("https://www.google.ru/search?q=1365335-001&amp;newwindow=1&amp;tbm=isch","Еще фото")</f>
        <v>Еще фото</v>
      </c>
      <c r="F323" s="13" t="s">
        <v>103</v>
      </c>
      <c r="G323" s="11" t="s">
        <v>77</v>
      </c>
      <c r="H323" s="11" t="s">
        <v>27</v>
      </c>
      <c r="I323" s="14" t="s">
        <v>28</v>
      </c>
      <c r="J323" s="14" t="s">
        <v>29</v>
      </c>
      <c r="K323" s="15" t="s">
        <v>59</v>
      </c>
      <c r="L323" s="57" t="s">
        <v>60</v>
      </c>
      <c r="M323" s="14" t="s">
        <v>61</v>
      </c>
      <c r="N323" s="14" t="s">
        <v>33</v>
      </c>
      <c r="O323" s="14"/>
      <c r="P323" s="15" t="s">
        <v>53</v>
      </c>
      <c r="Q323" s="16">
        <v>4799</v>
      </c>
      <c r="R323" s="17">
        <v>40</v>
      </c>
      <c r="S323" s="18">
        <v>3311.31</v>
      </c>
      <c r="T323" s="19" t="s">
        <v>36</v>
      </c>
      <c r="U323" s="20" t="s">
        <v>63</v>
      </c>
      <c r="V323" s="21" t="s">
        <v>64</v>
      </c>
      <c r="W323" s="22">
        <v>11</v>
      </c>
      <c r="X323" s="23"/>
    </row>
    <row r="324" spans="1:24" s="1" customFormat="1" ht="61.05" customHeight="1" x14ac:dyDescent="0.3">
      <c r="A324" s="24" t="s">
        <v>23</v>
      </c>
      <c r="B324" s="24" t="s">
        <v>435</v>
      </c>
      <c r="C324" s="12" t="s">
        <v>436</v>
      </c>
      <c r="D324" s="56"/>
      <c r="E324" s="41" t="str">
        <f>HYPERLINK("https://www.google.ru/search?q=1365335-001&amp;newwindow=1&amp;tbm=isch","Еще фото")</f>
        <v>Еще фото</v>
      </c>
      <c r="F324" s="13" t="s">
        <v>103</v>
      </c>
      <c r="G324" s="24" t="s">
        <v>77</v>
      </c>
      <c r="H324" s="24" t="s">
        <v>27</v>
      </c>
      <c r="I324" s="24" t="s">
        <v>28</v>
      </c>
      <c r="J324" s="14" t="s">
        <v>29</v>
      </c>
      <c r="K324" s="15" t="s">
        <v>59</v>
      </c>
      <c r="L324" s="58"/>
      <c r="M324" s="14" t="s">
        <v>61</v>
      </c>
      <c r="N324" s="14" t="s">
        <v>33</v>
      </c>
      <c r="O324" s="14"/>
      <c r="P324" s="15" t="s">
        <v>53</v>
      </c>
      <c r="Q324" s="16">
        <v>4799</v>
      </c>
      <c r="R324" s="17">
        <v>40</v>
      </c>
      <c r="S324" s="18">
        <v>3311.31</v>
      </c>
      <c r="T324" s="19" t="s">
        <v>36</v>
      </c>
      <c r="U324" s="20" t="s">
        <v>86</v>
      </c>
      <c r="V324" s="21" t="s">
        <v>38</v>
      </c>
      <c r="W324" s="22">
        <v>2</v>
      </c>
      <c r="X324" s="23"/>
    </row>
    <row r="325" spans="1:24" s="1" customFormat="1" ht="108" customHeight="1" x14ac:dyDescent="0.3">
      <c r="A325" s="11" t="s">
        <v>23</v>
      </c>
      <c r="B325" s="11" t="s">
        <v>437</v>
      </c>
      <c r="C325" s="12" t="s">
        <v>438</v>
      </c>
      <c r="D325" s="25"/>
      <c r="E325" s="41" t="str">
        <f>HYPERLINK("https://www.google.ru/search?q=1365335-369&amp;newwindow=1&amp;tbm=isch","Еще фото")</f>
        <v>Еще фото</v>
      </c>
      <c r="F325" s="13"/>
      <c r="G325" s="11" t="s">
        <v>77</v>
      </c>
      <c r="H325" s="11" t="s">
        <v>27</v>
      </c>
      <c r="I325" s="14" t="s">
        <v>28</v>
      </c>
      <c r="J325" s="14" t="s">
        <v>29</v>
      </c>
      <c r="K325" s="15" t="s">
        <v>59</v>
      </c>
      <c r="L325" s="14" t="s">
        <v>439</v>
      </c>
      <c r="M325" s="14"/>
      <c r="N325" s="14" t="s">
        <v>127</v>
      </c>
      <c r="O325" s="14"/>
      <c r="P325" s="15" t="s">
        <v>53</v>
      </c>
      <c r="Q325" s="16">
        <v>5699</v>
      </c>
      <c r="R325" s="17">
        <v>40</v>
      </c>
      <c r="S325" s="18">
        <v>3932.31</v>
      </c>
      <c r="T325" s="19" t="s">
        <v>36</v>
      </c>
      <c r="U325" s="20" t="s">
        <v>39</v>
      </c>
      <c r="V325" s="21" t="s">
        <v>85</v>
      </c>
      <c r="W325" s="22">
        <v>1</v>
      </c>
      <c r="X325" s="23"/>
    </row>
    <row r="326" spans="1:24" s="1" customFormat="1" ht="52.05" customHeight="1" x14ac:dyDescent="0.3">
      <c r="A326" s="11" t="s">
        <v>23</v>
      </c>
      <c r="B326" s="11" t="s">
        <v>440</v>
      </c>
      <c r="C326" s="12" t="s">
        <v>441</v>
      </c>
      <c r="D326" s="55"/>
      <c r="E326" s="41" t="str">
        <f>HYPERLINK("https://www.google.ru/search?q=1365336-001&amp;newwindow=1&amp;tbm=isch","Еще фото")</f>
        <v>Еще фото</v>
      </c>
      <c r="F326" s="13" t="s">
        <v>152</v>
      </c>
      <c r="G326" s="11" t="s">
        <v>77</v>
      </c>
      <c r="H326" s="11" t="s">
        <v>27</v>
      </c>
      <c r="I326" s="14" t="s">
        <v>28</v>
      </c>
      <c r="J326" s="14" t="s">
        <v>29</v>
      </c>
      <c r="K326" s="15" t="s">
        <v>59</v>
      </c>
      <c r="L326" s="57" t="s">
        <v>60</v>
      </c>
      <c r="M326" s="14" t="s">
        <v>61</v>
      </c>
      <c r="N326" s="14" t="s">
        <v>33</v>
      </c>
      <c r="O326" s="14"/>
      <c r="P326" s="15" t="s">
        <v>53</v>
      </c>
      <c r="Q326" s="16">
        <v>4799</v>
      </c>
      <c r="R326" s="17">
        <v>40</v>
      </c>
      <c r="S326" s="18">
        <v>3311.31</v>
      </c>
      <c r="T326" s="19" t="s">
        <v>36</v>
      </c>
      <c r="U326" s="20" t="s">
        <v>63</v>
      </c>
      <c r="V326" s="21" t="s">
        <v>64</v>
      </c>
      <c r="W326" s="22">
        <v>13</v>
      </c>
      <c r="X326" s="23"/>
    </row>
    <row r="327" spans="1:24" s="1" customFormat="1" ht="61.05" customHeight="1" x14ac:dyDescent="0.3">
      <c r="A327" s="24" t="s">
        <v>23</v>
      </c>
      <c r="B327" s="24" t="s">
        <v>440</v>
      </c>
      <c r="C327" s="12" t="s">
        <v>441</v>
      </c>
      <c r="D327" s="56"/>
      <c r="E327" s="41" t="str">
        <f>HYPERLINK("https://www.google.ru/search?q=1365336-001&amp;newwindow=1&amp;tbm=isch","Еще фото")</f>
        <v>Еще фото</v>
      </c>
      <c r="F327" s="13" t="s">
        <v>152</v>
      </c>
      <c r="G327" s="24" t="s">
        <v>77</v>
      </c>
      <c r="H327" s="24" t="s">
        <v>27</v>
      </c>
      <c r="I327" s="24" t="s">
        <v>28</v>
      </c>
      <c r="J327" s="14" t="s">
        <v>29</v>
      </c>
      <c r="K327" s="15" t="s">
        <v>59</v>
      </c>
      <c r="L327" s="58"/>
      <c r="M327" s="14" t="s">
        <v>61</v>
      </c>
      <c r="N327" s="14" t="s">
        <v>33</v>
      </c>
      <c r="O327" s="14"/>
      <c r="P327" s="15" t="s">
        <v>53</v>
      </c>
      <c r="Q327" s="16">
        <v>4799</v>
      </c>
      <c r="R327" s="17">
        <v>40</v>
      </c>
      <c r="S327" s="18">
        <v>3311.31</v>
      </c>
      <c r="T327" s="19" t="s">
        <v>36</v>
      </c>
      <c r="U327" s="20" t="s">
        <v>86</v>
      </c>
      <c r="V327" s="21" t="s">
        <v>38</v>
      </c>
      <c r="W327" s="22">
        <v>9</v>
      </c>
      <c r="X327" s="23"/>
    </row>
    <row r="328" spans="1:24" s="1" customFormat="1" ht="26" customHeight="1" x14ac:dyDescent="0.3">
      <c r="A328" s="11" t="s">
        <v>23</v>
      </c>
      <c r="B328" s="11" t="s">
        <v>346</v>
      </c>
      <c r="C328" s="12" t="s">
        <v>442</v>
      </c>
      <c r="D328" s="59"/>
      <c r="E328" s="41" t="str">
        <f>HYPERLINK("https://www.google.ru/search?q=1365336-025&amp;newwindow=1&amp;tbm=isch","Еще фото")</f>
        <v>Еще фото</v>
      </c>
      <c r="F328" s="13"/>
      <c r="G328" s="11" t="s">
        <v>77</v>
      </c>
      <c r="H328" s="11" t="s">
        <v>27</v>
      </c>
      <c r="I328" s="14" t="s">
        <v>28</v>
      </c>
      <c r="J328" s="14" t="s">
        <v>29</v>
      </c>
      <c r="K328" s="15" t="s">
        <v>59</v>
      </c>
      <c r="L328" s="57" t="s">
        <v>443</v>
      </c>
      <c r="M328" s="14"/>
      <c r="N328" s="14" t="s">
        <v>62</v>
      </c>
      <c r="O328" s="14"/>
      <c r="P328" s="15" t="s">
        <v>53</v>
      </c>
      <c r="Q328" s="16">
        <v>4799</v>
      </c>
      <c r="R328" s="17">
        <v>40</v>
      </c>
      <c r="S328" s="18">
        <v>3311.31</v>
      </c>
      <c r="T328" s="19" t="s">
        <v>36</v>
      </c>
      <c r="U328" s="20" t="s">
        <v>63</v>
      </c>
      <c r="V328" s="21" t="s">
        <v>64</v>
      </c>
      <c r="W328" s="22">
        <v>12</v>
      </c>
      <c r="X328" s="23"/>
    </row>
    <row r="329" spans="1:24" s="1" customFormat="1" ht="26" customHeight="1" x14ac:dyDescent="0.3">
      <c r="A329" s="24" t="s">
        <v>23</v>
      </c>
      <c r="B329" s="24" t="s">
        <v>346</v>
      </c>
      <c r="C329" s="12" t="s">
        <v>442</v>
      </c>
      <c r="D329" s="60"/>
      <c r="E329" s="41" t="str">
        <f>HYPERLINK("https://www.google.ru/search?q=1365336-025&amp;newwindow=1&amp;tbm=isch","Еще фото")</f>
        <v>Еще фото</v>
      </c>
      <c r="F329" s="13"/>
      <c r="G329" s="24" t="s">
        <v>77</v>
      </c>
      <c r="H329" s="24" t="s">
        <v>27</v>
      </c>
      <c r="I329" s="24" t="s">
        <v>28</v>
      </c>
      <c r="J329" s="14" t="s">
        <v>29</v>
      </c>
      <c r="K329" s="15" t="s">
        <v>59</v>
      </c>
      <c r="L329" s="62"/>
      <c r="M329" s="14"/>
      <c r="N329" s="14" t="s">
        <v>62</v>
      </c>
      <c r="O329" s="14"/>
      <c r="P329" s="15" t="s">
        <v>53</v>
      </c>
      <c r="Q329" s="16">
        <v>4799</v>
      </c>
      <c r="R329" s="17">
        <v>40</v>
      </c>
      <c r="S329" s="18">
        <v>3311.31</v>
      </c>
      <c r="T329" s="19" t="s">
        <v>36</v>
      </c>
      <c r="U329" s="20" t="s">
        <v>37</v>
      </c>
      <c r="V329" s="21" t="s">
        <v>106</v>
      </c>
      <c r="W329" s="22">
        <v>8</v>
      </c>
      <c r="X329" s="23"/>
    </row>
    <row r="330" spans="1:24" s="1" customFormat="1" ht="26" customHeight="1" x14ac:dyDescent="0.3">
      <c r="A330" s="24" t="s">
        <v>23</v>
      </c>
      <c r="B330" s="24" t="s">
        <v>346</v>
      </c>
      <c r="C330" s="12" t="s">
        <v>442</v>
      </c>
      <c r="D330" s="60"/>
      <c r="E330" s="41" t="str">
        <f>HYPERLINK("https://www.google.ru/search?q=1365336-025&amp;newwindow=1&amp;tbm=isch","Еще фото")</f>
        <v>Еще фото</v>
      </c>
      <c r="F330" s="13"/>
      <c r="G330" s="24" t="s">
        <v>77</v>
      </c>
      <c r="H330" s="24" t="s">
        <v>27</v>
      </c>
      <c r="I330" s="24" t="s">
        <v>28</v>
      </c>
      <c r="J330" s="14" t="s">
        <v>29</v>
      </c>
      <c r="K330" s="15" t="s">
        <v>59</v>
      </c>
      <c r="L330" s="62"/>
      <c r="M330" s="14"/>
      <c r="N330" s="14" t="s">
        <v>62</v>
      </c>
      <c r="O330" s="14"/>
      <c r="P330" s="15" t="s">
        <v>53</v>
      </c>
      <c r="Q330" s="16">
        <v>4799</v>
      </c>
      <c r="R330" s="17">
        <v>40</v>
      </c>
      <c r="S330" s="18">
        <v>3311.31</v>
      </c>
      <c r="T330" s="19" t="s">
        <v>36</v>
      </c>
      <c r="U330" s="20" t="s">
        <v>39</v>
      </c>
      <c r="V330" s="21" t="s">
        <v>85</v>
      </c>
      <c r="W330" s="22">
        <v>13</v>
      </c>
      <c r="X330" s="23"/>
    </row>
    <row r="331" spans="1:24" s="1" customFormat="1" ht="26" customHeight="1" x14ac:dyDescent="0.3">
      <c r="A331" s="24" t="s">
        <v>23</v>
      </c>
      <c r="B331" s="24" t="s">
        <v>346</v>
      </c>
      <c r="C331" s="12" t="s">
        <v>442</v>
      </c>
      <c r="D331" s="61"/>
      <c r="E331" s="41" t="str">
        <f>HYPERLINK("https://www.google.ru/search?q=1365336-025&amp;newwindow=1&amp;tbm=isch","Еще фото")</f>
        <v>Еще фото</v>
      </c>
      <c r="F331" s="13"/>
      <c r="G331" s="24" t="s">
        <v>77</v>
      </c>
      <c r="H331" s="24" t="s">
        <v>27</v>
      </c>
      <c r="I331" s="24" t="s">
        <v>28</v>
      </c>
      <c r="J331" s="14" t="s">
        <v>29</v>
      </c>
      <c r="K331" s="15" t="s">
        <v>59</v>
      </c>
      <c r="L331" s="58"/>
      <c r="M331" s="14"/>
      <c r="N331" s="14" t="s">
        <v>62</v>
      </c>
      <c r="O331" s="14"/>
      <c r="P331" s="15" t="s">
        <v>53</v>
      </c>
      <c r="Q331" s="16">
        <v>4799</v>
      </c>
      <c r="R331" s="17">
        <v>40</v>
      </c>
      <c r="S331" s="18">
        <v>3311.31</v>
      </c>
      <c r="T331" s="19" t="s">
        <v>36</v>
      </c>
      <c r="U331" s="20" t="s">
        <v>86</v>
      </c>
      <c r="V331" s="21" t="s">
        <v>38</v>
      </c>
      <c r="W331" s="22">
        <v>9</v>
      </c>
      <c r="X331" s="23"/>
    </row>
    <row r="332" spans="1:24" s="1" customFormat="1" ht="52.05" customHeight="1" x14ac:dyDescent="0.3">
      <c r="A332" s="11" t="s">
        <v>23</v>
      </c>
      <c r="B332" s="11" t="s">
        <v>150</v>
      </c>
      <c r="C332" s="12" t="s">
        <v>444</v>
      </c>
      <c r="D332" s="55"/>
      <c r="E332" s="41" t="str">
        <f>HYPERLINK("https://www.google.ru/search?q=1365336-432&amp;newwindow=1&amp;tbm=isch","Еще фото")</f>
        <v>Еще фото</v>
      </c>
      <c r="F332" s="13"/>
      <c r="G332" s="11" t="s">
        <v>77</v>
      </c>
      <c r="H332" s="11" t="s">
        <v>27</v>
      </c>
      <c r="I332" s="14" t="s">
        <v>28</v>
      </c>
      <c r="J332" s="14" t="s">
        <v>29</v>
      </c>
      <c r="K332" s="15" t="s">
        <v>59</v>
      </c>
      <c r="L332" s="57" t="s">
        <v>60</v>
      </c>
      <c r="M332" s="14" t="s">
        <v>61</v>
      </c>
      <c r="N332" s="14" t="s">
        <v>115</v>
      </c>
      <c r="O332" s="14"/>
      <c r="P332" s="15" t="s">
        <v>53</v>
      </c>
      <c r="Q332" s="16">
        <v>6699</v>
      </c>
      <c r="R332" s="17">
        <v>40</v>
      </c>
      <c r="S332" s="18">
        <v>4622.3099999999995</v>
      </c>
      <c r="T332" s="19" t="s">
        <v>36</v>
      </c>
      <c r="U332" s="20" t="s">
        <v>63</v>
      </c>
      <c r="V332" s="21" t="s">
        <v>64</v>
      </c>
      <c r="W332" s="22">
        <v>5</v>
      </c>
      <c r="X332" s="23"/>
    </row>
    <row r="333" spans="1:24" s="1" customFormat="1" ht="61.05" customHeight="1" x14ac:dyDescent="0.3">
      <c r="A333" s="24" t="s">
        <v>23</v>
      </c>
      <c r="B333" s="24" t="s">
        <v>150</v>
      </c>
      <c r="C333" s="12" t="s">
        <v>444</v>
      </c>
      <c r="D333" s="56"/>
      <c r="E333" s="41" t="str">
        <f>HYPERLINK("https://www.google.ru/search?q=1365336-432&amp;newwindow=1&amp;tbm=isch","Еще фото")</f>
        <v>Еще фото</v>
      </c>
      <c r="F333" s="13"/>
      <c r="G333" s="24" t="s">
        <v>77</v>
      </c>
      <c r="H333" s="24" t="s">
        <v>27</v>
      </c>
      <c r="I333" s="24" t="s">
        <v>28</v>
      </c>
      <c r="J333" s="14" t="s">
        <v>29</v>
      </c>
      <c r="K333" s="15" t="s">
        <v>59</v>
      </c>
      <c r="L333" s="58"/>
      <c r="M333" s="14" t="s">
        <v>61</v>
      </c>
      <c r="N333" s="14" t="s">
        <v>115</v>
      </c>
      <c r="O333" s="14"/>
      <c r="P333" s="15" t="s">
        <v>53</v>
      </c>
      <c r="Q333" s="16">
        <v>6699</v>
      </c>
      <c r="R333" s="17">
        <v>40</v>
      </c>
      <c r="S333" s="18">
        <v>4622.3099999999995</v>
      </c>
      <c r="T333" s="19" t="s">
        <v>36</v>
      </c>
      <c r="U333" s="20" t="s">
        <v>86</v>
      </c>
      <c r="V333" s="21" t="s">
        <v>38</v>
      </c>
      <c r="W333" s="22">
        <v>1</v>
      </c>
      <c r="X333" s="23"/>
    </row>
    <row r="334" spans="1:24" s="1" customFormat="1" ht="52.05" customHeight="1" x14ac:dyDescent="0.3">
      <c r="A334" s="11" t="s">
        <v>23</v>
      </c>
      <c r="B334" s="11" t="s">
        <v>445</v>
      </c>
      <c r="C334" s="12" t="s">
        <v>446</v>
      </c>
      <c r="D334" s="55"/>
      <c r="E334" s="41" t="str">
        <f>HYPERLINK("https://www.google.ru/search?q=1365336-530&amp;newwindow=1&amp;tbm=isch","Еще фото")</f>
        <v>Еще фото</v>
      </c>
      <c r="F334" s="13"/>
      <c r="G334" s="11" t="s">
        <v>77</v>
      </c>
      <c r="H334" s="11" t="s">
        <v>27</v>
      </c>
      <c r="I334" s="14" t="s">
        <v>28</v>
      </c>
      <c r="J334" s="14" t="s">
        <v>29</v>
      </c>
      <c r="K334" s="15" t="s">
        <v>59</v>
      </c>
      <c r="L334" s="57" t="s">
        <v>60</v>
      </c>
      <c r="M334" s="14" t="s">
        <v>61</v>
      </c>
      <c r="N334" s="14" t="s">
        <v>79</v>
      </c>
      <c r="O334" s="14" t="s">
        <v>34</v>
      </c>
      <c r="P334" s="15" t="s">
        <v>53</v>
      </c>
      <c r="Q334" s="16">
        <v>5799</v>
      </c>
      <c r="R334" s="17">
        <v>40</v>
      </c>
      <c r="S334" s="18">
        <v>4001.31</v>
      </c>
      <c r="T334" s="19" t="s">
        <v>36</v>
      </c>
      <c r="U334" s="20" t="s">
        <v>63</v>
      </c>
      <c r="V334" s="21" t="s">
        <v>64</v>
      </c>
      <c r="W334" s="22">
        <v>1</v>
      </c>
      <c r="X334" s="23"/>
    </row>
    <row r="335" spans="1:24" s="1" customFormat="1" ht="61.05" customHeight="1" x14ac:dyDescent="0.3">
      <c r="A335" s="24" t="s">
        <v>23</v>
      </c>
      <c r="B335" s="24" t="s">
        <v>445</v>
      </c>
      <c r="C335" s="12" t="s">
        <v>446</v>
      </c>
      <c r="D335" s="56"/>
      <c r="E335" s="41" t="str">
        <f>HYPERLINK("https://www.google.ru/search?q=1365336-530&amp;newwindow=1&amp;tbm=isch","Еще фото")</f>
        <v>Еще фото</v>
      </c>
      <c r="F335" s="13"/>
      <c r="G335" s="24" t="s">
        <v>77</v>
      </c>
      <c r="H335" s="24" t="s">
        <v>27</v>
      </c>
      <c r="I335" s="24" t="s">
        <v>28</v>
      </c>
      <c r="J335" s="14" t="s">
        <v>29</v>
      </c>
      <c r="K335" s="15" t="s">
        <v>59</v>
      </c>
      <c r="L335" s="58"/>
      <c r="M335" s="14" t="s">
        <v>61</v>
      </c>
      <c r="N335" s="14" t="s">
        <v>79</v>
      </c>
      <c r="O335" s="14" t="s">
        <v>34</v>
      </c>
      <c r="P335" s="15" t="s">
        <v>53</v>
      </c>
      <c r="Q335" s="16">
        <v>5799</v>
      </c>
      <c r="R335" s="17">
        <v>40</v>
      </c>
      <c r="S335" s="18">
        <v>4001.31</v>
      </c>
      <c r="T335" s="19" t="s">
        <v>36</v>
      </c>
      <c r="U335" s="20" t="s">
        <v>39</v>
      </c>
      <c r="V335" s="21" t="s">
        <v>85</v>
      </c>
      <c r="W335" s="22">
        <v>1</v>
      </c>
      <c r="X335" s="23"/>
    </row>
    <row r="336" spans="1:24" s="1" customFormat="1" ht="35" customHeight="1" x14ac:dyDescent="0.3">
      <c r="A336" s="11" t="s">
        <v>23</v>
      </c>
      <c r="B336" s="11" t="s">
        <v>346</v>
      </c>
      <c r="C336" s="12" t="s">
        <v>447</v>
      </c>
      <c r="D336" s="59"/>
      <c r="E336" s="41" t="str">
        <f>HYPERLINK("https://www.google.ru/search?q=1365336-587&amp;newwindow=1&amp;tbm=isch","Еще фото")</f>
        <v>Еще фото</v>
      </c>
      <c r="F336" s="13"/>
      <c r="G336" s="11" t="s">
        <v>77</v>
      </c>
      <c r="H336" s="11" t="s">
        <v>27</v>
      </c>
      <c r="I336" s="14" t="s">
        <v>28</v>
      </c>
      <c r="J336" s="14" t="s">
        <v>29</v>
      </c>
      <c r="K336" s="15" t="s">
        <v>59</v>
      </c>
      <c r="L336" s="57" t="s">
        <v>443</v>
      </c>
      <c r="M336" s="14"/>
      <c r="N336" s="14" t="s">
        <v>115</v>
      </c>
      <c r="O336" s="14"/>
      <c r="P336" s="15" t="s">
        <v>53</v>
      </c>
      <c r="Q336" s="16">
        <v>4899</v>
      </c>
      <c r="R336" s="17">
        <v>40</v>
      </c>
      <c r="S336" s="18">
        <v>3380.31</v>
      </c>
      <c r="T336" s="19" t="s">
        <v>36</v>
      </c>
      <c r="U336" s="20" t="s">
        <v>37</v>
      </c>
      <c r="V336" s="21" t="s">
        <v>106</v>
      </c>
      <c r="W336" s="22">
        <v>1</v>
      </c>
      <c r="X336" s="23"/>
    </row>
    <row r="337" spans="1:24" s="1" customFormat="1" ht="35" customHeight="1" x14ac:dyDescent="0.3">
      <c r="A337" s="24" t="s">
        <v>23</v>
      </c>
      <c r="B337" s="24" t="s">
        <v>346</v>
      </c>
      <c r="C337" s="12" t="s">
        <v>447</v>
      </c>
      <c r="D337" s="60"/>
      <c r="E337" s="41" t="str">
        <f>HYPERLINK("https://www.google.ru/search?q=1365336-587&amp;newwindow=1&amp;tbm=isch","Еще фото")</f>
        <v>Еще фото</v>
      </c>
      <c r="F337" s="13"/>
      <c r="G337" s="24" t="s">
        <v>77</v>
      </c>
      <c r="H337" s="24" t="s">
        <v>27</v>
      </c>
      <c r="I337" s="24" t="s">
        <v>28</v>
      </c>
      <c r="J337" s="14" t="s">
        <v>29</v>
      </c>
      <c r="K337" s="15" t="s">
        <v>59</v>
      </c>
      <c r="L337" s="62"/>
      <c r="M337" s="14"/>
      <c r="N337" s="14" t="s">
        <v>115</v>
      </c>
      <c r="O337" s="14"/>
      <c r="P337" s="15" t="s">
        <v>53</v>
      </c>
      <c r="Q337" s="16">
        <v>4899</v>
      </c>
      <c r="R337" s="17">
        <v>40</v>
      </c>
      <c r="S337" s="18">
        <v>3380.31</v>
      </c>
      <c r="T337" s="19" t="s">
        <v>36</v>
      </c>
      <c r="U337" s="20" t="s">
        <v>39</v>
      </c>
      <c r="V337" s="21" t="s">
        <v>85</v>
      </c>
      <c r="W337" s="22">
        <v>1</v>
      </c>
      <c r="X337" s="23"/>
    </row>
    <row r="338" spans="1:24" s="1" customFormat="1" ht="37.049999999999997" customHeight="1" x14ac:dyDescent="0.3">
      <c r="A338" s="24" t="s">
        <v>23</v>
      </c>
      <c r="B338" s="24" t="s">
        <v>346</v>
      </c>
      <c r="C338" s="12" t="s">
        <v>447</v>
      </c>
      <c r="D338" s="61"/>
      <c r="E338" s="41" t="str">
        <f>HYPERLINK("https://www.google.ru/search?q=1365336-587&amp;newwindow=1&amp;tbm=isch","Еще фото")</f>
        <v>Еще фото</v>
      </c>
      <c r="F338" s="13"/>
      <c r="G338" s="24" t="s">
        <v>77</v>
      </c>
      <c r="H338" s="24" t="s">
        <v>27</v>
      </c>
      <c r="I338" s="24" t="s">
        <v>28</v>
      </c>
      <c r="J338" s="14" t="s">
        <v>29</v>
      </c>
      <c r="K338" s="15" t="s">
        <v>59</v>
      </c>
      <c r="L338" s="58"/>
      <c r="M338" s="14"/>
      <c r="N338" s="14" t="s">
        <v>115</v>
      </c>
      <c r="O338" s="14"/>
      <c r="P338" s="15" t="s">
        <v>53</v>
      </c>
      <c r="Q338" s="16">
        <v>4899</v>
      </c>
      <c r="R338" s="17">
        <v>40</v>
      </c>
      <c r="S338" s="18">
        <v>3380.31</v>
      </c>
      <c r="T338" s="19" t="s">
        <v>36</v>
      </c>
      <c r="U338" s="20" t="s">
        <v>86</v>
      </c>
      <c r="V338" s="21" t="s">
        <v>38</v>
      </c>
      <c r="W338" s="22">
        <v>2</v>
      </c>
      <c r="X338" s="23"/>
    </row>
    <row r="339" spans="1:24" s="1" customFormat="1" ht="108" customHeight="1" x14ac:dyDescent="0.3">
      <c r="A339" s="11" t="s">
        <v>23</v>
      </c>
      <c r="B339" s="11" t="s">
        <v>448</v>
      </c>
      <c r="C339" s="12" t="s">
        <v>449</v>
      </c>
      <c r="D339" s="25"/>
      <c r="E339" s="41" t="str">
        <f>HYPERLINK("https://www.google.ru/search?q=1365338-963&amp;newwindow=1&amp;tbm=isch","Еще фото")</f>
        <v>Еще фото</v>
      </c>
      <c r="F339" s="13"/>
      <c r="G339" s="11" t="s">
        <v>109</v>
      </c>
      <c r="H339" s="11" t="s">
        <v>27</v>
      </c>
      <c r="I339" s="14" t="s">
        <v>28</v>
      </c>
      <c r="J339" s="14" t="s">
        <v>29</v>
      </c>
      <c r="K339" s="15" t="s">
        <v>59</v>
      </c>
      <c r="L339" s="14" t="s">
        <v>450</v>
      </c>
      <c r="M339" s="14" t="s">
        <v>61</v>
      </c>
      <c r="N339" s="14" t="s">
        <v>451</v>
      </c>
      <c r="O339" s="14"/>
      <c r="P339" s="15" t="s">
        <v>53</v>
      </c>
      <c r="Q339" s="16">
        <v>7599</v>
      </c>
      <c r="R339" s="17">
        <v>40</v>
      </c>
      <c r="S339" s="18">
        <v>5243.3099999999995</v>
      </c>
      <c r="T339" s="19" t="s">
        <v>36</v>
      </c>
      <c r="U339" s="20" t="s">
        <v>86</v>
      </c>
      <c r="V339" s="21" t="s">
        <v>38</v>
      </c>
      <c r="W339" s="22">
        <v>1</v>
      </c>
      <c r="X339" s="23"/>
    </row>
    <row r="340" spans="1:24" s="1" customFormat="1" ht="52.05" customHeight="1" x14ac:dyDescent="0.3">
      <c r="A340" s="11" t="s">
        <v>23</v>
      </c>
      <c r="B340" s="11" t="s">
        <v>452</v>
      </c>
      <c r="C340" s="12" t="s">
        <v>453</v>
      </c>
      <c r="D340" s="55"/>
      <c r="E340" s="41" t="str">
        <f>HYPERLINK("https://www.google.ru/search?q=1365671-001&amp;newwindow=1&amp;tbm=isch","Еще фото")</f>
        <v>Еще фото</v>
      </c>
      <c r="F340" s="13"/>
      <c r="G340" s="11" t="s">
        <v>26</v>
      </c>
      <c r="H340" s="11" t="s">
        <v>27</v>
      </c>
      <c r="I340" s="14" t="s">
        <v>28</v>
      </c>
      <c r="J340" s="14" t="s">
        <v>43</v>
      </c>
      <c r="K340" s="15" t="s">
        <v>30</v>
      </c>
      <c r="L340" s="57" t="s">
        <v>454</v>
      </c>
      <c r="M340" s="14" t="s">
        <v>455</v>
      </c>
      <c r="N340" s="14" t="s">
        <v>33</v>
      </c>
      <c r="O340" s="14" t="s">
        <v>34</v>
      </c>
      <c r="P340" s="15" t="s">
        <v>53</v>
      </c>
      <c r="Q340" s="16">
        <v>13999</v>
      </c>
      <c r="R340" s="17">
        <v>40</v>
      </c>
      <c r="S340" s="18">
        <v>9659.31</v>
      </c>
      <c r="T340" s="19" t="s">
        <v>36</v>
      </c>
      <c r="U340" s="20" t="s">
        <v>37</v>
      </c>
      <c r="V340" s="21" t="s">
        <v>38</v>
      </c>
      <c r="W340" s="22">
        <v>10</v>
      </c>
      <c r="X340" s="23"/>
    </row>
    <row r="341" spans="1:24" s="1" customFormat="1" ht="61.05" customHeight="1" x14ac:dyDescent="0.3">
      <c r="A341" s="24" t="s">
        <v>23</v>
      </c>
      <c r="B341" s="24" t="s">
        <v>452</v>
      </c>
      <c r="C341" s="12" t="s">
        <v>453</v>
      </c>
      <c r="D341" s="56"/>
      <c r="E341" s="41" t="str">
        <f>HYPERLINK("https://www.google.ru/search?q=1365671-001&amp;newwindow=1&amp;tbm=isch","Еще фото")</f>
        <v>Еще фото</v>
      </c>
      <c r="F341" s="13"/>
      <c r="G341" s="24" t="s">
        <v>26</v>
      </c>
      <c r="H341" s="24" t="s">
        <v>27</v>
      </c>
      <c r="I341" s="24" t="s">
        <v>28</v>
      </c>
      <c r="J341" s="14" t="s">
        <v>43</v>
      </c>
      <c r="K341" s="15" t="s">
        <v>30</v>
      </c>
      <c r="L341" s="58"/>
      <c r="M341" s="14" t="s">
        <v>455</v>
      </c>
      <c r="N341" s="14" t="s">
        <v>33</v>
      </c>
      <c r="O341" s="14" t="s">
        <v>34</v>
      </c>
      <c r="P341" s="15" t="s">
        <v>53</v>
      </c>
      <c r="Q341" s="16">
        <v>13999</v>
      </c>
      <c r="R341" s="17">
        <v>40</v>
      </c>
      <c r="S341" s="18">
        <v>9659.31</v>
      </c>
      <c r="T341" s="19" t="s">
        <v>36</v>
      </c>
      <c r="U341" s="20" t="s">
        <v>39</v>
      </c>
      <c r="V341" s="21" t="s">
        <v>40</v>
      </c>
      <c r="W341" s="22">
        <v>9</v>
      </c>
      <c r="X341" s="23"/>
    </row>
    <row r="342" spans="1:24" s="1" customFormat="1" ht="108" customHeight="1" x14ac:dyDescent="0.3">
      <c r="A342" s="11" t="s">
        <v>23</v>
      </c>
      <c r="B342" s="11" t="s">
        <v>341</v>
      </c>
      <c r="C342" s="12" t="s">
        <v>456</v>
      </c>
      <c r="D342" s="25"/>
      <c r="E342" s="41" t="str">
        <f>HYPERLINK("https://www.google.ru/search?q=1366119-640&amp;newwindow=1&amp;tbm=isch","Еще фото")</f>
        <v>Еще фото</v>
      </c>
      <c r="F342" s="13"/>
      <c r="G342" s="11" t="s">
        <v>77</v>
      </c>
      <c r="H342" s="11" t="s">
        <v>27</v>
      </c>
      <c r="I342" s="14" t="s">
        <v>28</v>
      </c>
      <c r="J342" s="14" t="s">
        <v>29</v>
      </c>
      <c r="K342" s="15" t="s">
        <v>50</v>
      </c>
      <c r="L342" s="14" t="s">
        <v>457</v>
      </c>
      <c r="M342" s="14"/>
      <c r="N342" s="14" t="s">
        <v>69</v>
      </c>
      <c r="O342" s="14"/>
      <c r="P342" s="15" t="s">
        <v>458</v>
      </c>
      <c r="Q342" s="16">
        <v>4099</v>
      </c>
      <c r="R342" s="17">
        <v>40</v>
      </c>
      <c r="S342" s="18">
        <v>2828.31</v>
      </c>
      <c r="T342" s="19" t="s">
        <v>36</v>
      </c>
      <c r="U342" s="20" t="s">
        <v>73</v>
      </c>
      <c r="V342" s="21" t="s">
        <v>74</v>
      </c>
      <c r="W342" s="22">
        <v>1</v>
      </c>
      <c r="X342" s="23"/>
    </row>
    <row r="343" spans="1:24" s="1" customFormat="1" ht="108" customHeight="1" x14ac:dyDescent="0.3">
      <c r="A343" s="11" t="s">
        <v>23</v>
      </c>
      <c r="B343" s="11" t="s">
        <v>459</v>
      </c>
      <c r="C343" s="12" t="s">
        <v>460</v>
      </c>
      <c r="D343" s="25"/>
      <c r="E343" s="41" t="str">
        <f>HYPERLINK("https://www.google.ru/search?q=1366366-432&amp;newwindow=1&amp;tbm=isch","Еще фото")</f>
        <v>Еще фото</v>
      </c>
      <c r="F343" s="13"/>
      <c r="G343" s="11" t="s">
        <v>28</v>
      </c>
      <c r="H343" s="11" t="s">
        <v>27</v>
      </c>
      <c r="I343" s="14" t="s">
        <v>28</v>
      </c>
      <c r="J343" s="14" t="s">
        <v>29</v>
      </c>
      <c r="K343" s="15" t="s">
        <v>30</v>
      </c>
      <c r="L343" s="14" t="s">
        <v>461</v>
      </c>
      <c r="M343" s="14" t="s">
        <v>68</v>
      </c>
      <c r="N343" s="14" t="s">
        <v>115</v>
      </c>
      <c r="O343" s="14"/>
      <c r="P343" s="15" t="s">
        <v>120</v>
      </c>
      <c r="Q343" s="16">
        <v>8299</v>
      </c>
      <c r="R343" s="17">
        <v>40</v>
      </c>
      <c r="S343" s="18">
        <v>5726.3099999999995</v>
      </c>
      <c r="T343" s="19" t="s">
        <v>36</v>
      </c>
      <c r="U343" s="20" t="s">
        <v>39</v>
      </c>
      <c r="V343" s="21" t="s">
        <v>40</v>
      </c>
      <c r="W343" s="22">
        <v>1</v>
      </c>
      <c r="X343" s="23"/>
    </row>
    <row r="344" spans="1:24" s="1" customFormat="1" ht="52.05" customHeight="1" x14ac:dyDescent="0.3">
      <c r="A344" s="11" t="s">
        <v>23</v>
      </c>
      <c r="B344" s="11" t="s">
        <v>462</v>
      </c>
      <c r="C344" s="12" t="s">
        <v>463</v>
      </c>
      <c r="D344" s="55"/>
      <c r="E344" s="41" t="str">
        <f>HYPERLINK("https://www.google.ru/search?q=1366627-011&amp;newwindow=1&amp;tbm=isch","Еще фото")</f>
        <v>Еще фото</v>
      </c>
      <c r="F344" s="13" t="s">
        <v>103</v>
      </c>
      <c r="G344" s="11" t="s">
        <v>28</v>
      </c>
      <c r="H344" s="11" t="s">
        <v>27</v>
      </c>
      <c r="I344" s="14" t="s">
        <v>28</v>
      </c>
      <c r="J344" s="14" t="s">
        <v>43</v>
      </c>
      <c r="K344" s="15" t="s">
        <v>30</v>
      </c>
      <c r="L344" s="57" t="s">
        <v>464</v>
      </c>
      <c r="M344" s="14" t="s">
        <v>45</v>
      </c>
      <c r="N344" s="14" t="s">
        <v>62</v>
      </c>
      <c r="O344" s="14" t="s">
        <v>34</v>
      </c>
      <c r="P344" s="15" t="s">
        <v>120</v>
      </c>
      <c r="Q344" s="16">
        <v>11699</v>
      </c>
      <c r="R344" s="17">
        <v>40</v>
      </c>
      <c r="S344" s="18">
        <v>8072.3099999999986</v>
      </c>
      <c r="T344" s="19" t="s">
        <v>36</v>
      </c>
      <c r="U344" s="20" t="s">
        <v>37</v>
      </c>
      <c r="V344" s="21" t="s">
        <v>38</v>
      </c>
      <c r="W344" s="22">
        <v>3</v>
      </c>
      <c r="X344" s="23"/>
    </row>
    <row r="345" spans="1:24" s="1" customFormat="1" ht="61.05" customHeight="1" x14ac:dyDescent="0.3">
      <c r="A345" s="24" t="s">
        <v>23</v>
      </c>
      <c r="B345" s="24" t="s">
        <v>462</v>
      </c>
      <c r="C345" s="12" t="s">
        <v>463</v>
      </c>
      <c r="D345" s="56"/>
      <c r="E345" s="41" t="str">
        <f>HYPERLINK("https://www.google.ru/search?q=1366627-011&amp;newwindow=1&amp;tbm=isch","Еще фото")</f>
        <v>Еще фото</v>
      </c>
      <c r="F345" s="13" t="s">
        <v>103</v>
      </c>
      <c r="G345" s="24" t="s">
        <v>28</v>
      </c>
      <c r="H345" s="24" t="s">
        <v>27</v>
      </c>
      <c r="I345" s="24" t="s">
        <v>28</v>
      </c>
      <c r="J345" s="14" t="s">
        <v>43</v>
      </c>
      <c r="K345" s="15" t="s">
        <v>30</v>
      </c>
      <c r="L345" s="58"/>
      <c r="M345" s="14" t="s">
        <v>45</v>
      </c>
      <c r="N345" s="14" t="s">
        <v>62</v>
      </c>
      <c r="O345" s="14" t="s">
        <v>34</v>
      </c>
      <c r="P345" s="15" t="s">
        <v>120</v>
      </c>
      <c r="Q345" s="16">
        <v>11699</v>
      </c>
      <c r="R345" s="17">
        <v>40</v>
      </c>
      <c r="S345" s="18">
        <v>8072.3099999999986</v>
      </c>
      <c r="T345" s="19" t="s">
        <v>36</v>
      </c>
      <c r="U345" s="20" t="s">
        <v>88</v>
      </c>
      <c r="V345" s="21" t="s">
        <v>89</v>
      </c>
      <c r="W345" s="22">
        <v>1</v>
      </c>
      <c r="X345" s="23"/>
    </row>
    <row r="346" spans="1:24" s="1" customFormat="1" ht="52.05" customHeight="1" x14ac:dyDescent="0.3">
      <c r="A346" s="11" t="s">
        <v>23</v>
      </c>
      <c r="B346" s="11" t="s">
        <v>465</v>
      </c>
      <c r="C346" s="12" t="s">
        <v>466</v>
      </c>
      <c r="D346" s="55"/>
      <c r="E346" s="41" t="str">
        <f>HYPERLINK("https://www.google.ru/search?q=1369385-002&amp;newwindow=1&amp;tbm=isch","Еще фото")</f>
        <v>Еще фото</v>
      </c>
      <c r="F346" s="13" t="s">
        <v>103</v>
      </c>
      <c r="G346" s="11" t="s">
        <v>28</v>
      </c>
      <c r="H346" s="11" t="s">
        <v>27</v>
      </c>
      <c r="I346" s="14" t="s">
        <v>28</v>
      </c>
      <c r="J346" s="14" t="s">
        <v>29</v>
      </c>
      <c r="K346" s="15" t="s">
        <v>59</v>
      </c>
      <c r="L346" s="57" t="s">
        <v>467</v>
      </c>
      <c r="M346" s="14"/>
      <c r="N346" s="14" t="s">
        <v>33</v>
      </c>
      <c r="O346" s="14"/>
      <c r="P346" s="15" t="s">
        <v>298</v>
      </c>
      <c r="Q346" s="16">
        <v>7099</v>
      </c>
      <c r="R346" s="17">
        <v>40</v>
      </c>
      <c r="S346" s="18">
        <v>4898.3099999999995</v>
      </c>
      <c r="T346" s="19" t="s">
        <v>36</v>
      </c>
      <c r="U346" s="20" t="s">
        <v>63</v>
      </c>
      <c r="V346" s="21" t="s">
        <v>64</v>
      </c>
      <c r="W346" s="22">
        <v>4</v>
      </c>
      <c r="X346" s="23"/>
    </row>
    <row r="347" spans="1:24" s="1" customFormat="1" ht="61.05" customHeight="1" x14ac:dyDescent="0.3">
      <c r="A347" s="24" t="s">
        <v>23</v>
      </c>
      <c r="B347" s="24" t="s">
        <v>465</v>
      </c>
      <c r="C347" s="12" t="s">
        <v>466</v>
      </c>
      <c r="D347" s="56"/>
      <c r="E347" s="41" t="str">
        <f>HYPERLINK("https://www.google.ru/search?q=1369385-002&amp;newwindow=1&amp;tbm=isch","Еще фото")</f>
        <v>Еще фото</v>
      </c>
      <c r="F347" s="13" t="s">
        <v>103</v>
      </c>
      <c r="G347" s="24" t="s">
        <v>28</v>
      </c>
      <c r="H347" s="24" t="s">
        <v>27</v>
      </c>
      <c r="I347" s="24" t="s">
        <v>28</v>
      </c>
      <c r="J347" s="14" t="s">
        <v>29</v>
      </c>
      <c r="K347" s="15" t="s">
        <v>59</v>
      </c>
      <c r="L347" s="58"/>
      <c r="M347" s="14"/>
      <c r="N347" s="14" t="s">
        <v>33</v>
      </c>
      <c r="O347" s="14"/>
      <c r="P347" s="15" t="s">
        <v>298</v>
      </c>
      <c r="Q347" s="16">
        <v>7099</v>
      </c>
      <c r="R347" s="17">
        <v>40</v>
      </c>
      <c r="S347" s="18">
        <v>4898.3099999999995</v>
      </c>
      <c r="T347" s="19" t="s">
        <v>36</v>
      </c>
      <c r="U347" s="20" t="s">
        <v>86</v>
      </c>
      <c r="V347" s="21" t="s">
        <v>38</v>
      </c>
      <c r="W347" s="22">
        <v>1</v>
      </c>
      <c r="X347" s="23"/>
    </row>
    <row r="348" spans="1:24" s="1" customFormat="1" ht="52.05" customHeight="1" x14ac:dyDescent="0.3">
      <c r="A348" s="11" t="s">
        <v>23</v>
      </c>
      <c r="B348" s="11" t="s">
        <v>465</v>
      </c>
      <c r="C348" s="12" t="s">
        <v>468</v>
      </c>
      <c r="D348" s="55"/>
      <c r="E348" s="41" t="str">
        <f>HYPERLINK("https://www.google.ru/search?q=1369385-020&amp;newwindow=1&amp;tbm=isch","Еще фото")</f>
        <v>Еще фото</v>
      </c>
      <c r="F348" s="13" t="s">
        <v>152</v>
      </c>
      <c r="G348" s="11" t="s">
        <v>28</v>
      </c>
      <c r="H348" s="11" t="s">
        <v>27</v>
      </c>
      <c r="I348" s="14" t="s">
        <v>28</v>
      </c>
      <c r="J348" s="14" t="s">
        <v>29</v>
      </c>
      <c r="K348" s="15" t="s">
        <v>59</v>
      </c>
      <c r="L348" s="57" t="s">
        <v>467</v>
      </c>
      <c r="M348" s="14"/>
      <c r="N348" s="14" t="s">
        <v>62</v>
      </c>
      <c r="O348" s="14"/>
      <c r="P348" s="15" t="s">
        <v>298</v>
      </c>
      <c r="Q348" s="16">
        <v>7099</v>
      </c>
      <c r="R348" s="17">
        <v>40</v>
      </c>
      <c r="S348" s="18">
        <v>4898.3099999999995</v>
      </c>
      <c r="T348" s="19" t="s">
        <v>36</v>
      </c>
      <c r="U348" s="20" t="s">
        <v>63</v>
      </c>
      <c r="V348" s="21" t="s">
        <v>64</v>
      </c>
      <c r="W348" s="22">
        <v>1</v>
      </c>
      <c r="X348" s="23"/>
    </row>
    <row r="349" spans="1:24" s="1" customFormat="1" ht="61.05" customHeight="1" x14ac:dyDescent="0.3">
      <c r="A349" s="24" t="s">
        <v>23</v>
      </c>
      <c r="B349" s="24" t="s">
        <v>465</v>
      </c>
      <c r="C349" s="12" t="s">
        <v>468</v>
      </c>
      <c r="D349" s="56"/>
      <c r="E349" s="41" t="str">
        <f>HYPERLINK("https://www.google.ru/search?q=1369385-020&amp;newwindow=1&amp;tbm=isch","Еще фото")</f>
        <v>Еще фото</v>
      </c>
      <c r="F349" s="13" t="s">
        <v>152</v>
      </c>
      <c r="G349" s="24" t="s">
        <v>28</v>
      </c>
      <c r="H349" s="24" t="s">
        <v>27</v>
      </c>
      <c r="I349" s="24" t="s">
        <v>28</v>
      </c>
      <c r="J349" s="14" t="s">
        <v>29</v>
      </c>
      <c r="K349" s="15" t="s">
        <v>59</v>
      </c>
      <c r="L349" s="58"/>
      <c r="M349" s="14"/>
      <c r="N349" s="14" t="s">
        <v>62</v>
      </c>
      <c r="O349" s="14"/>
      <c r="P349" s="15" t="s">
        <v>298</v>
      </c>
      <c r="Q349" s="16">
        <v>7099</v>
      </c>
      <c r="R349" s="17">
        <v>40</v>
      </c>
      <c r="S349" s="18">
        <v>4898.3099999999995</v>
      </c>
      <c r="T349" s="19" t="s">
        <v>36</v>
      </c>
      <c r="U349" s="20" t="s">
        <v>37</v>
      </c>
      <c r="V349" s="21" t="s">
        <v>106</v>
      </c>
      <c r="W349" s="22">
        <v>1</v>
      </c>
      <c r="X349" s="23"/>
    </row>
    <row r="350" spans="1:24" s="1" customFormat="1" ht="108" customHeight="1" x14ac:dyDescent="0.3">
      <c r="A350" s="11" t="s">
        <v>23</v>
      </c>
      <c r="B350" s="11" t="s">
        <v>469</v>
      </c>
      <c r="C350" s="12" t="s">
        <v>470</v>
      </c>
      <c r="D350" s="25"/>
      <c r="E350" s="41" t="str">
        <f>HYPERLINK("https://www.google.ru/search?q=1369385-410&amp;newwindow=1&amp;tbm=isch","Еще фото")</f>
        <v>Еще фото</v>
      </c>
      <c r="F350" s="13"/>
      <c r="G350" s="11" t="s">
        <v>28</v>
      </c>
      <c r="H350" s="11" t="s">
        <v>27</v>
      </c>
      <c r="I350" s="14" t="s">
        <v>28</v>
      </c>
      <c r="J350" s="14" t="s">
        <v>29</v>
      </c>
      <c r="K350" s="15" t="s">
        <v>59</v>
      </c>
      <c r="L350" s="14" t="s">
        <v>467</v>
      </c>
      <c r="M350" s="14"/>
      <c r="N350" s="14" t="s">
        <v>115</v>
      </c>
      <c r="O350" s="14"/>
      <c r="P350" s="15" t="s">
        <v>298</v>
      </c>
      <c r="Q350" s="16">
        <v>6599</v>
      </c>
      <c r="R350" s="17">
        <v>40</v>
      </c>
      <c r="S350" s="18">
        <v>4553.3099999999995</v>
      </c>
      <c r="T350" s="19" t="s">
        <v>36</v>
      </c>
      <c r="U350" s="20" t="s">
        <v>39</v>
      </c>
      <c r="V350" s="21" t="s">
        <v>85</v>
      </c>
      <c r="W350" s="22">
        <v>1</v>
      </c>
      <c r="X350" s="23"/>
    </row>
    <row r="351" spans="1:24" s="1" customFormat="1" ht="108" customHeight="1" x14ac:dyDescent="0.3">
      <c r="A351" s="11" t="s">
        <v>23</v>
      </c>
      <c r="B351" s="11" t="s">
        <v>471</v>
      </c>
      <c r="C351" s="12" t="s">
        <v>472</v>
      </c>
      <c r="D351" s="25"/>
      <c r="E351" s="41" t="str">
        <f>HYPERLINK("https://www.google.ru/search?q=1369773-001&amp;newwindow=1&amp;tbm=isch","Еще фото")</f>
        <v>Еще фото</v>
      </c>
      <c r="F351" s="13" t="s">
        <v>152</v>
      </c>
      <c r="G351" s="11" t="s">
        <v>26</v>
      </c>
      <c r="H351" s="11" t="s">
        <v>27</v>
      </c>
      <c r="I351" s="14" t="s">
        <v>28</v>
      </c>
      <c r="J351" s="14" t="s">
        <v>29</v>
      </c>
      <c r="K351" s="15" t="s">
        <v>59</v>
      </c>
      <c r="L351" s="14" t="s">
        <v>473</v>
      </c>
      <c r="M351" s="14"/>
      <c r="N351" s="14" t="s">
        <v>33</v>
      </c>
      <c r="O351" s="14"/>
      <c r="P351" s="15" t="s">
        <v>164</v>
      </c>
      <c r="Q351" s="16">
        <v>6599</v>
      </c>
      <c r="R351" s="17">
        <v>40</v>
      </c>
      <c r="S351" s="18">
        <v>4553.3099999999995</v>
      </c>
      <c r="T351" s="19" t="s">
        <v>36</v>
      </c>
      <c r="U351" s="20" t="s">
        <v>63</v>
      </c>
      <c r="V351" s="21" t="s">
        <v>64</v>
      </c>
      <c r="W351" s="22">
        <v>17</v>
      </c>
      <c r="X351" s="23"/>
    </row>
    <row r="352" spans="1:24" s="1" customFormat="1" ht="52.05" customHeight="1" x14ac:dyDescent="0.3">
      <c r="A352" s="11" t="s">
        <v>23</v>
      </c>
      <c r="B352" s="11" t="s">
        <v>474</v>
      </c>
      <c r="C352" s="12" t="s">
        <v>475</v>
      </c>
      <c r="D352" s="55"/>
      <c r="E352" s="41" t="str">
        <f>HYPERLINK("https://www.google.ru/search?q=1369773-348&amp;newwindow=1&amp;tbm=isch","Еще фото")</f>
        <v>Еще фото</v>
      </c>
      <c r="F352" s="13"/>
      <c r="G352" s="11" t="s">
        <v>26</v>
      </c>
      <c r="H352" s="11" t="s">
        <v>27</v>
      </c>
      <c r="I352" s="14" t="s">
        <v>28</v>
      </c>
      <c r="J352" s="14" t="s">
        <v>29</v>
      </c>
      <c r="K352" s="15" t="s">
        <v>59</v>
      </c>
      <c r="L352" s="57"/>
      <c r="M352" s="14"/>
      <c r="N352" s="14" t="s">
        <v>127</v>
      </c>
      <c r="O352" s="14"/>
      <c r="P352" s="15" t="s">
        <v>164</v>
      </c>
      <c r="Q352" s="16">
        <v>7099</v>
      </c>
      <c r="R352" s="17">
        <v>40</v>
      </c>
      <c r="S352" s="18">
        <v>4898.3099999999995</v>
      </c>
      <c r="T352" s="19" t="s">
        <v>36</v>
      </c>
      <c r="U352" s="20" t="s">
        <v>63</v>
      </c>
      <c r="V352" s="21" t="s">
        <v>64</v>
      </c>
      <c r="W352" s="22">
        <v>2</v>
      </c>
      <c r="X352" s="23"/>
    </row>
    <row r="353" spans="1:24" s="1" customFormat="1" ht="61.05" customHeight="1" x14ac:dyDescent="0.3">
      <c r="A353" s="24" t="s">
        <v>23</v>
      </c>
      <c r="B353" s="24" t="s">
        <v>474</v>
      </c>
      <c r="C353" s="12" t="s">
        <v>475</v>
      </c>
      <c r="D353" s="56"/>
      <c r="E353" s="41" t="str">
        <f>HYPERLINK("https://www.google.ru/search?q=1369773-348&amp;newwindow=1&amp;tbm=isch","Еще фото")</f>
        <v>Еще фото</v>
      </c>
      <c r="F353" s="13"/>
      <c r="G353" s="24" t="s">
        <v>26</v>
      </c>
      <c r="H353" s="24" t="s">
        <v>27</v>
      </c>
      <c r="I353" s="24" t="s">
        <v>28</v>
      </c>
      <c r="J353" s="14" t="s">
        <v>29</v>
      </c>
      <c r="K353" s="15" t="s">
        <v>59</v>
      </c>
      <c r="L353" s="58"/>
      <c r="M353" s="14"/>
      <c r="N353" s="14" t="s">
        <v>127</v>
      </c>
      <c r="O353" s="14"/>
      <c r="P353" s="15" t="s">
        <v>164</v>
      </c>
      <c r="Q353" s="16">
        <v>7099</v>
      </c>
      <c r="R353" s="17">
        <v>40</v>
      </c>
      <c r="S353" s="18">
        <v>4898.3099999999995</v>
      </c>
      <c r="T353" s="19" t="s">
        <v>36</v>
      </c>
      <c r="U353" s="20" t="s">
        <v>86</v>
      </c>
      <c r="V353" s="21" t="s">
        <v>38</v>
      </c>
      <c r="W353" s="22">
        <v>1</v>
      </c>
      <c r="X353" s="23"/>
    </row>
    <row r="354" spans="1:24" s="1" customFormat="1" ht="108" customHeight="1" x14ac:dyDescent="0.3">
      <c r="A354" s="11" t="s">
        <v>23</v>
      </c>
      <c r="B354" s="11" t="s">
        <v>476</v>
      </c>
      <c r="C354" s="12" t="s">
        <v>477</v>
      </c>
      <c r="D354" s="25"/>
      <c r="E354" s="41" t="str">
        <f>HYPERLINK("https://www.google.ru/search?q=1370351-011&amp;newwindow=1&amp;tbm=isch","Еще фото")</f>
        <v>Еще фото</v>
      </c>
      <c r="F354" s="13"/>
      <c r="G354" s="11" t="s">
        <v>28</v>
      </c>
      <c r="H354" s="11" t="s">
        <v>27</v>
      </c>
      <c r="I354" s="14" t="s">
        <v>28</v>
      </c>
      <c r="J354" s="14" t="s">
        <v>29</v>
      </c>
      <c r="K354" s="15" t="s">
        <v>30</v>
      </c>
      <c r="L354" s="14" t="s">
        <v>478</v>
      </c>
      <c r="M354" s="14" t="s">
        <v>68</v>
      </c>
      <c r="N354" s="14" t="s">
        <v>62</v>
      </c>
      <c r="O354" s="14" t="s">
        <v>34</v>
      </c>
      <c r="P354" s="15" t="s">
        <v>479</v>
      </c>
      <c r="Q354" s="16">
        <v>6899</v>
      </c>
      <c r="R354" s="17">
        <v>40</v>
      </c>
      <c r="S354" s="18">
        <v>4760.3099999999995</v>
      </c>
      <c r="T354" s="19" t="s">
        <v>36</v>
      </c>
      <c r="U354" s="20" t="s">
        <v>39</v>
      </c>
      <c r="V354" s="21" t="s">
        <v>40</v>
      </c>
      <c r="W354" s="22">
        <v>29</v>
      </c>
      <c r="X354" s="23"/>
    </row>
    <row r="355" spans="1:24" s="1" customFormat="1" ht="52.05" customHeight="1" x14ac:dyDescent="0.3">
      <c r="A355" s="11" t="s">
        <v>23</v>
      </c>
      <c r="B355" s="11" t="s">
        <v>281</v>
      </c>
      <c r="C355" s="12" t="s">
        <v>480</v>
      </c>
      <c r="D355" s="55"/>
      <c r="E355" s="41" t="str">
        <f>HYPERLINK("https://www.google.ru/search?q=1373361-013&amp;newwindow=1&amp;tbm=isch","Еще фото")</f>
        <v>Еще фото</v>
      </c>
      <c r="F355" s="13"/>
      <c r="G355" s="11" t="s">
        <v>28</v>
      </c>
      <c r="H355" s="11" t="s">
        <v>27</v>
      </c>
      <c r="I355" s="14" t="s">
        <v>28</v>
      </c>
      <c r="J355" s="14" t="s">
        <v>29</v>
      </c>
      <c r="K355" s="15" t="s">
        <v>30</v>
      </c>
      <c r="L355" s="57" t="s">
        <v>283</v>
      </c>
      <c r="M355" s="14" t="s">
        <v>140</v>
      </c>
      <c r="N355" s="14" t="s">
        <v>284</v>
      </c>
      <c r="O355" s="14"/>
      <c r="P355" s="15" t="s">
        <v>47</v>
      </c>
      <c r="Q355" s="16">
        <v>8999</v>
      </c>
      <c r="R355" s="17">
        <v>40</v>
      </c>
      <c r="S355" s="18">
        <v>6209.3099999999995</v>
      </c>
      <c r="T355" s="19" t="s">
        <v>36</v>
      </c>
      <c r="U355" s="20" t="s">
        <v>37</v>
      </c>
      <c r="V355" s="21" t="s">
        <v>38</v>
      </c>
      <c r="W355" s="22">
        <v>3</v>
      </c>
      <c r="X355" s="23"/>
    </row>
    <row r="356" spans="1:24" s="1" customFormat="1" ht="61.05" customHeight="1" x14ac:dyDescent="0.3">
      <c r="A356" s="24" t="s">
        <v>23</v>
      </c>
      <c r="B356" s="24" t="s">
        <v>281</v>
      </c>
      <c r="C356" s="12" t="s">
        <v>480</v>
      </c>
      <c r="D356" s="56"/>
      <c r="E356" s="41" t="str">
        <f>HYPERLINK("https://www.google.ru/search?q=1373361-013&amp;newwindow=1&amp;tbm=isch","Еще фото")</f>
        <v>Еще фото</v>
      </c>
      <c r="F356" s="13"/>
      <c r="G356" s="24" t="s">
        <v>28</v>
      </c>
      <c r="H356" s="24" t="s">
        <v>27</v>
      </c>
      <c r="I356" s="24" t="s">
        <v>28</v>
      </c>
      <c r="J356" s="14" t="s">
        <v>29</v>
      </c>
      <c r="K356" s="15" t="s">
        <v>30</v>
      </c>
      <c r="L356" s="58"/>
      <c r="M356" s="14" t="s">
        <v>140</v>
      </c>
      <c r="N356" s="14" t="s">
        <v>284</v>
      </c>
      <c r="O356" s="14"/>
      <c r="P356" s="15" t="s">
        <v>47</v>
      </c>
      <c r="Q356" s="16">
        <v>8999</v>
      </c>
      <c r="R356" s="17">
        <v>40</v>
      </c>
      <c r="S356" s="18">
        <v>6209.3099999999995</v>
      </c>
      <c r="T356" s="19" t="s">
        <v>36</v>
      </c>
      <c r="U356" s="20" t="s">
        <v>39</v>
      </c>
      <c r="V356" s="21" t="s">
        <v>40</v>
      </c>
      <c r="W356" s="22">
        <v>1</v>
      </c>
      <c r="X356" s="23"/>
    </row>
    <row r="357" spans="1:24" s="1" customFormat="1" ht="17" customHeight="1" x14ac:dyDescent="0.3">
      <c r="A357" s="11" t="s">
        <v>23</v>
      </c>
      <c r="B357" s="11" t="s">
        <v>481</v>
      </c>
      <c r="C357" s="12" t="s">
        <v>482</v>
      </c>
      <c r="D357" s="59"/>
      <c r="E357" s="41" t="str">
        <f t="shared" ref="E357:E362" si="11">HYPERLINK("https://www.google.ru/search?q=1373362-001&amp;newwindow=1&amp;tbm=isch","Еще фото")</f>
        <v>Еще фото</v>
      </c>
      <c r="F357" s="13" t="s">
        <v>152</v>
      </c>
      <c r="G357" s="11" t="s">
        <v>28</v>
      </c>
      <c r="H357" s="11" t="s">
        <v>27</v>
      </c>
      <c r="I357" s="14" t="s">
        <v>28</v>
      </c>
      <c r="J357" s="14" t="s">
        <v>29</v>
      </c>
      <c r="K357" s="15" t="s">
        <v>30</v>
      </c>
      <c r="L357" s="57" t="s">
        <v>139</v>
      </c>
      <c r="M357" s="14"/>
      <c r="N357" s="14" t="s">
        <v>33</v>
      </c>
      <c r="O357" s="14"/>
      <c r="P357" s="15" t="s">
        <v>47</v>
      </c>
      <c r="Q357" s="16">
        <v>10099</v>
      </c>
      <c r="R357" s="17">
        <v>40</v>
      </c>
      <c r="S357" s="18">
        <v>6968.3099999999995</v>
      </c>
      <c r="T357" s="19" t="s">
        <v>36</v>
      </c>
      <c r="U357" s="20" t="s">
        <v>37</v>
      </c>
      <c r="V357" s="21" t="s">
        <v>38</v>
      </c>
      <c r="W357" s="22">
        <v>18</v>
      </c>
      <c r="X357" s="23"/>
    </row>
    <row r="358" spans="1:24" s="1" customFormat="1" ht="17" customHeight="1" x14ac:dyDescent="0.3">
      <c r="A358" s="24" t="s">
        <v>23</v>
      </c>
      <c r="B358" s="24" t="s">
        <v>481</v>
      </c>
      <c r="C358" s="12" t="s">
        <v>482</v>
      </c>
      <c r="D358" s="60"/>
      <c r="E358" s="41" t="str">
        <f t="shared" si="11"/>
        <v>Еще фото</v>
      </c>
      <c r="F358" s="13" t="s">
        <v>152</v>
      </c>
      <c r="G358" s="24" t="s">
        <v>28</v>
      </c>
      <c r="H358" s="24" t="s">
        <v>27</v>
      </c>
      <c r="I358" s="24" t="s">
        <v>28</v>
      </c>
      <c r="J358" s="14" t="s">
        <v>29</v>
      </c>
      <c r="K358" s="15" t="s">
        <v>30</v>
      </c>
      <c r="L358" s="62"/>
      <c r="M358" s="14"/>
      <c r="N358" s="14" t="s">
        <v>33</v>
      </c>
      <c r="O358" s="14"/>
      <c r="P358" s="15" t="s">
        <v>47</v>
      </c>
      <c r="Q358" s="16">
        <v>10099</v>
      </c>
      <c r="R358" s="17">
        <v>40</v>
      </c>
      <c r="S358" s="18">
        <v>6968.3099999999995</v>
      </c>
      <c r="T358" s="19" t="s">
        <v>36</v>
      </c>
      <c r="U358" s="20" t="s">
        <v>39</v>
      </c>
      <c r="V358" s="21" t="s">
        <v>40</v>
      </c>
      <c r="W358" s="22">
        <v>37</v>
      </c>
      <c r="X358" s="23"/>
    </row>
    <row r="359" spans="1:24" s="1" customFormat="1" ht="17" customHeight="1" x14ac:dyDescent="0.3">
      <c r="A359" s="24" t="s">
        <v>23</v>
      </c>
      <c r="B359" s="24" t="s">
        <v>481</v>
      </c>
      <c r="C359" s="12" t="s">
        <v>482</v>
      </c>
      <c r="D359" s="60"/>
      <c r="E359" s="41" t="str">
        <f t="shared" si="11"/>
        <v>Еще фото</v>
      </c>
      <c r="F359" s="13" t="s">
        <v>152</v>
      </c>
      <c r="G359" s="24" t="s">
        <v>28</v>
      </c>
      <c r="H359" s="24" t="s">
        <v>27</v>
      </c>
      <c r="I359" s="24" t="s">
        <v>28</v>
      </c>
      <c r="J359" s="14" t="s">
        <v>29</v>
      </c>
      <c r="K359" s="15" t="s">
        <v>30</v>
      </c>
      <c r="L359" s="62"/>
      <c r="M359" s="14"/>
      <c r="N359" s="14" t="s">
        <v>33</v>
      </c>
      <c r="O359" s="14"/>
      <c r="P359" s="15" t="s">
        <v>47</v>
      </c>
      <c r="Q359" s="16">
        <v>10099</v>
      </c>
      <c r="R359" s="17">
        <v>40</v>
      </c>
      <c r="S359" s="18">
        <v>6968.3099999999995</v>
      </c>
      <c r="T359" s="19" t="s">
        <v>36</v>
      </c>
      <c r="U359" s="20" t="s">
        <v>86</v>
      </c>
      <c r="V359" s="21" t="s">
        <v>87</v>
      </c>
      <c r="W359" s="22">
        <v>19</v>
      </c>
      <c r="X359" s="23"/>
    </row>
    <row r="360" spans="1:24" s="1" customFormat="1" ht="17" customHeight="1" x14ac:dyDescent="0.3">
      <c r="A360" s="24" t="s">
        <v>23</v>
      </c>
      <c r="B360" s="24" t="s">
        <v>481</v>
      </c>
      <c r="C360" s="12" t="s">
        <v>482</v>
      </c>
      <c r="D360" s="60"/>
      <c r="E360" s="41" t="str">
        <f t="shared" si="11"/>
        <v>Еще фото</v>
      </c>
      <c r="F360" s="13" t="s">
        <v>152</v>
      </c>
      <c r="G360" s="24" t="s">
        <v>28</v>
      </c>
      <c r="H360" s="24" t="s">
        <v>27</v>
      </c>
      <c r="I360" s="24" t="s">
        <v>28</v>
      </c>
      <c r="J360" s="14" t="s">
        <v>29</v>
      </c>
      <c r="K360" s="15" t="s">
        <v>30</v>
      </c>
      <c r="L360" s="62"/>
      <c r="M360" s="14"/>
      <c r="N360" s="14" t="s">
        <v>33</v>
      </c>
      <c r="O360" s="14"/>
      <c r="P360" s="15" t="s">
        <v>47</v>
      </c>
      <c r="Q360" s="16">
        <v>10099</v>
      </c>
      <c r="R360" s="17">
        <v>40</v>
      </c>
      <c r="S360" s="18">
        <v>6968.3099999999995</v>
      </c>
      <c r="T360" s="19" t="s">
        <v>36</v>
      </c>
      <c r="U360" s="20" t="s">
        <v>88</v>
      </c>
      <c r="V360" s="21" t="s">
        <v>89</v>
      </c>
      <c r="W360" s="22">
        <v>3</v>
      </c>
      <c r="X360" s="23"/>
    </row>
    <row r="361" spans="1:24" s="1" customFormat="1" ht="17" customHeight="1" x14ac:dyDescent="0.3">
      <c r="A361" s="24" t="s">
        <v>23</v>
      </c>
      <c r="B361" s="24" t="s">
        <v>481</v>
      </c>
      <c r="C361" s="12" t="s">
        <v>482</v>
      </c>
      <c r="D361" s="60"/>
      <c r="E361" s="41" t="str">
        <f t="shared" si="11"/>
        <v>Еще фото</v>
      </c>
      <c r="F361" s="13" t="s">
        <v>152</v>
      </c>
      <c r="G361" s="24" t="s">
        <v>28</v>
      </c>
      <c r="H361" s="24" t="s">
        <v>27</v>
      </c>
      <c r="I361" s="24" t="s">
        <v>28</v>
      </c>
      <c r="J361" s="14" t="s">
        <v>29</v>
      </c>
      <c r="K361" s="15" t="s">
        <v>30</v>
      </c>
      <c r="L361" s="62"/>
      <c r="M361" s="14"/>
      <c r="N361" s="14" t="s">
        <v>33</v>
      </c>
      <c r="O361" s="14"/>
      <c r="P361" s="15" t="s">
        <v>47</v>
      </c>
      <c r="Q361" s="16">
        <v>10099</v>
      </c>
      <c r="R361" s="17">
        <v>40</v>
      </c>
      <c r="S361" s="18">
        <v>6968.3099999999995</v>
      </c>
      <c r="T361" s="19" t="s">
        <v>36</v>
      </c>
      <c r="U361" s="20" t="s">
        <v>90</v>
      </c>
      <c r="V361" s="21" t="s">
        <v>91</v>
      </c>
      <c r="W361" s="22">
        <v>5</v>
      </c>
      <c r="X361" s="23"/>
    </row>
    <row r="362" spans="1:24" s="1" customFormat="1" ht="22.05" customHeight="1" x14ac:dyDescent="0.3">
      <c r="A362" s="24" t="s">
        <v>23</v>
      </c>
      <c r="B362" s="24" t="s">
        <v>481</v>
      </c>
      <c r="C362" s="12" t="s">
        <v>482</v>
      </c>
      <c r="D362" s="61"/>
      <c r="E362" s="41" t="str">
        <f t="shared" si="11"/>
        <v>Еще фото</v>
      </c>
      <c r="F362" s="13" t="s">
        <v>152</v>
      </c>
      <c r="G362" s="24" t="s">
        <v>28</v>
      </c>
      <c r="H362" s="24" t="s">
        <v>27</v>
      </c>
      <c r="I362" s="24" t="s">
        <v>28</v>
      </c>
      <c r="J362" s="14" t="s">
        <v>29</v>
      </c>
      <c r="K362" s="15" t="s">
        <v>30</v>
      </c>
      <c r="L362" s="58"/>
      <c r="M362" s="14"/>
      <c r="N362" s="14" t="s">
        <v>33</v>
      </c>
      <c r="O362" s="14"/>
      <c r="P362" s="15" t="s">
        <v>47</v>
      </c>
      <c r="Q362" s="16">
        <v>10099</v>
      </c>
      <c r="R362" s="17">
        <v>40</v>
      </c>
      <c r="S362" s="18">
        <v>6968.3099999999995</v>
      </c>
      <c r="T362" s="19" t="s">
        <v>36</v>
      </c>
      <c r="U362" s="20" t="s">
        <v>378</v>
      </c>
      <c r="V362" s="21" t="s">
        <v>379</v>
      </c>
      <c r="W362" s="22">
        <v>1</v>
      </c>
      <c r="X362" s="23"/>
    </row>
    <row r="363" spans="1:24" s="1" customFormat="1" ht="21" customHeight="1" x14ac:dyDescent="0.3">
      <c r="A363" s="11" t="s">
        <v>23</v>
      </c>
      <c r="B363" s="11" t="s">
        <v>276</v>
      </c>
      <c r="C363" s="26" t="s">
        <v>483</v>
      </c>
      <c r="D363" s="59"/>
      <c r="E363" s="41" t="str">
        <f>HYPERLINK("https://www.google.ru/search?q=1373362-025&amp;newwindow=1&amp;tbm=isch","Еще фото")</f>
        <v>Еще фото</v>
      </c>
      <c r="F363" s="13" t="s">
        <v>103</v>
      </c>
      <c r="G363" s="11" t="s">
        <v>28</v>
      </c>
      <c r="H363" s="11" t="s">
        <v>27</v>
      </c>
      <c r="I363" s="14" t="s">
        <v>28</v>
      </c>
      <c r="J363" s="14" t="s">
        <v>29</v>
      </c>
      <c r="K363" s="15" t="s">
        <v>30</v>
      </c>
      <c r="L363" s="57" t="s">
        <v>139</v>
      </c>
      <c r="M363" s="14"/>
      <c r="N363" s="14" t="s">
        <v>62</v>
      </c>
      <c r="O363" s="14"/>
      <c r="P363" s="15" t="s">
        <v>47</v>
      </c>
      <c r="Q363" s="16">
        <v>7899</v>
      </c>
      <c r="R363" s="17">
        <v>40</v>
      </c>
      <c r="S363" s="18">
        <v>5450.3099999999995</v>
      </c>
      <c r="T363" s="19" t="s">
        <v>36</v>
      </c>
      <c r="U363" s="20" t="s">
        <v>37</v>
      </c>
      <c r="V363" s="21" t="s">
        <v>38</v>
      </c>
      <c r="W363" s="22">
        <v>20</v>
      </c>
      <c r="X363" s="23"/>
    </row>
    <row r="364" spans="1:24" s="1" customFormat="1" ht="21" customHeight="1" x14ac:dyDescent="0.3">
      <c r="A364" s="24" t="s">
        <v>23</v>
      </c>
      <c r="B364" s="24" t="s">
        <v>276</v>
      </c>
      <c r="C364" s="27" t="s">
        <v>483</v>
      </c>
      <c r="D364" s="60"/>
      <c r="E364" s="41" t="str">
        <f>HYPERLINK("https://www.google.ru/search?q=1373362-025&amp;newwindow=1&amp;tbm=isch","Еще фото")</f>
        <v>Еще фото</v>
      </c>
      <c r="F364" s="13" t="s">
        <v>103</v>
      </c>
      <c r="G364" s="24" t="s">
        <v>28</v>
      </c>
      <c r="H364" s="24" t="s">
        <v>27</v>
      </c>
      <c r="I364" s="24" t="s">
        <v>28</v>
      </c>
      <c r="J364" s="14" t="s">
        <v>29</v>
      </c>
      <c r="K364" s="15" t="s">
        <v>30</v>
      </c>
      <c r="L364" s="62"/>
      <c r="M364" s="14"/>
      <c r="N364" s="14" t="s">
        <v>62</v>
      </c>
      <c r="O364" s="14"/>
      <c r="P364" s="15" t="s">
        <v>47</v>
      </c>
      <c r="Q364" s="16">
        <v>7899</v>
      </c>
      <c r="R364" s="17">
        <v>40</v>
      </c>
      <c r="S364" s="18">
        <v>5450.3099999999995</v>
      </c>
      <c r="T364" s="19" t="s">
        <v>36</v>
      </c>
      <c r="U364" s="20" t="s">
        <v>39</v>
      </c>
      <c r="V364" s="21" t="s">
        <v>40</v>
      </c>
      <c r="W364" s="22">
        <v>44</v>
      </c>
      <c r="X364" s="23"/>
    </row>
    <row r="365" spans="1:24" s="1" customFormat="1" ht="21" customHeight="1" x14ac:dyDescent="0.3">
      <c r="A365" s="24" t="s">
        <v>23</v>
      </c>
      <c r="B365" s="24" t="s">
        <v>276</v>
      </c>
      <c r="C365" s="27" t="s">
        <v>483</v>
      </c>
      <c r="D365" s="60"/>
      <c r="E365" s="41" t="str">
        <f>HYPERLINK("https://www.google.ru/search?q=1373362-025&amp;newwindow=1&amp;tbm=isch","Еще фото")</f>
        <v>Еще фото</v>
      </c>
      <c r="F365" s="13" t="s">
        <v>103</v>
      </c>
      <c r="G365" s="24" t="s">
        <v>28</v>
      </c>
      <c r="H365" s="24" t="s">
        <v>27</v>
      </c>
      <c r="I365" s="24" t="s">
        <v>28</v>
      </c>
      <c r="J365" s="14" t="s">
        <v>29</v>
      </c>
      <c r="K365" s="15" t="s">
        <v>30</v>
      </c>
      <c r="L365" s="62"/>
      <c r="M365" s="14"/>
      <c r="N365" s="14" t="s">
        <v>62</v>
      </c>
      <c r="O365" s="14"/>
      <c r="P365" s="15" t="s">
        <v>47</v>
      </c>
      <c r="Q365" s="16">
        <v>7899</v>
      </c>
      <c r="R365" s="17">
        <v>40</v>
      </c>
      <c r="S365" s="18">
        <v>5450.3099999999995</v>
      </c>
      <c r="T365" s="19" t="s">
        <v>36</v>
      </c>
      <c r="U365" s="20" t="s">
        <v>86</v>
      </c>
      <c r="V365" s="21" t="s">
        <v>87</v>
      </c>
      <c r="W365" s="22">
        <v>34</v>
      </c>
      <c r="X365" s="23"/>
    </row>
    <row r="366" spans="1:24" s="1" customFormat="1" ht="21" customHeight="1" x14ac:dyDescent="0.3">
      <c r="A366" s="24" t="s">
        <v>23</v>
      </c>
      <c r="B366" s="24" t="s">
        <v>276</v>
      </c>
      <c r="C366" s="27" t="s">
        <v>483</v>
      </c>
      <c r="D366" s="60"/>
      <c r="E366" s="41" t="str">
        <f>HYPERLINK("https://www.google.ru/search?q=1373362-025&amp;newwindow=1&amp;tbm=isch","Еще фото")</f>
        <v>Еще фото</v>
      </c>
      <c r="F366" s="13" t="s">
        <v>103</v>
      </c>
      <c r="G366" s="24" t="s">
        <v>28</v>
      </c>
      <c r="H366" s="24" t="s">
        <v>27</v>
      </c>
      <c r="I366" s="24" t="s">
        <v>28</v>
      </c>
      <c r="J366" s="14" t="s">
        <v>29</v>
      </c>
      <c r="K366" s="15" t="s">
        <v>30</v>
      </c>
      <c r="L366" s="62"/>
      <c r="M366" s="14"/>
      <c r="N366" s="14" t="s">
        <v>62</v>
      </c>
      <c r="O366" s="14"/>
      <c r="P366" s="15" t="s">
        <v>47</v>
      </c>
      <c r="Q366" s="16">
        <v>7899</v>
      </c>
      <c r="R366" s="17">
        <v>40</v>
      </c>
      <c r="S366" s="18">
        <v>5450.3099999999995</v>
      </c>
      <c r="T366" s="19" t="s">
        <v>36</v>
      </c>
      <c r="U366" s="20" t="s">
        <v>88</v>
      </c>
      <c r="V366" s="21" t="s">
        <v>89</v>
      </c>
      <c r="W366" s="22">
        <v>26</v>
      </c>
      <c r="X366" s="23"/>
    </row>
    <row r="367" spans="1:24" s="1" customFormat="1" ht="32" customHeight="1" x14ac:dyDescent="0.3">
      <c r="A367" s="24" t="s">
        <v>23</v>
      </c>
      <c r="B367" s="24" t="s">
        <v>276</v>
      </c>
      <c r="C367" s="27" t="s">
        <v>483</v>
      </c>
      <c r="D367" s="61"/>
      <c r="E367" s="41" t="str">
        <f>HYPERLINK("https://www.google.ru/search?q=1373362-025&amp;newwindow=1&amp;tbm=isch","Еще фото")</f>
        <v>Еще фото</v>
      </c>
      <c r="F367" s="13" t="s">
        <v>103</v>
      </c>
      <c r="G367" s="24" t="s">
        <v>28</v>
      </c>
      <c r="H367" s="24" t="s">
        <v>27</v>
      </c>
      <c r="I367" s="24" t="s">
        <v>28</v>
      </c>
      <c r="J367" s="14" t="s">
        <v>29</v>
      </c>
      <c r="K367" s="15" t="s">
        <v>30</v>
      </c>
      <c r="L367" s="58"/>
      <c r="M367" s="14"/>
      <c r="N367" s="14" t="s">
        <v>62</v>
      </c>
      <c r="O367" s="14"/>
      <c r="P367" s="15" t="s">
        <v>47</v>
      </c>
      <c r="Q367" s="16">
        <v>7899</v>
      </c>
      <c r="R367" s="17">
        <v>40</v>
      </c>
      <c r="S367" s="18">
        <v>5450.3099999999995</v>
      </c>
      <c r="T367" s="19" t="s">
        <v>36</v>
      </c>
      <c r="U367" s="20" t="s">
        <v>90</v>
      </c>
      <c r="V367" s="21" t="s">
        <v>91</v>
      </c>
      <c r="W367" s="22">
        <v>10</v>
      </c>
      <c r="X367" s="23"/>
    </row>
    <row r="368" spans="1:24" s="1" customFormat="1" ht="108" customHeight="1" x14ac:dyDescent="0.3">
      <c r="A368" s="11" t="s">
        <v>23</v>
      </c>
      <c r="B368" s="11" t="s">
        <v>276</v>
      </c>
      <c r="C368" s="12" t="s">
        <v>484</v>
      </c>
      <c r="D368" s="25"/>
      <c r="E368" s="41" t="str">
        <f>HYPERLINK("https://www.google.ru/search?q=1373362-400&amp;newwindow=1&amp;tbm=isch","Еще фото")</f>
        <v>Еще фото</v>
      </c>
      <c r="F368" s="13"/>
      <c r="G368" s="11" t="s">
        <v>28</v>
      </c>
      <c r="H368" s="11" t="s">
        <v>27</v>
      </c>
      <c r="I368" s="14" t="s">
        <v>28</v>
      </c>
      <c r="J368" s="14" t="s">
        <v>29</v>
      </c>
      <c r="K368" s="15" t="s">
        <v>30</v>
      </c>
      <c r="L368" s="14" t="s">
        <v>369</v>
      </c>
      <c r="M368" s="14" t="s">
        <v>140</v>
      </c>
      <c r="N368" s="14" t="s">
        <v>485</v>
      </c>
      <c r="O368" s="14"/>
      <c r="P368" s="15" t="s">
        <v>47</v>
      </c>
      <c r="Q368" s="16">
        <v>8599</v>
      </c>
      <c r="R368" s="17">
        <v>40</v>
      </c>
      <c r="S368" s="18">
        <v>5933.3099999999995</v>
      </c>
      <c r="T368" s="19" t="s">
        <v>36</v>
      </c>
      <c r="U368" s="20" t="s">
        <v>63</v>
      </c>
      <c r="V368" s="21" t="s">
        <v>85</v>
      </c>
      <c r="W368" s="22">
        <v>1</v>
      </c>
      <c r="X368" s="23"/>
    </row>
    <row r="369" spans="1:24" s="1" customFormat="1" ht="52.05" customHeight="1" x14ac:dyDescent="0.3">
      <c r="A369" s="11" t="s">
        <v>23</v>
      </c>
      <c r="B369" s="11" t="s">
        <v>276</v>
      </c>
      <c r="C369" s="12" t="s">
        <v>486</v>
      </c>
      <c r="D369" s="55"/>
      <c r="E369" s="41" t="str">
        <f>HYPERLINK("https://www.google.ru/search?q=1373362-437&amp;newwindow=1&amp;tbm=isch","Еще фото")</f>
        <v>Еще фото</v>
      </c>
      <c r="F369" s="13"/>
      <c r="G369" s="11" t="s">
        <v>28</v>
      </c>
      <c r="H369" s="11" t="s">
        <v>27</v>
      </c>
      <c r="I369" s="14" t="s">
        <v>28</v>
      </c>
      <c r="J369" s="14" t="s">
        <v>29</v>
      </c>
      <c r="K369" s="15" t="s">
        <v>30</v>
      </c>
      <c r="L369" s="57" t="s">
        <v>487</v>
      </c>
      <c r="M369" s="14" t="s">
        <v>140</v>
      </c>
      <c r="N369" s="14" t="s">
        <v>115</v>
      </c>
      <c r="O369" s="14"/>
      <c r="P369" s="15" t="s">
        <v>47</v>
      </c>
      <c r="Q369" s="16">
        <v>8599</v>
      </c>
      <c r="R369" s="17">
        <v>40</v>
      </c>
      <c r="S369" s="18">
        <v>5933.3099999999995</v>
      </c>
      <c r="T369" s="19" t="s">
        <v>36</v>
      </c>
      <c r="U369" s="20" t="s">
        <v>37</v>
      </c>
      <c r="V369" s="21" t="s">
        <v>38</v>
      </c>
      <c r="W369" s="22">
        <v>1</v>
      </c>
      <c r="X369" s="23"/>
    </row>
    <row r="370" spans="1:24" s="1" customFormat="1" ht="61.05" customHeight="1" x14ac:dyDescent="0.3">
      <c r="A370" s="24" t="s">
        <v>23</v>
      </c>
      <c r="B370" s="24" t="s">
        <v>276</v>
      </c>
      <c r="C370" s="12" t="s">
        <v>486</v>
      </c>
      <c r="D370" s="56"/>
      <c r="E370" s="41" t="str">
        <f>HYPERLINK("https://www.google.ru/search?q=1373362-437&amp;newwindow=1&amp;tbm=isch","Еще фото")</f>
        <v>Еще фото</v>
      </c>
      <c r="F370" s="13"/>
      <c r="G370" s="24" t="s">
        <v>28</v>
      </c>
      <c r="H370" s="24" t="s">
        <v>27</v>
      </c>
      <c r="I370" s="24" t="s">
        <v>28</v>
      </c>
      <c r="J370" s="14" t="s">
        <v>29</v>
      </c>
      <c r="K370" s="15" t="s">
        <v>30</v>
      </c>
      <c r="L370" s="58"/>
      <c r="M370" s="14" t="s">
        <v>140</v>
      </c>
      <c r="N370" s="14" t="s">
        <v>115</v>
      </c>
      <c r="O370" s="14"/>
      <c r="P370" s="15" t="s">
        <v>47</v>
      </c>
      <c r="Q370" s="16">
        <v>8599</v>
      </c>
      <c r="R370" s="17">
        <v>40</v>
      </c>
      <c r="S370" s="18">
        <v>5933.3099999999995</v>
      </c>
      <c r="T370" s="19" t="s">
        <v>36</v>
      </c>
      <c r="U370" s="20" t="s">
        <v>88</v>
      </c>
      <c r="V370" s="21" t="s">
        <v>89</v>
      </c>
      <c r="W370" s="22">
        <v>2</v>
      </c>
      <c r="X370" s="23"/>
    </row>
    <row r="371" spans="1:24" s="1" customFormat="1" ht="108" customHeight="1" x14ac:dyDescent="0.3">
      <c r="A371" s="11" t="s">
        <v>23</v>
      </c>
      <c r="B371" s="11" t="s">
        <v>276</v>
      </c>
      <c r="C371" s="12" t="s">
        <v>488</v>
      </c>
      <c r="D371" s="25"/>
      <c r="E371" s="41" t="str">
        <f>HYPERLINK("https://www.google.ru/search?q=1373362-600&amp;newwindow=1&amp;tbm=isch","Еще фото")</f>
        <v>Еще фото</v>
      </c>
      <c r="F371" s="13"/>
      <c r="G371" s="11" t="s">
        <v>28</v>
      </c>
      <c r="H371" s="11" t="s">
        <v>27</v>
      </c>
      <c r="I371" s="14" t="s">
        <v>28</v>
      </c>
      <c r="J371" s="14" t="s">
        <v>29</v>
      </c>
      <c r="K371" s="15" t="s">
        <v>30</v>
      </c>
      <c r="L371" s="14" t="s">
        <v>369</v>
      </c>
      <c r="M371" s="14" t="s">
        <v>140</v>
      </c>
      <c r="N371" s="14" t="s">
        <v>192</v>
      </c>
      <c r="O371" s="14"/>
      <c r="P371" s="15" t="s">
        <v>47</v>
      </c>
      <c r="Q371" s="16">
        <v>8599</v>
      </c>
      <c r="R371" s="17">
        <v>40</v>
      </c>
      <c r="S371" s="18">
        <v>5933.3099999999995</v>
      </c>
      <c r="T371" s="19" t="s">
        <v>36</v>
      </c>
      <c r="U371" s="20" t="s">
        <v>39</v>
      </c>
      <c r="V371" s="21" t="s">
        <v>40</v>
      </c>
      <c r="W371" s="22">
        <v>1</v>
      </c>
      <c r="X371" s="23"/>
    </row>
    <row r="372" spans="1:24" s="1" customFormat="1" ht="52.05" customHeight="1" x14ac:dyDescent="0.3">
      <c r="A372" s="11" t="s">
        <v>23</v>
      </c>
      <c r="B372" s="11" t="s">
        <v>489</v>
      </c>
      <c r="C372" s="12" t="s">
        <v>490</v>
      </c>
      <c r="D372" s="55"/>
      <c r="E372" s="41" t="str">
        <f>HYPERLINK("https://www.google.ru/search?q=1373882-001&amp;newwindow=1&amp;tbm=isch","Еще фото")</f>
        <v>Еще фото</v>
      </c>
      <c r="F372" s="13" t="s">
        <v>103</v>
      </c>
      <c r="G372" s="11" t="s">
        <v>28</v>
      </c>
      <c r="H372" s="11" t="s">
        <v>27</v>
      </c>
      <c r="I372" s="14" t="s">
        <v>28</v>
      </c>
      <c r="J372" s="14" t="s">
        <v>29</v>
      </c>
      <c r="K372" s="15" t="s">
        <v>30</v>
      </c>
      <c r="L372" s="57" t="s">
        <v>491</v>
      </c>
      <c r="M372" s="14"/>
      <c r="N372" s="14" t="s">
        <v>33</v>
      </c>
      <c r="O372" s="14"/>
      <c r="P372" s="15" t="s">
        <v>120</v>
      </c>
      <c r="Q372" s="16">
        <v>6299</v>
      </c>
      <c r="R372" s="17">
        <v>40</v>
      </c>
      <c r="S372" s="18">
        <v>4346.3099999999995</v>
      </c>
      <c r="T372" s="19" t="s">
        <v>36</v>
      </c>
      <c r="U372" s="20" t="s">
        <v>39</v>
      </c>
      <c r="V372" s="21" t="s">
        <v>40</v>
      </c>
      <c r="W372" s="22">
        <v>1</v>
      </c>
      <c r="X372" s="23"/>
    </row>
    <row r="373" spans="1:24" s="1" customFormat="1" ht="61.05" customHeight="1" x14ac:dyDescent="0.3">
      <c r="A373" s="24" t="s">
        <v>23</v>
      </c>
      <c r="B373" s="24" t="s">
        <v>489</v>
      </c>
      <c r="C373" s="12" t="s">
        <v>490</v>
      </c>
      <c r="D373" s="56"/>
      <c r="E373" s="41" t="str">
        <f>HYPERLINK("https://www.google.ru/search?q=1373882-001&amp;newwindow=1&amp;tbm=isch","Еще фото")</f>
        <v>Еще фото</v>
      </c>
      <c r="F373" s="13" t="s">
        <v>103</v>
      </c>
      <c r="G373" s="24" t="s">
        <v>28</v>
      </c>
      <c r="H373" s="24" t="s">
        <v>27</v>
      </c>
      <c r="I373" s="24" t="s">
        <v>28</v>
      </c>
      <c r="J373" s="14" t="s">
        <v>29</v>
      </c>
      <c r="K373" s="15" t="s">
        <v>30</v>
      </c>
      <c r="L373" s="58"/>
      <c r="M373" s="14"/>
      <c r="N373" s="14" t="s">
        <v>33</v>
      </c>
      <c r="O373" s="14"/>
      <c r="P373" s="15" t="s">
        <v>120</v>
      </c>
      <c r="Q373" s="16">
        <v>6299</v>
      </c>
      <c r="R373" s="17">
        <v>40</v>
      </c>
      <c r="S373" s="18">
        <v>4346.3099999999995</v>
      </c>
      <c r="T373" s="19" t="s">
        <v>36</v>
      </c>
      <c r="U373" s="20" t="s">
        <v>90</v>
      </c>
      <c r="V373" s="21" t="s">
        <v>91</v>
      </c>
      <c r="W373" s="22">
        <v>1</v>
      </c>
      <c r="X373" s="23"/>
    </row>
    <row r="374" spans="1:24" s="1" customFormat="1" ht="26" customHeight="1" x14ac:dyDescent="0.3">
      <c r="A374" s="11" t="s">
        <v>23</v>
      </c>
      <c r="B374" s="11" t="s">
        <v>492</v>
      </c>
      <c r="C374" s="12" t="s">
        <v>493</v>
      </c>
      <c r="D374" s="59"/>
      <c r="E374" s="41" t="str">
        <f>HYPERLINK("https://www.google.ru/search?q=1373882-012&amp;newwindow=1&amp;tbm=isch","Еще фото")</f>
        <v>Еще фото</v>
      </c>
      <c r="F374" s="28" t="s">
        <v>138</v>
      </c>
      <c r="G374" s="11" t="s">
        <v>28</v>
      </c>
      <c r="H374" s="11" t="s">
        <v>27</v>
      </c>
      <c r="I374" s="14" t="s">
        <v>28</v>
      </c>
      <c r="J374" s="14" t="s">
        <v>29</v>
      </c>
      <c r="K374" s="15" t="s">
        <v>30</v>
      </c>
      <c r="L374" s="57" t="s">
        <v>491</v>
      </c>
      <c r="M374" s="14"/>
      <c r="N374" s="14" t="s">
        <v>62</v>
      </c>
      <c r="O374" s="14"/>
      <c r="P374" s="15" t="s">
        <v>120</v>
      </c>
      <c r="Q374" s="16">
        <v>6299</v>
      </c>
      <c r="R374" s="17">
        <v>40</v>
      </c>
      <c r="S374" s="18">
        <v>4346.3099999999995</v>
      </c>
      <c r="T374" s="19" t="s">
        <v>36</v>
      </c>
      <c r="U374" s="20" t="s">
        <v>37</v>
      </c>
      <c r="V374" s="21" t="s">
        <v>38</v>
      </c>
      <c r="W374" s="22">
        <v>3</v>
      </c>
      <c r="X374" s="23"/>
    </row>
    <row r="375" spans="1:24" s="1" customFormat="1" ht="26" customHeight="1" x14ac:dyDescent="0.3">
      <c r="A375" s="24" t="s">
        <v>23</v>
      </c>
      <c r="B375" s="24" t="s">
        <v>492</v>
      </c>
      <c r="C375" s="12" t="s">
        <v>493</v>
      </c>
      <c r="D375" s="60"/>
      <c r="E375" s="41" t="str">
        <f>HYPERLINK("https://www.google.ru/search?q=1373882-012&amp;newwindow=1&amp;tbm=isch","Еще фото")</f>
        <v>Еще фото</v>
      </c>
      <c r="F375" s="28" t="s">
        <v>138</v>
      </c>
      <c r="G375" s="24" t="s">
        <v>28</v>
      </c>
      <c r="H375" s="24" t="s">
        <v>27</v>
      </c>
      <c r="I375" s="24" t="s">
        <v>28</v>
      </c>
      <c r="J375" s="14" t="s">
        <v>29</v>
      </c>
      <c r="K375" s="15" t="s">
        <v>30</v>
      </c>
      <c r="L375" s="62"/>
      <c r="M375" s="14"/>
      <c r="N375" s="14" t="s">
        <v>62</v>
      </c>
      <c r="O375" s="14"/>
      <c r="P375" s="15" t="s">
        <v>120</v>
      </c>
      <c r="Q375" s="16">
        <v>6299</v>
      </c>
      <c r="R375" s="17">
        <v>40</v>
      </c>
      <c r="S375" s="18">
        <v>4346.3099999999995</v>
      </c>
      <c r="T375" s="19" t="s">
        <v>36</v>
      </c>
      <c r="U375" s="20" t="s">
        <v>39</v>
      </c>
      <c r="V375" s="21" t="s">
        <v>40</v>
      </c>
      <c r="W375" s="22">
        <v>4</v>
      </c>
      <c r="X375" s="23"/>
    </row>
    <row r="376" spans="1:24" s="1" customFormat="1" ht="26" customHeight="1" x14ac:dyDescent="0.3">
      <c r="A376" s="24" t="s">
        <v>23</v>
      </c>
      <c r="B376" s="24" t="s">
        <v>492</v>
      </c>
      <c r="C376" s="12" t="s">
        <v>493</v>
      </c>
      <c r="D376" s="60"/>
      <c r="E376" s="41" t="str">
        <f>HYPERLINK("https://www.google.ru/search?q=1373882-012&amp;newwindow=1&amp;tbm=isch","Еще фото")</f>
        <v>Еще фото</v>
      </c>
      <c r="F376" s="28" t="s">
        <v>138</v>
      </c>
      <c r="G376" s="24" t="s">
        <v>28</v>
      </c>
      <c r="H376" s="24" t="s">
        <v>27</v>
      </c>
      <c r="I376" s="24" t="s">
        <v>28</v>
      </c>
      <c r="J376" s="14" t="s">
        <v>29</v>
      </c>
      <c r="K376" s="15" t="s">
        <v>30</v>
      </c>
      <c r="L376" s="62"/>
      <c r="M376" s="14"/>
      <c r="N376" s="14" t="s">
        <v>62</v>
      </c>
      <c r="O376" s="14"/>
      <c r="P376" s="15" t="s">
        <v>120</v>
      </c>
      <c r="Q376" s="16">
        <v>6299</v>
      </c>
      <c r="R376" s="17">
        <v>40</v>
      </c>
      <c r="S376" s="18">
        <v>4346.3099999999995</v>
      </c>
      <c r="T376" s="19" t="s">
        <v>36</v>
      </c>
      <c r="U376" s="20" t="s">
        <v>90</v>
      </c>
      <c r="V376" s="21" t="s">
        <v>91</v>
      </c>
      <c r="W376" s="22">
        <v>4</v>
      </c>
      <c r="X376" s="23"/>
    </row>
    <row r="377" spans="1:24" s="1" customFormat="1" ht="26" customHeight="1" x14ac:dyDescent="0.3">
      <c r="A377" s="24" t="s">
        <v>23</v>
      </c>
      <c r="B377" s="24" t="s">
        <v>492</v>
      </c>
      <c r="C377" s="12" t="s">
        <v>493</v>
      </c>
      <c r="D377" s="61"/>
      <c r="E377" s="41" t="str">
        <f>HYPERLINK("https://www.google.ru/search?q=1373882-012&amp;newwindow=1&amp;tbm=isch","Еще фото")</f>
        <v>Еще фото</v>
      </c>
      <c r="F377" s="28" t="s">
        <v>138</v>
      </c>
      <c r="G377" s="24" t="s">
        <v>28</v>
      </c>
      <c r="H377" s="24" t="s">
        <v>27</v>
      </c>
      <c r="I377" s="24" t="s">
        <v>28</v>
      </c>
      <c r="J377" s="14" t="s">
        <v>29</v>
      </c>
      <c r="K377" s="15" t="s">
        <v>30</v>
      </c>
      <c r="L377" s="58"/>
      <c r="M377" s="14"/>
      <c r="N377" s="14" t="s">
        <v>62</v>
      </c>
      <c r="O377" s="14"/>
      <c r="P377" s="15" t="s">
        <v>120</v>
      </c>
      <c r="Q377" s="16">
        <v>6299</v>
      </c>
      <c r="R377" s="17">
        <v>40</v>
      </c>
      <c r="S377" s="18">
        <v>4346.3099999999995</v>
      </c>
      <c r="T377" s="19" t="s">
        <v>36</v>
      </c>
      <c r="U377" s="20" t="s">
        <v>408</v>
      </c>
      <c r="V377" s="21" t="s">
        <v>409</v>
      </c>
      <c r="W377" s="22">
        <v>3</v>
      </c>
      <c r="X377" s="23"/>
    </row>
    <row r="378" spans="1:24" s="1" customFormat="1" ht="35" customHeight="1" x14ac:dyDescent="0.3">
      <c r="A378" s="11" t="s">
        <v>23</v>
      </c>
      <c r="B378" s="11" t="s">
        <v>226</v>
      </c>
      <c r="C378" s="12" t="s">
        <v>494</v>
      </c>
      <c r="D378" s="59"/>
      <c r="E378" s="41" t="str">
        <f>HYPERLINK("https://www.google.ru/search?q=1373882-013&amp;newwindow=1&amp;tbm=isch","Еще фото")</f>
        <v>Еще фото</v>
      </c>
      <c r="F378" s="13" t="s">
        <v>103</v>
      </c>
      <c r="G378" s="11" t="s">
        <v>28</v>
      </c>
      <c r="H378" s="11" t="s">
        <v>27</v>
      </c>
      <c r="I378" s="14" t="s">
        <v>28</v>
      </c>
      <c r="J378" s="14" t="s">
        <v>43</v>
      </c>
      <c r="K378" s="15" t="s">
        <v>30</v>
      </c>
      <c r="L378" s="57" t="s">
        <v>491</v>
      </c>
      <c r="M378" s="14"/>
      <c r="N378" s="14" t="s">
        <v>62</v>
      </c>
      <c r="O378" s="14"/>
      <c r="P378" s="15" t="s">
        <v>120</v>
      </c>
      <c r="Q378" s="16">
        <v>6299</v>
      </c>
      <c r="R378" s="17">
        <v>40</v>
      </c>
      <c r="S378" s="18">
        <v>4346.3099999999995</v>
      </c>
      <c r="T378" s="19" t="s">
        <v>36</v>
      </c>
      <c r="U378" s="20" t="s">
        <v>39</v>
      </c>
      <c r="V378" s="21" t="s">
        <v>40</v>
      </c>
      <c r="W378" s="22">
        <v>9</v>
      </c>
      <c r="X378" s="23"/>
    </row>
    <row r="379" spans="1:24" s="1" customFormat="1" ht="35" customHeight="1" x14ac:dyDescent="0.3">
      <c r="A379" s="24" t="s">
        <v>23</v>
      </c>
      <c r="B379" s="24" t="s">
        <v>226</v>
      </c>
      <c r="C379" s="12" t="s">
        <v>494</v>
      </c>
      <c r="D379" s="60"/>
      <c r="E379" s="41" t="str">
        <f>HYPERLINK("https://www.google.ru/search?q=1373882-013&amp;newwindow=1&amp;tbm=isch","Еще фото")</f>
        <v>Еще фото</v>
      </c>
      <c r="F379" s="13" t="s">
        <v>103</v>
      </c>
      <c r="G379" s="24" t="s">
        <v>28</v>
      </c>
      <c r="H379" s="24" t="s">
        <v>27</v>
      </c>
      <c r="I379" s="24" t="s">
        <v>28</v>
      </c>
      <c r="J379" s="14" t="s">
        <v>43</v>
      </c>
      <c r="K379" s="15" t="s">
        <v>30</v>
      </c>
      <c r="L379" s="62"/>
      <c r="M379" s="14"/>
      <c r="N379" s="14" t="s">
        <v>62</v>
      </c>
      <c r="O379" s="14"/>
      <c r="P379" s="15" t="s">
        <v>120</v>
      </c>
      <c r="Q379" s="16">
        <v>6299</v>
      </c>
      <c r="R379" s="17">
        <v>40</v>
      </c>
      <c r="S379" s="18">
        <v>4346.3099999999995</v>
      </c>
      <c r="T379" s="19" t="s">
        <v>36</v>
      </c>
      <c r="U379" s="20" t="s">
        <v>86</v>
      </c>
      <c r="V379" s="21" t="s">
        <v>87</v>
      </c>
      <c r="W379" s="22">
        <v>12</v>
      </c>
      <c r="X379" s="23"/>
    </row>
    <row r="380" spans="1:24" s="1" customFormat="1" ht="37.049999999999997" customHeight="1" x14ac:dyDescent="0.3">
      <c r="A380" s="24" t="s">
        <v>23</v>
      </c>
      <c r="B380" s="24" t="s">
        <v>226</v>
      </c>
      <c r="C380" s="12" t="s">
        <v>494</v>
      </c>
      <c r="D380" s="61"/>
      <c r="E380" s="41" t="str">
        <f>HYPERLINK("https://www.google.ru/search?q=1373882-013&amp;newwindow=1&amp;tbm=isch","Еще фото")</f>
        <v>Еще фото</v>
      </c>
      <c r="F380" s="13" t="s">
        <v>103</v>
      </c>
      <c r="G380" s="24" t="s">
        <v>28</v>
      </c>
      <c r="H380" s="24" t="s">
        <v>27</v>
      </c>
      <c r="I380" s="24" t="s">
        <v>28</v>
      </c>
      <c r="J380" s="14" t="s">
        <v>43</v>
      </c>
      <c r="K380" s="15" t="s">
        <v>30</v>
      </c>
      <c r="L380" s="58"/>
      <c r="M380" s="14"/>
      <c r="N380" s="14" t="s">
        <v>62</v>
      </c>
      <c r="O380" s="14"/>
      <c r="P380" s="15" t="s">
        <v>120</v>
      </c>
      <c r="Q380" s="16">
        <v>6299</v>
      </c>
      <c r="R380" s="17">
        <v>40</v>
      </c>
      <c r="S380" s="18">
        <v>4346.3099999999995</v>
      </c>
      <c r="T380" s="19" t="s">
        <v>36</v>
      </c>
      <c r="U380" s="20" t="s">
        <v>88</v>
      </c>
      <c r="V380" s="21" t="s">
        <v>89</v>
      </c>
      <c r="W380" s="22">
        <v>5</v>
      </c>
      <c r="X380" s="23"/>
    </row>
    <row r="381" spans="1:24" s="1" customFormat="1" ht="21" customHeight="1" x14ac:dyDescent="0.3">
      <c r="A381" s="11" t="s">
        <v>23</v>
      </c>
      <c r="B381" s="11" t="s">
        <v>226</v>
      </c>
      <c r="C381" s="26" t="s">
        <v>495</v>
      </c>
      <c r="D381" s="59"/>
      <c r="E381" s="41" t="str">
        <f>HYPERLINK("https://www.google.ru/search?q=1373882-338&amp;newwindow=1&amp;tbm=isch","Еще фото")</f>
        <v>Еще фото</v>
      </c>
      <c r="F381" s="13" t="s">
        <v>103</v>
      </c>
      <c r="G381" s="11" t="s">
        <v>28</v>
      </c>
      <c r="H381" s="11" t="s">
        <v>27</v>
      </c>
      <c r="I381" s="14" t="s">
        <v>28</v>
      </c>
      <c r="J381" s="14" t="s">
        <v>43</v>
      </c>
      <c r="K381" s="15" t="s">
        <v>30</v>
      </c>
      <c r="L381" s="57" t="s">
        <v>491</v>
      </c>
      <c r="M381" s="14"/>
      <c r="N381" s="14" t="s">
        <v>127</v>
      </c>
      <c r="O381" s="14"/>
      <c r="P381" s="15" t="s">
        <v>120</v>
      </c>
      <c r="Q381" s="16">
        <v>6299</v>
      </c>
      <c r="R381" s="17">
        <v>40</v>
      </c>
      <c r="S381" s="18">
        <v>4346.3099999999995</v>
      </c>
      <c r="T381" s="19" t="s">
        <v>36</v>
      </c>
      <c r="U381" s="20" t="s">
        <v>37</v>
      </c>
      <c r="V381" s="21" t="s">
        <v>38</v>
      </c>
      <c r="W381" s="22">
        <v>6</v>
      </c>
      <c r="X381" s="23"/>
    </row>
    <row r="382" spans="1:24" s="1" customFormat="1" ht="21" customHeight="1" x14ac:dyDescent="0.3">
      <c r="A382" s="24" t="s">
        <v>23</v>
      </c>
      <c r="B382" s="24" t="s">
        <v>226</v>
      </c>
      <c r="C382" s="27" t="s">
        <v>495</v>
      </c>
      <c r="D382" s="60"/>
      <c r="E382" s="41" t="str">
        <f>HYPERLINK("https://www.google.ru/search?q=1373882-338&amp;newwindow=1&amp;tbm=isch","Еще фото")</f>
        <v>Еще фото</v>
      </c>
      <c r="F382" s="13" t="s">
        <v>103</v>
      </c>
      <c r="G382" s="24" t="s">
        <v>28</v>
      </c>
      <c r="H382" s="24" t="s">
        <v>27</v>
      </c>
      <c r="I382" s="24" t="s">
        <v>28</v>
      </c>
      <c r="J382" s="14" t="s">
        <v>43</v>
      </c>
      <c r="K382" s="15" t="s">
        <v>30</v>
      </c>
      <c r="L382" s="62"/>
      <c r="M382" s="14"/>
      <c r="N382" s="14" t="s">
        <v>127</v>
      </c>
      <c r="O382" s="14"/>
      <c r="P382" s="15" t="s">
        <v>120</v>
      </c>
      <c r="Q382" s="16">
        <v>6299</v>
      </c>
      <c r="R382" s="17">
        <v>40</v>
      </c>
      <c r="S382" s="18">
        <v>4346.3099999999995</v>
      </c>
      <c r="T382" s="19" t="s">
        <v>36</v>
      </c>
      <c r="U382" s="20" t="s">
        <v>39</v>
      </c>
      <c r="V382" s="21" t="s">
        <v>40</v>
      </c>
      <c r="W382" s="22">
        <v>20</v>
      </c>
      <c r="X382" s="23"/>
    </row>
    <row r="383" spans="1:24" s="1" customFormat="1" ht="21" customHeight="1" x14ac:dyDescent="0.3">
      <c r="A383" s="24" t="s">
        <v>23</v>
      </c>
      <c r="B383" s="24" t="s">
        <v>226</v>
      </c>
      <c r="C383" s="27" t="s">
        <v>495</v>
      </c>
      <c r="D383" s="60"/>
      <c r="E383" s="41" t="str">
        <f>HYPERLINK("https://www.google.ru/search?q=1373882-338&amp;newwindow=1&amp;tbm=isch","Еще фото")</f>
        <v>Еще фото</v>
      </c>
      <c r="F383" s="13" t="s">
        <v>103</v>
      </c>
      <c r="G383" s="24" t="s">
        <v>28</v>
      </c>
      <c r="H383" s="24" t="s">
        <v>27</v>
      </c>
      <c r="I383" s="24" t="s">
        <v>28</v>
      </c>
      <c r="J383" s="14" t="s">
        <v>43</v>
      </c>
      <c r="K383" s="15" t="s">
        <v>30</v>
      </c>
      <c r="L383" s="62"/>
      <c r="M383" s="14"/>
      <c r="N383" s="14" t="s">
        <v>127</v>
      </c>
      <c r="O383" s="14"/>
      <c r="P383" s="15" t="s">
        <v>120</v>
      </c>
      <c r="Q383" s="16">
        <v>6299</v>
      </c>
      <c r="R383" s="17">
        <v>40</v>
      </c>
      <c r="S383" s="18">
        <v>4346.3099999999995</v>
      </c>
      <c r="T383" s="19" t="s">
        <v>36</v>
      </c>
      <c r="U383" s="20" t="s">
        <v>86</v>
      </c>
      <c r="V383" s="21" t="s">
        <v>87</v>
      </c>
      <c r="W383" s="22">
        <v>19</v>
      </c>
      <c r="X383" s="23"/>
    </row>
    <row r="384" spans="1:24" s="1" customFormat="1" ht="21" customHeight="1" x14ac:dyDescent="0.3">
      <c r="A384" s="24" t="s">
        <v>23</v>
      </c>
      <c r="B384" s="24" t="s">
        <v>226</v>
      </c>
      <c r="C384" s="27" t="s">
        <v>495</v>
      </c>
      <c r="D384" s="60"/>
      <c r="E384" s="41" t="str">
        <f>HYPERLINK("https://www.google.ru/search?q=1373882-338&amp;newwindow=1&amp;tbm=isch","Еще фото")</f>
        <v>Еще фото</v>
      </c>
      <c r="F384" s="13" t="s">
        <v>103</v>
      </c>
      <c r="G384" s="24" t="s">
        <v>28</v>
      </c>
      <c r="H384" s="24" t="s">
        <v>27</v>
      </c>
      <c r="I384" s="24" t="s">
        <v>28</v>
      </c>
      <c r="J384" s="14" t="s">
        <v>43</v>
      </c>
      <c r="K384" s="15" t="s">
        <v>30</v>
      </c>
      <c r="L384" s="62"/>
      <c r="M384" s="14"/>
      <c r="N384" s="14" t="s">
        <v>127</v>
      </c>
      <c r="O384" s="14"/>
      <c r="P384" s="15" t="s">
        <v>120</v>
      </c>
      <c r="Q384" s="16">
        <v>6299</v>
      </c>
      <c r="R384" s="17">
        <v>40</v>
      </c>
      <c r="S384" s="18">
        <v>4346.3099999999995</v>
      </c>
      <c r="T384" s="19" t="s">
        <v>36</v>
      </c>
      <c r="U384" s="20" t="s">
        <v>88</v>
      </c>
      <c r="V384" s="21" t="s">
        <v>89</v>
      </c>
      <c r="W384" s="22">
        <v>14</v>
      </c>
      <c r="X384" s="23"/>
    </row>
    <row r="385" spans="1:24" s="1" customFormat="1" ht="32" customHeight="1" x14ac:dyDescent="0.3">
      <c r="A385" s="24" t="s">
        <v>23</v>
      </c>
      <c r="B385" s="24" t="s">
        <v>226</v>
      </c>
      <c r="C385" s="27" t="s">
        <v>495</v>
      </c>
      <c r="D385" s="61"/>
      <c r="E385" s="41" t="str">
        <f>HYPERLINK("https://www.google.ru/search?q=1373882-338&amp;newwindow=1&amp;tbm=isch","Еще фото")</f>
        <v>Еще фото</v>
      </c>
      <c r="F385" s="13" t="s">
        <v>103</v>
      </c>
      <c r="G385" s="24" t="s">
        <v>28</v>
      </c>
      <c r="H385" s="24" t="s">
        <v>27</v>
      </c>
      <c r="I385" s="24" t="s">
        <v>28</v>
      </c>
      <c r="J385" s="14" t="s">
        <v>43</v>
      </c>
      <c r="K385" s="15" t="s">
        <v>30</v>
      </c>
      <c r="L385" s="58"/>
      <c r="M385" s="14"/>
      <c r="N385" s="14" t="s">
        <v>127</v>
      </c>
      <c r="O385" s="14"/>
      <c r="P385" s="15" t="s">
        <v>120</v>
      </c>
      <c r="Q385" s="16">
        <v>6299</v>
      </c>
      <c r="R385" s="17">
        <v>40</v>
      </c>
      <c r="S385" s="18">
        <v>4346.3099999999995</v>
      </c>
      <c r="T385" s="19" t="s">
        <v>36</v>
      </c>
      <c r="U385" s="20" t="s">
        <v>90</v>
      </c>
      <c r="V385" s="21" t="s">
        <v>91</v>
      </c>
      <c r="W385" s="22">
        <v>8</v>
      </c>
      <c r="X385" s="23"/>
    </row>
    <row r="386" spans="1:24" s="1" customFormat="1" ht="21" customHeight="1" x14ac:dyDescent="0.3">
      <c r="A386" s="11" t="s">
        <v>23</v>
      </c>
      <c r="B386" s="11" t="s">
        <v>492</v>
      </c>
      <c r="C386" s="26" t="s">
        <v>496</v>
      </c>
      <c r="D386" s="59"/>
      <c r="E386" s="41" t="str">
        <f>HYPERLINK("https://www.google.ru/search?q=1373882-391&amp;newwindow=1&amp;tbm=isch","Еще фото")</f>
        <v>Еще фото</v>
      </c>
      <c r="F386" s="13"/>
      <c r="G386" s="11" t="s">
        <v>28</v>
      </c>
      <c r="H386" s="11" t="s">
        <v>27</v>
      </c>
      <c r="I386" s="14" t="s">
        <v>28</v>
      </c>
      <c r="J386" s="14" t="s">
        <v>29</v>
      </c>
      <c r="K386" s="15" t="s">
        <v>30</v>
      </c>
      <c r="L386" s="57" t="s">
        <v>497</v>
      </c>
      <c r="M386" s="14"/>
      <c r="N386" s="14" t="s">
        <v>127</v>
      </c>
      <c r="O386" s="14"/>
      <c r="P386" s="15" t="s">
        <v>120</v>
      </c>
      <c r="Q386" s="16">
        <v>7299</v>
      </c>
      <c r="R386" s="17">
        <v>40</v>
      </c>
      <c r="S386" s="18">
        <v>5036.3099999999995</v>
      </c>
      <c r="T386" s="19" t="s">
        <v>36</v>
      </c>
      <c r="U386" s="20" t="s">
        <v>37</v>
      </c>
      <c r="V386" s="21" t="s">
        <v>38</v>
      </c>
      <c r="W386" s="22">
        <v>3</v>
      </c>
      <c r="X386" s="23"/>
    </row>
    <row r="387" spans="1:24" s="1" customFormat="1" ht="21" customHeight="1" x14ac:dyDescent="0.3">
      <c r="A387" s="24" t="s">
        <v>23</v>
      </c>
      <c r="B387" s="24" t="s">
        <v>492</v>
      </c>
      <c r="C387" s="27" t="s">
        <v>496</v>
      </c>
      <c r="D387" s="60"/>
      <c r="E387" s="41" t="str">
        <f>HYPERLINK("https://www.google.ru/search?q=1373882-391&amp;newwindow=1&amp;tbm=isch","Еще фото")</f>
        <v>Еще фото</v>
      </c>
      <c r="F387" s="13"/>
      <c r="G387" s="24" t="s">
        <v>28</v>
      </c>
      <c r="H387" s="24" t="s">
        <v>27</v>
      </c>
      <c r="I387" s="24" t="s">
        <v>28</v>
      </c>
      <c r="J387" s="14" t="s">
        <v>29</v>
      </c>
      <c r="K387" s="15" t="s">
        <v>30</v>
      </c>
      <c r="L387" s="62"/>
      <c r="M387" s="14"/>
      <c r="N387" s="14" t="s">
        <v>127</v>
      </c>
      <c r="O387" s="14"/>
      <c r="P387" s="15" t="s">
        <v>120</v>
      </c>
      <c r="Q387" s="16">
        <v>7299</v>
      </c>
      <c r="R387" s="17">
        <v>40</v>
      </c>
      <c r="S387" s="18">
        <v>5036.3099999999995</v>
      </c>
      <c r="T387" s="19" t="s">
        <v>36</v>
      </c>
      <c r="U387" s="20" t="s">
        <v>39</v>
      </c>
      <c r="V387" s="21" t="s">
        <v>40</v>
      </c>
      <c r="W387" s="22">
        <v>13</v>
      </c>
      <c r="X387" s="23"/>
    </row>
    <row r="388" spans="1:24" s="1" customFormat="1" ht="21" customHeight="1" x14ac:dyDescent="0.3">
      <c r="A388" s="24" t="s">
        <v>23</v>
      </c>
      <c r="B388" s="24" t="s">
        <v>492</v>
      </c>
      <c r="C388" s="27" t="s">
        <v>496</v>
      </c>
      <c r="D388" s="60"/>
      <c r="E388" s="41" t="str">
        <f>HYPERLINK("https://www.google.ru/search?q=1373882-391&amp;newwindow=1&amp;tbm=isch","Еще фото")</f>
        <v>Еще фото</v>
      </c>
      <c r="F388" s="13"/>
      <c r="G388" s="24" t="s">
        <v>28</v>
      </c>
      <c r="H388" s="24" t="s">
        <v>27</v>
      </c>
      <c r="I388" s="24" t="s">
        <v>28</v>
      </c>
      <c r="J388" s="14" t="s">
        <v>29</v>
      </c>
      <c r="K388" s="15" t="s">
        <v>30</v>
      </c>
      <c r="L388" s="62"/>
      <c r="M388" s="14"/>
      <c r="N388" s="14" t="s">
        <v>127</v>
      </c>
      <c r="O388" s="14"/>
      <c r="P388" s="15" t="s">
        <v>120</v>
      </c>
      <c r="Q388" s="16">
        <v>7299</v>
      </c>
      <c r="R388" s="17">
        <v>40</v>
      </c>
      <c r="S388" s="18">
        <v>5036.3099999999995</v>
      </c>
      <c r="T388" s="19" t="s">
        <v>36</v>
      </c>
      <c r="U388" s="20" t="s">
        <v>86</v>
      </c>
      <c r="V388" s="21" t="s">
        <v>87</v>
      </c>
      <c r="W388" s="22">
        <v>17</v>
      </c>
      <c r="X388" s="23"/>
    </row>
    <row r="389" spans="1:24" s="1" customFormat="1" ht="21" customHeight="1" x14ac:dyDescent="0.3">
      <c r="A389" s="24" t="s">
        <v>23</v>
      </c>
      <c r="B389" s="24" t="s">
        <v>492</v>
      </c>
      <c r="C389" s="27" t="s">
        <v>496</v>
      </c>
      <c r="D389" s="60"/>
      <c r="E389" s="41" t="str">
        <f>HYPERLINK("https://www.google.ru/search?q=1373882-391&amp;newwindow=1&amp;tbm=isch","Еще фото")</f>
        <v>Еще фото</v>
      </c>
      <c r="F389" s="13"/>
      <c r="G389" s="24" t="s">
        <v>28</v>
      </c>
      <c r="H389" s="24" t="s">
        <v>27</v>
      </c>
      <c r="I389" s="24" t="s">
        <v>28</v>
      </c>
      <c r="J389" s="14" t="s">
        <v>29</v>
      </c>
      <c r="K389" s="15" t="s">
        <v>30</v>
      </c>
      <c r="L389" s="62"/>
      <c r="M389" s="14"/>
      <c r="N389" s="14" t="s">
        <v>127</v>
      </c>
      <c r="O389" s="14"/>
      <c r="P389" s="15" t="s">
        <v>120</v>
      </c>
      <c r="Q389" s="16">
        <v>7299</v>
      </c>
      <c r="R389" s="17">
        <v>40</v>
      </c>
      <c r="S389" s="18">
        <v>5036.3099999999995</v>
      </c>
      <c r="T389" s="19" t="s">
        <v>36</v>
      </c>
      <c r="U389" s="20" t="s">
        <v>88</v>
      </c>
      <c r="V389" s="21" t="s">
        <v>89</v>
      </c>
      <c r="W389" s="22">
        <v>5</v>
      </c>
      <c r="X389" s="23"/>
    </row>
    <row r="390" spans="1:24" s="1" customFormat="1" ht="32" customHeight="1" x14ac:dyDescent="0.3">
      <c r="A390" s="24" t="s">
        <v>23</v>
      </c>
      <c r="B390" s="24" t="s">
        <v>492</v>
      </c>
      <c r="C390" s="27" t="s">
        <v>496</v>
      </c>
      <c r="D390" s="61"/>
      <c r="E390" s="41" t="str">
        <f>HYPERLINK("https://www.google.ru/search?q=1373882-391&amp;newwindow=1&amp;tbm=isch","Еще фото")</f>
        <v>Еще фото</v>
      </c>
      <c r="F390" s="13"/>
      <c r="G390" s="24" t="s">
        <v>28</v>
      </c>
      <c r="H390" s="24" t="s">
        <v>27</v>
      </c>
      <c r="I390" s="24" t="s">
        <v>28</v>
      </c>
      <c r="J390" s="14" t="s">
        <v>29</v>
      </c>
      <c r="K390" s="15" t="s">
        <v>30</v>
      </c>
      <c r="L390" s="58"/>
      <c r="M390" s="14"/>
      <c r="N390" s="14" t="s">
        <v>127</v>
      </c>
      <c r="O390" s="14"/>
      <c r="P390" s="15" t="s">
        <v>120</v>
      </c>
      <c r="Q390" s="16">
        <v>7299</v>
      </c>
      <c r="R390" s="17">
        <v>40</v>
      </c>
      <c r="S390" s="18">
        <v>5036.3099999999995</v>
      </c>
      <c r="T390" s="19" t="s">
        <v>36</v>
      </c>
      <c r="U390" s="20" t="s">
        <v>90</v>
      </c>
      <c r="V390" s="21" t="s">
        <v>91</v>
      </c>
      <c r="W390" s="22">
        <v>4</v>
      </c>
      <c r="X390" s="23"/>
    </row>
    <row r="391" spans="1:24" s="1" customFormat="1" ht="21" customHeight="1" x14ac:dyDescent="0.3">
      <c r="A391" s="11" t="s">
        <v>23</v>
      </c>
      <c r="B391" s="11" t="s">
        <v>492</v>
      </c>
      <c r="C391" s="26" t="s">
        <v>498</v>
      </c>
      <c r="D391" s="59"/>
      <c r="E391" s="41" t="str">
        <f>HYPERLINK("https://www.google.ru/search?q=1373882-410&amp;newwindow=1&amp;tbm=isch","Еще фото")</f>
        <v>Еще фото</v>
      </c>
      <c r="F391" s="13" t="s">
        <v>103</v>
      </c>
      <c r="G391" s="11" t="s">
        <v>28</v>
      </c>
      <c r="H391" s="11" t="s">
        <v>27</v>
      </c>
      <c r="I391" s="14" t="s">
        <v>28</v>
      </c>
      <c r="J391" s="14" t="s">
        <v>29</v>
      </c>
      <c r="K391" s="15" t="s">
        <v>30</v>
      </c>
      <c r="L391" s="57" t="s">
        <v>491</v>
      </c>
      <c r="M391" s="14"/>
      <c r="N391" s="14" t="s">
        <v>115</v>
      </c>
      <c r="O391" s="14"/>
      <c r="P391" s="15" t="s">
        <v>120</v>
      </c>
      <c r="Q391" s="16">
        <v>6299</v>
      </c>
      <c r="R391" s="17">
        <v>40</v>
      </c>
      <c r="S391" s="18">
        <v>4346.3099999999995</v>
      </c>
      <c r="T391" s="19" t="s">
        <v>36</v>
      </c>
      <c r="U391" s="20" t="s">
        <v>37</v>
      </c>
      <c r="V391" s="21" t="s">
        <v>38</v>
      </c>
      <c r="W391" s="22">
        <v>8</v>
      </c>
      <c r="X391" s="23"/>
    </row>
    <row r="392" spans="1:24" s="1" customFormat="1" ht="21" customHeight="1" x14ac:dyDescent="0.3">
      <c r="A392" s="24" t="s">
        <v>23</v>
      </c>
      <c r="B392" s="24" t="s">
        <v>492</v>
      </c>
      <c r="C392" s="27" t="s">
        <v>498</v>
      </c>
      <c r="D392" s="60"/>
      <c r="E392" s="41" t="str">
        <f>HYPERLINK("https://www.google.ru/search?q=1373882-410&amp;newwindow=1&amp;tbm=isch","Еще фото")</f>
        <v>Еще фото</v>
      </c>
      <c r="F392" s="13" t="s">
        <v>103</v>
      </c>
      <c r="G392" s="24" t="s">
        <v>28</v>
      </c>
      <c r="H392" s="24" t="s">
        <v>27</v>
      </c>
      <c r="I392" s="24" t="s">
        <v>28</v>
      </c>
      <c r="J392" s="14" t="s">
        <v>29</v>
      </c>
      <c r="K392" s="15" t="s">
        <v>30</v>
      </c>
      <c r="L392" s="62"/>
      <c r="M392" s="14"/>
      <c r="N392" s="14" t="s">
        <v>115</v>
      </c>
      <c r="O392" s="14"/>
      <c r="P392" s="15" t="s">
        <v>120</v>
      </c>
      <c r="Q392" s="16">
        <v>6299</v>
      </c>
      <c r="R392" s="17">
        <v>40</v>
      </c>
      <c r="S392" s="18">
        <v>4346.3099999999995</v>
      </c>
      <c r="T392" s="19" t="s">
        <v>36</v>
      </c>
      <c r="U392" s="20" t="s">
        <v>39</v>
      </c>
      <c r="V392" s="21" t="s">
        <v>40</v>
      </c>
      <c r="W392" s="22">
        <v>19</v>
      </c>
      <c r="X392" s="23"/>
    </row>
    <row r="393" spans="1:24" s="1" customFormat="1" ht="21" customHeight="1" x14ac:dyDescent="0.3">
      <c r="A393" s="24" t="s">
        <v>23</v>
      </c>
      <c r="B393" s="24" t="s">
        <v>492</v>
      </c>
      <c r="C393" s="27" t="s">
        <v>498</v>
      </c>
      <c r="D393" s="60"/>
      <c r="E393" s="41" t="str">
        <f>HYPERLINK("https://www.google.ru/search?q=1373882-410&amp;newwindow=1&amp;tbm=isch","Еще фото")</f>
        <v>Еще фото</v>
      </c>
      <c r="F393" s="13" t="s">
        <v>103</v>
      </c>
      <c r="G393" s="24" t="s">
        <v>28</v>
      </c>
      <c r="H393" s="24" t="s">
        <v>27</v>
      </c>
      <c r="I393" s="24" t="s">
        <v>28</v>
      </c>
      <c r="J393" s="14" t="s">
        <v>29</v>
      </c>
      <c r="K393" s="15" t="s">
        <v>30</v>
      </c>
      <c r="L393" s="62"/>
      <c r="M393" s="14"/>
      <c r="N393" s="14" t="s">
        <v>115</v>
      </c>
      <c r="O393" s="14"/>
      <c r="P393" s="15" t="s">
        <v>120</v>
      </c>
      <c r="Q393" s="16">
        <v>6299</v>
      </c>
      <c r="R393" s="17">
        <v>40</v>
      </c>
      <c r="S393" s="18">
        <v>4346.3099999999995</v>
      </c>
      <c r="T393" s="19" t="s">
        <v>36</v>
      </c>
      <c r="U393" s="20" t="s">
        <v>86</v>
      </c>
      <c r="V393" s="21" t="s">
        <v>87</v>
      </c>
      <c r="W393" s="22">
        <v>16</v>
      </c>
      <c r="X393" s="23"/>
    </row>
    <row r="394" spans="1:24" s="1" customFormat="1" ht="21" customHeight="1" x14ac:dyDescent="0.3">
      <c r="A394" s="24" t="s">
        <v>23</v>
      </c>
      <c r="B394" s="24" t="s">
        <v>492</v>
      </c>
      <c r="C394" s="27" t="s">
        <v>498</v>
      </c>
      <c r="D394" s="60"/>
      <c r="E394" s="41" t="str">
        <f>HYPERLINK("https://www.google.ru/search?q=1373882-410&amp;newwindow=1&amp;tbm=isch","Еще фото")</f>
        <v>Еще фото</v>
      </c>
      <c r="F394" s="13" t="s">
        <v>103</v>
      </c>
      <c r="G394" s="24" t="s">
        <v>28</v>
      </c>
      <c r="H394" s="24" t="s">
        <v>27</v>
      </c>
      <c r="I394" s="24" t="s">
        <v>28</v>
      </c>
      <c r="J394" s="14" t="s">
        <v>29</v>
      </c>
      <c r="K394" s="15" t="s">
        <v>30</v>
      </c>
      <c r="L394" s="62"/>
      <c r="M394" s="14"/>
      <c r="N394" s="14" t="s">
        <v>115</v>
      </c>
      <c r="O394" s="14"/>
      <c r="P394" s="15" t="s">
        <v>120</v>
      </c>
      <c r="Q394" s="16">
        <v>6299</v>
      </c>
      <c r="R394" s="17">
        <v>40</v>
      </c>
      <c r="S394" s="18">
        <v>4346.3099999999995</v>
      </c>
      <c r="T394" s="19" t="s">
        <v>36</v>
      </c>
      <c r="U394" s="20" t="s">
        <v>88</v>
      </c>
      <c r="V394" s="21" t="s">
        <v>89</v>
      </c>
      <c r="W394" s="22">
        <v>14</v>
      </c>
      <c r="X394" s="23"/>
    </row>
    <row r="395" spans="1:24" s="1" customFormat="1" ht="32" customHeight="1" x14ac:dyDescent="0.3">
      <c r="A395" s="24" t="s">
        <v>23</v>
      </c>
      <c r="B395" s="24" t="s">
        <v>492</v>
      </c>
      <c r="C395" s="27" t="s">
        <v>498</v>
      </c>
      <c r="D395" s="61"/>
      <c r="E395" s="41" t="str">
        <f>HYPERLINK("https://www.google.ru/search?q=1373882-410&amp;newwindow=1&amp;tbm=isch","Еще фото")</f>
        <v>Еще фото</v>
      </c>
      <c r="F395" s="13" t="s">
        <v>103</v>
      </c>
      <c r="G395" s="24" t="s">
        <v>28</v>
      </c>
      <c r="H395" s="24" t="s">
        <v>27</v>
      </c>
      <c r="I395" s="24" t="s">
        <v>28</v>
      </c>
      <c r="J395" s="14" t="s">
        <v>29</v>
      </c>
      <c r="K395" s="15" t="s">
        <v>30</v>
      </c>
      <c r="L395" s="58"/>
      <c r="M395" s="14"/>
      <c r="N395" s="14" t="s">
        <v>115</v>
      </c>
      <c r="O395" s="14"/>
      <c r="P395" s="15" t="s">
        <v>120</v>
      </c>
      <c r="Q395" s="16">
        <v>6299</v>
      </c>
      <c r="R395" s="17">
        <v>40</v>
      </c>
      <c r="S395" s="18">
        <v>4346.3099999999995</v>
      </c>
      <c r="T395" s="19" t="s">
        <v>36</v>
      </c>
      <c r="U395" s="20" t="s">
        <v>90</v>
      </c>
      <c r="V395" s="21" t="s">
        <v>91</v>
      </c>
      <c r="W395" s="22">
        <v>9</v>
      </c>
      <c r="X395" s="23"/>
    </row>
    <row r="396" spans="1:24" s="1" customFormat="1" ht="108" customHeight="1" x14ac:dyDescent="0.3">
      <c r="A396" s="11" t="s">
        <v>23</v>
      </c>
      <c r="B396" s="11" t="s">
        <v>492</v>
      </c>
      <c r="C396" s="12" t="s">
        <v>499</v>
      </c>
      <c r="D396" s="25"/>
      <c r="E396" s="41" t="str">
        <f>HYPERLINK("https://www.google.ru/search?q=1373882-592&amp;newwindow=1&amp;tbm=isch","Еще фото")</f>
        <v>Еще фото</v>
      </c>
      <c r="F396" s="13"/>
      <c r="G396" s="11" t="s">
        <v>28</v>
      </c>
      <c r="H396" s="11" t="s">
        <v>27</v>
      </c>
      <c r="I396" s="14" t="s">
        <v>28</v>
      </c>
      <c r="J396" s="14" t="s">
        <v>29</v>
      </c>
      <c r="K396" s="15" t="s">
        <v>30</v>
      </c>
      <c r="L396" s="14" t="s">
        <v>500</v>
      </c>
      <c r="M396" s="14" t="s">
        <v>32</v>
      </c>
      <c r="N396" s="14" t="s">
        <v>62</v>
      </c>
      <c r="O396" s="14"/>
      <c r="P396" s="15" t="s">
        <v>120</v>
      </c>
      <c r="Q396" s="16">
        <v>8699</v>
      </c>
      <c r="R396" s="17">
        <v>40</v>
      </c>
      <c r="S396" s="18">
        <v>6002.3099999999995</v>
      </c>
      <c r="T396" s="19" t="s">
        <v>36</v>
      </c>
      <c r="U396" s="20" t="s">
        <v>37</v>
      </c>
      <c r="V396" s="21" t="s">
        <v>38</v>
      </c>
      <c r="W396" s="22">
        <v>1</v>
      </c>
      <c r="X396" s="23"/>
    </row>
    <row r="397" spans="1:24" s="1" customFormat="1" ht="13.05" customHeight="1" x14ac:dyDescent="0.3">
      <c r="A397" s="11" t="s">
        <v>23</v>
      </c>
      <c r="B397" s="11" t="s">
        <v>501</v>
      </c>
      <c r="C397" s="12" t="s">
        <v>502</v>
      </c>
      <c r="D397" s="59"/>
      <c r="E397" s="41" t="str">
        <f t="shared" ref="E397:E404" si="12">HYPERLINK("https://www.google.ru/search?q=1374606-001&amp;newwindow=1&amp;tbm=isch","Еще фото")</f>
        <v>Еще фото</v>
      </c>
      <c r="F397" s="13" t="s">
        <v>103</v>
      </c>
      <c r="G397" s="11" t="s">
        <v>28</v>
      </c>
      <c r="H397" s="11" t="s">
        <v>27</v>
      </c>
      <c r="I397" s="14" t="s">
        <v>28</v>
      </c>
      <c r="J397" s="14" t="s">
        <v>211</v>
      </c>
      <c r="K397" s="15" t="s">
        <v>30</v>
      </c>
      <c r="L397" s="57" t="s">
        <v>503</v>
      </c>
      <c r="M397" s="14"/>
      <c r="N397" s="14" t="s">
        <v>33</v>
      </c>
      <c r="O397" s="14"/>
      <c r="P397" s="15" t="s">
        <v>47</v>
      </c>
      <c r="Q397" s="16">
        <v>7399</v>
      </c>
      <c r="R397" s="17">
        <v>40</v>
      </c>
      <c r="S397" s="18">
        <v>5105.3099999999995</v>
      </c>
      <c r="T397" s="19" t="s">
        <v>36</v>
      </c>
      <c r="U397" s="33" t="s">
        <v>504</v>
      </c>
      <c r="V397" s="21" t="s">
        <v>40</v>
      </c>
      <c r="W397" s="22">
        <v>2</v>
      </c>
      <c r="X397" s="23"/>
    </row>
    <row r="398" spans="1:24" s="1" customFormat="1" ht="13.05" customHeight="1" x14ac:dyDescent="0.3">
      <c r="A398" s="24" t="s">
        <v>23</v>
      </c>
      <c r="B398" s="24" t="s">
        <v>501</v>
      </c>
      <c r="C398" s="12" t="s">
        <v>502</v>
      </c>
      <c r="D398" s="60"/>
      <c r="E398" s="41" t="str">
        <f t="shared" si="12"/>
        <v>Еще фото</v>
      </c>
      <c r="F398" s="13" t="s">
        <v>103</v>
      </c>
      <c r="G398" s="24" t="s">
        <v>28</v>
      </c>
      <c r="H398" s="24" t="s">
        <v>27</v>
      </c>
      <c r="I398" s="24" t="s">
        <v>28</v>
      </c>
      <c r="J398" s="14" t="s">
        <v>211</v>
      </c>
      <c r="K398" s="15" t="s">
        <v>30</v>
      </c>
      <c r="L398" s="62"/>
      <c r="M398" s="14"/>
      <c r="N398" s="14" t="s">
        <v>33</v>
      </c>
      <c r="O398" s="14"/>
      <c r="P398" s="15" t="s">
        <v>47</v>
      </c>
      <c r="Q398" s="16">
        <v>7399</v>
      </c>
      <c r="R398" s="17">
        <v>40</v>
      </c>
      <c r="S398" s="18">
        <v>5105.3099999999995</v>
      </c>
      <c r="T398" s="19" t="s">
        <v>36</v>
      </c>
      <c r="U398" s="20" t="s">
        <v>214</v>
      </c>
      <c r="V398" s="22">
        <v>46</v>
      </c>
      <c r="W398" s="22">
        <v>4</v>
      </c>
      <c r="X398" s="23"/>
    </row>
    <row r="399" spans="1:24" s="1" customFormat="1" ht="13.05" customHeight="1" x14ac:dyDescent="0.3">
      <c r="A399" s="24" t="s">
        <v>23</v>
      </c>
      <c r="B399" s="24" t="s">
        <v>501</v>
      </c>
      <c r="C399" s="12" t="s">
        <v>502</v>
      </c>
      <c r="D399" s="60"/>
      <c r="E399" s="41" t="str">
        <f t="shared" si="12"/>
        <v>Еще фото</v>
      </c>
      <c r="F399" s="13" t="s">
        <v>103</v>
      </c>
      <c r="G399" s="24" t="s">
        <v>28</v>
      </c>
      <c r="H399" s="24" t="s">
        <v>27</v>
      </c>
      <c r="I399" s="24" t="s">
        <v>28</v>
      </c>
      <c r="J399" s="14" t="s">
        <v>211</v>
      </c>
      <c r="K399" s="15" t="s">
        <v>30</v>
      </c>
      <c r="L399" s="62"/>
      <c r="M399" s="14"/>
      <c r="N399" s="14" t="s">
        <v>33</v>
      </c>
      <c r="O399" s="14"/>
      <c r="P399" s="15" t="s">
        <v>47</v>
      </c>
      <c r="Q399" s="16">
        <v>7399</v>
      </c>
      <c r="R399" s="17">
        <v>40</v>
      </c>
      <c r="S399" s="18">
        <v>5105.3099999999995</v>
      </c>
      <c r="T399" s="19" t="s">
        <v>36</v>
      </c>
      <c r="U399" s="20" t="s">
        <v>215</v>
      </c>
      <c r="V399" s="22">
        <v>48</v>
      </c>
      <c r="W399" s="22">
        <v>4</v>
      </c>
      <c r="X399" s="23"/>
    </row>
    <row r="400" spans="1:24" s="1" customFormat="1" ht="13.05" customHeight="1" x14ac:dyDescent="0.3">
      <c r="A400" s="24" t="s">
        <v>23</v>
      </c>
      <c r="B400" s="24" t="s">
        <v>501</v>
      </c>
      <c r="C400" s="12" t="s">
        <v>502</v>
      </c>
      <c r="D400" s="60"/>
      <c r="E400" s="41" t="str">
        <f t="shared" si="12"/>
        <v>Еще фото</v>
      </c>
      <c r="F400" s="13" t="s">
        <v>103</v>
      </c>
      <c r="G400" s="24" t="s">
        <v>28</v>
      </c>
      <c r="H400" s="24" t="s">
        <v>27</v>
      </c>
      <c r="I400" s="24" t="s">
        <v>28</v>
      </c>
      <c r="J400" s="14" t="s">
        <v>211</v>
      </c>
      <c r="K400" s="15" t="s">
        <v>30</v>
      </c>
      <c r="L400" s="62"/>
      <c r="M400" s="14"/>
      <c r="N400" s="14" t="s">
        <v>33</v>
      </c>
      <c r="O400" s="14"/>
      <c r="P400" s="15" t="s">
        <v>47</v>
      </c>
      <c r="Q400" s="16">
        <v>7399</v>
      </c>
      <c r="R400" s="17">
        <v>40</v>
      </c>
      <c r="S400" s="18">
        <v>5105.3099999999995</v>
      </c>
      <c r="T400" s="19" t="s">
        <v>36</v>
      </c>
      <c r="U400" s="20" t="s">
        <v>216</v>
      </c>
      <c r="V400" s="22">
        <v>48</v>
      </c>
      <c r="W400" s="22">
        <v>6</v>
      </c>
      <c r="X400" s="23"/>
    </row>
    <row r="401" spans="1:24" s="1" customFormat="1" ht="13.05" customHeight="1" x14ac:dyDescent="0.3">
      <c r="A401" s="24" t="s">
        <v>23</v>
      </c>
      <c r="B401" s="24" t="s">
        <v>501</v>
      </c>
      <c r="C401" s="12" t="s">
        <v>502</v>
      </c>
      <c r="D401" s="60"/>
      <c r="E401" s="41" t="str">
        <f t="shared" si="12"/>
        <v>Еще фото</v>
      </c>
      <c r="F401" s="13" t="s">
        <v>103</v>
      </c>
      <c r="G401" s="24" t="s">
        <v>28</v>
      </c>
      <c r="H401" s="24" t="s">
        <v>27</v>
      </c>
      <c r="I401" s="24" t="s">
        <v>28</v>
      </c>
      <c r="J401" s="14" t="s">
        <v>211</v>
      </c>
      <c r="K401" s="15" t="s">
        <v>30</v>
      </c>
      <c r="L401" s="62"/>
      <c r="M401" s="14"/>
      <c r="N401" s="14" t="s">
        <v>33</v>
      </c>
      <c r="O401" s="14"/>
      <c r="P401" s="15" t="s">
        <v>47</v>
      </c>
      <c r="Q401" s="16">
        <v>7399</v>
      </c>
      <c r="R401" s="17">
        <v>40</v>
      </c>
      <c r="S401" s="18">
        <v>5105.3099999999995</v>
      </c>
      <c r="T401" s="19" t="s">
        <v>36</v>
      </c>
      <c r="U401" s="20" t="s">
        <v>424</v>
      </c>
      <c r="V401" s="22">
        <v>48</v>
      </c>
      <c r="W401" s="22">
        <v>3</v>
      </c>
      <c r="X401" s="23"/>
    </row>
    <row r="402" spans="1:24" s="1" customFormat="1" ht="13.05" customHeight="1" x14ac:dyDescent="0.3">
      <c r="A402" s="24" t="s">
        <v>23</v>
      </c>
      <c r="B402" s="24" t="s">
        <v>501</v>
      </c>
      <c r="C402" s="12" t="s">
        <v>502</v>
      </c>
      <c r="D402" s="60"/>
      <c r="E402" s="41" t="str">
        <f t="shared" si="12"/>
        <v>Еще фото</v>
      </c>
      <c r="F402" s="13" t="s">
        <v>103</v>
      </c>
      <c r="G402" s="24" t="s">
        <v>28</v>
      </c>
      <c r="H402" s="24" t="s">
        <v>27</v>
      </c>
      <c r="I402" s="24" t="s">
        <v>28</v>
      </c>
      <c r="J402" s="14" t="s">
        <v>211</v>
      </c>
      <c r="K402" s="15" t="s">
        <v>30</v>
      </c>
      <c r="L402" s="62"/>
      <c r="M402" s="14"/>
      <c r="N402" s="14" t="s">
        <v>33</v>
      </c>
      <c r="O402" s="14"/>
      <c r="P402" s="15" t="s">
        <v>47</v>
      </c>
      <c r="Q402" s="16">
        <v>7399</v>
      </c>
      <c r="R402" s="17">
        <v>40</v>
      </c>
      <c r="S402" s="18">
        <v>5105.3099999999995</v>
      </c>
      <c r="T402" s="19" t="s">
        <v>36</v>
      </c>
      <c r="U402" s="20" t="s">
        <v>218</v>
      </c>
      <c r="V402" s="22">
        <v>50</v>
      </c>
      <c r="W402" s="22">
        <v>10</v>
      </c>
      <c r="X402" s="23"/>
    </row>
    <row r="403" spans="1:24" s="1" customFormat="1" ht="13.05" customHeight="1" x14ac:dyDescent="0.3">
      <c r="A403" s="24" t="s">
        <v>23</v>
      </c>
      <c r="B403" s="24" t="s">
        <v>501</v>
      </c>
      <c r="C403" s="12" t="s">
        <v>502</v>
      </c>
      <c r="D403" s="60"/>
      <c r="E403" s="41" t="str">
        <f t="shared" si="12"/>
        <v>Еще фото</v>
      </c>
      <c r="F403" s="13" t="s">
        <v>103</v>
      </c>
      <c r="G403" s="24" t="s">
        <v>28</v>
      </c>
      <c r="H403" s="24" t="s">
        <v>27</v>
      </c>
      <c r="I403" s="24" t="s">
        <v>28</v>
      </c>
      <c r="J403" s="14" t="s">
        <v>211</v>
      </c>
      <c r="K403" s="15" t="s">
        <v>30</v>
      </c>
      <c r="L403" s="62"/>
      <c r="M403" s="14"/>
      <c r="N403" s="14" t="s">
        <v>33</v>
      </c>
      <c r="O403" s="14"/>
      <c r="P403" s="15" t="s">
        <v>47</v>
      </c>
      <c r="Q403" s="16">
        <v>7399</v>
      </c>
      <c r="R403" s="17">
        <v>40</v>
      </c>
      <c r="S403" s="18">
        <v>5105.3099999999995</v>
      </c>
      <c r="T403" s="19" t="s">
        <v>36</v>
      </c>
      <c r="U403" s="20" t="s">
        <v>221</v>
      </c>
      <c r="V403" s="22">
        <v>54</v>
      </c>
      <c r="W403" s="22">
        <v>4</v>
      </c>
      <c r="X403" s="23"/>
    </row>
    <row r="404" spans="1:24" s="1" customFormat="1" ht="18" customHeight="1" x14ac:dyDescent="0.3">
      <c r="A404" s="24" t="s">
        <v>23</v>
      </c>
      <c r="B404" s="24" t="s">
        <v>501</v>
      </c>
      <c r="C404" s="12" t="s">
        <v>502</v>
      </c>
      <c r="D404" s="61"/>
      <c r="E404" s="41" t="str">
        <f t="shared" si="12"/>
        <v>Еще фото</v>
      </c>
      <c r="F404" s="13" t="s">
        <v>103</v>
      </c>
      <c r="G404" s="24" t="s">
        <v>28</v>
      </c>
      <c r="H404" s="24" t="s">
        <v>27</v>
      </c>
      <c r="I404" s="24" t="s">
        <v>28</v>
      </c>
      <c r="J404" s="14" t="s">
        <v>211</v>
      </c>
      <c r="K404" s="15" t="s">
        <v>30</v>
      </c>
      <c r="L404" s="58"/>
      <c r="M404" s="14"/>
      <c r="N404" s="14" t="s">
        <v>33</v>
      </c>
      <c r="O404" s="14"/>
      <c r="P404" s="15" t="s">
        <v>47</v>
      </c>
      <c r="Q404" s="16">
        <v>7399</v>
      </c>
      <c r="R404" s="17">
        <v>40</v>
      </c>
      <c r="S404" s="18">
        <v>5105.3099999999995</v>
      </c>
      <c r="T404" s="19" t="s">
        <v>36</v>
      </c>
      <c r="U404" s="20" t="s">
        <v>222</v>
      </c>
      <c r="V404" s="22">
        <v>54</v>
      </c>
      <c r="W404" s="22">
        <v>5</v>
      </c>
      <c r="X404" s="23"/>
    </row>
    <row r="405" spans="1:24" s="1" customFormat="1" ht="35" customHeight="1" x14ac:dyDescent="0.3">
      <c r="A405" s="11" t="s">
        <v>23</v>
      </c>
      <c r="B405" s="11" t="s">
        <v>505</v>
      </c>
      <c r="C405" s="12" t="s">
        <v>506</v>
      </c>
      <c r="D405" s="59"/>
      <c r="E405" s="41" t="str">
        <f>HYPERLINK("https://www.google.ru/search?q=1375077-002&amp;newwindow=1&amp;tbm=isch","Еще фото")</f>
        <v>Еще фото</v>
      </c>
      <c r="F405" s="13" t="s">
        <v>152</v>
      </c>
      <c r="G405" s="11" t="s">
        <v>28</v>
      </c>
      <c r="H405" s="11" t="s">
        <v>27</v>
      </c>
      <c r="I405" s="14" t="s">
        <v>28</v>
      </c>
      <c r="J405" s="14" t="s">
        <v>29</v>
      </c>
      <c r="K405" s="15" t="s">
        <v>59</v>
      </c>
      <c r="L405" s="57" t="s">
        <v>507</v>
      </c>
      <c r="M405" s="14"/>
      <c r="N405" s="14" t="s">
        <v>33</v>
      </c>
      <c r="O405" s="14"/>
      <c r="P405" s="15" t="s">
        <v>508</v>
      </c>
      <c r="Q405" s="16">
        <v>6199</v>
      </c>
      <c r="R405" s="17">
        <v>40</v>
      </c>
      <c r="S405" s="18">
        <v>4277.3099999999995</v>
      </c>
      <c r="T405" s="19" t="s">
        <v>36</v>
      </c>
      <c r="U405" s="20" t="s">
        <v>63</v>
      </c>
      <c r="V405" s="21" t="s">
        <v>64</v>
      </c>
      <c r="W405" s="22">
        <v>15</v>
      </c>
      <c r="X405" s="23"/>
    </row>
    <row r="406" spans="1:24" s="1" customFormat="1" ht="35" customHeight="1" x14ac:dyDescent="0.3">
      <c r="A406" s="24" t="s">
        <v>23</v>
      </c>
      <c r="B406" s="24" t="s">
        <v>505</v>
      </c>
      <c r="C406" s="12" t="s">
        <v>506</v>
      </c>
      <c r="D406" s="60"/>
      <c r="E406" s="41" t="str">
        <f>HYPERLINK("https://www.google.ru/search?q=1375077-002&amp;newwindow=1&amp;tbm=isch","Еще фото")</f>
        <v>Еще фото</v>
      </c>
      <c r="F406" s="13" t="s">
        <v>152</v>
      </c>
      <c r="G406" s="24" t="s">
        <v>28</v>
      </c>
      <c r="H406" s="24" t="s">
        <v>27</v>
      </c>
      <c r="I406" s="24" t="s">
        <v>28</v>
      </c>
      <c r="J406" s="14" t="s">
        <v>29</v>
      </c>
      <c r="K406" s="15" t="s">
        <v>59</v>
      </c>
      <c r="L406" s="62"/>
      <c r="M406" s="14"/>
      <c r="N406" s="14" t="s">
        <v>33</v>
      </c>
      <c r="O406" s="14"/>
      <c r="P406" s="15" t="s">
        <v>508</v>
      </c>
      <c r="Q406" s="16">
        <v>6199</v>
      </c>
      <c r="R406" s="17">
        <v>40</v>
      </c>
      <c r="S406" s="18">
        <v>4277.3099999999995</v>
      </c>
      <c r="T406" s="19" t="s">
        <v>36</v>
      </c>
      <c r="U406" s="20" t="s">
        <v>37</v>
      </c>
      <c r="V406" s="21" t="s">
        <v>106</v>
      </c>
      <c r="W406" s="22">
        <v>20</v>
      </c>
      <c r="X406" s="23"/>
    </row>
    <row r="407" spans="1:24" s="1" customFormat="1" ht="37.049999999999997" customHeight="1" x14ac:dyDescent="0.3">
      <c r="A407" s="24" t="s">
        <v>23</v>
      </c>
      <c r="B407" s="24" t="s">
        <v>505</v>
      </c>
      <c r="C407" s="12" t="s">
        <v>506</v>
      </c>
      <c r="D407" s="61"/>
      <c r="E407" s="41" t="str">
        <f>HYPERLINK("https://www.google.ru/search?q=1375077-002&amp;newwindow=1&amp;tbm=isch","Еще фото")</f>
        <v>Еще фото</v>
      </c>
      <c r="F407" s="13" t="s">
        <v>152</v>
      </c>
      <c r="G407" s="24" t="s">
        <v>28</v>
      </c>
      <c r="H407" s="24" t="s">
        <v>27</v>
      </c>
      <c r="I407" s="24" t="s">
        <v>28</v>
      </c>
      <c r="J407" s="14" t="s">
        <v>29</v>
      </c>
      <c r="K407" s="15" t="s">
        <v>59</v>
      </c>
      <c r="L407" s="58"/>
      <c r="M407" s="14"/>
      <c r="N407" s="14" t="s">
        <v>33</v>
      </c>
      <c r="O407" s="14"/>
      <c r="P407" s="15" t="s">
        <v>508</v>
      </c>
      <c r="Q407" s="16">
        <v>6199</v>
      </c>
      <c r="R407" s="17">
        <v>40</v>
      </c>
      <c r="S407" s="18">
        <v>4277.3099999999995</v>
      </c>
      <c r="T407" s="19" t="s">
        <v>36</v>
      </c>
      <c r="U407" s="20" t="s">
        <v>39</v>
      </c>
      <c r="V407" s="21" t="s">
        <v>85</v>
      </c>
      <c r="W407" s="22">
        <v>13</v>
      </c>
      <c r="X407" s="23"/>
    </row>
    <row r="408" spans="1:24" s="1" customFormat="1" ht="35" customHeight="1" x14ac:dyDescent="0.3">
      <c r="A408" s="11" t="s">
        <v>23</v>
      </c>
      <c r="B408" s="11" t="s">
        <v>505</v>
      </c>
      <c r="C408" s="12" t="s">
        <v>509</v>
      </c>
      <c r="D408" s="59"/>
      <c r="E408" s="41" t="str">
        <f>HYPERLINK("https://www.google.ru/search?q=1375077-025&amp;newwindow=1&amp;tbm=isch","Еще фото")</f>
        <v>Еще фото</v>
      </c>
      <c r="F408" s="13"/>
      <c r="G408" s="11" t="s">
        <v>28</v>
      </c>
      <c r="H408" s="11" t="s">
        <v>27</v>
      </c>
      <c r="I408" s="14" t="s">
        <v>28</v>
      </c>
      <c r="J408" s="14" t="s">
        <v>29</v>
      </c>
      <c r="K408" s="15" t="s">
        <v>59</v>
      </c>
      <c r="L408" s="57" t="s">
        <v>507</v>
      </c>
      <c r="M408" s="14"/>
      <c r="N408" s="14" t="s">
        <v>62</v>
      </c>
      <c r="O408" s="14"/>
      <c r="P408" s="15" t="s">
        <v>508</v>
      </c>
      <c r="Q408" s="16">
        <v>6999</v>
      </c>
      <c r="R408" s="17">
        <v>40</v>
      </c>
      <c r="S408" s="18">
        <v>4829.3099999999995</v>
      </c>
      <c r="T408" s="19" t="s">
        <v>36</v>
      </c>
      <c r="U408" s="20" t="s">
        <v>63</v>
      </c>
      <c r="V408" s="21" t="s">
        <v>64</v>
      </c>
      <c r="W408" s="22">
        <v>6</v>
      </c>
      <c r="X408" s="23"/>
    </row>
    <row r="409" spans="1:24" s="1" customFormat="1" ht="35" customHeight="1" x14ac:dyDescent="0.3">
      <c r="A409" s="24" t="s">
        <v>23</v>
      </c>
      <c r="B409" s="24" t="s">
        <v>505</v>
      </c>
      <c r="C409" s="12" t="s">
        <v>509</v>
      </c>
      <c r="D409" s="60"/>
      <c r="E409" s="41" t="str">
        <f>HYPERLINK("https://www.google.ru/search?q=1375077-025&amp;newwindow=1&amp;tbm=isch","Еще фото")</f>
        <v>Еще фото</v>
      </c>
      <c r="F409" s="13"/>
      <c r="G409" s="24" t="s">
        <v>28</v>
      </c>
      <c r="H409" s="24" t="s">
        <v>27</v>
      </c>
      <c r="I409" s="24" t="s">
        <v>28</v>
      </c>
      <c r="J409" s="14" t="s">
        <v>29</v>
      </c>
      <c r="K409" s="15" t="s">
        <v>59</v>
      </c>
      <c r="L409" s="62"/>
      <c r="M409" s="14"/>
      <c r="N409" s="14" t="s">
        <v>62</v>
      </c>
      <c r="O409" s="14"/>
      <c r="P409" s="15" t="s">
        <v>508</v>
      </c>
      <c r="Q409" s="16">
        <v>6999</v>
      </c>
      <c r="R409" s="17">
        <v>40</v>
      </c>
      <c r="S409" s="18">
        <v>4829.3099999999995</v>
      </c>
      <c r="T409" s="19" t="s">
        <v>36</v>
      </c>
      <c r="U409" s="20" t="s">
        <v>37</v>
      </c>
      <c r="V409" s="21" t="s">
        <v>106</v>
      </c>
      <c r="W409" s="22">
        <v>6</v>
      </c>
      <c r="X409" s="23"/>
    </row>
    <row r="410" spans="1:24" s="1" customFormat="1" ht="37.049999999999997" customHeight="1" x14ac:dyDescent="0.3">
      <c r="A410" s="24" t="s">
        <v>23</v>
      </c>
      <c r="B410" s="24" t="s">
        <v>505</v>
      </c>
      <c r="C410" s="12" t="s">
        <v>509</v>
      </c>
      <c r="D410" s="61"/>
      <c r="E410" s="41" t="str">
        <f>HYPERLINK("https://www.google.ru/search?q=1375077-025&amp;newwindow=1&amp;tbm=isch","Еще фото")</f>
        <v>Еще фото</v>
      </c>
      <c r="F410" s="13"/>
      <c r="G410" s="24" t="s">
        <v>28</v>
      </c>
      <c r="H410" s="24" t="s">
        <v>27</v>
      </c>
      <c r="I410" s="24" t="s">
        <v>28</v>
      </c>
      <c r="J410" s="14" t="s">
        <v>29</v>
      </c>
      <c r="K410" s="15" t="s">
        <v>59</v>
      </c>
      <c r="L410" s="58"/>
      <c r="M410" s="14"/>
      <c r="N410" s="14" t="s">
        <v>62</v>
      </c>
      <c r="O410" s="14"/>
      <c r="P410" s="15" t="s">
        <v>508</v>
      </c>
      <c r="Q410" s="16">
        <v>6999</v>
      </c>
      <c r="R410" s="17">
        <v>40</v>
      </c>
      <c r="S410" s="18">
        <v>4829.3099999999995</v>
      </c>
      <c r="T410" s="19" t="s">
        <v>36</v>
      </c>
      <c r="U410" s="20" t="s">
        <v>39</v>
      </c>
      <c r="V410" s="21" t="s">
        <v>85</v>
      </c>
      <c r="W410" s="22">
        <v>5</v>
      </c>
      <c r="X410" s="23"/>
    </row>
    <row r="411" spans="1:24" s="1" customFormat="1" ht="35" customHeight="1" x14ac:dyDescent="0.3">
      <c r="A411" s="11" t="s">
        <v>23</v>
      </c>
      <c r="B411" s="11" t="s">
        <v>505</v>
      </c>
      <c r="C411" s="12" t="s">
        <v>510</v>
      </c>
      <c r="D411" s="59"/>
      <c r="E411" s="41" t="str">
        <f>HYPERLINK("https://www.google.ru/search?q=1375077-348&amp;newwindow=1&amp;tbm=isch","Еще фото")</f>
        <v>Еще фото</v>
      </c>
      <c r="F411" s="13"/>
      <c r="G411" s="11" t="s">
        <v>28</v>
      </c>
      <c r="H411" s="11" t="s">
        <v>27</v>
      </c>
      <c r="I411" s="14" t="s">
        <v>28</v>
      </c>
      <c r="J411" s="14" t="s">
        <v>29</v>
      </c>
      <c r="K411" s="15" t="s">
        <v>59</v>
      </c>
      <c r="L411" s="57" t="s">
        <v>507</v>
      </c>
      <c r="M411" s="14"/>
      <c r="N411" s="14" t="s">
        <v>127</v>
      </c>
      <c r="O411" s="14"/>
      <c r="P411" s="15" t="s">
        <v>508</v>
      </c>
      <c r="Q411" s="16">
        <v>6999</v>
      </c>
      <c r="R411" s="17">
        <v>40</v>
      </c>
      <c r="S411" s="18">
        <v>4829.3099999999995</v>
      </c>
      <c r="T411" s="19" t="s">
        <v>36</v>
      </c>
      <c r="U411" s="20" t="s">
        <v>63</v>
      </c>
      <c r="V411" s="21" t="s">
        <v>64</v>
      </c>
      <c r="W411" s="22">
        <v>5</v>
      </c>
      <c r="X411" s="23"/>
    </row>
    <row r="412" spans="1:24" s="1" customFormat="1" ht="35" customHeight="1" x14ac:dyDescent="0.3">
      <c r="A412" s="24" t="s">
        <v>23</v>
      </c>
      <c r="B412" s="24" t="s">
        <v>505</v>
      </c>
      <c r="C412" s="12" t="s">
        <v>510</v>
      </c>
      <c r="D412" s="60"/>
      <c r="E412" s="41" t="str">
        <f>HYPERLINK("https://www.google.ru/search?q=1375077-348&amp;newwindow=1&amp;tbm=isch","Еще фото")</f>
        <v>Еще фото</v>
      </c>
      <c r="F412" s="13"/>
      <c r="G412" s="24" t="s">
        <v>28</v>
      </c>
      <c r="H412" s="24" t="s">
        <v>27</v>
      </c>
      <c r="I412" s="24" t="s">
        <v>28</v>
      </c>
      <c r="J412" s="14" t="s">
        <v>29</v>
      </c>
      <c r="K412" s="15" t="s">
        <v>59</v>
      </c>
      <c r="L412" s="62"/>
      <c r="M412" s="14"/>
      <c r="N412" s="14" t="s">
        <v>127</v>
      </c>
      <c r="O412" s="14"/>
      <c r="P412" s="15" t="s">
        <v>508</v>
      </c>
      <c r="Q412" s="16">
        <v>6999</v>
      </c>
      <c r="R412" s="17">
        <v>40</v>
      </c>
      <c r="S412" s="18">
        <v>4829.3099999999995</v>
      </c>
      <c r="T412" s="19" t="s">
        <v>36</v>
      </c>
      <c r="U412" s="20" t="s">
        <v>37</v>
      </c>
      <c r="V412" s="21" t="s">
        <v>106</v>
      </c>
      <c r="W412" s="22">
        <v>3</v>
      </c>
      <c r="X412" s="23"/>
    </row>
    <row r="413" spans="1:24" s="1" customFormat="1" ht="37.049999999999997" customHeight="1" x14ac:dyDescent="0.3">
      <c r="A413" s="24" t="s">
        <v>23</v>
      </c>
      <c r="B413" s="24" t="s">
        <v>505</v>
      </c>
      <c r="C413" s="12" t="s">
        <v>510</v>
      </c>
      <c r="D413" s="61"/>
      <c r="E413" s="41" t="str">
        <f>HYPERLINK("https://www.google.ru/search?q=1375077-348&amp;newwindow=1&amp;tbm=isch","Еще фото")</f>
        <v>Еще фото</v>
      </c>
      <c r="F413" s="13"/>
      <c r="G413" s="24" t="s">
        <v>28</v>
      </c>
      <c r="H413" s="24" t="s">
        <v>27</v>
      </c>
      <c r="I413" s="24" t="s">
        <v>28</v>
      </c>
      <c r="J413" s="14" t="s">
        <v>29</v>
      </c>
      <c r="K413" s="15" t="s">
        <v>59</v>
      </c>
      <c r="L413" s="58"/>
      <c r="M413" s="14"/>
      <c r="N413" s="14" t="s">
        <v>127</v>
      </c>
      <c r="O413" s="14"/>
      <c r="P413" s="15" t="s">
        <v>508</v>
      </c>
      <c r="Q413" s="16">
        <v>6999</v>
      </c>
      <c r="R413" s="17">
        <v>40</v>
      </c>
      <c r="S413" s="18">
        <v>4829.3099999999995</v>
      </c>
      <c r="T413" s="19" t="s">
        <v>36</v>
      </c>
      <c r="U413" s="20" t="s">
        <v>39</v>
      </c>
      <c r="V413" s="21" t="s">
        <v>85</v>
      </c>
      <c r="W413" s="22">
        <v>2</v>
      </c>
      <c r="X413" s="23"/>
    </row>
    <row r="414" spans="1:24" s="1" customFormat="1" ht="108" customHeight="1" x14ac:dyDescent="0.3">
      <c r="A414" s="11" t="s">
        <v>23</v>
      </c>
      <c r="B414" s="11" t="s">
        <v>511</v>
      </c>
      <c r="C414" s="12" t="s">
        <v>512</v>
      </c>
      <c r="D414" s="25"/>
      <c r="E414" s="41" t="str">
        <f>HYPERLINK("https://www.google.ru/search?q=1376800-452&amp;newwindow=1&amp;tbm=isch","Еще фото")</f>
        <v>Еще фото</v>
      </c>
      <c r="F414" s="13"/>
      <c r="G414" s="11" t="s">
        <v>28</v>
      </c>
      <c r="H414" s="11" t="s">
        <v>27</v>
      </c>
      <c r="I414" s="14" t="s">
        <v>28</v>
      </c>
      <c r="J414" s="14" t="s">
        <v>29</v>
      </c>
      <c r="K414" s="15" t="s">
        <v>30</v>
      </c>
      <c r="L414" s="14" t="s">
        <v>513</v>
      </c>
      <c r="M414" s="14"/>
      <c r="N414" s="14" t="s">
        <v>115</v>
      </c>
      <c r="O414" s="14"/>
      <c r="P414" s="15" t="s">
        <v>53</v>
      </c>
      <c r="Q414" s="16">
        <v>7199</v>
      </c>
      <c r="R414" s="17">
        <v>40</v>
      </c>
      <c r="S414" s="18">
        <v>4967.3099999999995</v>
      </c>
      <c r="T414" s="19" t="s">
        <v>36</v>
      </c>
      <c r="U414" s="20" t="s">
        <v>37</v>
      </c>
      <c r="V414" s="21" t="s">
        <v>38</v>
      </c>
      <c r="W414" s="22">
        <v>1</v>
      </c>
      <c r="X414" s="23"/>
    </row>
    <row r="415" spans="1:24" s="1" customFormat="1" ht="108" customHeight="1" x14ac:dyDescent="0.3">
      <c r="A415" s="11" t="s">
        <v>23</v>
      </c>
      <c r="B415" s="11" t="s">
        <v>514</v>
      </c>
      <c r="C415" s="12" t="s">
        <v>515</v>
      </c>
      <c r="D415" s="25"/>
      <c r="E415" s="41" t="str">
        <f>HYPERLINK("https://www.google.ru/search?q=1376926-001&amp;newwindow=1&amp;tbm=isch","Еще фото")</f>
        <v>Еще фото</v>
      </c>
      <c r="F415" s="13" t="s">
        <v>152</v>
      </c>
      <c r="G415" s="11" t="s">
        <v>28</v>
      </c>
      <c r="H415" s="11" t="s">
        <v>27</v>
      </c>
      <c r="I415" s="14" t="s">
        <v>28</v>
      </c>
      <c r="J415" s="14" t="s">
        <v>29</v>
      </c>
      <c r="K415" s="15" t="s">
        <v>59</v>
      </c>
      <c r="L415" s="14" t="s">
        <v>516</v>
      </c>
      <c r="M415" s="14"/>
      <c r="N415" s="14" t="s">
        <v>33</v>
      </c>
      <c r="O415" s="14"/>
      <c r="P415" s="15" t="s">
        <v>213</v>
      </c>
      <c r="Q415" s="16">
        <v>8799</v>
      </c>
      <c r="R415" s="17">
        <v>40</v>
      </c>
      <c r="S415" s="18">
        <v>6071.3099999999995</v>
      </c>
      <c r="T415" s="19" t="s">
        <v>36</v>
      </c>
      <c r="U415" s="20" t="s">
        <v>63</v>
      </c>
      <c r="V415" s="21" t="s">
        <v>64</v>
      </c>
      <c r="W415" s="22">
        <v>1</v>
      </c>
      <c r="X415" s="23"/>
    </row>
    <row r="416" spans="1:24" s="1" customFormat="1" ht="35" customHeight="1" x14ac:dyDescent="0.3">
      <c r="A416" s="11" t="s">
        <v>23</v>
      </c>
      <c r="B416" s="11" t="s">
        <v>514</v>
      </c>
      <c r="C416" s="12" t="s">
        <v>517</v>
      </c>
      <c r="D416" s="59"/>
      <c r="E416" s="41" t="str">
        <f>HYPERLINK("https://www.google.ru/search?q=1376926-698&amp;newwindow=1&amp;tbm=isch","Еще фото")</f>
        <v>Еще фото</v>
      </c>
      <c r="F416" s="13" t="s">
        <v>152</v>
      </c>
      <c r="G416" s="11" t="s">
        <v>28</v>
      </c>
      <c r="H416" s="11" t="s">
        <v>27</v>
      </c>
      <c r="I416" s="14" t="s">
        <v>28</v>
      </c>
      <c r="J416" s="14" t="s">
        <v>43</v>
      </c>
      <c r="K416" s="15" t="s">
        <v>59</v>
      </c>
      <c r="L416" s="57" t="s">
        <v>516</v>
      </c>
      <c r="M416" s="14"/>
      <c r="N416" s="14" t="s">
        <v>69</v>
      </c>
      <c r="O416" s="14"/>
      <c r="P416" s="15" t="s">
        <v>213</v>
      </c>
      <c r="Q416" s="16">
        <v>9999</v>
      </c>
      <c r="R416" s="17">
        <v>40</v>
      </c>
      <c r="S416" s="18">
        <v>6899.3099999999995</v>
      </c>
      <c r="T416" s="19" t="s">
        <v>36</v>
      </c>
      <c r="U416" s="20" t="s">
        <v>63</v>
      </c>
      <c r="V416" s="21" t="s">
        <v>64</v>
      </c>
      <c r="W416" s="22">
        <v>2</v>
      </c>
      <c r="X416" s="23"/>
    </row>
    <row r="417" spans="1:24" s="1" customFormat="1" ht="35" customHeight="1" x14ac:dyDescent="0.3">
      <c r="A417" s="24" t="s">
        <v>23</v>
      </c>
      <c r="B417" s="24" t="s">
        <v>514</v>
      </c>
      <c r="C417" s="12" t="s">
        <v>517</v>
      </c>
      <c r="D417" s="60"/>
      <c r="E417" s="41" t="str">
        <f>HYPERLINK("https://www.google.ru/search?q=1376926-698&amp;newwindow=1&amp;tbm=isch","Еще фото")</f>
        <v>Еще фото</v>
      </c>
      <c r="F417" s="13" t="s">
        <v>152</v>
      </c>
      <c r="G417" s="24" t="s">
        <v>28</v>
      </c>
      <c r="H417" s="24" t="s">
        <v>27</v>
      </c>
      <c r="I417" s="24" t="s">
        <v>28</v>
      </c>
      <c r="J417" s="14" t="s">
        <v>43</v>
      </c>
      <c r="K417" s="15" t="s">
        <v>59</v>
      </c>
      <c r="L417" s="62"/>
      <c r="M417" s="14"/>
      <c r="N417" s="14" t="s">
        <v>69</v>
      </c>
      <c r="O417" s="14"/>
      <c r="P417" s="15" t="s">
        <v>213</v>
      </c>
      <c r="Q417" s="16">
        <v>9999</v>
      </c>
      <c r="R417" s="17">
        <v>40</v>
      </c>
      <c r="S417" s="18">
        <v>6899.3099999999995</v>
      </c>
      <c r="T417" s="19" t="s">
        <v>36</v>
      </c>
      <c r="U417" s="20" t="s">
        <v>39</v>
      </c>
      <c r="V417" s="21" t="s">
        <v>85</v>
      </c>
      <c r="W417" s="22">
        <v>1</v>
      </c>
      <c r="X417" s="23"/>
    </row>
    <row r="418" spans="1:24" s="1" customFormat="1" ht="37.049999999999997" customHeight="1" x14ac:dyDescent="0.3">
      <c r="A418" s="24" t="s">
        <v>23</v>
      </c>
      <c r="B418" s="24" t="s">
        <v>514</v>
      </c>
      <c r="C418" s="12" t="s">
        <v>517</v>
      </c>
      <c r="D418" s="61"/>
      <c r="E418" s="41" t="str">
        <f>HYPERLINK("https://www.google.ru/search?q=1376926-698&amp;newwindow=1&amp;tbm=isch","Еще фото")</f>
        <v>Еще фото</v>
      </c>
      <c r="F418" s="13" t="s">
        <v>152</v>
      </c>
      <c r="G418" s="24" t="s">
        <v>28</v>
      </c>
      <c r="H418" s="24" t="s">
        <v>27</v>
      </c>
      <c r="I418" s="24" t="s">
        <v>28</v>
      </c>
      <c r="J418" s="14" t="s">
        <v>43</v>
      </c>
      <c r="K418" s="15" t="s">
        <v>59</v>
      </c>
      <c r="L418" s="58"/>
      <c r="M418" s="14"/>
      <c r="N418" s="14" t="s">
        <v>69</v>
      </c>
      <c r="O418" s="14"/>
      <c r="P418" s="15" t="s">
        <v>213</v>
      </c>
      <c r="Q418" s="16">
        <v>9999</v>
      </c>
      <c r="R418" s="17">
        <v>40</v>
      </c>
      <c r="S418" s="18">
        <v>6899.3099999999995</v>
      </c>
      <c r="T418" s="19" t="s">
        <v>36</v>
      </c>
      <c r="U418" s="20" t="s">
        <v>86</v>
      </c>
      <c r="V418" s="21" t="s">
        <v>38</v>
      </c>
      <c r="W418" s="22">
        <v>2</v>
      </c>
      <c r="X418" s="23"/>
    </row>
    <row r="419" spans="1:24" s="1" customFormat="1" ht="52.05" customHeight="1" x14ac:dyDescent="0.3">
      <c r="A419" s="11" t="s">
        <v>23</v>
      </c>
      <c r="B419" s="11" t="s">
        <v>518</v>
      </c>
      <c r="C419" s="12" t="s">
        <v>519</v>
      </c>
      <c r="D419" s="55"/>
      <c r="E419" s="41" t="str">
        <f>HYPERLINK("https://www.google.ru/search?q=1377042-348&amp;newwindow=1&amp;tbm=isch","Еще фото")</f>
        <v>Еще фото</v>
      </c>
      <c r="F419" s="13"/>
      <c r="G419" s="11" t="s">
        <v>28</v>
      </c>
      <c r="H419" s="11" t="s">
        <v>27</v>
      </c>
      <c r="I419" s="14" t="s">
        <v>28</v>
      </c>
      <c r="J419" s="14" t="s">
        <v>29</v>
      </c>
      <c r="K419" s="15" t="s">
        <v>59</v>
      </c>
      <c r="L419" s="57" t="s">
        <v>520</v>
      </c>
      <c r="M419" s="14" t="s">
        <v>32</v>
      </c>
      <c r="N419" s="14" t="s">
        <v>127</v>
      </c>
      <c r="O419" s="14"/>
      <c r="P419" s="15" t="s">
        <v>53</v>
      </c>
      <c r="Q419" s="16">
        <v>9999</v>
      </c>
      <c r="R419" s="17">
        <v>40</v>
      </c>
      <c r="S419" s="18">
        <v>6899.3099999999995</v>
      </c>
      <c r="T419" s="19" t="s">
        <v>36</v>
      </c>
      <c r="U419" s="20" t="s">
        <v>63</v>
      </c>
      <c r="V419" s="21" t="s">
        <v>64</v>
      </c>
      <c r="W419" s="22">
        <v>1</v>
      </c>
      <c r="X419" s="23"/>
    </row>
    <row r="420" spans="1:24" s="1" customFormat="1" ht="61.05" customHeight="1" x14ac:dyDescent="0.3">
      <c r="A420" s="24" t="s">
        <v>23</v>
      </c>
      <c r="B420" s="24" t="s">
        <v>518</v>
      </c>
      <c r="C420" s="12" t="s">
        <v>519</v>
      </c>
      <c r="D420" s="56"/>
      <c r="E420" s="41" t="str">
        <f>HYPERLINK("https://www.google.ru/search?q=1377042-348&amp;newwindow=1&amp;tbm=isch","Еще фото")</f>
        <v>Еще фото</v>
      </c>
      <c r="F420" s="13"/>
      <c r="G420" s="24" t="s">
        <v>28</v>
      </c>
      <c r="H420" s="24" t="s">
        <v>27</v>
      </c>
      <c r="I420" s="24" t="s">
        <v>28</v>
      </c>
      <c r="J420" s="14" t="s">
        <v>29</v>
      </c>
      <c r="K420" s="15" t="s">
        <v>59</v>
      </c>
      <c r="L420" s="58"/>
      <c r="M420" s="14" t="s">
        <v>32</v>
      </c>
      <c r="N420" s="14" t="s">
        <v>127</v>
      </c>
      <c r="O420" s="14"/>
      <c r="P420" s="15" t="s">
        <v>53</v>
      </c>
      <c r="Q420" s="16">
        <v>9999</v>
      </c>
      <c r="R420" s="17">
        <v>40</v>
      </c>
      <c r="S420" s="18">
        <v>6899.3099999999995</v>
      </c>
      <c r="T420" s="19" t="s">
        <v>36</v>
      </c>
      <c r="U420" s="20" t="s">
        <v>37</v>
      </c>
      <c r="V420" s="21" t="s">
        <v>106</v>
      </c>
      <c r="W420" s="22">
        <v>1</v>
      </c>
      <c r="X420" s="23"/>
    </row>
    <row r="421" spans="1:24" s="1" customFormat="1" ht="52.05" customHeight="1" x14ac:dyDescent="0.3">
      <c r="A421" s="11" t="s">
        <v>23</v>
      </c>
      <c r="B421" s="11" t="s">
        <v>521</v>
      </c>
      <c r="C421" s="12" t="s">
        <v>522</v>
      </c>
      <c r="D421" s="55"/>
      <c r="E421" s="41" t="str">
        <f>HYPERLINK("https://www.google.ru/search?q=1379296-001&amp;newwindow=1&amp;tbm=isch","Еще фото")</f>
        <v>Еще фото</v>
      </c>
      <c r="F421" s="13" t="s">
        <v>103</v>
      </c>
      <c r="G421" s="11" t="s">
        <v>26</v>
      </c>
      <c r="H421" s="11" t="s">
        <v>27</v>
      </c>
      <c r="I421" s="14" t="s">
        <v>28</v>
      </c>
      <c r="J421" s="14" t="s">
        <v>29</v>
      </c>
      <c r="K421" s="15" t="s">
        <v>30</v>
      </c>
      <c r="L421" s="57" t="s">
        <v>523</v>
      </c>
      <c r="M421" s="14"/>
      <c r="N421" s="14" t="s">
        <v>33</v>
      </c>
      <c r="O421" s="14"/>
      <c r="P421" s="15" t="s">
        <v>164</v>
      </c>
      <c r="Q421" s="16">
        <v>7499</v>
      </c>
      <c r="R421" s="17">
        <v>40</v>
      </c>
      <c r="S421" s="18">
        <v>5174.3099999999995</v>
      </c>
      <c r="T421" s="19" t="s">
        <v>36</v>
      </c>
      <c r="U421" s="20" t="s">
        <v>37</v>
      </c>
      <c r="V421" s="21" t="s">
        <v>38</v>
      </c>
      <c r="W421" s="22">
        <v>15</v>
      </c>
      <c r="X421" s="23"/>
    </row>
    <row r="422" spans="1:24" s="1" customFormat="1" ht="61.05" customHeight="1" x14ac:dyDescent="0.3">
      <c r="A422" s="24" t="s">
        <v>23</v>
      </c>
      <c r="B422" s="24" t="s">
        <v>521</v>
      </c>
      <c r="C422" s="12" t="s">
        <v>522</v>
      </c>
      <c r="D422" s="56"/>
      <c r="E422" s="41" t="str">
        <f>HYPERLINK("https://www.google.ru/search?q=1379296-001&amp;newwindow=1&amp;tbm=isch","Еще фото")</f>
        <v>Еще фото</v>
      </c>
      <c r="F422" s="13" t="s">
        <v>103</v>
      </c>
      <c r="G422" s="24" t="s">
        <v>26</v>
      </c>
      <c r="H422" s="24" t="s">
        <v>27</v>
      </c>
      <c r="I422" s="24" t="s">
        <v>28</v>
      </c>
      <c r="J422" s="14" t="s">
        <v>29</v>
      </c>
      <c r="K422" s="15" t="s">
        <v>30</v>
      </c>
      <c r="L422" s="58"/>
      <c r="M422" s="14"/>
      <c r="N422" s="14" t="s">
        <v>33</v>
      </c>
      <c r="O422" s="14"/>
      <c r="P422" s="15" t="s">
        <v>164</v>
      </c>
      <c r="Q422" s="16">
        <v>7499</v>
      </c>
      <c r="R422" s="17">
        <v>40</v>
      </c>
      <c r="S422" s="18">
        <v>5174.3099999999995</v>
      </c>
      <c r="T422" s="19" t="s">
        <v>36</v>
      </c>
      <c r="U422" s="20" t="s">
        <v>39</v>
      </c>
      <c r="V422" s="21" t="s">
        <v>40</v>
      </c>
      <c r="W422" s="22">
        <v>5</v>
      </c>
      <c r="X422" s="23"/>
    </row>
    <row r="423" spans="1:24" s="1" customFormat="1" ht="108" customHeight="1" x14ac:dyDescent="0.3">
      <c r="A423" s="11" t="s">
        <v>23</v>
      </c>
      <c r="B423" s="11" t="s">
        <v>524</v>
      </c>
      <c r="C423" s="12" t="s">
        <v>525</v>
      </c>
      <c r="D423" s="25"/>
      <c r="E423" s="41" t="str">
        <f>HYPERLINK("https://www.google.ru/search?q=1379307-001&amp;newwindow=1&amp;tbm=isch","Еще фото")</f>
        <v>Еще фото</v>
      </c>
      <c r="F423" s="13"/>
      <c r="G423" s="11" t="s">
        <v>28</v>
      </c>
      <c r="H423" s="11" t="s">
        <v>27</v>
      </c>
      <c r="I423" s="14" t="s">
        <v>28</v>
      </c>
      <c r="J423" s="14" t="s">
        <v>29</v>
      </c>
      <c r="K423" s="15" t="s">
        <v>30</v>
      </c>
      <c r="L423" s="14" t="s">
        <v>526</v>
      </c>
      <c r="M423" s="14"/>
      <c r="N423" s="14" t="s">
        <v>33</v>
      </c>
      <c r="O423" s="14"/>
      <c r="P423" s="15" t="s">
        <v>527</v>
      </c>
      <c r="Q423" s="16">
        <v>15999</v>
      </c>
      <c r="R423" s="17">
        <v>40</v>
      </c>
      <c r="S423" s="18">
        <v>11039.31</v>
      </c>
      <c r="T423" s="19" t="s">
        <v>36</v>
      </c>
      <c r="U423" s="20" t="s">
        <v>39</v>
      </c>
      <c r="V423" s="21" t="s">
        <v>40</v>
      </c>
      <c r="W423" s="22">
        <v>2</v>
      </c>
      <c r="X423" s="23"/>
    </row>
    <row r="424" spans="1:24" s="1" customFormat="1" ht="26" customHeight="1" x14ac:dyDescent="0.3">
      <c r="A424" s="11" t="s">
        <v>23</v>
      </c>
      <c r="B424" s="11" t="s">
        <v>528</v>
      </c>
      <c r="C424" s="12" t="s">
        <v>529</v>
      </c>
      <c r="D424" s="59"/>
      <c r="E424" s="41" t="str">
        <f>HYPERLINK("https://www.google.ru/search?q=1379438-012&amp;newwindow=1&amp;tbm=isch","Еще фото")</f>
        <v>Еще фото</v>
      </c>
      <c r="F424" s="13" t="s">
        <v>103</v>
      </c>
      <c r="G424" s="11" t="s">
        <v>28</v>
      </c>
      <c r="H424" s="11" t="s">
        <v>27</v>
      </c>
      <c r="I424" s="14" t="s">
        <v>28</v>
      </c>
      <c r="J424" s="14" t="s">
        <v>29</v>
      </c>
      <c r="K424" s="15" t="s">
        <v>59</v>
      </c>
      <c r="L424" s="57" t="s">
        <v>530</v>
      </c>
      <c r="M424" s="14"/>
      <c r="N424" s="14" t="s">
        <v>62</v>
      </c>
      <c r="O424" s="14"/>
      <c r="P424" s="15" t="s">
        <v>120</v>
      </c>
      <c r="Q424" s="16">
        <v>4599</v>
      </c>
      <c r="R424" s="17">
        <v>40</v>
      </c>
      <c r="S424" s="18">
        <v>3173.31</v>
      </c>
      <c r="T424" s="19" t="s">
        <v>36</v>
      </c>
      <c r="U424" s="20" t="s">
        <v>63</v>
      </c>
      <c r="V424" s="21" t="s">
        <v>64</v>
      </c>
      <c r="W424" s="22">
        <v>3</v>
      </c>
      <c r="X424" s="23"/>
    </row>
    <row r="425" spans="1:24" s="1" customFormat="1" ht="26" customHeight="1" x14ac:dyDescent="0.3">
      <c r="A425" s="24" t="s">
        <v>23</v>
      </c>
      <c r="B425" s="24" t="s">
        <v>528</v>
      </c>
      <c r="C425" s="12" t="s">
        <v>529</v>
      </c>
      <c r="D425" s="60"/>
      <c r="E425" s="41" t="str">
        <f>HYPERLINK("https://www.google.ru/search?q=1379438-012&amp;newwindow=1&amp;tbm=isch","Еще фото")</f>
        <v>Еще фото</v>
      </c>
      <c r="F425" s="13" t="s">
        <v>103</v>
      </c>
      <c r="G425" s="24" t="s">
        <v>28</v>
      </c>
      <c r="H425" s="24" t="s">
        <v>27</v>
      </c>
      <c r="I425" s="24" t="s">
        <v>28</v>
      </c>
      <c r="J425" s="14" t="s">
        <v>29</v>
      </c>
      <c r="K425" s="15" t="s">
        <v>59</v>
      </c>
      <c r="L425" s="62"/>
      <c r="M425" s="14"/>
      <c r="N425" s="14" t="s">
        <v>62</v>
      </c>
      <c r="O425" s="14"/>
      <c r="P425" s="15" t="s">
        <v>120</v>
      </c>
      <c r="Q425" s="16">
        <v>4599</v>
      </c>
      <c r="R425" s="17">
        <v>40</v>
      </c>
      <c r="S425" s="18">
        <v>3173.31</v>
      </c>
      <c r="T425" s="19" t="s">
        <v>36</v>
      </c>
      <c r="U425" s="20" t="s">
        <v>37</v>
      </c>
      <c r="V425" s="21" t="s">
        <v>106</v>
      </c>
      <c r="W425" s="22">
        <v>2</v>
      </c>
      <c r="X425" s="23"/>
    </row>
    <row r="426" spans="1:24" s="1" customFormat="1" ht="26" customHeight="1" x14ac:dyDescent="0.3">
      <c r="A426" s="24" t="s">
        <v>23</v>
      </c>
      <c r="B426" s="24" t="s">
        <v>528</v>
      </c>
      <c r="C426" s="12" t="s">
        <v>529</v>
      </c>
      <c r="D426" s="60"/>
      <c r="E426" s="41" t="str">
        <f>HYPERLINK("https://www.google.ru/search?q=1379438-012&amp;newwindow=1&amp;tbm=isch","Еще фото")</f>
        <v>Еще фото</v>
      </c>
      <c r="F426" s="13" t="s">
        <v>103</v>
      </c>
      <c r="G426" s="24" t="s">
        <v>28</v>
      </c>
      <c r="H426" s="24" t="s">
        <v>27</v>
      </c>
      <c r="I426" s="24" t="s">
        <v>28</v>
      </c>
      <c r="J426" s="14" t="s">
        <v>29</v>
      </c>
      <c r="K426" s="15" t="s">
        <v>59</v>
      </c>
      <c r="L426" s="62"/>
      <c r="M426" s="14"/>
      <c r="N426" s="14" t="s">
        <v>62</v>
      </c>
      <c r="O426" s="14"/>
      <c r="P426" s="15" t="s">
        <v>120</v>
      </c>
      <c r="Q426" s="16">
        <v>4599</v>
      </c>
      <c r="R426" s="17">
        <v>40</v>
      </c>
      <c r="S426" s="18">
        <v>3173.31</v>
      </c>
      <c r="T426" s="19" t="s">
        <v>36</v>
      </c>
      <c r="U426" s="20" t="s">
        <v>39</v>
      </c>
      <c r="V426" s="21" t="s">
        <v>85</v>
      </c>
      <c r="W426" s="22">
        <v>2</v>
      </c>
      <c r="X426" s="23"/>
    </row>
    <row r="427" spans="1:24" s="1" customFormat="1" ht="26" customHeight="1" x14ac:dyDescent="0.3">
      <c r="A427" s="24" t="s">
        <v>23</v>
      </c>
      <c r="B427" s="24" t="s">
        <v>528</v>
      </c>
      <c r="C427" s="12" t="s">
        <v>529</v>
      </c>
      <c r="D427" s="61"/>
      <c r="E427" s="41" t="str">
        <f>HYPERLINK("https://www.google.ru/search?q=1379438-012&amp;newwindow=1&amp;tbm=isch","Еще фото")</f>
        <v>Еще фото</v>
      </c>
      <c r="F427" s="13" t="s">
        <v>103</v>
      </c>
      <c r="G427" s="24" t="s">
        <v>28</v>
      </c>
      <c r="H427" s="24" t="s">
        <v>27</v>
      </c>
      <c r="I427" s="24" t="s">
        <v>28</v>
      </c>
      <c r="J427" s="14" t="s">
        <v>29</v>
      </c>
      <c r="K427" s="15" t="s">
        <v>59</v>
      </c>
      <c r="L427" s="58"/>
      <c r="M427" s="14"/>
      <c r="N427" s="14" t="s">
        <v>62</v>
      </c>
      <c r="O427" s="14"/>
      <c r="P427" s="15" t="s">
        <v>120</v>
      </c>
      <c r="Q427" s="16">
        <v>4599</v>
      </c>
      <c r="R427" s="17">
        <v>40</v>
      </c>
      <c r="S427" s="18">
        <v>3173.31</v>
      </c>
      <c r="T427" s="19" t="s">
        <v>36</v>
      </c>
      <c r="U427" s="20" t="s">
        <v>86</v>
      </c>
      <c r="V427" s="21" t="s">
        <v>38</v>
      </c>
      <c r="W427" s="22">
        <v>1</v>
      </c>
      <c r="X427" s="23"/>
    </row>
    <row r="428" spans="1:24" s="1" customFormat="1" ht="108" customHeight="1" x14ac:dyDescent="0.3">
      <c r="A428" s="11" t="s">
        <v>23</v>
      </c>
      <c r="B428" s="11" t="s">
        <v>528</v>
      </c>
      <c r="C428" s="12" t="s">
        <v>531</v>
      </c>
      <c r="D428" s="25"/>
      <c r="E428" s="41" t="str">
        <f>HYPERLINK("https://www.google.ru/search?q=1379438-783&amp;newwindow=1&amp;tbm=isch","Еще фото")</f>
        <v>Еще фото</v>
      </c>
      <c r="F428" s="13"/>
      <c r="G428" s="11" t="s">
        <v>28</v>
      </c>
      <c r="H428" s="11" t="s">
        <v>27</v>
      </c>
      <c r="I428" s="14" t="s">
        <v>28</v>
      </c>
      <c r="J428" s="14" t="s">
        <v>29</v>
      </c>
      <c r="K428" s="15" t="s">
        <v>59</v>
      </c>
      <c r="L428" s="14"/>
      <c r="M428" s="14"/>
      <c r="N428" s="14" t="s">
        <v>229</v>
      </c>
      <c r="O428" s="14"/>
      <c r="P428" s="15" t="s">
        <v>120</v>
      </c>
      <c r="Q428" s="16">
        <v>4899</v>
      </c>
      <c r="R428" s="17">
        <v>40</v>
      </c>
      <c r="S428" s="18">
        <v>3380.31</v>
      </c>
      <c r="T428" s="19" t="s">
        <v>36</v>
      </c>
      <c r="U428" s="20" t="s">
        <v>39</v>
      </c>
      <c r="V428" s="21" t="s">
        <v>85</v>
      </c>
      <c r="W428" s="22">
        <v>1</v>
      </c>
      <c r="X428" s="23"/>
    </row>
    <row r="429" spans="1:24" s="1" customFormat="1" ht="52.05" customHeight="1" x14ac:dyDescent="0.3">
      <c r="A429" s="11" t="s">
        <v>23</v>
      </c>
      <c r="B429" s="11" t="s">
        <v>349</v>
      </c>
      <c r="C429" s="12" t="s">
        <v>532</v>
      </c>
      <c r="D429" s="55"/>
      <c r="E429" s="41" t="str">
        <f>HYPERLINK("https://www.google.ru/search?q=1379774-001&amp;newwindow=1&amp;tbm=isch","Еще фото")</f>
        <v>Еще фото</v>
      </c>
      <c r="F429" s="13" t="s">
        <v>152</v>
      </c>
      <c r="G429" s="11" t="s">
        <v>28</v>
      </c>
      <c r="H429" s="11" t="s">
        <v>27</v>
      </c>
      <c r="I429" s="14" t="s">
        <v>28</v>
      </c>
      <c r="J429" s="14" t="s">
        <v>29</v>
      </c>
      <c r="K429" s="15" t="s">
        <v>30</v>
      </c>
      <c r="L429" s="57" t="s">
        <v>533</v>
      </c>
      <c r="M429" s="14" t="s">
        <v>68</v>
      </c>
      <c r="N429" s="14" t="s">
        <v>33</v>
      </c>
      <c r="O429" s="14"/>
      <c r="P429" s="15" t="s">
        <v>120</v>
      </c>
      <c r="Q429" s="16">
        <v>5699</v>
      </c>
      <c r="R429" s="17">
        <v>40</v>
      </c>
      <c r="S429" s="18">
        <v>3932.31</v>
      </c>
      <c r="T429" s="19" t="s">
        <v>36</v>
      </c>
      <c r="U429" s="20" t="s">
        <v>37</v>
      </c>
      <c r="V429" s="21" t="s">
        <v>38</v>
      </c>
      <c r="W429" s="22">
        <v>3</v>
      </c>
      <c r="X429" s="23"/>
    </row>
    <row r="430" spans="1:24" s="1" customFormat="1" ht="61.05" customHeight="1" x14ac:dyDescent="0.3">
      <c r="A430" s="24" t="s">
        <v>23</v>
      </c>
      <c r="B430" s="24" t="s">
        <v>349</v>
      </c>
      <c r="C430" s="12" t="s">
        <v>532</v>
      </c>
      <c r="D430" s="56"/>
      <c r="E430" s="41" t="str">
        <f>HYPERLINK("https://www.google.ru/search?q=1379774-001&amp;newwindow=1&amp;tbm=isch","Еще фото")</f>
        <v>Еще фото</v>
      </c>
      <c r="F430" s="13" t="s">
        <v>152</v>
      </c>
      <c r="G430" s="24" t="s">
        <v>28</v>
      </c>
      <c r="H430" s="24" t="s">
        <v>27</v>
      </c>
      <c r="I430" s="24" t="s">
        <v>28</v>
      </c>
      <c r="J430" s="14" t="s">
        <v>29</v>
      </c>
      <c r="K430" s="15" t="s">
        <v>30</v>
      </c>
      <c r="L430" s="58"/>
      <c r="M430" s="14" t="s">
        <v>68</v>
      </c>
      <c r="N430" s="14" t="s">
        <v>33</v>
      </c>
      <c r="O430" s="14"/>
      <c r="P430" s="15" t="s">
        <v>120</v>
      </c>
      <c r="Q430" s="16">
        <v>5699</v>
      </c>
      <c r="R430" s="17">
        <v>40</v>
      </c>
      <c r="S430" s="18">
        <v>3932.31</v>
      </c>
      <c r="T430" s="19" t="s">
        <v>36</v>
      </c>
      <c r="U430" s="20" t="s">
        <v>90</v>
      </c>
      <c r="V430" s="21" t="s">
        <v>91</v>
      </c>
      <c r="W430" s="22">
        <v>9</v>
      </c>
      <c r="X430" s="23"/>
    </row>
    <row r="431" spans="1:24" s="1" customFormat="1" ht="21" customHeight="1" x14ac:dyDescent="0.3">
      <c r="A431" s="11" t="s">
        <v>23</v>
      </c>
      <c r="B431" s="11" t="s">
        <v>349</v>
      </c>
      <c r="C431" s="26" t="s">
        <v>534</v>
      </c>
      <c r="D431" s="59"/>
      <c r="E431" s="41" t="str">
        <f>HYPERLINK("https://www.google.ru/search?q=1379774-025&amp;newwindow=1&amp;tbm=isch","Еще фото")</f>
        <v>Еще фото</v>
      </c>
      <c r="F431" s="13" t="s">
        <v>152</v>
      </c>
      <c r="G431" s="11" t="s">
        <v>28</v>
      </c>
      <c r="H431" s="11" t="s">
        <v>27</v>
      </c>
      <c r="I431" s="14" t="s">
        <v>28</v>
      </c>
      <c r="J431" s="14" t="s">
        <v>29</v>
      </c>
      <c r="K431" s="15" t="s">
        <v>30</v>
      </c>
      <c r="L431" s="57" t="s">
        <v>533</v>
      </c>
      <c r="M431" s="14"/>
      <c r="N431" s="14" t="s">
        <v>62</v>
      </c>
      <c r="O431" s="14"/>
      <c r="P431" s="15" t="s">
        <v>120</v>
      </c>
      <c r="Q431" s="16">
        <v>7399</v>
      </c>
      <c r="R431" s="17">
        <v>40</v>
      </c>
      <c r="S431" s="18">
        <v>5105.3099999999995</v>
      </c>
      <c r="T431" s="19" t="s">
        <v>36</v>
      </c>
      <c r="U431" s="20" t="s">
        <v>37</v>
      </c>
      <c r="V431" s="21" t="s">
        <v>38</v>
      </c>
      <c r="W431" s="22">
        <v>9</v>
      </c>
      <c r="X431" s="23"/>
    </row>
    <row r="432" spans="1:24" s="1" customFormat="1" ht="21" customHeight="1" x14ac:dyDescent="0.3">
      <c r="A432" s="24" t="s">
        <v>23</v>
      </c>
      <c r="B432" s="24" t="s">
        <v>349</v>
      </c>
      <c r="C432" s="27" t="s">
        <v>534</v>
      </c>
      <c r="D432" s="60"/>
      <c r="E432" s="41" t="str">
        <f>HYPERLINK("https://www.google.ru/search?q=1379774-025&amp;newwindow=1&amp;tbm=isch","Еще фото")</f>
        <v>Еще фото</v>
      </c>
      <c r="F432" s="13" t="s">
        <v>152</v>
      </c>
      <c r="G432" s="24" t="s">
        <v>28</v>
      </c>
      <c r="H432" s="24" t="s">
        <v>27</v>
      </c>
      <c r="I432" s="24" t="s">
        <v>28</v>
      </c>
      <c r="J432" s="14" t="s">
        <v>29</v>
      </c>
      <c r="K432" s="15" t="s">
        <v>30</v>
      </c>
      <c r="L432" s="62"/>
      <c r="M432" s="14"/>
      <c r="N432" s="14" t="s">
        <v>62</v>
      </c>
      <c r="O432" s="14"/>
      <c r="P432" s="15" t="s">
        <v>120</v>
      </c>
      <c r="Q432" s="16">
        <v>7399</v>
      </c>
      <c r="R432" s="17">
        <v>40</v>
      </c>
      <c r="S432" s="18">
        <v>5105.3099999999995</v>
      </c>
      <c r="T432" s="19" t="s">
        <v>36</v>
      </c>
      <c r="U432" s="20" t="s">
        <v>39</v>
      </c>
      <c r="V432" s="21" t="s">
        <v>40</v>
      </c>
      <c r="W432" s="22">
        <v>22</v>
      </c>
      <c r="X432" s="23"/>
    </row>
    <row r="433" spans="1:24" s="1" customFormat="1" ht="21" customHeight="1" x14ac:dyDescent="0.3">
      <c r="A433" s="24" t="s">
        <v>23</v>
      </c>
      <c r="B433" s="24" t="s">
        <v>349</v>
      </c>
      <c r="C433" s="27" t="s">
        <v>534</v>
      </c>
      <c r="D433" s="60"/>
      <c r="E433" s="41" t="str">
        <f>HYPERLINK("https://www.google.ru/search?q=1379774-025&amp;newwindow=1&amp;tbm=isch","Еще фото")</f>
        <v>Еще фото</v>
      </c>
      <c r="F433" s="13" t="s">
        <v>152</v>
      </c>
      <c r="G433" s="24" t="s">
        <v>28</v>
      </c>
      <c r="H433" s="24" t="s">
        <v>27</v>
      </c>
      <c r="I433" s="24" t="s">
        <v>28</v>
      </c>
      <c r="J433" s="14" t="s">
        <v>29</v>
      </c>
      <c r="K433" s="15" t="s">
        <v>30</v>
      </c>
      <c r="L433" s="62"/>
      <c r="M433" s="14"/>
      <c r="N433" s="14" t="s">
        <v>62</v>
      </c>
      <c r="O433" s="14"/>
      <c r="P433" s="15" t="s">
        <v>120</v>
      </c>
      <c r="Q433" s="16">
        <v>7399</v>
      </c>
      <c r="R433" s="17">
        <v>40</v>
      </c>
      <c r="S433" s="18">
        <v>5105.3099999999995</v>
      </c>
      <c r="T433" s="19" t="s">
        <v>36</v>
      </c>
      <c r="U433" s="20" t="s">
        <v>86</v>
      </c>
      <c r="V433" s="21" t="s">
        <v>87</v>
      </c>
      <c r="W433" s="22">
        <v>15</v>
      </c>
      <c r="X433" s="23"/>
    </row>
    <row r="434" spans="1:24" s="1" customFormat="1" ht="21" customHeight="1" x14ac:dyDescent="0.3">
      <c r="A434" s="24" t="s">
        <v>23</v>
      </c>
      <c r="B434" s="24" t="s">
        <v>349</v>
      </c>
      <c r="C434" s="27" t="s">
        <v>534</v>
      </c>
      <c r="D434" s="60"/>
      <c r="E434" s="41" t="str">
        <f>HYPERLINK("https://www.google.ru/search?q=1379774-025&amp;newwindow=1&amp;tbm=isch","Еще фото")</f>
        <v>Еще фото</v>
      </c>
      <c r="F434" s="13" t="s">
        <v>152</v>
      </c>
      <c r="G434" s="24" t="s">
        <v>28</v>
      </c>
      <c r="H434" s="24" t="s">
        <v>27</v>
      </c>
      <c r="I434" s="24" t="s">
        <v>28</v>
      </c>
      <c r="J434" s="14" t="s">
        <v>29</v>
      </c>
      <c r="K434" s="15" t="s">
        <v>30</v>
      </c>
      <c r="L434" s="62"/>
      <c r="M434" s="14"/>
      <c r="N434" s="14" t="s">
        <v>62</v>
      </c>
      <c r="O434" s="14"/>
      <c r="P434" s="15" t="s">
        <v>120</v>
      </c>
      <c r="Q434" s="16">
        <v>7399</v>
      </c>
      <c r="R434" s="17">
        <v>40</v>
      </c>
      <c r="S434" s="18">
        <v>5105.3099999999995</v>
      </c>
      <c r="T434" s="19" t="s">
        <v>36</v>
      </c>
      <c r="U434" s="20" t="s">
        <v>88</v>
      </c>
      <c r="V434" s="21" t="s">
        <v>89</v>
      </c>
      <c r="W434" s="22">
        <v>11</v>
      </c>
      <c r="X434" s="23"/>
    </row>
    <row r="435" spans="1:24" s="1" customFormat="1" ht="32" customHeight="1" x14ac:dyDescent="0.3">
      <c r="A435" s="24" t="s">
        <v>23</v>
      </c>
      <c r="B435" s="24" t="s">
        <v>349</v>
      </c>
      <c r="C435" s="27" t="s">
        <v>534</v>
      </c>
      <c r="D435" s="61"/>
      <c r="E435" s="41" t="str">
        <f>HYPERLINK("https://www.google.ru/search?q=1379774-025&amp;newwindow=1&amp;tbm=isch","Еще фото")</f>
        <v>Еще фото</v>
      </c>
      <c r="F435" s="13" t="s">
        <v>152</v>
      </c>
      <c r="G435" s="24" t="s">
        <v>28</v>
      </c>
      <c r="H435" s="24" t="s">
        <v>27</v>
      </c>
      <c r="I435" s="24" t="s">
        <v>28</v>
      </c>
      <c r="J435" s="14" t="s">
        <v>29</v>
      </c>
      <c r="K435" s="15" t="s">
        <v>30</v>
      </c>
      <c r="L435" s="58"/>
      <c r="M435" s="14"/>
      <c r="N435" s="14" t="s">
        <v>62</v>
      </c>
      <c r="O435" s="14"/>
      <c r="P435" s="15" t="s">
        <v>120</v>
      </c>
      <c r="Q435" s="16">
        <v>7399</v>
      </c>
      <c r="R435" s="17">
        <v>40</v>
      </c>
      <c r="S435" s="18">
        <v>5105.3099999999995</v>
      </c>
      <c r="T435" s="19" t="s">
        <v>36</v>
      </c>
      <c r="U435" s="20" t="s">
        <v>90</v>
      </c>
      <c r="V435" s="21" t="s">
        <v>91</v>
      </c>
      <c r="W435" s="22">
        <v>8</v>
      </c>
      <c r="X435" s="23"/>
    </row>
    <row r="436" spans="1:24" s="1" customFormat="1" ht="21" customHeight="1" x14ac:dyDescent="0.3">
      <c r="A436" s="11" t="s">
        <v>23</v>
      </c>
      <c r="B436" s="11" t="s">
        <v>349</v>
      </c>
      <c r="C436" s="26" t="s">
        <v>535</v>
      </c>
      <c r="D436" s="59"/>
      <c r="E436" s="41" t="str">
        <f>HYPERLINK("https://www.google.ru/search?q=1379774-410&amp;newwindow=1&amp;tbm=isch","Еще фото")</f>
        <v>Еще фото</v>
      </c>
      <c r="F436" s="13" t="s">
        <v>103</v>
      </c>
      <c r="G436" s="11" t="s">
        <v>28</v>
      </c>
      <c r="H436" s="11" t="s">
        <v>27</v>
      </c>
      <c r="I436" s="14" t="s">
        <v>28</v>
      </c>
      <c r="J436" s="14" t="s">
        <v>29</v>
      </c>
      <c r="K436" s="15" t="s">
        <v>30</v>
      </c>
      <c r="L436" s="57" t="s">
        <v>533</v>
      </c>
      <c r="M436" s="14"/>
      <c r="N436" s="14" t="s">
        <v>115</v>
      </c>
      <c r="O436" s="14"/>
      <c r="P436" s="15" t="s">
        <v>120</v>
      </c>
      <c r="Q436" s="16">
        <v>5599</v>
      </c>
      <c r="R436" s="17">
        <v>40</v>
      </c>
      <c r="S436" s="18">
        <v>3863.31</v>
      </c>
      <c r="T436" s="19" t="s">
        <v>36</v>
      </c>
      <c r="U436" s="20" t="s">
        <v>37</v>
      </c>
      <c r="V436" s="21" t="s">
        <v>38</v>
      </c>
      <c r="W436" s="22">
        <v>9</v>
      </c>
      <c r="X436" s="23"/>
    </row>
    <row r="437" spans="1:24" s="1" customFormat="1" ht="21" customHeight="1" x14ac:dyDescent="0.3">
      <c r="A437" s="24" t="s">
        <v>23</v>
      </c>
      <c r="B437" s="24" t="s">
        <v>349</v>
      </c>
      <c r="C437" s="27" t="s">
        <v>535</v>
      </c>
      <c r="D437" s="60"/>
      <c r="E437" s="41" t="str">
        <f>HYPERLINK("https://www.google.ru/search?q=1379774-410&amp;newwindow=1&amp;tbm=isch","Еще фото")</f>
        <v>Еще фото</v>
      </c>
      <c r="F437" s="13" t="s">
        <v>103</v>
      </c>
      <c r="G437" s="24" t="s">
        <v>28</v>
      </c>
      <c r="H437" s="24" t="s">
        <v>27</v>
      </c>
      <c r="I437" s="24" t="s">
        <v>28</v>
      </c>
      <c r="J437" s="14" t="s">
        <v>29</v>
      </c>
      <c r="K437" s="15" t="s">
        <v>30</v>
      </c>
      <c r="L437" s="62"/>
      <c r="M437" s="14"/>
      <c r="N437" s="14" t="s">
        <v>115</v>
      </c>
      <c r="O437" s="14"/>
      <c r="P437" s="15" t="s">
        <v>120</v>
      </c>
      <c r="Q437" s="16">
        <v>5599</v>
      </c>
      <c r="R437" s="17">
        <v>40</v>
      </c>
      <c r="S437" s="18">
        <v>3863.31</v>
      </c>
      <c r="T437" s="19" t="s">
        <v>36</v>
      </c>
      <c r="U437" s="20" t="s">
        <v>39</v>
      </c>
      <c r="V437" s="21" t="s">
        <v>40</v>
      </c>
      <c r="W437" s="22">
        <v>23</v>
      </c>
      <c r="X437" s="23"/>
    </row>
    <row r="438" spans="1:24" s="1" customFormat="1" ht="21" customHeight="1" x14ac:dyDescent="0.3">
      <c r="A438" s="24" t="s">
        <v>23</v>
      </c>
      <c r="B438" s="24" t="s">
        <v>349</v>
      </c>
      <c r="C438" s="27" t="s">
        <v>535</v>
      </c>
      <c r="D438" s="60"/>
      <c r="E438" s="41" t="str">
        <f>HYPERLINK("https://www.google.ru/search?q=1379774-410&amp;newwindow=1&amp;tbm=isch","Еще фото")</f>
        <v>Еще фото</v>
      </c>
      <c r="F438" s="13" t="s">
        <v>103</v>
      </c>
      <c r="G438" s="24" t="s">
        <v>28</v>
      </c>
      <c r="H438" s="24" t="s">
        <v>27</v>
      </c>
      <c r="I438" s="24" t="s">
        <v>28</v>
      </c>
      <c r="J438" s="14" t="s">
        <v>29</v>
      </c>
      <c r="K438" s="15" t="s">
        <v>30</v>
      </c>
      <c r="L438" s="62"/>
      <c r="M438" s="14"/>
      <c r="N438" s="14" t="s">
        <v>115</v>
      </c>
      <c r="O438" s="14"/>
      <c r="P438" s="15" t="s">
        <v>120</v>
      </c>
      <c r="Q438" s="16">
        <v>5599</v>
      </c>
      <c r="R438" s="17">
        <v>40</v>
      </c>
      <c r="S438" s="18">
        <v>3863.31</v>
      </c>
      <c r="T438" s="19" t="s">
        <v>36</v>
      </c>
      <c r="U438" s="20" t="s">
        <v>86</v>
      </c>
      <c r="V438" s="21" t="s">
        <v>87</v>
      </c>
      <c r="W438" s="22">
        <v>25</v>
      </c>
      <c r="X438" s="23"/>
    </row>
    <row r="439" spans="1:24" s="1" customFormat="1" ht="21" customHeight="1" x14ac:dyDescent="0.3">
      <c r="A439" s="24" t="s">
        <v>23</v>
      </c>
      <c r="B439" s="24" t="s">
        <v>349</v>
      </c>
      <c r="C439" s="27" t="s">
        <v>535</v>
      </c>
      <c r="D439" s="60"/>
      <c r="E439" s="41" t="str">
        <f>HYPERLINK("https://www.google.ru/search?q=1379774-410&amp;newwindow=1&amp;tbm=isch","Еще фото")</f>
        <v>Еще фото</v>
      </c>
      <c r="F439" s="13" t="s">
        <v>103</v>
      </c>
      <c r="G439" s="24" t="s">
        <v>28</v>
      </c>
      <c r="H439" s="24" t="s">
        <v>27</v>
      </c>
      <c r="I439" s="24" t="s">
        <v>28</v>
      </c>
      <c r="J439" s="14" t="s">
        <v>29</v>
      </c>
      <c r="K439" s="15" t="s">
        <v>30</v>
      </c>
      <c r="L439" s="62"/>
      <c r="M439" s="14"/>
      <c r="N439" s="14" t="s">
        <v>115</v>
      </c>
      <c r="O439" s="14"/>
      <c r="P439" s="15" t="s">
        <v>120</v>
      </c>
      <c r="Q439" s="16">
        <v>5599</v>
      </c>
      <c r="R439" s="17">
        <v>40</v>
      </c>
      <c r="S439" s="18">
        <v>3863.31</v>
      </c>
      <c r="T439" s="19" t="s">
        <v>36</v>
      </c>
      <c r="U439" s="20" t="s">
        <v>88</v>
      </c>
      <c r="V439" s="21" t="s">
        <v>89</v>
      </c>
      <c r="W439" s="22">
        <v>12</v>
      </c>
      <c r="X439" s="23"/>
    </row>
    <row r="440" spans="1:24" s="1" customFormat="1" ht="32" customHeight="1" x14ac:dyDescent="0.3">
      <c r="A440" s="24" t="s">
        <v>23</v>
      </c>
      <c r="B440" s="24" t="s">
        <v>349</v>
      </c>
      <c r="C440" s="27" t="s">
        <v>535</v>
      </c>
      <c r="D440" s="61"/>
      <c r="E440" s="41" t="str">
        <f>HYPERLINK("https://www.google.ru/search?q=1379774-410&amp;newwindow=1&amp;tbm=isch","Еще фото")</f>
        <v>Еще фото</v>
      </c>
      <c r="F440" s="13" t="s">
        <v>103</v>
      </c>
      <c r="G440" s="24" t="s">
        <v>28</v>
      </c>
      <c r="H440" s="24" t="s">
        <v>27</v>
      </c>
      <c r="I440" s="24" t="s">
        <v>28</v>
      </c>
      <c r="J440" s="14" t="s">
        <v>29</v>
      </c>
      <c r="K440" s="15" t="s">
        <v>30</v>
      </c>
      <c r="L440" s="58"/>
      <c r="M440" s="14"/>
      <c r="N440" s="14" t="s">
        <v>115</v>
      </c>
      <c r="O440" s="14"/>
      <c r="P440" s="15" t="s">
        <v>120</v>
      </c>
      <c r="Q440" s="16">
        <v>5599</v>
      </c>
      <c r="R440" s="17">
        <v>40</v>
      </c>
      <c r="S440" s="18">
        <v>3863.31</v>
      </c>
      <c r="T440" s="19" t="s">
        <v>36</v>
      </c>
      <c r="U440" s="20" t="s">
        <v>90</v>
      </c>
      <c r="V440" s="21" t="s">
        <v>91</v>
      </c>
      <c r="W440" s="22">
        <v>8</v>
      </c>
      <c r="X440" s="23"/>
    </row>
    <row r="441" spans="1:24" s="1" customFormat="1" ht="108" customHeight="1" x14ac:dyDescent="0.3">
      <c r="A441" s="11" t="s">
        <v>23</v>
      </c>
      <c r="B441" s="11" t="s">
        <v>536</v>
      </c>
      <c r="C441" s="12" t="s">
        <v>537</v>
      </c>
      <c r="D441" s="25"/>
      <c r="E441" s="41" t="str">
        <f>HYPERLINK("https://www.google.ru/search?q=1379789-001&amp;newwindow=1&amp;tbm=isch","Еще фото")</f>
        <v>Еще фото</v>
      </c>
      <c r="F441" s="13"/>
      <c r="G441" s="11" t="s">
        <v>28</v>
      </c>
      <c r="H441" s="11" t="s">
        <v>27</v>
      </c>
      <c r="I441" s="14" t="s">
        <v>28</v>
      </c>
      <c r="J441" s="14" t="s">
        <v>29</v>
      </c>
      <c r="K441" s="15" t="s">
        <v>50</v>
      </c>
      <c r="L441" s="14" t="s">
        <v>351</v>
      </c>
      <c r="M441" s="14" t="s">
        <v>68</v>
      </c>
      <c r="N441" s="14" t="s">
        <v>538</v>
      </c>
      <c r="O441" s="14"/>
      <c r="P441" s="15" t="s">
        <v>120</v>
      </c>
      <c r="Q441" s="16">
        <v>6699</v>
      </c>
      <c r="R441" s="17">
        <v>40</v>
      </c>
      <c r="S441" s="18">
        <v>4622.3099999999995</v>
      </c>
      <c r="T441" s="19" t="s">
        <v>36</v>
      </c>
      <c r="U441" s="20" t="s">
        <v>234</v>
      </c>
      <c r="V441" s="21" t="s">
        <v>235</v>
      </c>
      <c r="W441" s="22">
        <v>3</v>
      </c>
      <c r="X441" s="23"/>
    </row>
    <row r="442" spans="1:24" s="1" customFormat="1" ht="21" customHeight="1" x14ac:dyDescent="0.3">
      <c r="A442" s="11" t="s">
        <v>23</v>
      </c>
      <c r="B442" s="11" t="s">
        <v>539</v>
      </c>
      <c r="C442" s="26" t="s">
        <v>540</v>
      </c>
      <c r="D442" s="59"/>
      <c r="E442" s="41" t="str">
        <f>HYPERLINK("https://www.google.ru/search?q=1379846-001&amp;newwindow=1&amp;tbm=isch","Еще фото")</f>
        <v>Еще фото</v>
      </c>
      <c r="F442" s="13" t="s">
        <v>103</v>
      </c>
      <c r="G442" s="11" t="s">
        <v>28</v>
      </c>
      <c r="H442" s="11" t="s">
        <v>27</v>
      </c>
      <c r="I442" s="14" t="s">
        <v>28</v>
      </c>
      <c r="J442" s="14" t="s">
        <v>29</v>
      </c>
      <c r="K442" s="15" t="s">
        <v>59</v>
      </c>
      <c r="L442" s="57" t="s">
        <v>541</v>
      </c>
      <c r="M442" s="14"/>
      <c r="N442" s="14" t="s">
        <v>33</v>
      </c>
      <c r="O442" s="14"/>
      <c r="P442" s="15" t="s">
        <v>542</v>
      </c>
      <c r="Q442" s="16">
        <v>8999</v>
      </c>
      <c r="R442" s="17">
        <v>40</v>
      </c>
      <c r="S442" s="18">
        <v>6209.3099999999995</v>
      </c>
      <c r="T442" s="19" t="s">
        <v>36</v>
      </c>
      <c r="U442" s="20" t="s">
        <v>543</v>
      </c>
      <c r="V442" s="21" t="s">
        <v>544</v>
      </c>
      <c r="W442" s="22">
        <v>2</v>
      </c>
      <c r="X442" s="23"/>
    </row>
    <row r="443" spans="1:24" s="1" customFormat="1" ht="21" customHeight="1" x14ac:dyDescent="0.3">
      <c r="A443" s="24" t="s">
        <v>23</v>
      </c>
      <c r="B443" s="24" t="s">
        <v>539</v>
      </c>
      <c r="C443" s="27" t="s">
        <v>540</v>
      </c>
      <c r="D443" s="60"/>
      <c r="E443" s="41" t="str">
        <f>HYPERLINK("https://www.google.ru/search?q=1379846-001&amp;newwindow=1&amp;tbm=isch","Еще фото")</f>
        <v>Еще фото</v>
      </c>
      <c r="F443" s="13" t="s">
        <v>103</v>
      </c>
      <c r="G443" s="24" t="s">
        <v>28</v>
      </c>
      <c r="H443" s="24" t="s">
        <v>27</v>
      </c>
      <c r="I443" s="24" t="s">
        <v>28</v>
      </c>
      <c r="J443" s="14" t="s">
        <v>29</v>
      </c>
      <c r="K443" s="15" t="s">
        <v>59</v>
      </c>
      <c r="L443" s="62"/>
      <c r="M443" s="14"/>
      <c r="N443" s="14" t="s">
        <v>33</v>
      </c>
      <c r="O443" s="14"/>
      <c r="P443" s="15" t="s">
        <v>542</v>
      </c>
      <c r="Q443" s="16">
        <v>8999</v>
      </c>
      <c r="R443" s="17">
        <v>40</v>
      </c>
      <c r="S443" s="18">
        <v>6209.3099999999995</v>
      </c>
      <c r="T443" s="19" t="s">
        <v>36</v>
      </c>
      <c r="U443" s="20" t="s">
        <v>63</v>
      </c>
      <c r="V443" s="21" t="s">
        <v>64</v>
      </c>
      <c r="W443" s="22">
        <v>8</v>
      </c>
      <c r="X443" s="23"/>
    </row>
    <row r="444" spans="1:24" s="1" customFormat="1" ht="21" customHeight="1" x14ac:dyDescent="0.3">
      <c r="A444" s="24" t="s">
        <v>23</v>
      </c>
      <c r="B444" s="24" t="s">
        <v>539</v>
      </c>
      <c r="C444" s="27" t="s">
        <v>540</v>
      </c>
      <c r="D444" s="60"/>
      <c r="E444" s="41" t="str">
        <f>HYPERLINK("https://www.google.ru/search?q=1379846-001&amp;newwindow=1&amp;tbm=isch","Еще фото")</f>
        <v>Еще фото</v>
      </c>
      <c r="F444" s="13" t="s">
        <v>103</v>
      </c>
      <c r="G444" s="24" t="s">
        <v>28</v>
      </c>
      <c r="H444" s="24" t="s">
        <v>27</v>
      </c>
      <c r="I444" s="24" t="s">
        <v>28</v>
      </c>
      <c r="J444" s="14" t="s">
        <v>29</v>
      </c>
      <c r="K444" s="15" t="s">
        <v>59</v>
      </c>
      <c r="L444" s="62"/>
      <c r="M444" s="14"/>
      <c r="N444" s="14" t="s">
        <v>33</v>
      </c>
      <c r="O444" s="14"/>
      <c r="P444" s="15" t="s">
        <v>542</v>
      </c>
      <c r="Q444" s="16">
        <v>8999</v>
      </c>
      <c r="R444" s="17">
        <v>40</v>
      </c>
      <c r="S444" s="18">
        <v>6209.3099999999995</v>
      </c>
      <c r="T444" s="19" t="s">
        <v>36</v>
      </c>
      <c r="U444" s="20" t="s">
        <v>37</v>
      </c>
      <c r="V444" s="21" t="s">
        <v>106</v>
      </c>
      <c r="W444" s="22">
        <v>8</v>
      </c>
      <c r="X444" s="23"/>
    </row>
    <row r="445" spans="1:24" s="1" customFormat="1" ht="21" customHeight="1" x14ac:dyDescent="0.3">
      <c r="A445" s="24" t="s">
        <v>23</v>
      </c>
      <c r="B445" s="24" t="s">
        <v>539</v>
      </c>
      <c r="C445" s="27" t="s">
        <v>540</v>
      </c>
      <c r="D445" s="60"/>
      <c r="E445" s="41" t="str">
        <f>HYPERLINK("https://www.google.ru/search?q=1379846-001&amp;newwindow=1&amp;tbm=isch","Еще фото")</f>
        <v>Еще фото</v>
      </c>
      <c r="F445" s="13" t="s">
        <v>103</v>
      </c>
      <c r="G445" s="24" t="s">
        <v>28</v>
      </c>
      <c r="H445" s="24" t="s">
        <v>27</v>
      </c>
      <c r="I445" s="24" t="s">
        <v>28</v>
      </c>
      <c r="J445" s="14" t="s">
        <v>29</v>
      </c>
      <c r="K445" s="15" t="s">
        <v>59</v>
      </c>
      <c r="L445" s="62"/>
      <c r="M445" s="14"/>
      <c r="N445" s="14" t="s">
        <v>33</v>
      </c>
      <c r="O445" s="14"/>
      <c r="P445" s="15" t="s">
        <v>542</v>
      </c>
      <c r="Q445" s="16">
        <v>8999</v>
      </c>
      <c r="R445" s="17">
        <v>40</v>
      </c>
      <c r="S445" s="18">
        <v>6209.3099999999995</v>
      </c>
      <c r="T445" s="19" t="s">
        <v>36</v>
      </c>
      <c r="U445" s="20" t="s">
        <v>39</v>
      </c>
      <c r="V445" s="21" t="s">
        <v>85</v>
      </c>
      <c r="W445" s="22">
        <v>5</v>
      </c>
      <c r="X445" s="23"/>
    </row>
    <row r="446" spans="1:24" s="1" customFormat="1" ht="32" customHeight="1" x14ac:dyDescent="0.3">
      <c r="A446" s="24" t="s">
        <v>23</v>
      </c>
      <c r="B446" s="24" t="s">
        <v>539</v>
      </c>
      <c r="C446" s="27" t="s">
        <v>540</v>
      </c>
      <c r="D446" s="61"/>
      <c r="E446" s="41" t="str">
        <f>HYPERLINK("https://www.google.ru/search?q=1379846-001&amp;newwindow=1&amp;tbm=isch","Еще фото")</f>
        <v>Еще фото</v>
      </c>
      <c r="F446" s="13" t="s">
        <v>103</v>
      </c>
      <c r="G446" s="24" t="s">
        <v>28</v>
      </c>
      <c r="H446" s="24" t="s">
        <v>27</v>
      </c>
      <c r="I446" s="24" t="s">
        <v>28</v>
      </c>
      <c r="J446" s="14" t="s">
        <v>29</v>
      </c>
      <c r="K446" s="15" t="s">
        <v>59</v>
      </c>
      <c r="L446" s="58"/>
      <c r="M446" s="14"/>
      <c r="N446" s="14" t="s">
        <v>33</v>
      </c>
      <c r="O446" s="14"/>
      <c r="P446" s="15" t="s">
        <v>542</v>
      </c>
      <c r="Q446" s="16">
        <v>8999</v>
      </c>
      <c r="R446" s="17">
        <v>40</v>
      </c>
      <c r="S446" s="18">
        <v>6209.3099999999995</v>
      </c>
      <c r="T446" s="19" t="s">
        <v>36</v>
      </c>
      <c r="U446" s="20" t="s">
        <v>545</v>
      </c>
      <c r="V446" s="21" t="s">
        <v>546</v>
      </c>
      <c r="W446" s="22">
        <v>1</v>
      </c>
      <c r="X446" s="23"/>
    </row>
    <row r="447" spans="1:24" s="1" customFormat="1" ht="108" customHeight="1" x14ac:dyDescent="0.3">
      <c r="A447" s="11" t="s">
        <v>23</v>
      </c>
      <c r="B447" s="11" t="s">
        <v>539</v>
      </c>
      <c r="C447" s="12" t="s">
        <v>547</v>
      </c>
      <c r="D447" s="25"/>
      <c r="E447" s="41" t="str">
        <f>HYPERLINK("https://www.google.ru/search?q=1379846-348&amp;newwindow=1&amp;tbm=isch","Еще фото")</f>
        <v>Еще фото</v>
      </c>
      <c r="F447" s="13"/>
      <c r="G447" s="11" t="s">
        <v>28</v>
      </c>
      <c r="H447" s="11" t="s">
        <v>27</v>
      </c>
      <c r="I447" s="14" t="s">
        <v>28</v>
      </c>
      <c r="J447" s="14" t="s">
        <v>43</v>
      </c>
      <c r="K447" s="15" t="s">
        <v>59</v>
      </c>
      <c r="L447" s="14" t="s">
        <v>548</v>
      </c>
      <c r="M447" s="14"/>
      <c r="N447" s="14" t="s">
        <v>127</v>
      </c>
      <c r="O447" s="14"/>
      <c r="P447" s="15" t="s">
        <v>542</v>
      </c>
      <c r="Q447" s="16">
        <v>11099</v>
      </c>
      <c r="R447" s="17">
        <v>40</v>
      </c>
      <c r="S447" s="18">
        <v>7658.3099999999986</v>
      </c>
      <c r="T447" s="19" t="s">
        <v>36</v>
      </c>
      <c r="U447" s="20" t="s">
        <v>63</v>
      </c>
      <c r="V447" s="21" t="s">
        <v>64</v>
      </c>
      <c r="W447" s="22">
        <v>2</v>
      </c>
      <c r="X447" s="23"/>
    </row>
    <row r="448" spans="1:24" s="1" customFormat="1" ht="52.05" customHeight="1" x14ac:dyDescent="0.3">
      <c r="A448" s="11" t="s">
        <v>23</v>
      </c>
      <c r="B448" s="11" t="s">
        <v>549</v>
      </c>
      <c r="C448" s="12" t="s">
        <v>550</v>
      </c>
      <c r="D448" s="55"/>
      <c r="E448" s="41" t="str">
        <f>HYPERLINK("https://www.google.ru/search?q=1380843-025&amp;newwindow=1&amp;tbm=isch","Еще фото")</f>
        <v>Еще фото</v>
      </c>
      <c r="F448" s="13" t="s">
        <v>103</v>
      </c>
      <c r="G448" s="11" t="s">
        <v>28</v>
      </c>
      <c r="H448" s="11" t="s">
        <v>27</v>
      </c>
      <c r="I448" s="14" t="s">
        <v>28</v>
      </c>
      <c r="J448" s="14" t="s">
        <v>29</v>
      </c>
      <c r="K448" s="15" t="s">
        <v>30</v>
      </c>
      <c r="L448" s="57" t="s">
        <v>551</v>
      </c>
      <c r="M448" s="14"/>
      <c r="N448" s="14" t="s">
        <v>62</v>
      </c>
      <c r="O448" s="14"/>
      <c r="P448" s="15" t="s">
        <v>120</v>
      </c>
      <c r="Q448" s="16">
        <v>9299</v>
      </c>
      <c r="R448" s="17">
        <v>40</v>
      </c>
      <c r="S448" s="18">
        <v>6416.3099999999995</v>
      </c>
      <c r="T448" s="19" t="s">
        <v>36</v>
      </c>
      <c r="U448" s="20" t="s">
        <v>37</v>
      </c>
      <c r="V448" s="21" t="s">
        <v>38</v>
      </c>
      <c r="W448" s="22">
        <v>6</v>
      </c>
      <c r="X448" s="23"/>
    </row>
    <row r="449" spans="1:24" s="1" customFormat="1" ht="61.05" customHeight="1" x14ac:dyDescent="0.3">
      <c r="A449" s="24" t="s">
        <v>23</v>
      </c>
      <c r="B449" s="24" t="s">
        <v>549</v>
      </c>
      <c r="C449" s="12" t="s">
        <v>550</v>
      </c>
      <c r="D449" s="56"/>
      <c r="E449" s="41" t="str">
        <f>HYPERLINK("https://www.google.ru/search?q=1380843-025&amp;newwindow=1&amp;tbm=isch","Еще фото")</f>
        <v>Еще фото</v>
      </c>
      <c r="F449" s="13" t="s">
        <v>103</v>
      </c>
      <c r="G449" s="24" t="s">
        <v>28</v>
      </c>
      <c r="H449" s="24" t="s">
        <v>27</v>
      </c>
      <c r="I449" s="24" t="s">
        <v>28</v>
      </c>
      <c r="J449" s="14" t="s">
        <v>29</v>
      </c>
      <c r="K449" s="15" t="s">
        <v>30</v>
      </c>
      <c r="L449" s="58"/>
      <c r="M449" s="14"/>
      <c r="N449" s="14" t="s">
        <v>62</v>
      </c>
      <c r="O449" s="14"/>
      <c r="P449" s="15" t="s">
        <v>120</v>
      </c>
      <c r="Q449" s="16">
        <v>9299</v>
      </c>
      <c r="R449" s="17">
        <v>40</v>
      </c>
      <c r="S449" s="18">
        <v>6416.3099999999995</v>
      </c>
      <c r="T449" s="19" t="s">
        <v>36</v>
      </c>
      <c r="U449" s="20" t="s">
        <v>39</v>
      </c>
      <c r="V449" s="21" t="s">
        <v>40</v>
      </c>
      <c r="W449" s="22">
        <v>3</v>
      </c>
      <c r="X449" s="23"/>
    </row>
    <row r="450" spans="1:24" s="1" customFormat="1" ht="108" customHeight="1" x14ac:dyDescent="0.3">
      <c r="A450" s="11" t="s">
        <v>23</v>
      </c>
      <c r="B450" s="11" t="s">
        <v>549</v>
      </c>
      <c r="C450" s="12" t="s">
        <v>552</v>
      </c>
      <c r="D450" s="25"/>
      <c r="E450" s="41" t="str">
        <f>HYPERLINK("https://www.google.ru/search?q=1380843-112&amp;newwindow=1&amp;tbm=isch","Еще фото")</f>
        <v>Еще фото</v>
      </c>
      <c r="F450" s="13"/>
      <c r="G450" s="11" t="s">
        <v>28</v>
      </c>
      <c r="H450" s="11" t="s">
        <v>27</v>
      </c>
      <c r="I450" s="14" t="s">
        <v>28</v>
      </c>
      <c r="J450" s="14" t="s">
        <v>29</v>
      </c>
      <c r="K450" s="15" t="s">
        <v>30</v>
      </c>
      <c r="L450" s="14" t="s">
        <v>551</v>
      </c>
      <c r="M450" s="14"/>
      <c r="N450" s="14" t="s">
        <v>62</v>
      </c>
      <c r="O450" s="14"/>
      <c r="P450" s="15" t="s">
        <v>120</v>
      </c>
      <c r="Q450" s="16">
        <v>6599</v>
      </c>
      <c r="R450" s="17">
        <v>40</v>
      </c>
      <c r="S450" s="18">
        <v>4553.3099999999995</v>
      </c>
      <c r="T450" s="19" t="s">
        <v>36</v>
      </c>
      <c r="U450" s="20" t="s">
        <v>37</v>
      </c>
      <c r="V450" s="21" t="s">
        <v>38</v>
      </c>
      <c r="W450" s="22">
        <v>2</v>
      </c>
      <c r="X450" s="23"/>
    </row>
    <row r="451" spans="1:24" s="1" customFormat="1" ht="108" customHeight="1" x14ac:dyDescent="0.3">
      <c r="A451" s="11" t="s">
        <v>23</v>
      </c>
      <c r="B451" s="11" t="s">
        <v>549</v>
      </c>
      <c r="C451" s="12" t="s">
        <v>553</v>
      </c>
      <c r="D451" s="25"/>
      <c r="E451" s="41" t="str">
        <f>HYPERLINK("https://www.google.ru/search?q=1380843-390&amp;newwindow=1&amp;tbm=isch","Еще фото")</f>
        <v>Еще фото</v>
      </c>
      <c r="F451" s="13"/>
      <c r="G451" s="11" t="s">
        <v>28</v>
      </c>
      <c r="H451" s="11" t="s">
        <v>27</v>
      </c>
      <c r="I451" s="14" t="s">
        <v>28</v>
      </c>
      <c r="J451" s="14" t="s">
        <v>29</v>
      </c>
      <c r="K451" s="15" t="s">
        <v>30</v>
      </c>
      <c r="L451" s="14" t="s">
        <v>551</v>
      </c>
      <c r="M451" s="14" t="s">
        <v>119</v>
      </c>
      <c r="N451" s="14" t="s">
        <v>127</v>
      </c>
      <c r="O451" s="14"/>
      <c r="P451" s="15" t="s">
        <v>120</v>
      </c>
      <c r="Q451" s="16">
        <v>5199</v>
      </c>
      <c r="R451" s="17">
        <v>40</v>
      </c>
      <c r="S451" s="18">
        <v>3587.31</v>
      </c>
      <c r="T451" s="19" t="s">
        <v>36</v>
      </c>
      <c r="U451" s="20" t="s">
        <v>37</v>
      </c>
      <c r="V451" s="21" t="s">
        <v>38</v>
      </c>
      <c r="W451" s="22">
        <v>3</v>
      </c>
      <c r="X451" s="23"/>
    </row>
    <row r="452" spans="1:24" s="1" customFormat="1" ht="52.05" customHeight="1" x14ac:dyDescent="0.3">
      <c r="A452" s="11" t="s">
        <v>23</v>
      </c>
      <c r="B452" s="11" t="s">
        <v>549</v>
      </c>
      <c r="C452" s="12" t="s">
        <v>554</v>
      </c>
      <c r="D452" s="55"/>
      <c r="E452" s="41" t="str">
        <f>HYPERLINK("https://www.google.ru/search?q=1380843-410&amp;newwindow=1&amp;tbm=isch","Еще фото")</f>
        <v>Еще фото</v>
      </c>
      <c r="F452" s="13" t="s">
        <v>103</v>
      </c>
      <c r="G452" s="11" t="s">
        <v>28</v>
      </c>
      <c r="H452" s="11" t="s">
        <v>27</v>
      </c>
      <c r="I452" s="14" t="s">
        <v>28</v>
      </c>
      <c r="J452" s="14" t="s">
        <v>29</v>
      </c>
      <c r="K452" s="15" t="s">
        <v>30</v>
      </c>
      <c r="L452" s="57" t="s">
        <v>551</v>
      </c>
      <c r="M452" s="14" t="s">
        <v>119</v>
      </c>
      <c r="N452" s="14" t="s">
        <v>115</v>
      </c>
      <c r="O452" s="14"/>
      <c r="P452" s="15" t="s">
        <v>120</v>
      </c>
      <c r="Q452" s="16">
        <v>5099</v>
      </c>
      <c r="R452" s="17">
        <v>40</v>
      </c>
      <c r="S452" s="18">
        <v>3518.31</v>
      </c>
      <c r="T452" s="19" t="s">
        <v>36</v>
      </c>
      <c r="U452" s="20" t="s">
        <v>37</v>
      </c>
      <c r="V452" s="21" t="s">
        <v>38</v>
      </c>
      <c r="W452" s="22">
        <v>6</v>
      </c>
      <c r="X452" s="23"/>
    </row>
    <row r="453" spans="1:24" s="1" customFormat="1" ht="61.05" customHeight="1" x14ac:dyDescent="0.3">
      <c r="A453" s="24" t="s">
        <v>23</v>
      </c>
      <c r="B453" s="24" t="s">
        <v>549</v>
      </c>
      <c r="C453" s="12" t="s">
        <v>554</v>
      </c>
      <c r="D453" s="56"/>
      <c r="E453" s="41" t="str">
        <f>HYPERLINK("https://www.google.ru/search?q=1380843-410&amp;newwindow=1&amp;tbm=isch","Еще фото")</f>
        <v>Еще фото</v>
      </c>
      <c r="F453" s="13" t="s">
        <v>103</v>
      </c>
      <c r="G453" s="24" t="s">
        <v>28</v>
      </c>
      <c r="H453" s="24" t="s">
        <v>27</v>
      </c>
      <c r="I453" s="24" t="s">
        <v>28</v>
      </c>
      <c r="J453" s="14" t="s">
        <v>29</v>
      </c>
      <c r="K453" s="15" t="s">
        <v>30</v>
      </c>
      <c r="L453" s="58"/>
      <c r="M453" s="14" t="s">
        <v>119</v>
      </c>
      <c r="N453" s="14" t="s">
        <v>115</v>
      </c>
      <c r="O453" s="14"/>
      <c r="P453" s="15" t="s">
        <v>120</v>
      </c>
      <c r="Q453" s="16">
        <v>5099</v>
      </c>
      <c r="R453" s="17">
        <v>40</v>
      </c>
      <c r="S453" s="18">
        <v>3518.31</v>
      </c>
      <c r="T453" s="19" t="s">
        <v>36</v>
      </c>
      <c r="U453" s="20" t="s">
        <v>39</v>
      </c>
      <c r="V453" s="21" t="s">
        <v>40</v>
      </c>
      <c r="W453" s="22">
        <v>8</v>
      </c>
      <c r="X453" s="23"/>
    </row>
    <row r="454" spans="1:24" s="1" customFormat="1" ht="35" customHeight="1" x14ac:dyDescent="0.3">
      <c r="A454" s="11" t="s">
        <v>23</v>
      </c>
      <c r="B454" s="11" t="s">
        <v>555</v>
      </c>
      <c r="C454" s="12" t="s">
        <v>556</v>
      </c>
      <c r="D454" s="59"/>
      <c r="E454" s="41" t="str">
        <f>HYPERLINK("https://www.google.ru/search?q=1382134-001&amp;newwindow=1&amp;tbm=isch","Еще фото")</f>
        <v>Еще фото</v>
      </c>
      <c r="F454" s="13" t="s">
        <v>103</v>
      </c>
      <c r="G454" s="11" t="s">
        <v>28</v>
      </c>
      <c r="H454" s="11" t="s">
        <v>27</v>
      </c>
      <c r="I454" s="14" t="s">
        <v>28</v>
      </c>
      <c r="J454" s="14" t="s">
        <v>29</v>
      </c>
      <c r="K454" s="15" t="s">
        <v>30</v>
      </c>
      <c r="L454" s="57" t="s">
        <v>557</v>
      </c>
      <c r="M454" s="14"/>
      <c r="N454" s="14" t="s">
        <v>33</v>
      </c>
      <c r="O454" s="14"/>
      <c r="P454" s="15" t="s">
        <v>120</v>
      </c>
      <c r="Q454" s="16">
        <v>5599</v>
      </c>
      <c r="R454" s="17">
        <v>40</v>
      </c>
      <c r="S454" s="18">
        <v>3863.31</v>
      </c>
      <c r="T454" s="19" t="s">
        <v>36</v>
      </c>
      <c r="U454" s="20" t="s">
        <v>37</v>
      </c>
      <c r="V454" s="21" t="s">
        <v>38</v>
      </c>
      <c r="W454" s="22">
        <v>4</v>
      </c>
      <c r="X454" s="23"/>
    </row>
    <row r="455" spans="1:24" s="1" customFormat="1" ht="35" customHeight="1" x14ac:dyDescent="0.3">
      <c r="A455" s="24" t="s">
        <v>23</v>
      </c>
      <c r="B455" s="24" t="s">
        <v>555</v>
      </c>
      <c r="C455" s="12" t="s">
        <v>556</v>
      </c>
      <c r="D455" s="60"/>
      <c r="E455" s="41" t="str">
        <f>HYPERLINK("https://www.google.ru/search?q=1382134-001&amp;newwindow=1&amp;tbm=isch","Еще фото")</f>
        <v>Еще фото</v>
      </c>
      <c r="F455" s="13" t="s">
        <v>103</v>
      </c>
      <c r="G455" s="24" t="s">
        <v>28</v>
      </c>
      <c r="H455" s="24" t="s">
        <v>27</v>
      </c>
      <c r="I455" s="24" t="s">
        <v>28</v>
      </c>
      <c r="J455" s="14" t="s">
        <v>29</v>
      </c>
      <c r="K455" s="15" t="s">
        <v>30</v>
      </c>
      <c r="L455" s="62"/>
      <c r="M455" s="14"/>
      <c r="N455" s="14" t="s">
        <v>33</v>
      </c>
      <c r="O455" s="14"/>
      <c r="P455" s="15" t="s">
        <v>120</v>
      </c>
      <c r="Q455" s="16">
        <v>5599</v>
      </c>
      <c r="R455" s="17">
        <v>40</v>
      </c>
      <c r="S455" s="18">
        <v>3863.31</v>
      </c>
      <c r="T455" s="19" t="s">
        <v>36</v>
      </c>
      <c r="U455" s="20" t="s">
        <v>39</v>
      </c>
      <c r="V455" s="21" t="s">
        <v>40</v>
      </c>
      <c r="W455" s="22">
        <v>13</v>
      </c>
      <c r="X455" s="23"/>
    </row>
    <row r="456" spans="1:24" s="1" customFormat="1" ht="37.049999999999997" customHeight="1" x14ac:dyDescent="0.3">
      <c r="A456" s="24" t="s">
        <v>23</v>
      </c>
      <c r="B456" s="24" t="s">
        <v>555</v>
      </c>
      <c r="C456" s="12" t="s">
        <v>556</v>
      </c>
      <c r="D456" s="61"/>
      <c r="E456" s="41" t="str">
        <f>HYPERLINK("https://www.google.ru/search?q=1382134-001&amp;newwindow=1&amp;tbm=isch","Еще фото")</f>
        <v>Еще фото</v>
      </c>
      <c r="F456" s="13" t="s">
        <v>103</v>
      </c>
      <c r="G456" s="24" t="s">
        <v>28</v>
      </c>
      <c r="H456" s="24" t="s">
        <v>27</v>
      </c>
      <c r="I456" s="24" t="s">
        <v>28</v>
      </c>
      <c r="J456" s="14" t="s">
        <v>29</v>
      </c>
      <c r="K456" s="15" t="s">
        <v>30</v>
      </c>
      <c r="L456" s="58"/>
      <c r="M456" s="14"/>
      <c r="N456" s="14" t="s">
        <v>33</v>
      </c>
      <c r="O456" s="14"/>
      <c r="P456" s="15" t="s">
        <v>120</v>
      </c>
      <c r="Q456" s="16">
        <v>5599</v>
      </c>
      <c r="R456" s="17">
        <v>40</v>
      </c>
      <c r="S456" s="18">
        <v>3863.31</v>
      </c>
      <c r="T456" s="19" t="s">
        <v>36</v>
      </c>
      <c r="U456" s="20" t="s">
        <v>88</v>
      </c>
      <c r="V456" s="21" t="s">
        <v>89</v>
      </c>
      <c r="W456" s="22">
        <v>1</v>
      </c>
      <c r="X456" s="23"/>
    </row>
    <row r="457" spans="1:24" s="1" customFormat="1" ht="21" customHeight="1" x14ac:dyDescent="0.3">
      <c r="A457" s="11" t="s">
        <v>23</v>
      </c>
      <c r="B457" s="11" t="s">
        <v>555</v>
      </c>
      <c r="C457" s="26" t="s">
        <v>558</v>
      </c>
      <c r="D457" s="59"/>
      <c r="E457" s="41" t="str">
        <f>HYPERLINK("https://www.google.ru/search?q=1382134-026&amp;newwindow=1&amp;tbm=isch","Еще фото")</f>
        <v>Еще фото</v>
      </c>
      <c r="F457" s="13" t="s">
        <v>103</v>
      </c>
      <c r="G457" s="11" t="s">
        <v>28</v>
      </c>
      <c r="H457" s="11" t="s">
        <v>27</v>
      </c>
      <c r="I457" s="14" t="s">
        <v>28</v>
      </c>
      <c r="J457" s="14" t="s">
        <v>29</v>
      </c>
      <c r="K457" s="15" t="s">
        <v>30</v>
      </c>
      <c r="L457" s="57" t="s">
        <v>557</v>
      </c>
      <c r="M457" s="14"/>
      <c r="N457" s="14" t="s">
        <v>62</v>
      </c>
      <c r="O457" s="14"/>
      <c r="P457" s="15" t="s">
        <v>120</v>
      </c>
      <c r="Q457" s="16">
        <v>5799</v>
      </c>
      <c r="R457" s="17">
        <v>40</v>
      </c>
      <c r="S457" s="18">
        <v>4001.31</v>
      </c>
      <c r="T457" s="19" t="s">
        <v>36</v>
      </c>
      <c r="U457" s="20" t="s">
        <v>37</v>
      </c>
      <c r="V457" s="21" t="s">
        <v>38</v>
      </c>
      <c r="W457" s="22">
        <v>8</v>
      </c>
      <c r="X457" s="23"/>
    </row>
    <row r="458" spans="1:24" s="1" customFormat="1" ht="21" customHeight="1" x14ac:dyDescent="0.3">
      <c r="A458" s="24" t="s">
        <v>23</v>
      </c>
      <c r="B458" s="24" t="s">
        <v>555</v>
      </c>
      <c r="C458" s="27" t="s">
        <v>558</v>
      </c>
      <c r="D458" s="60"/>
      <c r="E458" s="41" t="str">
        <f>HYPERLINK("https://www.google.ru/search?q=1382134-026&amp;newwindow=1&amp;tbm=isch","Еще фото")</f>
        <v>Еще фото</v>
      </c>
      <c r="F458" s="13" t="s">
        <v>103</v>
      </c>
      <c r="G458" s="24" t="s">
        <v>28</v>
      </c>
      <c r="H458" s="24" t="s">
        <v>27</v>
      </c>
      <c r="I458" s="24" t="s">
        <v>28</v>
      </c>
      <c r="J458" s="14" t="s">
        <v>29</v>
      </c>
      <c r="K458" s="15" t="s">
        <v>30</v>
      </c>
      <c r="L458" s="62"/>
      <c r="M458" s="14"/>
      <c r="N458" s="14" t="s">
        <v>62</v>
      </c>
      <c r="O458" s="14"/>
      <c r="P458" s="15" t="s">
        <v>120</v>
      </c>
      <c r="Q458" s="16">
        <v>5799</v>
      </c>
      <c r="R458" s="17">
        <v>40</v>
      </c>
      <c r="S458" s="18">
        <v>4001.31</v>
      </c>
      <c r="T458" s="19" t="s">
        <v>36</v>
      </c>
      <c r="U458" s="20" t="s">
        <v>39</v>
      </c>
      <c r="V458" s="21" t="s">
        <v>40</v>
      </c>
      <c r="W458" s="22">
        <v>20</v>
      </c>
      <c r="X458" s="23"/>
    </row>
    <row r="459" spans="1:24" s="1" customFormat="1" ht="21" customHeight="1" x14ac:dyDescent="0.3">
      <c r="A459" s="24" t="s">
        <v>23</v>
      </c>
      <c r="B459" s="24" t="s">
        <v>555</v>
      </c>
      <c r="C459" s="27" t="s">
        <v>558</v>
      </c>
      <c r="D459" s="60"/>
      <c r="E459" s="41" t="str">
        <f>HYPERLINK("https://www.google.ru/search?q=1382134-026&amp;newwindow=1&amp;tbm=isch","Еще фото")</f>
        <v>Еще фото</v>
      </c>
      <c r="F459" s="13" t="s">
        <v>103</v>
      </c>
      <c r="G459" s="24" t="s">
        <v>28</v>
      </c>
      <c r="H459" s="24" t="s">
        <v>27</v>
      </c>
      <c r="I459" s="24" t="s">
        <v>28</v>
      </c>
      <c r="J459" s="14" t="s">
        <v>29</v>
      </c>
      <c r="K459" s="15" t="s">
        <v>30</v>
      </c>
      <c r="L459" s="62"/>
      <c r="M459" s="14"/>
      <c r="N459" s="14" t="s">
        <v>62</v>
      </c>
      <c r="O459" s="14"/>
      <c r="P459" s="15" t="s">
        <v>120</v>
      </c>
      <c r="Q459" s="16">
        <v>5799</v>
      </c>
      <c r="R459" s="17">
        <v>40</v>
      </c>
      <c r="S459" s="18">
        <v>4001.31</v>
      </c>
      <c r="T459" s="19" t="s">
        <v>36</v>
      </c>
      <c r="U459" s="20" t="s">
        <v>86</v>
      </c>
      <c r="V459" s="21" t="s">
        <v>87</v>
      </c>
      <c r="W459" s="22">
        <v>16</v>
      </c>
      <c r="X459" s="23"/>
    </row>
    <row r="460" spans="1:24" s="1" customFormat="1" ht="21" customHeight="1" x14ac:dyDescent="0.3">
      <c r="A460" s="24" t="s">
        <v>23</v>
      </c>
      <c r="B460" s="24" t="s">
        <v>555</v>
      </c>
      <c r="C460" s="27" t="s">
        <v>558</v>
      </c>
      <c r="D460" s="60"/>
      <c r="E460" s="41" t="str">
        <f>HYPERLINK("https://www.google.ru/search?q=1382134-026&amp;newwindow=1&amp;tbm=isch","Еще фото")</f>
        <v>Еще фото</v>
      </c>
      <c r="F460" s="13" t="s">
        <v>103</v>
      </c>
      <c r="G460" s="24" t="s">
        <v>28</v>
      </c>
      <c r="H460" s="24" t="s">
        <v>27</v>
      </c>
      <c r="I460" s="24" t="s">
        <v>28</v>
      </c>
      <c r="J460" s="14" t="s">
        <v>29</v>
      </c>
      <c r="K460" s="15" t="s">
        <v>30</v>
      </c>
      <c r="L460" s="62"/>
      <c r="M460" s="14"/>
      <c r="N460" s="14" t="s">
        <v>62</v>
      </c>
      <c r="O460" s="14"/>
      <c r="P460" s="15" t="s">
        <v>120</v>
      </c>
      <c r="Q460" s="16">
        <v>5799</v>
      </c>
      <c r="R460" s="17">
        <v>40</v>
      </c>
      <c r="S460" s="18">
        <v>4001.31</v>
      </c>
      <c r="T460" s="19" t="s">
        <v>36</v>
      </c>
      <c r="U460" s="20" t="s">
        <v>88</v>
      </c>
      <c r="V460" s="21" t="s">
        <v>89</v>
      </c>
      <c r="W460" s="22">
        <v>13</v>
      </c>
      <c r="X460" s="23"/>
    </row>
    <row r="461" spans="1:24" s="1" customFormat="1" ht="32" customHeight="1" x14ac:dyDescent="0.3">
      <c r="A461" s="24" t="s">
        <v>23</v>
      </c>
      <c r="B461" s="24" t="s">
        <v>555</v>
      </c>
      <c r="C461" s="27" t="s">
        <v>558</v>
      </c>
      <c r="D461" s="61"/>
      <c r="E461" s="41" t="str">
        <f>HYPERLINK("https://www.google.ru/search?q=1382134-026&amp;newwindow=1&amp;tbm=isch","Еще фото")</f>
        <v>Еще фото</v>
      </c>
      <c r="F461" s="13" t="s">
        <v>103</v>
      </c>
      <c r="G461" s="24" t="s">
        <v>28</v>
      </c>
      <c r="H461" s="24" t="s">
        <v>27</v>
      </c>
      <c r="I461" s="24" t="s">
        <v>28</v>
      </c>
      <c r="J461" s="14" t="s">
        <v>29</v>
      </c>
      <c r="K461" s="15" t="s">
        <v>30</v>
      </c>
      <c r="L461" s="58"/>
      <c r="M461" s="14"/>
      <c r="N461" s="14" t="s">
        <v>62</v>
      </c>
      <c r="O461" s="14"/>
      <c r="P461" s="15" t="s">
        <v>120</v>
      </c>
      <c r="Q461" s="16">
        <v>5799</v>
      </c>
      <c r="R461" s="17">
        <v>40</v>
      </c>
      <c r="S461" s="18">
        <v>4001.31</v>
      </c>
      <c r="T461" s="19" t="s">
        <v>36</v>
      </c>
      <c r="U461" s="20" t="s">
        <v>90</v>
      </c>
      <c r="V461" s="21" t="s">
        <v>91</v>
      </c>
      <c r="W461" s="22">
        <v>10</v>
      </c>
      <c r="X461" s="23"/>
    </row>
    <row r="462" spans="1:24" s="1" customFormat="1" ht="35" customHeight="1" x14ac:dyDescent="0.3">
      <c r="A462" s="11" t="s">
        <v>23</v>
      </c>
      <c r="B462" s="11" t="s">
        <v>555</v>
      </c>
      <c r="C462" s="12" t="s">
        <v>559</v>
      </c>
      <c r="D462" s="59"/>
      <c r="E462" s="41" t="str">
        <f>HYPERLINK("https://www.google.ru/search?q=1382134-390&amp;newwindow=1&amp;tbm=isch","Еще фото")</f>
        <v>Еще фото</v>
      </c>
      <c r="F462" s="13" t="s">
        <v>103</v>
      </c>
      <c r="G462" s="11" t="s">
        <v>28</v>
      </c>
      <c r="H462" s="11" t="s">
        <v>27</v>
      </c>
      <c r="I462" s="14" t="s">
        <v>28</v>
      </c>
      <c r="J462" s="14" t="s">
        <v>29</v>
      </c>
      <c r="K462" s="15" t="s">
        <v>30</v>
      </c>
      <c r="L462" s="57" t="s">
        <v>557</v>
      </c>
      <c r="M462" s="14"/>
      <c r="N462" s="14" t="s">
        <v>127</v>
      </c>
      <c r="O462" s="14"/>
      <c r="P462" s="15" t="s">
        <v>120</v>
      </c>
      <c r="Q462" s="16">
        <v>8099</v>
      </c>
      <c r="R462" s="17">
        <v>40</v>
      </c>
      <c r="S462" s="18">
        <v>5588.3099999999995</v>
      </c>
      <c r="T462" s="19" t="s">
        <v>36</v>
      </c>
      <c r="U462" s="20" t="s">
        <v>37</v>
      </c>
      <c r="V462" s="21" t="s">
        <v>38</v>
      </c>
      <c r="W462" s="22">
        <v>7</v>
      </c>
      <c r="X462" s="23"/>
    </row>
    <row r="463" spans="1:24" s="1" customFormat="1" ht="35" customHeight="1" x14ac:dyDescent="0.3">
      <c r="A463" s="24" t="s">
        <v>23</v>
      </c>
      <c r="B463" s="24" t="s">
        <v>555</v>
      </c>
      <c r="C463" s="12" t="s">
        <v>559</v>
      </c>
      <c r="D463" s="60"/>
      <c r="E463" s="41" t="str">
        <f>HYPERLINK("https://www.google.ru/search?q=1382134-390&amp;newwindow=1&amp;tbm=isch","Еще фото")</f>
        <v>Еще фото</v>
      </c>
      <c r="F463" s="13" t="s">
        <v>103</v>
      </c>
      <c r="G463" s="24" t="s">
        <v>28</v>
      </c>
      <c r="H463" s="24" t="s">
        <v>27</v>
      </c>
      <c r="I463" s="24" t="s">
        <v>28</v>
      </c>
      <c r="J463" s="14" t="s">
        <v>29</v>
      </c>
      <c r="K463" s="15" t="s">
        <v>30</v>
      </c>
      <c r="L463" s="62"/>
      <c r="M463" s="14"/>
      <c r="N463" s="14" t="s">
        <v>127</v>
      </c>
      <c r="O463" s="14"/>
      <c r="P463" s="15" t="s">
        <v>120</v>
      </c>
      <c r="Q463" s="16">
        <v>8099</v>
      </c>
      <c r="R463" s="17">
        <v>40</v>
      </c>
      <c r="S463" s="18">
        <v>5588.3099999999995</v>
      </c>
      <c r="T463" s="19" t="s">
        <v>36</v>
      </c>
      <c r="U463" s="20" t="s">
        <v>39</v>
      </c>
      <c r="V463" s="21" t="s">
        <v>40</v>
      </c>
      <c r="W463" s="22">
        <v>5</v>
      </c>
      <c r="X463" s="23"/>
    </row>
    <row r="464" spans="1:24" s="1" customFormat="1" ht="37.049999999999997" customHeight="1" x14ac:dyDescent="0.3">
      <c r="A464" s="24" t="s">
        <v>23</v>
      </c>
      <c r="B464" s="24" t="s">
        <v>555</v>
      </c>
      <c r="C464" s="12" t="s">
        <v>559</v>
      </c>
      <c r="D464" s="61"/>
      <c r="E464" s="41" t="str">
        <f>HYPERLINK("https://www.google.ru/search?q=1382134-390&amp;newwindow=1&amp;tbm=isch","Еще фото")</f>
        <v>Еще фото</v>
      </c>
      <c r="F464" s="13" t="s">
        <v>103</v>
      </c>
      <c r="G464" s="24" t="s">
        <v>28</v>
      </c>
      <c r="H464" s="24" t="s">
        <v>27</v>
      </c>
      <c r="I464" s="24" t="s">
        <v>28</v>
      </c>
      <c r="J464" s="14" t="s">
        <v>29</v>
      </c>
      <c r="K464" s="15" t="s">
        <v>30</v>
      </c>
      <c r="L464" s="58"/>
      <c r="M464" s="14"/>
      <c r="N464" s="14" t="s">
        <v>127</v>
      </c>
      <c r="O464" s="14"/>
      <c r="P464" s="15" t="s">
        <v>120</v>
      </c>
      <c r="Q464" s="16">
        <v>8099</v>
      </c>
      <c r="R464" s="17">
        <v>40</v>
      </c>
      <c r="S464" s="18">
        <v>5588.3099999999995</v>
      </c>
      <c r="T464" s="19" t="s">
        <v>36</v>
      </c>
      <c r="U464" s="20" t="s">
        <v>378</v>
      </c>
      <c r="V464" s="21" t="s">
        <v>379</v>
      </c>
      <c r="W464" s="22">
        <v>1</v>
      </c>
      <c r="X464" s="23"/>
    </row>
    <row r="465" spans="1:24" s="1" customFormat="1" ht="35" customHeight="1" x14ac:dyDescent="0.3">
      <c r="A465" s="11" t="s">
        <v>23</v>
      </c>
      <c r="B465" s="11" t="s">
        <v>560</v>
      </c>
      <c r="C465" s="12" t="s">
        <v>561</v>
      </c>
      <c r="D465" s="59"/>
      <c r="E465" s="41" t="str">
        <f>HYPERLINK("https://www.google.ru/search?q=1382727-520&amp;newwindow=1&amp;tbm=isch","Еще фото")</f>
        <v>Еще фото</v>
      </c>
      <c r="F465" s="13"/>
      <c r="G465" s="11" t="s">
        <v>28</v>
      </c>
      <c r="H465" s="11" t="s">
        <v>27</v>
      </c>
      <c r="I465" s="14" t="s">
        <v>28</v>
      </c>
      <c r="J465" s="14" t="s">
        <v>43</v>
      </c>
      <c r="K465" s="15" t="s">
        <v>59</v>
      </c>
      <c r="L465" s="57" t="s">
        <v>562</v>
      </c>
      <c r="M465" s="14"/>
      <c r="N465" s="14" t="s">
        <v>79</v>
      </c>
      <c r="O465" s="14"/>
      <c r="P465" s="15" t="s">
        <v>53</v>
      </c>
      <c r="Q465" s="16">
        <v>4899</v>
      </c>
      <c r="R465" s="17">
        <v>40</v>
      </c>
      <c r="S465" s="18">
        <v>3380.31</v>
      </c>
      <c r="T465" s="19" t="s">
        <v>36</v>
      </c>
      <c r="U465" s="20" t="s">
        <v>63</v>
      </c>
      <c r="V465" s="21" t="s">
        <v>64</v>
      </c>
      <c r="W465" s="22">
        <v>9</v>
      </c>
      <c r="X465" s="23"/>
    </row>
    <row r="466" spans="1:24" s="1" customFormat="1" ht="35" customHeight="1" x14ac:dyDescent="0.3">
      <c r="A466" s="24" t="s">
        <v>23</v>
      </c>
      <c r="B466" s="24" t="s">
        <v>560</v>
      </c>
      <c r="C466" s="12" t="s">
        <v>561</v>
      </c>
      <c r="D466" s="60"/>
      <c r="E466" s="41" t="str">
        <f>HYPERLINK("https://www.google.ru/search?q=1382727-520&amp;newwindow=1&amp;tbm=isch","Еще фото")</f>
        <v>Еще фото</v>
      </c>
      <c r="F466" s="13"/>
      <c r="G466" s="24" t="s">
        <v>28</v>
      </c>
      <c r="H466" s="24" t="s">
        <v>27</v>
      </c>
      <c r="I466" s="24" t="s">
        <v>28</v>
      </c>
      <c r="J466" s="14" t="s">
        <v>43</v>
      </c>
      <c r="K466" s="15" t="s">
        <v>59</v>
      </c>
      <c r="L466" s="62"/>
      <c r="M466" s="14"/>
      <c r="N466" s="14" t="s">
        <v>79</v>
      </c>
      <c r="O466" s="14"/>
      <c r="P466" s="15" t="s">
        <v>53</v>
      </c>
      <c r="Q466" s="16">
        <v>4899</v>
      </c>
      <c r="R466" s="17">
        <v>40</v>
      </c>
      <c r="S466" s="18">
        <v>3380.31</v>
      </c>
      <c r="T466" s="19" t="s">
        <v>36</v>
      </c>
      <c r="U466" s="20" t="s">
        <v>37</v>
      </c>
      <c r="V466" s="21" t="s">
        <v>106</v>
      </c>
      <c r="W466" s="22">
        <v>10</v>
      </c>
      <c r="X466" s="23"/>
    </row>
    <row r="467" spans="1:24" s="1" customFormat="1" ht="37.049999999999997" customHeight="1" x14ac:dyDescent="0.3">
      <c r="A467" s="24" t="s">
        <v>23</v>
      </c>
      <c r="B467" s="24" t="s">
        <v>560</v>
      </c>
      <c r="C467" s="12" t="s">
        <v>561</v>
      </c>
      <c r="D467" s="61"/>
      <c r="E467" s="41" t="str">
        <f>HYPERLINK("https://www.google.ru/search?q=1382727-520&amp;newwindow=1&amp;tbm=isch","Еще фото")</f>
        <v>Еще фото</v>
      </c>
      <c r="F467" s="13"/>
      <c r="G467" s="24" t="s">
        <v>28</v>
      </c>
      <c r="H467" s="24" t="s">
        <v>27</v>
      </c>
      <c r="I467" s="24" t="s">
        <v>28</v>
      </c>
      <c r="J467" s="14" t="s">
        <v>43</v>
      </c>
      <c r="K467" s="15" t="s">
        <v>59</v>
      </c>
      <c r="L467" s="58"/>
      <c r="M467" s="14"/>
      <c r="N467" s="14" t="s">
        <v>79</v>
      </c>
      <c r="O467" s="14"/>
      <c r="P467" s="15" t="s">
        <v>53</v>
      </c>
      <c r="Q467" s="16">
        <v>4899</v>
      </c>
      <c r="R467" s="17">
        <v>40</v>
      </c>
      <c r="S467" s="18">
        <v>3380.31</v>
      </c>
      <c r="T467" s="19" t="s">
        <v>36</v>
      </c>
      <c r="U467" s="20" t="s">
        <v>39</v>
      </c>
      <c r="V467" s="21" t="s">
        <v>85</v>
      </c>
      <c r="W467" s="22">
        <v>1</v>
      </c>
      <c r="X467" s="23"/>
    </row>
    <row r="468" spans="1:24" s="1" customFormat="1" ht="108" customHeight="1" x14ac:dyDescent="0.3">
      <c r="A468" s="11" t="s">
        <v>23</v>
      </c>
      <c r="B468" s="11" t="s">
        <v>563</v>
      </c>
      <c r="C468" s="12" t="s">
        <v>564</v>
      </c>
      <c r="D468" s="25"/>
      <c r="E468" s="41" t="str">
        <f>HYPERLINK("https://www.google.ru/search?q=1383245-246&amp;newwindow=1&amp;tbm=isch","Еще фото")</f>
        <v>Еще фото</v>
      </c>
      <c r="F468" s="13" t="s">
        <v>152</v>
      </c>
      <c r="G468" s="11" t="s">
        <v>28</v>
      </c>
      <c r="H468" s="11" t="s">
        <v>27</v>
      </c>
      <c r="I468" s="14" t="s">
        <v>28</v>
      </c>
      <c r="J468" s="14" t="s">
        <v>29</v>
      </c>
      <c r="K468" s="15" t="s">
        <v>30</v>
      </c>
      <c r="L468" s="14" t="s">
        <v>565</v>
      </c>
      <c r="M468" s="14" t="s">
        <v>32</v>
      </c>
      <c r="N468" s="14" t="s">
        <v>332</v>
      </c>
      <c r="O468" s="14"/>
      <c r="P468" s="15" t="s">
        <v>53</v>
      </c>
      <c r="Q468" s="16">
        <v>10699</v>
      </c>
      <c r="R468" s="17">
        <v>40</v>
      </c>
      <c r="S468" s="18">
        <v>7382.3099999999986</v>
      </c>
      <c r="T468" s="19" t="s">
        <v>36</v>
      </c>
      <c r="U468" s="20" t="s">
        <v>37</v>
      </c>
      <c r="V468" s="21" t="s">
        <v>38</v>
      </c>
      <c r="W468" s="22">
        <v>3</v>
      </c>
      <c r="X468" s="23"/>
    </row>
    <row r="469" spans="1:24" s="1" customFormat="1" ht="108" customHeight="1" x14ac:dyDescent="0.3">
      <c r="A469" s="11" t="s">
        <v>23</v>
      </c>
      <c r="B469" s="11" t="s">
        <v>153</v>
      </c>
      <c r="C469" s="12" t="s">
        <v>566</v>
      </c>
      <c r="D469" s="25"/>
      <c r="E469" s="41" t="str">
        <f>HYPERLINK("https://www.google.ru/search?q=1383559-001&amp;newwindow=1&amp;tbm=isch","Еще фото")</f>
        <v>Еще фото</v>
      </c>
      <c r="F469" s="13" t="s">
        <v>103</v>
      </c>
      <c r="G469" s="11" t="s">
        <v>77</v>
      </c>
      <c r="H469" s="11" t="s">
        <v>27</v>
      </c>
      <c r="I469" s="14" t="s">
        <v>28</v>
      </c>
      <c r="J469" s="14" t="s">
        <v>29</v>
      </c>
      <c r="K469" s="15" t="s">
        <v>59</v>
      </c>
      <c r="L469" s="14" t="s">
        <v>567</v>
      </c>
      <c r="M469" s="14" t="s">
        <v>61</v>
      </c>
      <c r="N469" s="14" t="s">
        <v>33</v>
      </c>
      <c r="O469" s="14"/>
      <c r="P469" s="15" t="s">
        <v>53</v>
      </c>
      <c r="Q469" s="16">
        <v>5199</v>
      </c>
      <c r="R469" s="17">
        <v>40</v>
      </c>
      <c r="S469" s="18">
        <v>3587.31</v>
      </c>
      <c r="T469" s="19" t="s">
        <v>36</v>
      </c>
      <c r="U469" s="20" t="s">
        <v>63</v>
      </c>
      <c r="V469" s="21" t="s">
        <v>64</v>
      </c>
      <c r="W469" s="22">
        <v>10</v>
      </c>
      <c r="X469" s="23"/>
    </row>
    <row r="470" spans="1:24" s="1" customFormat="1" ht="35" customHeight="1" x14ac:dyDescent="0.3">
      <c r="A470" s="11" t="s">
        <v>23</v>
      </c>
      <c r="B470" s="11" t="s">
        <v>153</v>
      </c>
      <c r="C470" s="12" t="s">
        <v>568</v>
      </c>
      <c r="D470" s="59"/>
      <c r="E470" s="41" t="str">
        <f>HYPERLINK("https://www.google.ru/search?q=1383559-015&amp;newwindow=1&amp;tbm=isch","Еще фото")</f>
        <v>Еще фото</v>
      </c>
      <c r="F470" s="13"/>
      <c r="G470" s="11" t="s">
        <v>77</v>
      </c>
      <c r="H470" s="11" t="s">
        <v>27</v>
      </c>
      <c r="I470" s="14" t="s">
        <v>28</v>
      </c>
      <c r="J470" s="14" t="s">
        <v>29</v>
      </c>
      <c r="K470" s="15" t="s">
        <v>59</v>
      </c>
      <c r="L470" s="57" t="s">
        <v>155</v>
      </c>
      <c r="M470" s="14"/>
      <c r="N470" s="14" t="s">
        <v>62</v>
      </c>
      <c r="O470" s="14"/>
      <c r="P470" s="15" t="s">
        <v>53</v>
      </c>
      <c r="Q470" s="16">
        <v>5599</v>
      </c>
      <c r="R470" s="17">
        <v>40</v>
      </c>
      <c r="S470" s="18">
        <v>3863.31</v>
      </c>
      <c r="T470" s="19" t="s">
        <v>36</v>
      </c>
      <c r="U470" s="20" t="s">
        <v>39</v>
      </c>
      <c r="V470" s="21" t="s">
        <v>85</v>
      </c>
      <c r="W470" s="22">
        <v>2</v>
      </c>
      <c r="X470" s="23"/>
    </row>
    <row r="471" spans="1:24" s="1" customFormat="1" ht="35" customHeight="1" x14ac:dyDescent="0.3">
      <c r="A471" s="24" t="s">
        <v>23</v>
      </c>
      <c r="B471" s="24" t="s">
        <v>153</v>
      </c>
      <c r="C471" s="12" t="s">
        <v>568</v>
      </c>
      <c r="D471" s="60"/>
      <c r="E471" s="41" t="str">
        <f>HYPERLINK("https://www.google.ru/search?q=1383559-015&amp;newwindow=1&amp;tbm=isch","Еще фото")</f>
        <v>Еще фото</v>
      </c>
      <c r="F471" s="13"/>
      <c r="G471" s="24" t="s">
        <v>77</v>
      </c>
      <c r="H471" s="24" t="s">
        <v>27</v>
      </c>
      <c r="I471" s="24" t="s">
        <v>28</v>
      </c>
      <c r="J471" s="14" t="s">
        <v>29</v>
      </c>
      <c r="K471" s="15" t="s">
        <v>59</v>
      </c>
      <c r="L471" s="62"/>
      <c r="M471" s="14"/>
      <c r="N471" s="14" t="s">
        <v>62</v>
      </c>
      <c r="O471" s="14"/>
      <c r="P471" s="15" t="s">
        <v>53</v>
      </c>
      <c r="Q471" s="16">
        <v>5599</v>
      </c>
      <c r="R471" s="17">
        <v>40</v>
      </c>
      <c r="S471" s="18">
        <v>3863.31</v>
      </c>
      <c r="T471" s="19" t="s">
        <v>36</v>
      </c>
      <c r="U471" s="20" t="s">
        <v>86</v>
      </c>
      <c r="V471" s="21" t="s">
        <v>38</v>
      </c>
      <c r="W471" s="22">
        <v>3</v>
      </c>
      <c r="X471" s="23"/>
    </row>
    <row r="472" spans="1:24" s="1" customFormat="1" ht="37.049999999999997" customHeight="1" x14ac:dyDescent="0.3">
      <c r="A472" s="24" t="s">
        <v>23</v>
      </c>
      <c r="B472" s="24" t="s">
        <v>153</v>
      </c>
      <c r="C472" s="12" t="s">
        <v>568</v>
      </c>
      <c r="D472" s="61"/>
      <c r="E472" s="41" t="str">
        <f>HYPERLINK("https://www.google.ru/search?q=1383559-015&amp;newwindow=1&amp;tbm=isch","Еще фото")</f>
        <v>Еще фото</v>
      </c>
      <c r="F472" s="13"/>
      <c r="G472" s="24" t="s">
        <v>77</v>
      </c>
      <c r="H472" s="24" t="s">
        <v>27</v>
      </c>
      <c r="I472" s="24" t="s">
        <v>28</v>
      </c>
      <c r="J472" s="14" t="s">
        <v>29</v>
      </c>
      <c r="K472" s="15" t="s">
        <v>59</v>
      </c>
      <c r="L472" s="58"/>
      <c r="M472" s="14"/>
      <c r="N472" s="14" t="s">
        <v>62</v>
      </c>
      <c r="O472" s="14"/>
      <c r="P472" s="15" t="s">
        <v>53</v>
      </c>
      <c r="Q472" s="16">
        <v>5599</v>
      </c>
      <c r="R472" s="17">
        <v>40</v>
      </c>
      <c r="S472" s="18">
        <v>3863.31</v>
      </c>
      <c r="T472" s="19" t="s">
        <v>36</v>
      </c>
      <c r="U472" s="20" t="s">
        <v>88</v>
      </c>
      <c r="V472" s="21" t="s">
        <v>40</v>
      </c>
      <c r="W472" s="22">
        <v>1</v>
      </c>
      <c r="X472" s="23"/>
    </row>
    <row r="473" spans="1:24" s="1" customFormat="1" ht="35" customHeight="1" x14ac:dyDescent="0.3">
      <c r="A473" s="11" t="s">
        <v>23</v>
      </c>
      <c r="B473" s="11" t="s">
        <v>569</v>
      </c>
      <c r="C473" s="12" t="s">
        <v>570</v>
      </c>
      <c r="D473" s="59"/>
      <c r="E473" s="41" t="str">
        <f>HYPERLINK("https://www.google.ru/search?q=1383559-348&amp;newwindow=1&amp;tbm=isch","Еще фото")</f>
        <v>Еще фото</v>
      </c>
      <c r="F473" s="13"/>
      <c r="G473" s="11" t="s">
        <v>77</v>
      </c>
      <c r="H473" s="11" t="s">
        <v>27</v>
      </c>
      <c r="I473" s="14" t="s">
        <v>28</v>
      </c>
      <c r="J473" s="14" t="s">
        <v>29</v>
      </c>
      <c r="K473" s="15" t="s">
        <v>59</v>
      </c>
      <c r="L473" s="57" t="s">
        <v>567</v>
      </c>
      <c r="M473" s="14"/>
      <c r="N473" s="14" t="s">
        <v>127</v>
      </c>
      <c r="O473" s="14"/>
      <c r="P473" s="15" t="s">
        <v>53</v>
      </c>
      <c r="Q473" s="16">
        <v>3799</v>
      </c>
      <c r="R473" s="17">
        <v>40</v>
      </c>
      <c r="S473" s="18">
        <v>2621.31</v>
      </c>
      <c r="T473" s="19" t="s">
        <v>36</v>
      </c>
      <c r="U473" s="20" t="s">
        <v>63</v>
      </c>
      <c r="V473" s="21" t="s">
        <v>64</v>
      </c>
      <c r="W473" s="22">
        <v>2</v>
      </c>
      <c r="X473" s="23"/>
    </row>
    <row r="474" spans="1:24" s="1" customFormat="1" ht="35" customHeight="1" x14ac:dyDescent="0.3">
      <c r="A474" s="24" t="s">
        <v>23</v>
      </c>
      <c r="B474" s="24" t="s">
        <v>569</v>
      </c>
      <c r="C474" s="12" t="s">
        <v>570</v>
      </c>
      <c r="D474" s="60"/>
      <c r="E474" s="41" t="str">
        <f>HYPERLINK("https://www.google.ru/search?q=1383559-348&amp;newwindow=1&amp;tbm=isch","Еще фото")</f>
        <v>Еще фото</v>
      </c>
      <c r="F474" s="13"/>
      <c r="G474" s="24" t="s">
        <v>77</v>
      </c>
      <c r="H474" s="24" t="s">
        <v>27</v>
      </c>
      <c r="I474" s="24" t="s">
        <v>28</v>
      </c>
      <c r="J474" s="14" t="s">
        <v>29</v>
      </c>
      <c r="K474" s="15" t="s">
        <v>59</v>
      </c>
      <c r="L474" s="62"/>
      <c r="M474" s="14"/>
      <c r="N474" s="14" t="s">
        <v>127</v>
      </c>
      <c r="O474" s="14"/>
      <c r="P474" s="15" t="s">
        <v>53</v>
      </c>
      <c r="Q474" s="16">
        <v>3799</v>
      </c>
      <c r="R474" s="17">
        <v>40</v>
      </c>
      <c r="S474" s="18">
        <v>2621.31</v>
      </c>
      <c r="T474" s="19" t="s">
        <v>36</v>
      </c>
      <c r="U474" s="20" t="s">
        <v>39</v>
      </c>
      <c r="V474" s="21" t="s">
        <v>85</v>
      </c>
      <c r="W474" s="22">
        <v>2</v>
      </c>
      <c r="X474" s="23"/>
    </row>
    <row r="475" spans="1:24" s="1" customFormat="1" ht="37.049999999999997" customHeight="1" x14ac:dyDescent="0.3">
      <c r="A475" s="24" t="s">
        <v>23</v>
      </c>
      <c r="B475" s="24" t="s">
        <v>569</v>
      </c>
      <c r="C475" s="12" t="s">
        <v>570</v>
      </c>
      <c r="D475" s="61"/>
      <c r="E475" s="41" t="str">
        <f>HYPERLINK("https://www.google.ru/search?q=1383559-348&amp;newwindow=1&amp;tbm=isch","Еще фото")</f>
        <v>Еще фото</v>
      </c>
      <c r="F475" s="13"/>
      <c r="G475" s="24" t="s">
        <v>77</v>
      </c>
      <c r="H475" s="24" t="s">
        <v>27</v>
      </c>
      <c r="I475" s="24" t="s">
        <v>28</v>
      </c>
      <c r="J475" s="14" t="s">
        <v>29</v>
      </c>
      <c r="K475" s="15" t="s">
        <v>59</v>
      </c>
      <c r="L475" s="58"/>
      <c r="M475" s="14"/>
      <c r="N475" s="14" t="s">
        <v>127</v>
      </c>
      <c r="O475" s="14"/>
      <c r="P475" s="15" t="s">
        <v>53</v>
      </c>
      <c r="Q475" s="16">
        <v>3799</v>
      </c>
      <c r="R475" s="17">
        <v>40</v>
      </c>
      <c r="S475" s="18">
        <v>2621.31</v>
      </c>
      <c r="T475" s="19" t="s">
        <v>36</v>
      </c>
      <c r="U475" s="20" t="s">
        <v>86</v>
      </c>
      <c r="V475" s="21" t="s">
        <v>38</v>
      </c>
      <c r="W475" s="22">
        <v>2</v>
      </c>
      <c r="X475" s="23"/>
    </row>
    <row r="476" spans="1:24" s="1" customFormat="1" ht="52.05" customHeight="1" x14ac:dyDescent="0.3">
      <c r="A476" s="11" t="s">
        <v>23</v>
      </c>
      <c r="B476" s="11" t="s">
        <v>569</v>
      </c>
      <c r="C476" s="12" t="s">
        <v>571</v>
      </c>
      <c r="D476" s="55"/>
      <c r="E476" s="41" t="str">
        <f>HYPERLINK("https://www.google.ru/search?q=1383559-402&amp;newwindow=1&amp;tbm=isch","Еще фото")</f>
        <v>Еще фото</v>
      </c>
      <c r="F476" s="13" t="s">
        <v>103</v>
      </c>
      <c r="G476" s="11" t="s">
        <v>77</v>
      </c>
      <c r="H476" s="11" t="s">
        <v>27</v>
      </c>
      <c r="I476" s="14" t="s">
        <v>28</v>
      </c>
      <c r="J476" s="14" t="s">
        <v>29</v>
      </c>
      <c r="K476" s="15" t="s">
        <v>59</v>
      </c>
      <c r="L476" s="57" t="s">
        <v>567</v>
      </c>
      <c r="M476" s="14"/>
      <c r="N476" s="14" t="s">
        <v>115</v>
      </c>
      <c r="O476" s="14"/>
      <c r="P476" s="15" t="s">
        <v>53</v>
      </c>
      <c r="Q476" s="16">
        <v>5199</v>
      </c>
      <c r="R476" s="17">
        <v>40</v>
      </c>
      <c r="S476" s="18">
        <v>3587.31</v>
      </c>
      <c r="T476" s="19" t="s">
        <v>36</v>
      </c>
      <c r="U476" s="20" t="s">
        <v>39</v>
      </c>
      <c r="V476" s="21" t="s">
        <v>85</v>
      </c>
      <c r="W476" s="22">
        <v>1</v>
      </c>
      <c r="X476" s="23"/>
    </row>
    <row r="477" spans="1:24" s="1" customFormat="1" ht="61.05" customHeight="1" x14ac:dyDescent="0.3">
      <c r="A477" s="24" t="s">
        <v>23</v>
      </c>
      <c r="B477" s="24" t="s">
        <v>569</v>
      </c>
      <c r="C477" s="12" t="s">
        <v>571</v>
      </c>
      <c r="D477" s="56"/>
      <c r="E477" s="41" t="str">
        <f>HYPERLINK("https://www.google.ru/search?q=1383559-402&amp;newwindow=1&amp;tbm=isch","Еще фото")</f>
        <v>Еще фото</v>
      </c>
      <c r="F477" s="13" t="s">
        <v>103</v>
      </c>
      <c r="G477" s="24" t="s">
        <v>77</v>
      </c>
      <c r="H477" s="24" t="s">
        <v>27</v>
      </c>
      <c r="I477" s="24" t="s">
        <v>28</v>
      </c>
      <c r="J477" s="14" t="s">
        <v>29</v>
      </c>
      <c r="K477" s="15" t="s">
        <v>59</v>
      </c>
      <c r="L477" s="58"/>
      <c r="M477" s="14"/>
      <c r="N477" s="14" t="s">
        <v>115</v>
      </c>
      <c r="O477" s="14"/>
      <c r="P477" s="15" t="s">
        <v>53</v>
      </c>
      <c r="Q477" s="16">
        <v>5199</v>
      </c>
      <c r="R477" s="17">
        <v>40</v>
      </c>
      <c r="S477" s="18">
        <v>3587.31</v>
      </c>
      <c r="T477" s="19" t="s">
        <v>36</v>
      </c>
      <c r="U477" s="20" t="s">
        <v>86</v>
      </c>
      <c r="V477" s="21" t="s">
        <v>38</v>
      </c>
      <c r="W477" s="22">
        <v>1</v>
      </c>
      <c r="X477" s="23"/>
    </row>
    <row r="478" spans="1:24" s="1" customFormat="1" ht="52.05" customHeight="1" x14ac:dyDescent="0.3">
      <c r="A478" s="11" t="s">
        <v>23</v>
      </c>
      <c r="B478" s="11" t="s">
        <v>569</v>
      </c>
      <c r="C478" s="12" t="s">
        <v>572</v>
      </c>
      <c r="D478" s="55"/>
      <c r="E478" s="41" t="str">
        <f>HYPERLINK("https://www.google.ru/search?q=1383559-681&amp;newwindow=1&amp;tbm=isch","Еще фото")</f>
        <v>Еще фото</v>
      </c>
      <c r="F478" s="13"/>
      <c r="G478" s="11" t="s">
        <v>77</v>
      </c>
      <c r="H478" s="11" t="s">
        <v>27</v>
      </c>
      <c r="I478" s="14" t="s">
        <v>28</v>
      </c>
      <c r="J478" s="14" t="s">
        <v>29</v>
      </c>
      <c r="K478" s="15" t="s">
        <v>59</v>
      </c>
      <c r="L478" s="57" t="s">
        <v>567</v>
      </c>
      <c r="M478" s="14"/>
      <c r="N478" s="14" t="s">
        <v>69</v>
      </c>
      <c r="O478" s="14"/>
      <c r="P478" s="15" t="s">
        <v>53</v>
      </c>
      <c r="Q478" s="16">
        <v>3799</v>
      </c>
      <c r="R478" s="17">
        <v>40</v>
      </c>
      <c r="S478" s="18">
        <v>2621.31</v>
      </c>
      <c r="T478" s="19" t="s">
        <v>36</v>
      </c>
      <c r="U478" s="20" t="s">
        <v>63</v>
      </c>
      <c r="V478" s="21" t="s">
        <v>64</v>
      </c>
      <c r="W478" s="22">
        <v>2</v>
      </c>
      <c r="X478" s="23"/>
    </row>
    <row r="479" spans="1:24" s="1" customFormat="1" ht="61.05" customHeight="1" x14ac:dyDescent="0.3">
      <c r="A479" s="24" t="s">
        <v>23</v>
      </c>
      <c r="B479" s="24" t="s">
        <v>569</v>
      </c>
      <c r="C479" s="12" t="s">
        <v>572</v>
      </c>
      <c r="D479" s="56"/>
      <c r="E479" s="41" t="str">
        <f>HYPERLINK("https://www.google.ru/search?q=1383559-681&amp;newwindow=1&amp;tbm=isch","Еще фото")</f>
        <v>Еще фото</v>
      </c>
      <c r="F479" s="13"/>
      <c r="G479" s="24" t="s">
        <v>77</v>
      </c>
      <c r="H479" s="24" t="s">
        <v>27</v>
      </c>
      <c r="I479" s="24" t="s">
        <v>28</v>
      </c>
      <c r="J479" s="14" t="s">
        <v>29</v>
      </c>
      <c r="K479" s="15" t="s">
        <v>59</v>
      </c>
      <c r="L479" s="58"/>
      <c r="M479" s="14"/>
      <c r="N479" s="14" t="s">
        <v>69</v>
      </c>
      <c r="O479" s="14"/>
      <c r="P479" s="15" t="s">
        <v>53</v>
      </c>
      <c r="Q479" s="16">
        <v>3799</v>
      </c>
      <c r="R479" s="17">
        <v>40</v>
      </c>
      <c r="S479" s="18">
        <v>2621.31</v>
      </c>
      <c r="T479" s="19" t="s">
        <v>36</v>
      </c>
      <c r="U479" s="20" t="s">
        <v>86</v>
      </c>
      <c r="V479" s="21" t="s">
        <v>38</v>
      </c>
      <c r="W479" s="22">
        <v>4</v>
      </c>
      <c r="X479" s="23"/>
    </row>
    <row r="480" spans="1:24" s="1" customFormat="1" ht="26" customHeight="1" x14ac:dyDescent="0.3">
      <c r="A480" s="11" t="s">
        <v>23</v>
      </c>
      <c r="B480" s="11" t="s">
        <v>573</v>
      </c>
      <c r="C480" s="12" t="s">
        <v>574</v>
      </c>
      <c r="D480" s="59"/>
      <c r="E480" s="41" t="str">
        <f>HYPERLINK("https://www.google.ru/search?q=1383607-003&amp;newwindow=1&amp;tbm=isch","Еще фото")</f>
        <v>Еще фото</v>
      </c>
      <c r="F480" s="13"/>
      <c r="G480" s="11" t="s">
        <v>77</v>
      </c>
      <c r="H480" s="11" t="s">
        <v>27</v>
      </c>
      <c r="I480" s="14" t="s">
        <v>28</v>
      </c>
      <c r="J480" s="14" t="s">
        <v>29</v>
      </c>
      <c r="K480" s="15" t="s">
        <v>59</v>
      </c>
      <c r="L480" s="57" t="s">
        <v>575</v>
      </c>
      <c r="M480" s="14"/>
      <c r="N480" s="14" t="s">
        <v>33</v>
      </c>
      <c r="O480" s="14"/>
      <c r="P480" s="15" t="s">
        <v>458</v>
      </c>
      <c r="Q480" s="16">
        <v>6199</v>
      </c>
      <c r="R480" s="17">
        <v>40</v>
      </c>
      <c r="S480" s="18">
        <v>4277.3099999999995</v>
      </c>
      <c r="T480" s="19" t="s">
        <v>36</v>
      </c>
      <c r="U480" s="20" t="s">
        <v>63</v>
      </c>
      <c r="V480" s="21" t="s">
        <v>64</v>
      </c>
      <c r="W480" s="22">
        <v>12</v>
      </c>
      <c r="X480" s="23"/>
    </row>
    <row r="481" spans="1:24" s="1" customFormat="1" ht="26" customHeight="1" x14ac:dyDescent="0.3">
      <c r="A481" s="24" t="s">
        <v>23</v>
      </c>
      <c r="B481" s="24" t="s">
        <v>573</v>
      </c>
      <c r="C481" s="12" t="s">
        <v>574</v>
      </c>
      <c r="D481" s="60"/>
      <c r="E481" s="41" t="str">
        <f>HYPERLINK("https://www.google.ru/search?q=1383607-003&amp;newwindow=1&amp;tbm=isch","Еще фото")</f>
        <v>Еще фото</v>
      </c>
      <c r="F481" s="13"/>
      <c r="G481" s="24" t="s">
        <v>77</v>
      </c>
      <c r="H481" s="24" t="s">
        <v>27</v>
      </c>
      <c r="I481" s="24" t="s">
        <v>28</v>
      </c>
      <c r="J481" s="14" t="s">
        <v>29</v>
      </c>
      <c r="K481" s="15" t="s">
        <v>59</v>
      </c>
      <c r="L481" s="62"/>
      <c r="M481" s="14"/>
      <c r="N481" s="14" t="s">
        <v>33</v>
      </c>
      <c r="O481" s="14"/>
      <c r="P481" s="15" t="s">
        <v>458</v>
      </c>
      <c r="Q481" s="16">
        <v>6199</v>
      </c>
      <c r="R481" s="17">
        <v>40</v>
      </c>
      <c r="S481" s="18">
        <v>4277.3099999999995</v>
      </c>
      <c r="T481" s="19" t="s">
        <v>36</v>
      </c>
      <c r="U481" s="20" t="s">
        <v>37</v>
      </c>
      <c r="V481" s="21" t="s">
        <v>106</v>
      </c>
      <c r="W481" s="22">
        <v>8</v>
      </c>
      <c r="X481" s="23"/>
    </row>
    <row r="482" spans="1:24" s="1" customFormat="1" ht="26" customHeight="1" x14ac:dyDescent="0.3">
      <c r="A482" s="24" t="s">
        <v>23</v>
      </c>
      <c r="B482" s="24" t="s">
        <v>573</v>
      </c>
      <c r="C482" s="12" t="s">
        <v>574</v>
      </c>
      <c r="D482" s="60"/>
      <c r="E482" s="41" t="str">
        <f>HYPERLINK("https://www.google.ru/search?q=1383607-003&amp;newwindow=1&amp;tbm=isch","Еще фото")</f>
        <v>Еще фото</v>
      </c>
      <c r="F482" s="13"/>
      <c r="G482" s="24" t="s">
        <v>77</v>
      </c>
      <c r="H482" s="24" t="s">
        <v>27</v>
      </c>
      <c r="I482" s="24" t="s">
        <v>28</v>
      </c>
      <c r="J482" s="14" t="s">
        <v>29</v>
      </c>
      <c r="K482" s="15" t="s">
        <v>59</v>
      </c>
      <c r="L482" s="62"/>
      <c r="M482" s="14"/>
      <c r="N482" s="14" t="s">
        <v>33</v>
      </c>
      <c r="O482" s="14"/>
      <c r="P482" s="15" t="s">
        <v>458</v>
      </c>
      <c r="Q482" s="16">
        <v>6199</v>
      </c>
      <c r="R482" s="17">
        <v>40</v>
      </c>
      <c r="S482" s="18">
        <v>4277.3099999999995</v>
      </c>
      <c r="T482" s="19" t="s">
        <v>36</v>
      </c>
      <c r="U482" s="20" t="s">
        <v>39</v>
      </c>
      <c r="V482" s="21" t="s">
        <v>85</v>
      </c>
      <c r="W482" s="22">
        <v>8</v>
      </c>
      <c r="X482" s="23"/>
    </row>
    <row r="483" spans="1:24" s="1" customFormat="1" ht="26" customHeight="1" x14ac:dyDescent="0.3">
      <c r="A483" s="24" t="s">
        <v>23</v>
      </c>
      <c r="B483" s="24" t="s">
        <v>573</v>
      </c>
      <c r="C483" s="12" t="s">
        <v>574</v>
      </c>
      <c r="D483" s="61"/>
      <c r="E483" s="41" t="str">
        <f>HYPERLINK("https://www.google.ru/search?q=1383607-003&amp;newwindow=1&amp;tbm=isch","Еще фото")</f>
        <v>Еще фото</v>
      </c>
      <c r="F483" s="13"/>
      <c r="G483" s="24" t="s">
        <v>77</v>
      </c>
      <c r="H483" s="24" t="s">
        <v>27</v>
      </c>
      <c r="I483" s="24" t="s">
        <v>28</v>
      </c>
      <c r="J483" s="14" t="s">
        <v>29</v>
      </c>
      <c r="K483" s="15" t="s">
        <v>59</v>
      </c>
      <c r="L483" s="58"/>
      <c r="M483" s="14"/>
      <c r="N483" s="14" t="s">
        <v>33</v>
      </c>
      <c r="O483" s="14"/>
      <c r="P483" s="15" t="s">
        <v>458</v>
      </c>
      <c r="Q483" s="16">
        <v>6199</v>
      </c>
      <c r="R483" s="17">
        <v>40</v>
      </c>
      <c r="S483" s="18">
        <v>4277.3099999999995</v>
      </c>
      <c r="T483" s="19" t="s">
        <v>36</v>
      </c>
      <c r="U483" s="20" t="s">
        <v>88</v>
      </c>
      <c r="V483" s="21" t="s">
        <v>40</v>
      </c>
      <c r="W483" s="22">
        <v>2</v>
      </c>
      <c r="X483" s="23"/>
    </row>
    <row r="484" spans="1:24" s="1" customFormat="1" ht="52.05" customHeight="1" x14ac:dyDescent="0.3">
      <c r="A484" s="11" t="s">
        <v>23</v>
      </c>
      <c r="B484" s="11" t="s">
        <v>576</v>
      </c>
      <c r="C484" s="12" t="s">
        <v>577</v>
      </c>
      <c r="D484" s="55"/>
      <c r="E484" s="41" t="str">
        <f>HYPERLINK("https://www.google.ru/search?q=1386407-002&amp;newwindow=1&amp;tbm=isch","Еще фото")</f>
        <v>Еще фото</v>
      </c>
      <c r="F484" s="13" t="s">
        <v>152</v>
      </c>
      <c r="G484" s="11" t="s">
        <v>77</v>
      </c>
      <c r="H484" s="11" t="s">
        <v>27</v>
      </c>
      <c r="I484" s="14" t="s">
        <v>28</v>
      </c>
      <c r="J484" s="14" t="s">
        <v>29</v>
      </c>
      <c r="K484" s="15" t="s">
        <v>59</v>
      </c>
      <c r="L484" s="57" t="s">
        <v>578</v>
      </c>
      <c r="M484" s="14"/>
      <c r="N484" s="14" t="s">
        <v>33</v>
      </c>
      <c r="O484" s="14"/>
      <c r="P484" s="15" t="s">
        <v>53</v>
      </c>
      <c r="Q484" s="16">
        <v>5499</v>
      </c>
      <c r="R484" s="17">
        <v>40</v>
      </c>
      <c r="S484" s="18">
        <v>3794.31</v>
      </c>
      <c r="T484" s="19" t="s">
        <v>36</v>
      </c>
      <c r="U484" s="20" t="s">
        <v>63</v>
      </c>
      <c r="V484" s="21" t="s">
        <v>64</v>
      </c>
      <c r="W484" s="22">
        <v>4</v>
      </c>
      <c r="X484" s="23"/>
    </row>
    <row r="485" spans="1:24" s="1" customFormat="1" ht="61.05" customHeight="1" x14ac:dyDescent="0.3">
      <c r="A485" s="24" t="s">
        <v>23</v>
      </c>
      <c r="B485" s="24" t="s">
        <v>576</v>
      </c>
      <c r="C485" s="12" t="s">
        <v>577</v>
      </c>
      <c r="D485" s="56"/>
      <c r="E485" s="41" t="str">
        <f>HYPERLINK("https://www.google.ru/search?q=1386407-002&amp;newwindow=1&amp;tbm=isch","Еще фото")</f>
        <v>Еще фото</v>
      </c>
      <c r="F485" s="13" t="s">
        <v>152</v>
      </c>
      <c r="G485" s="24" t="s">
        <v>77</v>
      </c>
      <c r="H485" s="24" t="s">
        <v>27</v>
      </c>
      <c r="I485" s="24" t="s">
        <v>28</v>
      </c>
      <c r="J485" s="14" t="s">
        <v>29</v>
      </c>
      <c r="K485" s="15" t="s">
        <v>59</v>
      </c>
      <c r="L485" s="58"/>
      <c r="M485" s="14"/>
      <c r="N485" s="14" t="s">
        <v>33</v>
      </c>
      <c r="O485" s="14"/>
      <c r="P485" s="15" t="s">
        <v>53</v>
      </c>
      <c r="Q485" s="16">
        <v>5499</v>
      </c>
      <c r="R485" s="17">
        <v>40</v>
      </c>
      <c r="S485" s="18">
        <v>3794.31</v>
      </c>
      <c r="T485" s="19" t="s">
        <v>36</v>
      </c>
      <c r="U485" s="20" t="s">
        <v>86</v>
      </c>
      <c r="V485" s="21" t="s">
        <v>38</v>
      </c>
      <c r="W485" s="22">
        <v>2</v>
      </c>
      <c r="X485" s="23"/>
    </row>
    <row r="486" spans="1:24" s="1" customFormat="1" ht="108" customHeight="1" x14ac:dyDescent="0.3">
      <c r="A486" s="11" t="s">
        <v>23</v>
      </c>
      <c r="B486" s="11" t="s">
        <v>579</v>
      </c>
      <c r="C486" s="12" t="s">
        <v>580</v>
      </c>
      <c r="D486" s="25"/>
      <c r="E486" s="41" t="str">
        <f>HYPERLINK("https://www.google.ru/search?q=1386481-251&amp;newwindow=1&amp;tbm=isch","Еще фото")</f>
        <v>Еще фото</v>
      </c>
      <c r="F486" s="13" t="s">
        <v>152</v>
      </c>
      <c r="G486" s="11" t="s">
        <v>28</v>
      </c>
      <c r="H486" s="11" t="s">
        <v>27</v>
      </c>
      <c r="I486" s="14" t="s">
        <v>28</v>
      </c>
      <c r="J486" s="14" t="s">
        <v>43</v>
      </c>
      <c r="K486" s="15" t="s">
        <v>59</v>
      </c>
      <c r="L486" s="14" t="s">
        <v>581</v>
      </c>
      <c r="M486" s="14" t="s">
        <v>32</v>
      </c>
      <c r="N486" s="14" t="s">
        <v>127</v>
      </c>
      <c r="O486" s="14"/>
      <c r="P486" s="15" t="s">
        <v>213</v>
      </c>
      <c r="Q486" s="16">
        <v>11099</v>
      </c>
      <c r="R486" s="17">
        <v>40</v>
      </c>
      <c r="S486" s="18">
        <v>7658.3099999999986</v>
      </c>
      <c r="T486" s="19" t="s">
        <v>36</v>
      </c>
      <c r="U486" s="20" t="s">
        <v>63</v>
      </c>
      <c r="V486" s="21" t="s">
        <v>64</v>
      </c>
      <c r="W486" s="22">
        <v>2</v>
      </c>
      <c r="X486" s="23"/>
    </row>
    <row r="487" spans="1:24" s="1" customFormat="1" ht="52.05" customHeight="1" x14ac:dyDescent="0.3">
      <c r="A487" s="11" t="s">
        <v>23</v>
      </c>
      <c r="B487" s="11" t="s">
        <v>128</v>
      </c>
      <c r="C487" s="12" t="s">
        <v>582</v>
      </c>
      <c r="D487" s="55"/>
      <c r="E487" s="41" t="str">
        <f>HYPERLINK("https://www.google.ru/search?q=1386482-001&amp;newwindow=1&amp;tbm=isch","Еще фото")</f>
        <v>Еще фото</v>
      </c>
      <c r="F487" s="13"/>
      <c r="G487" s="11" t="s">
        <v>77</v>
      </c>
      <c r="H487" s="11" t="s">
        <v>27</v>
      </c>
      <c r="I487" s="14" t="s">
        <v>28</v>
      </c>
      <c r="J487" s="14" t="s">
        <v>29</v>
      </c>
      <c r="K487" s="15" t="s">
        <v>59</v>
      </c>
      <c r="L487" s="57" t="s">
        <v>130</v>
      </c>
      <c r="M487" s="14"/>
      <c r="N487" s="14" t="s">
        <v>33</v>
      </c>
      <c r="O487" s="14"/>
      <c r="P487" s="15" t="s">
        <v>131</v>
      </c>
      <c r="Q487" s="16">
        <v>4699</v>
      </c>
      <c r="R487" s="17">
        <v>40</v>
      </c>
      <c r="S487" s="18">
        <v>3242.31</v>
      </c>
      <c r="T487" s="19" t="s">
        <v>36</v>
      </c>
      <c r="U487" s="20" t="s">
        <v>63</v>
      </c>
      <c r="V487" s="21" t="s">
        <v>64</v>
      </c>
      <c r="W487" s="22">
        <v>2</v>
      </c>
      <c r="X487" s="23"/>
    </row>
    <row r="488" spans="1:24" s="1" customFormat="1" ht="61.05" customHeight="1" x14ac:dyDescent="0.3">
      <c r="A488" s="24" t="s">
        <v>23</v>
      </c>
      <c r="B488" s="24" t="s">
        <v>128</v>
      </c>
      <c r="C488" s="12" t="s">
        <v>582</v>
      </c>
      <c r="D488" s="56"/>
      <c r="E488" s="41" t="str">
        <f>HYPERLINK("https://www.google.ru/search?q=1386482-001&amp;newwindow=1&amp;tbm=isch","Еще фото")</f>
        <v>Еще фото</v>
      </c>
      <c r="F488" s="13"/>
      <c r="G488" s="24" t="s">
        <v>77</v>
      </c>
      <c r="H488" s="24" t="s">
        <v>27</v>
      </c>
      <c r="I488" s="24" t="s">
        <v>28</v>
      </c>
      <c r="J488" s="14" t="s">
        <v>29</v>
      </c>
      <c r="K488" s="15" t="s">
        <v>59</v>
      </c>
      <c r="L488" s="58"/>
      <c r="M488" s="14"/>
      <c r="N488" s="14" t="s">
        <v>33</v>
      </c>
      <c r="O488" s="14"/>
      <c r="P488" s="15" t="s">
        <v>131</v>
      </c>
      <c r="Q488" s="16">
        <v>4699</v>
      </c>
      <c r="R488" s="17">
        <v>40</v>
      </c>
      <c r="S488" s="18">
        <v>3242.31</v>
      </c>
      <c r="T488" s="19" t="s">
        <v>36</v>
      </c>
      <c r="U488" s="20" t="s">
        <v>39</v>
      </c>
      <c r="V488" s="21" t="s">
        <v>85</v>
      </c>
      <c r="W488" s="22">
        <v>2</v>
      </c>
      <c r="X488" s="23"/>
    </row>
    <row r="489" spans="1:24" s="1" customFormat="1" ht="21" customHeight="1" x14ac:dyDescent="0.3">
      <c r="A489" s="11" t="s">
        <v>23</v>
      </c>
      <c r="B489" s="11" t="s">
        <v>583</v>
      </c>
      <c r="C489" s="26" t="s">
        <v>584</v>
      </c>
      <c r="D489" s="59"/>
      <c r="E489" s="41" t="str">
        <f>HYPERLINK("https://www.google.ru/search?q=1386557-289&amp;newwindow=1&amp;tbm=isch","Еще фото")</f>
        <v>Еще фото</v>
      </c>
      <c r="F489" s="13" t="s">
        <v>103</v>
      </c>
      <c r="G489" s="11" t="s">
        <v>28</v>
      </c>
      <c r="H489" s="11" t="s">
        <v>27</v>
      </c>
      <c r="I489" s="14" t="s">
        <v>28</v>
      </c>
      <c r="J489" s="14" t="s">
        <v>43</v>
      </c>
      <c r="K489" s="15" t="s">
        <v>30</v>
      </c>
      <c r="L489" s="57" t="s">
        <v>585</v>
      </c>
      <c r="M489" s="14" t="s">
        <v>32</v>
      </c>
      <c r="N489" s="14" t="s">
        <v>127</v>
      </c>
      <c r="O489" s="14"/>
      <c r="P489" s="15" t="s">
        <v>53</v>
      </c>
      <c r="Q489" s="16">
        <v>6799</v>
      </c>
      <c r="R489" s="17">
        <v>40</v>
      </c>
      <c r="S489" s="18">
        <v>4691.3099999999995</v>
      </c>
      <c r="T489" s="19" t="s">
        <v>36</v>
      </c>
      <c r="U489" s="20" t="s">
        <v>37</v>
      </c>
      <c r="V489" s="21" t="s">
        <v>38</v>
      </c>
      <c r="W489" s="22">
        <v>17</v>
      </c>
      <c r="X489" s="23"/>
    </row>
    <row r="490" spans="1:24" s="1" customFormat="1" ht="21" customHeight="1" x14ac:dyDescent="0.3">
      <c r="A490" s="24" t="s">
        <v>23</v>
      </c>
      <c r="B490" s="24" t="s">
        <v>583</v>
      </c>
      <c r="C490" s="27" t="s">
        <v>584</v>
      </c>
      <c r="D490" s="60"/>
      <c r="E490" s="41" t="str">
        <f>HYPERLINK("https://www.google.ru/search?q=1386557-289&amp;newwindow=1&amp;tbm=isch","Еще фото")</f>
        <v>Еще фото</v>
      </c>
      <c r="F490" s="13" t="s">
        <v>103</v>
      </c>
      <c r="G490" s="24" t="s">
        <v>28</v>
      </c>
      <c r="H490" s="24" t="s">
        <v>27</v>
      </c>
      <c r="I490" s="24" t="s">
        <v>28</v>
      </c>
      <c r="J490" s="14" t="s">
        <v>43</v>
      </c>
      <c r="K490" s="15" t="s">
        <v>30</v>
      </c>
      <c r="L490" s="62"/>
      <c r="M490" s="14" t="s">
        <v>32</v>
      </c>
      <c r="N490" s="14" t="s">
        <v>127</v>
      </c>
      <c r="O490" s="14"/>
      <c r="P490" s="15" t="s">
        <v>53</v>
      </c>
      <c r="Q490" s="16">
        <v>6799</v>
      </c>
      <c r="R490" s="17">
        <v>40</v>
      </c>
      <c r="S490" s="18">
        <v>4691.3099999999995</v>
      </c>
      <c r="T490" s="19" t="s">
        <v>36</v>
      </c>
      <c r="U490" s="20" t="s">
        <v>39</v>
      </c>
      <c r="V490" s="21" t="s">
        <v>40</v>
      </c>
      <c r="W490" s="22">
        <v>28</v>
      </c>
      <c r="X490" s="23"/>
    </row>
    <row r="491" spans="1:24" s="1" customFormat="1" ht="21" customHeight="1" x14ac:dyDescent="0.3">
      <c r="A491" s="24" t="s">
        <v>23</v>
      </c>
      <c r="B491" s="24" t="s">
        <v>583</v>
      </c>
      <c r="C491" s="27" t="s">
        <v>584</v>
      </c>
      <c r="D491" s="60"/>
      <c r="E491" s="41" t="str">
        <f>HYPERLINK("https://www.google.ru/search?q=1386557-289&amp;newwindow=1&amp;tbm=isch","Еще фото")</f>
        <v>Еще фото</v>
      </c>
      <c r="F491" s="13" t="s">
        <v>103</v>
      </c>
      <c r="G491" s="24" t="s">
        <v>28</v>
      </c>
      <c r="H491" s="24" t="s">
        <v>27</v>
      </c>
      <c r="I491" s="24" t="s">
        <v>28</v>
      </c>
      <c r="J491" s="14" t="s">
        <v>43</v>
      </c>
      <c r="K491" s="15" t="s">
        <v>30</v>
      </c>
      <c r="L491" s="62"/>
      <c r="M491" s="14" t="s">
        <v>32</v>
      </c>
      <c r="N491" s="14" t="s">
        <v>127</v>
      </c>
      <c r="O491" s="14"/>
      <c r="P491" s="15" t="s">
        <v>53</v>
      </c>
      <c r="Q491" s="16">
        <v>6799</v>
      </c>
      <c r="R491" s="17">
        <v>40</v>
      </c>
      <c r="S491" s="18">
        <v>4691.3099999999995</v>
      </c>
      <c r="T491" s="19" t="s">
        <v>36</v>
      </c>
      <c r="U491" s="20" t="s">
        <v>86</v>
      </c>
      <c r="V491" s="21" t="s">
        <v>87</v>
      </c>
      <c r="W491" s="22">
        <v>33</v>
      </c>
      <c r="X491" s="23"/>
    </row>
    <row r="492" spans="1:24" s="1" customFormat="1" ht="21" customHeight="1" x14ac:dyDescent="0.3">
      <c r="A492" s="24" t="s">
        <v>23</v>
      </c>
      <c r="B492" s="24" t="s">
        <v>583</v>
      </c>
      <c r="C492" s="27" t="s">
        <v>584</v>
      </c>
      <c r="D492" s="60"/>
      <c r="E492" s="41" t="str">
        <f>HYPERLINK("https://www.google.ru/search?q=1386557-289&amp;newwindow=1&amp;tbm=isch","Еще фото")</f>
        <v>Еще фото</v>
      </c>
      <c r="F492" s="13" t="s">
        <v>103</v>
      </c>
      <c r="G492" s="24" t="s">
        <v>28</v>
      </c>
      <c r="H492" s="24" t="s">
        <v>27</v>
      </c>
      <c r="I492" s="24" t="s">
        <v>28</v>
      </c>
      <c r="J492" s="14" t="s">
        <v>43</v>
      </c>
      <c r="K492" s="15" t="s">
        <v>30</v>
      </c>
      <c r="L492" s="62"/>
      <c r="M492" s="14" t="s">
        <v>32</v>
      </c>
      <c r="N492" s="14" t="s">
        <v>127</v>
      </c>
      <c r="O492" s="14"/>
      <c r="P492" s="15" t="s">
        <v>53</v>
      </c>
      <c r="Q492" s="16">
        <v>6799</v>
      </c>
      <c r="R492" s="17">
        <v>40</v>
      </c>
      <c r="S492" s="18">
        <v>4691.3099999999995</v>
      </c>
      <c r="T492" s="19" t="s">
        <v>36</v>
      </c>
      <c r="U492" s="20" t="s">
        <v>88</v>
      </c>
      <c r="V492" s="21" t="s">
        <v>89</v>
      </c>
      <c r="W492" s="22">
        <v>17</v>
      </c>
      <c r="X492" s="23"/>
    </row>
    <row r="493" spans="1:24" s="1" customFormat="1" ht="32" customHeight="1" x14ac:dyDescent="0.3">
      <c r="A493" s="24" t="s">
        <v>23</v>
      </c>
      <c r="B493" s="24" t="s">
        <v>583</v>
      </c>
      <c r="C493" s="27" t="s">
        <v>584</v>
      </c>
      <c r="D493" s="61"/>
      <c r="E493" s="41" t="str">
        <f>HYPERLINK("https://www.google.ru/search?q=1386557-289&amp;newwindow=1&amp;tbm=isch","Еще фото")</f>
        <v>Еще фото</v>
      </c>
      <c r="F493" s="13" t="s">
        <v>103</v>
      </c>
      <c r="G493" s="24" t="s">
        <v>28</v>
      </c>
      <c r="H493" s="24" t="s">
        <v>27</v>
      </c>
      <c r="I493" s="24" t="s">
        <v>28</v>
      </c>
      <c r="J493" s="14" t="s">
        <v>43</v>
      </c>
      <c r="K493" s="15" t="s">
        <v>30</v>
      </c>
      <c r="L493" s="58"/>
      <c r="M493" s="14" t="s">
        <v>32</v>
      </c>
      <c r="N493" s="14" t="s">
        <v>127</v>
      </c>
      <c r="O493" s="14"/>
      <c r="P493" s="15" t="s">
        <v>53</v>
      </c>
      <c r="Q493" s="16">
        <v>6799</v>
      </c>
      <c r="R493" s="17">
        <v>40</v>
      </c>
      <c r="S493" s="18">
        <v>4691.3099999999995</v>
      </c>
      <c r="T493" s="19" t="s">
        <v>36</v>
      </c>
      <c r="U493" s="20" t="s">
        <v>90</v>
      </c>
      <c r="V493" s="21" t="s">
        <v>91</v>
      </c>
      <c r="W493" s="22">
        <v>6</v>
      </c>
      <c r="X493" s="23"/>
    </row>
    <row r="494" spans="1:24" s="1" customFormat="1" ht="17" customHeight="1" x14ac:dyDescent="0.3">
      <c r="A494" s="11" t="s">
        <v>23</v>
      </c>
      <c r="B494" s="11" t="s">
        <v>583</v>
      </c>
      <c r="C494" s="12" t="s">
        <v>586</v>
      </c>
      <c r="D494" s="59"/>
      <c r="E494" s="41" t="str">
        <f t="shared" ref="E494:E499" si="13">HYPERLINK("https://www.google.ru/search?q=1386557-338&amp;newwindow=1&amp;tbm=isch","Еще фото")</f>
        <v>Еще фото</v>
      </c>
      <c r="F494" s="13" t="s">
        <v>103</v>
      </c>
      <c r="G494" s="11" t="s">
        <v>28</v>
      </c>
      <c r="H494" s="11" t="s">
        <v>27</v>
      </c>
      <c r="I494" s="14" t="s">
        <v>28</v>
      </c>
      <c r="J494" s="14" t="s">
        <v>43</v>
      </c>
      <c r="K494" s="15" t="s">
        <v>30</v>
      </c>
      <c r="L494" s="57" t="s">
        <v>585</v>
      </c>
      <c r="M494" s="14"/>
      <c r="N494" s="14" t="s">
        <v>127</v>
      </c>
      <c r="O494" s="14"/>
      <c r="P494" s="15" t="s">
        <v>53</v>
      </c>
      <c r="Q494" s="16">
        <v>6799</v>
      </c>
      <c r="R494" s="17">
        <v>40</v>
      </c>
      <c r="S494" s="18">
        <v>4691.3099999999995</v>
      </c>
      <c r="T494" s="19" t="s">
        <v>36</v>
      </c>
      <c r="U494" s="20" t="s">
        <v>37</v>
      </c>
      <c r="V494" s="21" t="s">
        <v>38</v>
      </c>
      <c r="W494" s="22">
        <v>4</v>
      </c>
      <c r="X494" s="23"/>
    </row>
    <row r="495" spans="1:24" s="1" customFormat="1" ht="17" customHeight="1" x14ac:dyDescent="0.3">
      <c r="A495" s="24" t="s">
        <v>23</v>
      </c>
      <c r="B495" s="24" t="s">
        <v>583</v>
      </c>
      <c r="C495" s="12" t="s">
        <v>586</v>
      </c>
      <c r="D495" s="60"/>
      <c r="E495" s="41" t="str">
        <f t="shared" si="13"/>
        <v>Еще фото</v>
      </c>
      <c r="F495" s="13" t="s">
        <v>103</v>
      </c>
      <c r="G495" s="24" t="s">
        <v>28</v>
      </c>
      <c r="H495" s="24" t="s">
        <v>27</v>
      </c>
      <c r="I495" s="24" t="s">
        <v>28</v>
      </c>
      <c r="J495" s="14" t="s">
        <v>43</v>
      </c>
      <c r="K495" s="15" t="s">
        <v>30</v>
      </c>
      <c r="L495" s="62"/>
      <c r="M495" s="14"/>
      <c r="N495" s="14" t="s">
        <v>127</v>
      </c>
      <c r="O495" s="14"/>
      <c r="P495" s="15" t="s">
        <v>53</v>
      </c>
      <c r="Q495" s="16">
        <v>6799</v>
      </c>
      <c r="R495" s="17">
        <v>40</v>
      </c>
      <c r="S495" s="18">
        <v>4691.3099999999995</v>
      </c>
      <c r="T495" s="19" t="s">
        <v>36</v>
      </c>
      <c r="U495" s="20" t="s">
        <v>39</v>
      </c>
      <c r="V495" s="21" t="s">
        <v>40</v>
      </c>
      <c r="W495" s="22">
        <v>16</v>
      </c>
      <c r="X495" s="23"/>
    </row>
    <row r="496" spans="1:24" s="1" customFormat="1" ht="17" customHeight="1" x14ac:dyDescent="0.3">
      <c r="A496" s="24" t="s">
        <v>23</v>
      </c>
      <c r="B496" s="24" t="s">
        <v>583</v>
      </c>
      <c r="C496" s="12" t="s">
        <v>586</v>
      </c>
      <c r="D496" s="60"/>
      <c r="E496" s="41" t="str">
        <f t="shared" si="13"/>
        <v>Еще фото</v>
      </c>
      <c r="F496" s="13" t="s">
        <v>103</v>
      </c>
      <c r="G496" s="24" t="s">
        <v>28</v>
      </c>
      <c r="H496" s="24" t="s">
        <v>27</v>
      </c>
      <c r="I496" s="24" t="s">
        <v>28</v>
      </c>
      <c r="J496" s="14" t="s">
        <v>43</v>
      </c>
      <c r="K496" s="15" t="s">
        <v>30</v>
      </c>
      <c r="L496" s="62"/>
      <c r="M496" s="14"/>
      <c r="N496" s="14" t="s">
        <v>127</v>
      </c>
      <c r="O496" s="14"/>
      <c r="P496" s="15" t="s">
        <v>53</v>
      </c>
      <c r="Q496" s="16">
        <v>6799</v>
      </c>
      <c r="R496" s="17">
        <v>40</v>
      </c>
      <c r="S496" s="18">
        <v>4691.3099999999995</v>
      </c>
      <c r="T496" s="19" t="s">
        <v>36</v>
      </c>
      <c r="U496" s="20" t="s">
        <v>86</v>
      </c>
      <c r="V496" s="21" t="s">
        <v>87</v>
      </c>
      <c r="W496" s="22">
        <v>21</v>
      </c>
      <c r="X496" s="23"/>
    </row>
    <row r="497" spans="1:24" s="1" customFormat="1" ht="17" customHeight="1" x14ac:dyDescent="0.3">
      <c r="A497" s="24" t="s">
        <v>23</v>
      </c>
      <c r="B497" s="24" t="s">
        <v>583</v>
      </c>
      <c r="C497" s="12" t="s">
        <v>586</v>
      </c>
      <c r="D497" s="60"/>
      <c r="E497" s="41" t="str">
        <f t="shared" si="13"/>
        <v>Еще фото</v>
      </c>
      <c r="F497" s="13" t="s">
        <v>103</v>
      </c>
      <c r="G497" s="24" t="s">
        <v>28</v>
      </c>
      <c r="H497" s="24" t="s">
        <v>27</v>
      </c>
      <c r="I497" s="24" t="s">
        <v>28</v>
      </c>
      <c r="J497" s="14" t="s">
        <v>43</v>
      </c>
      <c r="K497" s="15" t="s">
        <v>30</v>
      </c>
      <c r="L497" s="62"/>
      <c r="M497" s="14"/>
      <c r="N497" s="14" t="s">
        <v>127</v>
      </c>
      <c r="O497" s="14"/>
      <c r="P497" s="15" t="s">
        <v>53</v>
      </c>
      <c r="Q497" s="16">
        <v>6799</v>
      </c>
      <c r="R497" s="17">
        <v>40</v>
      </c>
      <c r="S497" s="18">
        <v>4691.3099999999995</v>
      </c>
      <c r="T497" s="19" t="s">
        <v>36</v>
      </c>
      <c r="U497" s="20" t="s">
        <v>88</v>
      </c>
      <c r="V497" s="21" t="s">
        <v>89</v>
      </c>
      <c r="W497" s="22">
        <v>9</v>
      </c>
      <c r="X497" s="23"/>
    </row>
    <row r="498" spans="1:24" s="1" customFormat="1" ht="17" customHeight="1" x14ac:dyDescent="0.3">
      <c r="A498" s="24" t="s">
        <v>23</v>
      </c>
      <c r="B498" s="24" t="s">
        <v>583</v>
      </c>
      <c r="C498" s="12" t="s">
        <v>586</v>
      </c>
      <c r="D498" s="60"/>
      <c r="E498" s="41" t="str">
        <f t="shared" si="13"/>
        <v>Еще фото</v>
      </c>
      <c r="F498" s="13" t="s">
        <v>103</v>
      </c>
      <c r="G498" s="24" t="s">
        <v>28</v>
      </c>
      <c r="H498" s="24" t="s">
        <v>27</v>
      </c>
      <c r="I498" s="24" t="s">
        <v>28</v>
      </c>
      <c r="J498" s="14" t="s">
        <v>43</v>
      </c>
      <c r="K498" s="15" t="s">
        <v>30</v>
      </c>
      <c r="L498" s="62"/>
      <c r="M498" s="14"/>
      <c r="N498" s="14" t="s">
        <v>127</v>
      </c>
      <c r="O498" s="14"/>
      <c r="P498" s="15" t="s">
        <v>53</v>
      </c>
      <c r="Q498" s="16">
        <v>6799</v>
      </c>
      <c r="R498" s="17">
        <v>40</v>
      </c>
      <c r="S498" s="18">
        <v>4691.3099999999995</v>
      </c>
      <c r="T498" s="19" t="s">
        <v>36</v>
      </c>
      <c r="U498" s="20" t="s">
        <v>90</v>
      </c>
      <c r="V498" s="21" t="s">
        <v>91</v>
      </c>
      <c r="W498" s="22">
        <v>5</v>
      </c>
      <c r="X498" s="23"/>
    </row>
    <row r="499" spans="1:24" s="1" customFormat="1" ht="22.05" customHeight="1" x14ac:dyDescent="0.3">
      <c r="A499" s="24" t="s">
        <v>23</v>
      </c>
      <c r="B499" s="24" t="s">
        <v>583</v>
      </c>
      <c r="C499" s="12" t="s">
        <v>586</v>
      </c>
      <c r="D499" s="61"/>
      <c r="E499" s="41" t="str">
        <f t="shared" si="13"/>
        <v>Еще фото</v>
      </c>
      <c r="F499" s="13" t="s">
        <v>103</v>
      </c>
      <c r="G499" s="24" t="s">
        <v>28</v>
      </c>
      <c r="H499" s="24" t="s">
        <v>27</v>
      </c>
      <c r="I499" s="24" t="s">
        <v>28</v>
      </c>
      <c r="J499" s="14" t="s">
        <v>43</v>
      </c>
      <c r="K499" s="15" t="s">
        <v>30</v>
      </c>
      <c r="L499" s="58"/>
      <c r="M499" s="14"/>
      <c r="N499" s="14" t="s">
        <v>127</v>
      </c>
      <c r="O499" s="14"/>
      <c r="P499" s="15" t="s">
        <v>53</v>
      </c>
      <c r="Q499" s="16">
        <v>6799</v>
      </c>
      <c r="R499" s="17">
        <v>40</v>
      </c>
      <c r="S499" s="18">
        <v>4691.3099999999995</v>
      </c>
      <c r="T499" s="19" t="s">
        <v>36</v>
      </c>
      <c r="U499" s="20" t="s">
        <v>408</v>
      </c>
      <c r="V499" s="21" t="s">
        <v>409</v>
      </c>
      <c r="W499" s="22">
        <v>3</v>
      </c>
      <c r="X499" s="23"/>
    </row>
    <row r="500" spans="1:24" s="1" customFormat="1" ht="108" customHeight="1" x14ac:dyDescent="0.3">
      <c r="A500" s="11" t="s">
        <v>23</v>
      </c>
      <c r="B500" s="11" t="s">
        <v>587</v>
      </c>
      <c r="C500" s="12" t="s">
        <v>588</v>
      </c>
      <c r="D500" s="25"/>
      <c r="E500" s="41" t="str">
        <f>HYPERLINK("https://www.google.ru/search?q=1386558-002&amp;newwindow=1&amp;tbm=isch","Еще фото")</f>
        <v>Еще фото</v>
      </c>
      <c r="F500" s="13" t="s">
        <v>152</v>
      </c>
      <c r="G500" s="11" t="s">
        <v>28</v>
      </c>
      <c r="H500" s="11" t="s">
        <v>27</v>
      </c>
      <c r="I500" s="14" t="s">
        <v>28</v>
      </c>
      <c r="J500" s="14" t="s">
        <v>43</v>
      </c>
      <c r="K500" s="15" t="s">
        <v>30</v>
      </c>
      <c r="L500" s="14" t="s">
        <v>589</v>
      </c>
      <c r="M500" s="14" t="s">
        <v>32</v>
      </c>
      <c r="N500" s="14" t="s">
        <v>33</v>
      </c>
      <c r="O500" s="14"/>
      <c r="P500" s="15" t="s">
        <v>53</v>
      </c>
      <c r="Q500" s="16">
        <v>8699</v>
      </c>
      <c r="R500" s="17">
        <v>40</v>
      </c>
      <c r="S500" s="18">
        <v>6002.3099999999995</v>
      </c>
      <c r="T500" s="19" t="s">
        <v>36</v>
      </c>
      <c r="U500" s="20" t="s">
        <v>37</v>
      </c>
      <c r="V500" s="21" t="s">
        <v>38</v>
      </c>
      <c r="W500" s="22">
        <v>3</v>
      </c>
      <c r="X500" s="23"/>
    </row>
    <row r="501" spans="1:24" s="1" customFormat="1" ht="26" customHeight="1" x14ac:dyDescent="0.3">
      <c r="A501" s="11" t="s">
        <v>23</v>
      </c>
      <c r="B501" s="11" t="s">
        <v>587</v>
      </c>
      <c r="C501" s="12" t="s">
        <v>590</v>
      </c>
      <c r="D501" s="59"/>
      <c r="E501" s="41" t="str">
        <f>HYPERLINK("https://www.google.ru/search?q=1386558-025&amp;newwindow=1&amp;tbm=isch","Еще фото")</f>
        <v>Еще фото</v>
      </c>
      <c r="F501" s="13" t="s">
        <v>103</v>
      </c>
      <c r="G501" s="11" t="s">
        <v>28</v>
      </c>
      <c r="H501" s="11" t="s">
        <v>27</v>
      </c>
      <c r="I501" s="14" t="s">
        <v>28</v>
      </c>
      <c r="J501" s="14" t="s">
        <v>43</v>
      </c>
      <c r="K501" s="15" t="s">
        <v>30</v>
      </c>
      <c r="L501" s="57" t="s">
        <v>589</v>
      </c>
      <c r="M501" s="14" t="s">
        <v>32</v>
      </c>
      <c r="N501" s="14" t="s">
        <v>62</v>
      </c>
      <c r="O501" s="14"/>
      <c r="P501" s="15" t="s">
        <v>53</v>
      </c>
      <c r="Q501" s="16">
        <v>8299</v>
      </c>
      <c r="R501" s="17">
        <v>40</v>
      </c>
      <c r="S501" s="18">
        <v>5726.3099999999995</v>
      </c>
      <c r="T501" s="19" t="s">
        <v>36</v>
      </c>
      <c r="U501" s="20" t="s">
        <v>37</v>
      </c>
      <c r="V501" s="21" t="s">
        <v>38</v>
      </c>
      <c r="W501" s="22">
        <v>7</v>
      </c>
      <c r="X501" s="23"/>
    </row>
    <row r="502" spans="1:24" s="1" customFormat="1" ht="26" customHeight="1" x14ac:dyDescent="0.3">
      <c r="A502" s="24" t="s">
        <v>23</v>
      </c>
      <c r="B502" s="24" t="s">
        <v>587</v>
      </c>
      <c r="C502" s="12" t="s">
        <v>590</v>
      </c>
      <c r="D502" s="60"/>
      <c r="E502" s="41" t="str">
        <f>HYPERLINK("https://www.google.ru/search?q=1386558-025&amp;newwindow=1&amp;tbm=isch","Еще фото")</f>
        <v>Еще фото</v>
      </c>
      <c r="F502" s="13" t="s">
        <v>103</v>
      </c>
      <c r="G502" s="24" t="s">
        <v>28</v>
      </c>
      <c r="H502" s="24" t="s">
        <v>27</v>
      </c>
      <c r="I502" s="24" t="s">
        <v>28</v>
      </c>
      <c r="J502" s="14" t="s">
        <v>43</v>
      </c>
      <c r="K502" s="15" t="s">
        <v>30</v>
      </c>
      <c r="L502" s="62"/>
      <c r="M502" s="14" t="s">
        <v>32</v>
      </c>
      <c r="N502" s="14" t="s">
        <v>62</v>
      </c>
      <c r="O502" s="14"/>
      <c r="P502" s="15" t="s">
        <v>53</v>
      </c>
      <c r="Q502" s="16">
        <v>8299</v>
      </c>
      <c r="R502" s="17">
        <v>40</v>
      </c>
      <c r="S502" s="18">
        <v>5726.3099999999995</v>
      </c>
      <c r="T502" s="19" t="s">
        <v>36</v>
      </c>
      <c r="U502" s="20" t="s">
        <v>39</v>
      </c>
      <c r="V502" s="21" t="s">
        <v>40</v>
      </c>
      <c r="W502" s="22">
        <v>8</v>
      </c>
      <c r="X502" s="23"/>
    </row>
    <row r="503" spans="1:24" s="1" customFormat="1" ht="26" customHeight="1" x14ac:dyDescent="0.3">
      <c r="A503" s="24" t="s">
        <v>23</v>
      </c>
      <c r="B503" s="24" t="s">
        <v>587</v>
      </c>
      <c r="C503" s="12" t="s">
        <v>590</v>
      </c>
      <c r="D503" s="60"/>
      <c r="E503" s="41" t="str">
        <f>HYPERLINK("https://www.google.ru/search?q=1386558-025&amp;newwindow=1&amp;tbm=isch","Еще фото")</f>
        <v>Еще фото</v>
      </c>
      <c r="F503" s="13" t="s">
        <v>103</v>
      </c>
      <c r="G503" s="24" t="s">
        <v>28</v>
      </c>
      <c r="H503" s="24" t="s">
        <v>27</v>
      </c>
      <c r="I503" s="24" t="s">
        <v>28</v>
      </c>
      <c r="J503" s="14" t="s">
        <v>43</v>
      </c>
      <c r="K503" s="15" t="s">
        <v>30</v>
      </c>
      <c r="L503" s="62"/>
      <c r="M503" s="14" t="s">
        <v>32</v>
      </c>
      <c r="N503" s="14" t="s">
        <v>62</v>
      </c>
      <c r="O503" s="14"/>
      <c r="P503" s="15" t="s">
        <v>53</v>
      </c>
      <c r="Q503" s="16">
        <v>8299</v>
      </c>
      <c r="R503" s="17">
        <v>40</v>
      </c>
      <c r="S503" s="18">
        <v>5726.3099999999995</v>
      </c>
      <c r="T503" s="19" t="s">
        <v>36</v>
      </c>
      <c r="U503" s="20" t="s">
        <v>86</v>
      </c>
      <c r="V503" s="21" t="s">
        <v>87</v>
      </c>
      <c r="W503" s="22">
        <v>6</v>
      </c>
      <c r="X503" s="23"/>
    </row>
    <row r="504" spans="1:24" s="1" customFormat="1" ht="26" customHeight="1" x14ac:dyDescent="0.3">
      <c r="A504" s="24" t="s">
        <v>23</v>
      </c>
      <c r="B504" s="24" t="s">
        <v>587</v>
      </c>
      <c r="C504" s="12" t="s">
        <v>590</v>
      </c>
      <c r="D504" s="61"/>
      <c r="E504" s="41" t="str">
        <f>HYPERLINK("https://www.google.ru/search?q=1386558-025&amp;newwindow=1&amp;tbm=isch","Еще фото")</f>
        <v>Еще фото</v>
      </c>
      <c r="F504" s="13" t="s">
        <v>103</v>
      </c>
      <c r="G504" s="24" t="s">
        <v>28</v>
      </c>
      <c r="H504" s="24" t="s">
        <v>27</v>
      </c>
      <c r="I504" s="24" t="s">
        <v>28</v>
      </c>
      <c r="J504" s="14" t="s">
        <v>43</v>
      </c>
      <c r="K504" s="15" t="s">
        <v>30</v>
      </c>
      <c r="L504" s="58"/>
      <c r="M504" s="14" t="s">
        <v>32</v>
      </c>
      <c r="N504" s="14" t="s">
        <v>62</v>
      </c>
      <c r="O504" s="14"/>
      <c r="P504" s="15" t="s">
        <v>53</v>
      </c>
      <c r="Q504" s="16">
        <v>8299</v>
      </c>
      <c r="R504" s="17">
        <v>40</v>
      </c>
      <c r="S504" s="18">
        <v>5726.3099999999995</v>
      </c>
      <c r="T504" s="19" t="s">
        <v>36</v>
      </c>
      <c r="U504" s="20" t="s">
        <v>88</v>
      </c>
      <c r="V504" s="21" t="s">
        <v>89</v>
      </c>
      <c r="W504" s="22">
        <v>4</v>
      </c>
      <c r="X504" s="23"/>
    </row>
    <row r="505" spans="1:24" s="1" customFormat="1" ht="26" customHeight="1" x14ac:dyDescent="0.3">
      <c r="A505" s="11" t="s">
        <v>23</v>
      </c>
      <c r="B505" s="11" t="s">
        <v>587</v>
      </c>
      <c r="C505" s="12" t="s">
        <v>591</v>
      </c>
      <c r="D505" s="59"/>
      <c r="E505" s="41" t="str">
        <f>HYPERLINK("https://www.google.ru/search?q=1386558-289&amp;newwindow=1&amp;tbm=isch","Еще фото")</f>
        <v>Еще фото</v>
      </c>
      <c r="F505" s="13" t="s">
        <v>103</v>
      </c>
      <c r="G505" s="11" t="s">
        <v>28</v>
      </c>
      <c r="H505" s="11" t="s">
        <v>27</v>
      </c>
      <c r="I505" s="14" t="s">
        <v>28</v>
      </c>
      <c r="J505" s="14" t="s">
        <v>43</v>
      </c>
      <c r="K505" s="15" t="s">
        <v>30</v>
      </c>
      <c r="L505" s="57" t="s">
        <v>589</v>
      </c>
      <c r="M505" s="14" t="s">
        <v>32</v>
      </c>
      <c r="N505" s="14" t="s">
        <v>127</v>
      </c>
      <c r="O505" s="14"/>
      <c r="P505" s="15" t="s">
        <v>53</v>
      </c>
      <c r="Q505" s="16">
        <v>7699</v>
      </c>
      <c r="R505" s="17">
        <v>40</v>
      </c>
      <c r="S505" s="18">
        <v>5312.3099999999995</v>
      </c>
      <c r="T505" s="19" t="s">
        <v>36</v>
      </c>
      <c r="U505" s="20" t="s">
        <v>37</v>
      </c>
      <c r="V505" s="21" t="s">
        <v>38</v>
      </c>
      <c r="W505" s="22">
        <v>3</v>
      </c>
      <c r="X505" s="23"/>
    </row>
    <row r="506" spans="1:24" s="1" customFormat="1" ht="26" customHeight="1" x14ac:dyDescent="0.3">
      <c r="A506" s="24" t="s">
        <v>23</v>
      </c>
      <c r="B506" s="24" t="s">
        <v>587</v>
      </c>
      <c r="C506" s="12" t="s">
        <v>591</v>
      </c>
      <c r="D506" s="60"/>
      <c r="E506" s="41" t="str">
        <f>HYPERLINK("https://www.google.ru/search?q=1386558-289&amp;newwindow=1&amp;tbm=isch","Еще фото")</f>
        <v>Еще фото</v>
      </c>
      <c r="F506" s="13" t="s">
        <v>103</v>
      </c>
      <c r="G506" s="24" t="s">
        <v>28</v>
      </c>
      <c r="H506" s="24" t="s">
        <v>27</v>
      </c>
      <c r="I506" s="24" t="s">
        <v>28</v>
      </c>
      <c r="J506" s="14" t="s">
        <v>43</v>
      </c>
      <c r="K506" s="15" t="s">
        <v>30</v>
      </c>
      <c r="L506" s="62"/>
      <c r="M506" s="14" t="s">
        <v>32</v>
      </c>
      <c r="N506" s="14" t="s">
        <v>127</v>
      </c>
      <c r="O506" s="14"/>
      <c r="P506" s="15" t="s">
        <v>53</v>
      </c>
      <c r="Q506" s="16">
        <v>7699</v>
      </c>
      <c r="R506" s="17">
        <v>40</v>
      </c>
      <c r="S506" s="18">
        <v>5312.3099999999995</v>
      </c>
      <c r="T506" s="19" t="s">
        <v>36</v>
      </c>
      <c r="U506" s="20" t="s">
        <v>39</v>
      </c>
      <c r="V506" s="21" t="s">
        <v>40</v>
      </c>
      <c r="W506" s="22">
        <v>2</v>
      </c>
      <c r="X506" s="23"/>
    </row>
    <row r="507" spans="1:24" s="1" customFormat="1" ht="26" customHeight="1" x14ac:dyDescent="0.3">
      <c r="A507" s="24" t="s">
        <v>23</v>
      </c>
      <c r="B507" s="24" t="s">
        <v>587</v>
      </c>
      <c r="C507" s="12" t="s">
        <v>591</v>
      </c>
      <c r="D507" s="60"/>
      <c r="E507" s="41" t="str">
        <f>HYPERLINK("https://www.google.ru/search?q=1386558-289&amp;newwindow=1&amp;tbm=isch","Еще фото")</f>
        <v>Еще фото</v>
      </c>
      <c r="F507" s="13" t="s">
        <v>103</v>
      </c>
      <c r="G507" s="24" t="s">
        <v>28</v>
      </c>
      <c r="H507" s="24" t="s">
        <v>27</v>
      </c>
      <c r="I507" s="24" t="s">
        <v>28</v>
      </c>
      <c r="J507" s="14" t="s">
        <v>43</v>
      </c>
      <c r="K507" s="15" t="s">
        <v>30</v>
      </c>
      <c r="L507" s="62"/>
      <c r="M507" s="14" t="s">
        <v>32</v>
      </c>
      <c r="N507" s="14" t="s">
        <v>127</v>
      </c>
      <c r="O507" s="14"/>
      <c r="P507" s="15" t="s">
        <v>53</v>
      </c>
      <c r="Q507" s="16">
        <v>7699</v>
      </c>
      <c r="R507" s="17">
        <v>40</v>
      </c>
      <c r="S507" s="18">
        <v>5312.3099999999995</v>
      </c>
      <c r="T507" s="19" t="s">
        <v>36</v>
      </c>
      <c r="U507" s="20" t="s">
        <v>86</v>
      </c>
      <c r="V507" s="21" t="s">
        <v>87</v>
      </c>
      <c r="W507" s="22">
        <v>10</v>
      </c>
      <c r="X507" s="23"/>
    </row>
    <row r="508" spans="1:24" s="1" customFormat="1" ht="26" customHeight="1" x14ac:dyDescent="0.3">
      <c r="A508" s="24" t="s">
        <v>23</v>
      </c>
      <c r="B508" s="24" t="s">
        <v>587</v>
      </c>
      <c r="C508" s="12" t="s">
        <v>591</v>
      </c>
      <c r="D508" s="61"/>
      <c r="E508" s="41" t="str">
        <f>HYPERLINK("https://www.google.ru/search?q=1386558-289&amp;newwindow=1&amp;tbm=isch","Еще фото")</f>
        <v>Еще фото</v>
      </c>
      <c r="F508" s="13" t="s">
        <v>103</v>
      </c>
      <c r="G508" s="24" t="s">
        <v>28</v>
      </c>
      <c r="H508" s="24" t="s">
        <v>27</v>
      </c>
      <c r="I508" s="24" t="s">
        <v>28</v>
      </c>
      <c r="J508" s="14" t="s">
        <v>43</v>
      </c>
      <c r="K508" s="15" t="s">
        <v>30</v>
      </c>
      <c r="L508" s="58"/>
      <c r="M508" s="14" t="s">
        <v>32</v>
      </c>
      <c r="N508" s="14" t="s">
        <v>127</v>
      </c>
      <c r="O508" s="14"/>
      <c r="P508" s="15" t="s">
        <v>53</v>
      </c>
      <c r="Q508" s="16">
        <v>7699</v>
      </c>
      <c r="R508" s="17">
        <v>40</v>
      </c>
      <c r="S508" s="18">
        <v>5312.3099999999995</v>
      </c>
      <c r="T508" s="19" t="s">
        <v>36</v>
      </c>
      <c r="U508" s="20" t="s">
        <v>90</v>
      </c>
      <c r="V508" s="21" t="s">
        <v>91</v>
      </c>
      <c r="W508" s="22">
        <v>3</v>
      </c>
      <c r="X508" s="23"/>
    </row>
    <row r="509" spans="1:24" s="1" customFormat="1" ht="52.05" customHeight="1" x14ac:dyDescent="0.3">
      <c r="A509" s="11" t="s">
        <v>23</v>
      </c>
      <c r="B509" s="11" t="s">
        <v>587</v>
      </c>
      <c r="C509" s="12" t="s">
        <v>592</v>
      </c>
      <c r="D509" s="55"/>
      <c r="E509" s="41" t="str">
        <f>HYPERLINK("https://www.google.ru/search?q=1386558-308&amp;newwindow=1&amp;tbm=isch","Еще фото")</f>
        <v>Еще фото</v>
      </c>
      <c r="F509" s="13" t="s">
        <v>152</v>
      </c>
      <c r="G509" s="11" t="s">
        <v>28</v>
      </c>
      <c r="H509" s="11" t="s">
        <v>27</v>
      </c>
      <c r="I509" s="14" t="s">
        <v>28</v>
      </c>
      <c r="J509" s="14" t="s">
        <v>43</v>
      </c>
      <c r="K509" s="15" t="s">
        <v>30</v>
      </c>
      <c r="L509" s="57" t="s">
        <v>589</v>
      </c>
      <c r="M509" s="14" t="s">
        <v>32</v>
      </c>
      <c r="N509" s="14" t="s">
        <v>127</v>
      </c>
      <c r="O509" s="14"/>
      <c r="P509" s="15" t="s">
        <v>53</v>
      </c>
      <c r="Q509" s="16">
        <v>8699</v>
      </c>
      <c r="R509" s="17">
        <v>40</v>
      </c>
      <c r="S509" s="18">
        <v>6002.3099999999995</v>
      </c>
      <c r="T509" s="19" t="s">
        <v>36</v>
      </c>
      <c r="U509" s="20" t="s">
        <v>37</v>
      </c>
      <c r="V509" s="21" t="s">
        <v>38</v>
      </c>
      <c r="W509" s="22">
        <v>4</v>
      </c>
      <c r="X509" s="23"/>
    </row>
    <row r="510" spans="1:24" s="1" customFormat="1" ht="61.05" customHeight="1" x14ac:dyDescent="0.3">
      <c r="A510" s="24" t="s">
        <v>23</v>
      </c>
      <c r="B510" s="24" t="s">
        <v>587</v>
      </c>
      <c r="C510" s="12" t="s">
        <v>592</v>
      </c>
      <c r="D510" s="56"/>
      <c r="E510" s="41" t="str">
        <f>HYPERLINK("https://www.google.ru/search?q=1386558-308&amp;newwindow=1&amp;tbm=isch","Еще фото")</f>
        <v>Еще фото</v>
      </c>
      <c r="F510" s="13" t="s">
        <v>152</v>
      </c>
      <c r="G510" s="24" t="s">
        <v>28</v>
      </c>
      <c r="H510" s="24" t="s">
        <v>27</v>
      </c>
      <c r="I510" s="24" t="s">
        <v>28</v>
      </c>
      <c r="J510" s="14" t="s">
        <v>43</v>
      </c>
      <c r="K510" s="15" t="s">
        <v>30</v>
      </c>
      <c r="L510" s="58"/>
      <c r="M510" s="14" t="s">
        <v>32</v>
      </c>
      <c r="N510" s="14" t="s">
        <v>127</v>
      </c>
      <c r="O510" s="14"/>
      <c r="P510" s="15" t="s">
        <v>53</v>
      </c>
      <c r="Q510" s="16">
        <v>8699</v>
      </c>
      <c r="R510" s="17">
        <v>40</v>
      </c>
      <c r="S510" s="18">
        <v>6002.3099999999995</v>
      </c>
      <c r="T510" s="19" t="s">
        <v>36</v>
      </c>
      <c r="U510" s="20" t="s">
        <v>39</v>
      </c>
      <c r="V510" s="21" t="s">
        <v>40</v>
      </c>
      <c r="W510" s="22">
        <v>2</v>
      </c>
      <c r="X510" s="23"/>
    </row>
    <row r="511" spans="1:24" s="1" customFormat="1" ht="21" customHeight="1" x14ac:dyDescent="0.3">
      <c r="A511" s="11" t="s">
        <v>23</v>
      </c>
      <c r="B511" s="11" t="s">
        <v>587</v>
      </c>
      <c r="C511" s="26" t="s">
        <v>593</v>
      </c>
      <c r="D511" s="59"/>
      <c r="E511" s="41" t="str">
        <f>HYPERLINK("https://www.google.ru/search?q=1386558-338&amp;newwindow=1&amp;tbm=isch","Еще фото")</f>
        <v>Еще фото</v>
      </c>
      <c r="F511" s="13"/>
      <c r="G511" s="11" t="s">
        <v>28</v>
      </c>
      <c r="H511" s="11" t="s">
        <v>27</v>
      </c>
      <c r="I511" s="14" t="s">
        <v>28</v>
      </c>
      <c r="J511" s="14" t="s">
        <v>43</v>
      </c>
      <c r="K511" s="15" t="s">
        <v>30</v>
      </c>
      <c r="L511" s="57" t="s">
        <v>589</v>
      </c>
      <c r="M511" s="14"/>
      <c r="N511" s="14" t="s">
        <v>127</v>
      </c>
      <c r="O511" s="14"/>
      <c r="P511" s="15" t="s">
        <v>53</v>
      </c>
      <c r="Q511" s="16">
        <v>7699</v>
      </c>
      <c r="R511" s="17">
        <v>40</v>
      </c>
      <c r="S511" s="18">
        <v>5312.3099999999995</v>
      </c>
      <c r="T511" s="19" t="s">
        <v>36</v>
      </c>
      <c r="U511" s="20" t="s">
        <v>37</v>
      </c>
      <c r="V511" s="21" t="s">
        <v>38</v>
      </c>
      <c r="W511" s="22">
        <v>8</v>
      </c>
      <c r="X511" s="23"/>
    </row>
    <row r="512" spans="1:24" s="1" customFormat="1" ht="21" customHeight="1" x14ac:dyDescent="0.3">
      <c r="A512" s="24" t="s">
        <v>23</v>
      </c>
      <c r="B512" s="24" t="s">
        <v>587</v>
      </c>
      <c r="C512" s="27" t="s">
        <v>593</v>
      </c>
      <c r="D512" s="60"/>
      <c r="E512" s="41" t="str">
        <f>HYPERLINK("https://www.google.ru/search?q=1386558-338&amp;newwindow=1&amp;tbm=isch","Еще фото")</f>
        <v>Еще фото</v>
      </c>
      <c r="F512" s="13"/>
      <c r="G512" s="24" t="s">
        <v>28</v>
      </c>
      <c r="H512" s="24" t="s">
        <v>27</v>
      </c>
      <c r="I512" s="24" t="s">
        <v>28</v>
      </c>
      <c r="J512" s="14" t="s">
        <v>43</v>
      </c>
      <c r="K512" s="15" t="s">
        <v>30</v>
      </c>
      <c r="L512" s="62"/>
      <c r="M512" s="14"/>
      <c r="N512" s="14" t="s">
        <v>127</v>
      </c>
      <c r="O512" s="14"/>
      <c r="P512" s="15" t="s">
        <v>53</v>
      </c>
      <c r="Q512" s="16">
        <v>7699</v>
      </c>
      <c r="R512" s="17">
        <v>40</v>
      </c>
      <c r="S512" s="18">
        <v>5312.3099999999995</v>
      </c>
      <c r="T512" s="19" t="s">
        <v>36</v>
      </c>
      <c r="U512" s="20" t="s">
        <v>39</v>
      </c>
      <c r="V512" s="21" t="s">
        <v>40</v>
      </c>
      <c r="W512" s="22">
        <v>21</v>
      </c>
      <c r="X512" s="23"/>
    </row>
    <row r="513" spans="1:24" s="1" customFormat="1" ht="21" customHeight="1" x14ac:dyDescent="0.3">
      <c r="A513" s="24" t="s">
        <v>23</v>
      </c>
      <c r="B513" s="24" t="s">
        <v>587</v>
      </c>
      <c r="C513" s="27" t="s">
        <v>593</v>
      </c>
      <c r="D513" s="60"/>
      <c r="E513" s="41" t="str">
        <f>HYPERLINK("https://www.google.ru/search?q=1386558-338&amp;newwindow=1&amp;tbm=isch","Еще фото")</f>
        <v>Еще фото</v>
      </c>
      <c r="F513" s="13"/>
      <c r="G513" s="24" t="s">
        <v>28</v>
      </c>
      <c r="H513" s="24" t="s">
        <v>27</v>
      </c>
      <c r="I513" s="24" t="s">
        <v>28</v>
      </c>
      <c r="J513" s="14" t="s">
        <v>43</v>
      </c>
      <c r="K513" s="15" t="s">
        <v>30</v>
      </c>
      <c r="L513" s="62"/>
      <c r="M513" s="14"/>
      <c r="N513" s="14" t="s">
        <v>127</v>
      </c>
      <c r="O513" s="14"/>
      <c r="P513" s="15" t="s">
        <v>53</v>
      </c>
      <c r="Q513" s="16">
        <v>7699</v>
      </c>
      <c r="R513" s="17">
        <v>40</v>
      </c>
      <c r="S513" s="18">
        <v>5312.3099999999995</v>
      </c>
      <c r="T513" s="19" t="s">
        <v>36</v>
      </c>
      <c r="U513" s="20" t="s">
        <v>86</v>
      </c>
      <c r="V513" s="21" t="s">
        <v>87</v>
      </c>
      <c r="W513" s="22">
        <v>25</v>
      </c>
      <c r="X513" s="23"/>
    </row>
    <row r="514" spans="1:24" s="1" customFormat="1" ht="21" customHeight="1" x14ac:dyDescent="0.3">
      <c r="A514" s="24" t="s">
        <v>23</v>
      </c>
      <c r="B514" s="24" t="s">
        <v>587</v>
      </c>
      <c r="C514" s="27" t="s">
        <v>593</v>
      </c>
      <c r="D514" s="60"/>
      <c r="E514" s="41" t="str">
        <f>HYPERLINK("https://www.google.ru/search?q=1386558-338&amp;newwindow=1&amp;tbm=isch","Еще фото")</f>
        <v>Еще фото</v>
      </c>
      <c r="F514" s="13"/>
      <c r="G514" s="24" t="s">
        <v>28</v>
      </c>
      <c r="H514" s="24" t="s">
        <v>27</v>
      </c>
      <c r="I514" s="24" t="s">
        <v>28</v>
      </c>
      <c r="J514" s="14" t="s">
        <v>43</v>
      </c>
      <c r="K514" s="15" t="s">
        <v>30</v>
      </c>
      <c r="L514" s="62"/>
      <c r="M514" s="14"/>
      <c r="N514" s="14" t="s">
        <v>127</v>
      </c>
      <c r="O514" s="14"/>
      <c r="P514" s="15" t="s">
        <v>53</v>
      </c>
      <c r="Q514" s="16">
        <v>7699</v>
      </c>
      <c r="R514" s="17">
        <v>40</v>
      </c>
      <c r="S514" s="18">
        <v>5312.3099999999995</v>
      </c>
      <c r="T514" s="19" t="s">
        <v>36</v>
      </c>
      <c r="U514" s="20" t="s">
        <v>88</v>
      </c>
      <c r="V514" s="21" t="s">
        <v>89</v>
      </c>
      <c r="W514" s="22">
        <v>12</v>
      </c>
      <c r="X514" s="23"/>
    </row>
    <row r="515" spans="1:24" s="1" customFormat="1" ht="32" customHeight="1" x14ac:dyDescent="0.3">
      <c r="A515" s="24" t="s">
        <v>23</v>
      </c>
      <c r="B515" s="24" t="s">
        <v>587</v>
      </c>
      <c r="C515" s="27" t="s">
        <v>593</v>
      </c>
      <c r="D515" s="61"/>
      <c r="E515" s="41" t="str">
        <f>HYPERLINK("https://www.google.ru/search?q=1386558-338&amp;newwindow=1&amp;tbm=isch","Еще фото")</f>
        <v>Еще фото</v>
      </c>
      <c r="F515" s="13"/>
      <c r="G515" s="24" t="s">
        <v>28</v>
      </c>
      <c r="H515" s="24" t="s">
        <v>27</v>
      </c>
      <c r="I515" s="24" t="s">
        <v>28</v>
      </c>
      <c r="J515" s="14" t="s">
        <v>43</v>
      </c>
      <c r="K515" s="15" t="s">
        <v>30</v>
      </c>
      <c r="L515" s="58"/>
      <c r="M515" s="14"/>
      <c r="N515" s="14" t="s">
        <v>127</v>
      </c>
      <c r="O515" s="14"/>
      <c r="P515" s="15" t="s">
        <v>53</v>
      </c>
      <c r="Q515" s="16">
        <v>7699</v>
      </c>
      <c r="R515" s="17">
        <v>40</v>
      </c>
      <c r="S515" s="18">
        <v>5312.3099999999995</v>
      </c>
      <c r="T515" s="19" t="s">
        <v>36</v>
      </c>
      <c r="U515" s="20" t="s">
        <v>90</v>
      </c>
      <c r="V515" s="21" t="s">
        <v>91</v>
      </c>
      <c r="W515" s="22">
        <v>9</v>
      </c>
      <c r="X515" s="23"/>
    </row>
    <row r="516" spans="1:24" s="1" customFormat="1" ht="108" customHeight="1" x14ac:dyDescent="0.3">
      <c r="A516" s="11" t="s">
        <v>23</v>
      </c>
      <c r="B516" s="11" t="s">
        <v>594</v>
      </c>
      <c r="C516" s="12" t="s">
        <v>595</v>
      </c>
      <c r="D516" s="25"/>
      <c r="E516" s="41" t="str">
        <f>HYPERLINK("https://www.google.ru/search?q=1386899-273&amp;newwindow=1&amp;tbm=isch","Еще фото")</f>
        <v>Еще фото</v>
      </c>
      <c r="F516" s="13"/>
      <c r="G516" s="11" t="s">
        <v>28</v>
      </c>
      <c r="H516" s="11" t="s">
        <v>27</v>
      </c>
      <c r="I516" s="14" t="s">
        <v>28</v>
      </c>
      <c r="J516" s="14" t="s">
        <v>29</v>
      </c>
      <c r="K516" s="15" t="s">
        <v>30</v>
      </c>
      <c r="L516" s="14" t="s">
        <v>596</v>
      </c>
      <c r="M516" s="14"/>
      <c r="N516" s="14" t="s">
        <v>84</v>
      </c>
      <c r="O516" s="14"/>
      <c r="P516" s="15" t="s">
        <v>302</v>
      </c>
      <c r="Q516" s="16">
        <v>19399</v>
      </c>
      <c r="R516" s="17">
        <v>40</v>
      </c>
      <c r="S516" s="18">
        <v>13385.309999999998</v>
      </c>
      <c r="T516" s="19" t="s">
        <v>36</v>
      </c>
      <c r="U516" s="20" t="s">
        <v>39</v>
      </c>
      <c r="V516" s="21" t="s">
        <v>40</v>
      </c>
      <c r="W516" s="22">
        <v>2</v>
      </c>
      <c r="X516" s="23"/>
    </row>
    <row r="517" spans="1:24" s="1" customFormat="1" ht="35" customHeight="1" x14ac:dyDescent="0.3">
      <c r="A517" s="11" t="s">
        <v>23</v>
      </c>
      <c r="B517" s="11" t="s">
        <v>597</v>
      </c>
      <c r="C517" s="12" t="s">
        <v>598</v>
      </c>
      <c r="D517" s="59"/>
      <c r="E517" s="41" t="str">
        <f>HYPERLINK("https://www.google.ru/search?q=1388647-410&amp;newwindow=1&amp;tbm=isch","Еще фото")</f>
        <v>Еще фото</v>
      </c>
      <c r="F517" s="13"/>
      <c r="G517" s="11" t="s">
        <v>77</v>
      </c>
      <c r="H517" s="11" t="s">
        <v>27</v>
      </c>
      <c r="I517" s="14" t="s">
        <v>28</v>
      </c>
      <c r="J517" s="14" t="s">
        <v>29</v>
      </c>
      <c r="K517" s="15" t="s">
        <v>59</v>
      </c>
      <c r="L517" s="57" t="s">
        <v>599</v>
      </c>
      <c r="M517" s="14"/>
      <c r="N517" s="14" t="s">
        <v>115</v>
      </c>
      <c r="O517" s="14"/>
      <c r="P517" s="15" t="s">
        <v>508</v>
      </c>
      <c r="Q517" s="16">
        <v>4799</v>
      </c>
      <c r="R517" s="17">
        <v>40</v>
      </c>
      <c r="S517" s="18">
        <v>3311.31</v>
      </c>
      <c r="T517" s="19" t="s">
        <v>36</v>
      </c>
      <c r="U517" s="20" t="s">
        <v>63</v>
      </c>
      <c r="V517" s="21" t="s">
        <v>64</v>
      </c>
      <c r="W517" s="22">
        <v>5</v>
      </c>
      <c r="X517" s="23"/>
    </row>
    <row r="518" spans="1:24" s="1" customFormat="1" ht="35" customHeight="1" x14ac:dyDescent="0.3">
      <c r="A518" s="24" t="s">
        <v>23</v>
      </c>
      <c r="B518" s="24" t="s">
        <v>597</v>
      </c>
      <c r="C518" s="12" t="s">
        <v>598</v>
      </c>
      <c r="D518" s="60"/>
      <c r="E518" s="41" t="str">
        <f>HYPERLINK("https://www.google.ru/search?q=1388647-410&amp;newwindow=1&amp;tbm=isch","Еще фото")</f>
        <v>Еще фото</v>
      </c>
      <c r="F518" s="13"/>
      <c r="G518" s="24" t="s">
        <v>77</v>
      </c>
      <c r="H518" s="24" t="s">
        <v>27</v>
      </c>
      <c r="I518" s="24" t="s">
        <v>28</v>
      </c>
      <c r="J518" s="14" t="s">
        <v>29</v>
      </c>
      <c r="K518" s="15" t="s">
        <v>59</v>
      </c>
      <c r="L518" s="62"/>
      <c r="M518" s="14"/>
      <c r="N518" s="14" t="s">
        <v>115</v>
      </c>
      <c r="O518" s="14"/>
      <c r="P518" s="15" t="s">
        <v>508</v>
      </c>
      <c r="Q518" s="16">
        <v>4799</v>
      </c>
      <c r="R518" s="17">
        <v>40</v>
      </c>
      <c r="S518" s="18">
        <v>3311.31</v>
      </c>
      <c r="T518" s="19" t="s">
        <v>36</v>
      </c>
      <c r="U518" s="20" t="s">
        <v>39</v>
      </c>
      <c r="V518" s="21" t="s">
        <v>85</v>
      </c>
      <c r="W518" s="22">
        <v>4</v>
      </c>
      <c r="X518" s="23"/>
    </row>
    <row r="519" spans="1:24" s="1" customFormat="1" ht="37.049999999999997" customHeight="1" x14ac:dyDescent="0.3">
      <c r="A519" s="24" t="s">
        <v>23</v>
      </c>
      <c r="B519" s="24" t="s">
        <v>597</v>
      </c>
      <c r="C519" s="12" t="s">
        <v>598</v>
      </c>
      <c r="D519" s="61"/>
      <c r="E519" s="41" t="str">
        <f>HYPERLINK("https://www.google.ru/search?q=1388647-410&amp;newwindow=1&amp;tbm=isch","Еще фото")</f>
        <v>Еще фото</v>
      </c>
      <c r="F519" s="13"/>
      <c r="G519" s="24" t="s">
        <v>77</v>
      </c>
      <c r="H519" s="24" t="s">
        <v>27</v>
      </c>
      <c r="I519" s="24" t="s">
        <v>28</v>
      </c>
      <c r="J519" s="14" t="s">
        <v>29</v>
      </c>
      <c r="K519" s="15" t="s">
        <v>59</v>
      </c>
      <c r="L519" s="58"/>
      <c r="M519" s="14"/>
      <c r="N519" s="14" t="s">
        <v>115</v>
      </c>
      <c r="O519" s="14"/>
      <c r="P519" s="15" t="s">
        <v>508</v>
      </c>
      <c r="Q519" s="16">
        <v>4799</v>
      </c>
      <c r="R519" s="17">
        <v>40</v>
      </c>
      <c r="S519" s="18">
        <v>3311.31</v>
      </c>
      <c r="T519" s="19" t="s">
        <v>36</v>
      </c>
      <c r="U519" s="20" t="s">
        <v>86</v>
      </c>
      <c r="V519" s="21" t="s">
        <v>38</v>
      </c>
      <c r="W519" s="22">
        <v>3</v>
      </c>
      <c r="X519" s="23"/>
    </row>
    <row r="520" spans="1:24" s="1" customFormat="1" ht="52.05" customHeight="1" x14ac:dyDescent="0.3">
      <c r="A520" s="11" t="s">
        <v>23</v>
      </c>
      <c r="B520" s="11" t="s">
        <v>600</v>
      </c>
      <c r="C520" s="12" t="s">
        <v>601</v>
      </c>
      <c r="D520" s="55"/>
      <c r="E520" s="41" t="str">
        <f>HYPERLINK("https://www.google.ru/search?q=1388649-338&amp;newwindow=1&amp;tbm=isch","Еще фото")</f>
        <v>Еще фото</v>
      </c>
      <c r="F520" s="13"/>
      <c r="G520" s="11" t="s">
        <v>77</v>
      </c>
      <c r="H520" s="11" t="s">
        <v>27</v>
      </c>
      <c r="I520" s="14" t="s">
        <v>28</v>
      </c>
      <c r="J520" s="14" t="s">
        <v>29</v>
      </c>
      <c r="K520" s="15" t="s">
        <v>59</v>
      </c>
      <c r="L520" s="57" t="s">
        <v>602</v>
      </c>
      <c r="M520" s="14"/>
      <c r="N520" s="14" t="s">
        <v>127</v>
      </c>
      <c r="O520" s="14"/>
      <c r="P520" s="15" t="s">
        <v>508</v>
      </c>
      <c r="Q520" s="16">
        <v>5099</v>
      </c>
      <c r="R520" s="17">
        <v>40</v>
      </c>
      <c r="S520" s="18">
        <v>3518.31</v>
      </c>
      <c r="T520" s="19" t="s">
        <v>36</v>
      </c>
      <c r="U520" s="20" t="s">
        <v>63</v>
      </c>
      <c r="V520" s="21" t="s">
        <v>64</v>
      </c>
      <c r="W520" s="22">
        <v>7</v>
      </c>
      <c r="X520" s="23"/>
    </row>
    <row r="521" spans="1:24" s="1" customFormat="1" ht="61.05" customHeight="1" x14ac:dyDescent="0.3">
      <c r="A521" s="24" t="s">
        <v>23</v>
      </c>
      <c r="B521" s="24" t="s">
        <v>600</v>
      </c>
      <c r="C521" s="12" t="s">
        <v>601</v>
      </c>
      <c r="D521" s="56"/>
      <c r="E521" s="41" t="str">
        <f>HYPERLINK("https://www.google.ru/search?q=1388649-338&amp;newwindow=1&amp;tbm=isch","Еще фото")</f>
        <v>Еще фото</v>
      </c>
      <c r="F521" s="13"/>
      <c r="G521" s="24" t="s">
        <v>77</v>
      </c>
      <c r="H521" s="24" t="s">
        <v>27</v>
      </c>
      <c r="I521" s="24" t="s">
        <v>28</v>
      </c>
      <c r="J521" s="14" t="s">
        <v>29</v>
      </c>
      <c r="K521" s="15" t="s">
        <v>59</v>
      </c>
      <c r="L521" s="58"/>
      <c r="M521" s="14"/>
      <c r="N521" s="14" t="s">
        <v>127</v>
      </c>
      <c r="O521" s="14"/>
      <c r="P521" s="15" t="s">
        <v>508</v>
      </c>
      <c r="Q521" s="16">
        <v>5099</v>
      </c>
      <c r="R521" s="17">
        <v>40</v>
      </c>
      <c r="S521" s="18">
        <v>3518.31</v>
      </c>
      <c r="T521" s="19" t="s">
        <v>36</v>
      </c>
      <c r="U521" s="20" t="s">
        <v>86</v>
      </c>
      <c r="V521" s="21" t="s">
        <v>38</v>
      </c>
      <c r="W521" s="22">
        <v>6</v>
      </c>
      <c r="X521" s="23"/>
    </row>
    <row r="522" spans="1:24" s="1" customFormat="1" ht="52.05" customHeight="1" x14ac:dyDescent="0.3">
      <c r="A522" s="11" t="s">
        <v>23</v>
      </c>
      <c r="B522" s="11" t="s">
        <v>603</v>
      </c>
      <c r="C522" s="12" t="s">
        <v>604</v>
      </c>
      <c r="D522" s="55"/>
      <c r="E522" s="41" t="str">
        <f>HYPERLINK("https://www.google.ru/search?q=1388693-348&amp;newwindow=1&amp;tbm=isch","Еще фото")</f>
        <v>Еще фото</v>
      </c>
      <c r="F522" s="13"/>
      <c r="G522" s="11" t="s">
        <v>77</v>
      </c>
      <c r="H522" s="11" t="s">
        <v>27</v>
      </c>
      <c r="I522" s="14" t="s">
        <v>28</v>
      </c>
      <c r="J522" s="14" t="s">
        <v>29</v>
      </c>
      <c r="K522" s="15" t="s">
        <v>59</v>
      </c>
      <c r="L522" s="57" t="s">
        <v>605</v>
      </c>
      <c r="M522" s="14"/>
      <c r="N522" s="14" t="s">
        <v>127</v>
      </c>
      <c r="O522" s="14"/>
      <c r="P522" s="15" t="s">
        <v>53</v>
      </c>
      <c r="Q522" s="16">
        <v>4499</v>
      </c>
      <c r="R522" s="17">
        <v>40</v>
      </c>
      <c r="S522" s="18">
        <v>3104.31</v>
      </c>
      <c r="T522" s="19" t="s">
        <v>36</v>
      </c>
      <c r="U522" s="20" t="s">
        <v>39</v>
      </c>
      <c r="V522" s="21" t="s">
        <v>85</v>
      </c>
      <c r="W522" s="22">
        <v>3</v>
      </c>
      <c r="X522" s="23"/>
    </row>
    <row r="523" spans="1:24" s="1" customFormat="1" ht="61.05" customHeight="1" x14ac:dyDescent="0.3">
      <c r="A523" s="24" t="s">
        <v>23</v>
      </c>
      <c r="B523" s="24" t="s">
        <v>603</v>
      </c>
      <c r="C523" s="12" t="s">
        <v>604</v>
      </c>
      <c r="D523" s="56"/>
      <c r="E523" s="41" t="str">
        <f>HYPERLINK("https://www.google.ru/search?q=1388693-348&amp;newwindow=1&amp;tbm=isch","Еще фото")</f>
        <v>Еще фото</v>
      </c>
      <c r="F523" s="13"/>
      <c r="G523" s="24" t="s">
        <v>77</v>
      </c>
      <c r="H523" s="24" t="s">
        <v>27</v>
      </c>
      <c r="I523" s="24" t="s">
        <v>28</v>
      </c>
      <c r="J523" s="14" t="s">
        <v>29</v>
      </c>
      <c r="K523" s="15" t="s">
        <v>59</v>
      </c>
      <c r="L523" s="58"/>
      <c r="M523" s="14"/>
      <c r="N523" s="14" t="s">
        <v>127</v>
      </c>
      <c r="O523" s="14"/>
      <c r="P523" s="15" t="s">
        <v>53</v>
      </c>
      <c r="Q523" s="16">
        <v>4499</v>
      </c>
      <c r="R523" s="17">
        <v>40</v>
      </c>
      <c r="S523" s="18">
        <v>3104.31</v>
      </c>
      <c r="T523" s="19" t="s">
        <v>36</v>
      </c>
      <c r="U523" s="20" t="s">
        <v>86</v>
      </c>
      <c r="V523" s="21" t="s">
        <v>38</v>
      </c>
      <c r="W523" s="22">
        <v>5</v>
      </c>
      <c r="X523" s="23"/>
    </row>
    <row r="524" spans="1:24" s="1" customFormat="1" ht="108" customHeight="1" x14ac:dyDescent="0.3">
      <c r="A524" s="11" t="s">
        <v>23</v>
      </c>
      <c r="B524" s="11" t="s">
        <v>606</v>
      </c>
      <c r="C524" s="12" t="s">
        <v>607</v>
      </c>
      <c r="D524" s="25"/>
      <c r="E524" s="41" t="str">
        <f>HYPERLINK("https://www.google.ru/search?q=1388823-001&amp;newwindow=1&amp;tbm=isch","Еще фото")</f>
        <v>Еще фото</v>
      </c>
      <c r="F524" s="13" t="s">
        <v>103</v>
      </c>
      <c r="G524" s="11" t="s">
        <v>28</v>
      </c>
      <c r="H524" s="11" t="s">
        <v>27</v>
      </c>
      <c r="I524" s="14" t="s">
        <v>28</v>
      </c>
      <c r="J524" s="14" t="s">
        <v>29</v>
      </c>
      <c r="K524" s="15" t="s">
        <v>30</v>
      </c>
      <c r="L524" s="14" t="s">
        <v>608</v>
      </c>
      <c r="M524" s="14" t="s">
        <v>32</v>
      </c>
      <c r="N524" s="14" t="s">
        <v>33</v>
      </c>
      <c r="O524" s="14"/>
      <c r="P524" s="15" t="s">
        <v>213</v>
      </c>
      <c r="Q524" s="16">
        <v>7599</v>
      </c>
      <c r="R524" s="17">
        <v>40</v>
      </c>
      <c r="S524" s="18">
        <v>5243.3099999999995</v>
      </c>
      <c r="T524" s="19" t="s">
        <v>36</v>
      </c>
      <c r="U524" s="20" t="s">
        <v>86</v>
      </c>
      <c r="V524" s="21" t="s">
        <v>87</v>
      </c>
      <c r="W524" s="22">
        <v>1</v>
      </c>
      <c r="X524" s="23"/>
    </row>
    <row r="525" spans="1:24" s="1" customFormat="1" ht="108" customHeight="1" x14ac:dyDescent="0.3">
      <c r="A525" s="11" t="s">
        <v>23</v>
      </c>
      <c r="B525" s="11" t="s">
        <v>609</v>
      </c>
      <c r="C525" s="12" t="s">
        <v>610</v>
      </c>
      <c r="D525" s="25"/>
      <c r="E525" s="41" t="str">
        <f>HYPERLINK("https://www.google.ru/search?q=1388823-005&amp;newwindow=1&amp;tbm=isch","Еще фото")</f>
        <v>Еще фото</v>
      </c>
      <c r="F525" s="13" t="s">
        <v>152</v>
      </c>
      <c r="G525" s="11" t="s">
        <v>28</v>
      </c>
      <c r="H525" s="11" t="s">
        <v>27</v>
      </c>
      <c r="I525" s="14" t="s">
        <v>28</v>
      </c>
      <c r="J525" s="14" t="s">
        <v>43</v>
      </c>
      <c r="K525" s="15" t="s">
        <v>30</v>
      </c>
      <c r="L525" s="14" t="s">
        <v>608</v>
      </c>
      <c r="M525" s="14" t="s">
        <v>32</v>
      </c>
      <c r="N525" s="14" t="s">
        <v>33</v>
      </c>
      <c r="O525" s="14"/>
      <c r="P525" s="15" t="s">
        <v>213</v>
      </c>
      <c r="Q525" s="16">
        <v>8999</v>
      </c>
      <c r="R525" s="17">
        <v>40</v>
      </c>
      <c r="S525" s="18">
        <v>6209.3099999999995</v>
      </c>
      <c r="T525" s="19" t="s">
        <v>36</v>
      </c>
      <c r="U525" s="20" t="s">
        <v>37</v>
      </c>
      <c r="V525" s="21" t="s">
        <v>38</v>
      </c>
      <c r="W525" s="22">
        <v>3</v>
      </c>
      <c r="X525" s="23"/>
    </row>
    <row r="526" spans="1:24" s="1" customFormat="1" ht="35" customHeight="1" x14ac:dyDescent="0.3">
      <c r="A526" s="11" t="s">
        <v>23</v>
      </c>
      <c r="B526" s="11" t="s">
        <v>606</v>
      </c>
      <c r="C526" s="12" t="s">
        <v>611</v>
      </c>
      <c r="D526" s="59"/>
      <c r="E526" s="41" t="str">
        <f>HYPERLINK("https://www.google.ru/search?q=1388823-014&amp;newwindow=1&amp;tbm=isch","Еще фото")</f>
        <v>Еще фото</v>
      </c>
      <c r="F526" s="13" t="s">
        <v>152</v>
      </c>
      <c r="G526" s="11" t="s">
        <v>28</v>
      </c>
      <c r="H526" s="11" t="s">
        <v>27</v>
      </c>
      <c r="I526" s="14" t="s">
        <v>28</v>
      </c>
      <c r="J526" s="14" t="s">
        <v>29</v>
      </c>
      <c r="K526" s="15" t="s">
        <v>30</v>
      </c>
      <c r="L526" s="57" t="s">
        <v>608</v>
      </c>
      <c r="M526" s="14" t="s">
        <v>32</v>
      </c>
      <c r="N526" s="14" t="s">
        <v>84</v>
      </c>
      <c r="O526" s="14"/>
      <c r="P526" s="15" t="s">
        <v>213</v>
      </c>
      <c r="Q526" s="16">
        <v>9699</v>
      </c>
      <c r="R526" s="17">
        <v>40</v>
      </c>
      <c r="S526" s="18">
        <v>6692.3099999999995</v>
      </c>
      <c r="T526" s="19" t="s">
        <v>36</v>
      </c>
      <c r="U526" s="20" t="s">
        <v>37</v>
      </c>
      <c r="V526" s="21" t="s">
        <v>38</v>
      </c>
      <c r="W526" s="22">
        <v>8</v>
      </c>
      <c r="X526" s="23"/>
    </row>
    <row r="527" spans="1:24" s="1" customFormat="1" ht="35" customHeight="1" x14ac:dyDescent="0.3">
      <c r="A527" s="24" t="s">
        <v>23</v>
      </c>
      <c r="B527" s="24" t="s">
        <v>606</v>
      </c>
      <c r="C527" s="12" t="s">
        <v>611</v>
      </c>
      <c r="D527" s="60"/>
      <c r="E527" s="41" t="str">
        <f>HYPERLINK("https://www.google.ru/search?q=1388823-014&amp;newwindow=1&amp;tbm=isch","Еще фото")</f>
        <v>Еще фото</v>
      </c>
      <c r="F527" s="13" t="s">
        <v>152</v>
      </c>
      <c r="G527" s="24" t="s">
        <v>28</v>
      </c>
      <c r="H527" s="24" t="s">
        <v>27</v>
      </c>
      <c r="I527" s="24" t="s">
        <v>28</v>
      </c>
      <c r="J527" s="14" t="s">
        <v>29</v>
      </c>
      <c r="K527" s="15" t="s">
        <v>30</v>
      </c>
      <c r="L527" s="62"/>
      <c r="M527" s="14" t="s">
        <v>32</v>
      </c>
      <c r="N527" s="14" t="s">
        <v>84</v>
      </c>
      <c r="O527" s="14"/>
      <c r="P527" s="15" t="s">
        <v>213</v>
      </c>
      <c r="Q527" s="16">
        <v>9699</v>
      </c>
      <c r="R527" s="17">
        <v>40</v>
      </c>
      <c r="S527" s="18">
        <v>6692.3099999999995</v>
      </c>
      <c r="T527" s="19" t="s">
        <v>36</v>
      </c>
      <c r="U527" s="20" t="s">
        <v>39</v>
      </c>
      <c r="V527" s="21" t="s">
        <v>40</v>
      </c>
      <c r="W527" s="22">
        <v>4</v>
      </c>
      <c r="X527" s="23"/>
    </row>
    <row r="528" spans="1:24" s="1" customFormat="1" ht="37.049999999999997" customHeight="1" x14ac:dyDescent="0.3">
      <c r="A528" s="24" t="s">
        <v>23</v>
      </c>
      <c r="B528" s="24" t="s">
        <v>606</v>
      </c>
      <c r="C528" s="12" t="s">
        <v>611</v>
      </c>
      <c r="D528" s="61"/>
      <c r="E528" s="41" t="str">
        <f>HYPERLINK("https://www.google.ru/search?q=1388823-014&amp;newwindow=1&amp;tbm=isch","Еще фото")</f>
        <v>Еще фото</v>
      </c>
      <c r="F528" s="13" t="s">
        <v>152</v>
      </c>
      <c r="G528" s="24" t="s">
        <v>28</v>
      </c>
      <c r="H528" s="24" t="s">
        <v>27</v>
      </c>
      <c r="I528" s="24" t="s">
        <v>28</v>
      </c>
      <c r="J528" s="14" t="s">
        <v>29</v>
      </c>
      <c r="K528" s="15" t="s">
        <v>30</v>
      </c>
      <c r="L528" s="58"/>
      <c r="M528" s="14" t="s">
        <v>32</v>
      </c>
      <c r="N528" s="14" t="s">
        <v>84</v>
      </c>
      <c r="O528" s="14"/>
      <c r="P528" s="15" t="s">
        <v>213</v>
      </c>
      <c r="Q528" s="16">
        <v>9699</v>
      </c>
      <c r="R528" s="17">
        <v>40</v>
      </c>
      <c r="S528" s="18">
        <v>6692.3099999999995</v>
      </c>
      <c r="T528" s="19" t="s">
        <v>36</v>
      </c>
      <c r="U528" s="20" t="s">
        <v>86</v>
      </c>
      <c r="V528" s="21" t="s">
        <v>87</v>
      </c>
      <c r="W528" s="22">
        <v>4</v>
      </c>
      <c r="X528" s="23"/>
    </row>
    <row r="529" spans="1:24" s="1" customFormat="1" ht="13.05" customHeight="1" x14ac:dyDescent="0.3">
      <c r="A529" s="11" t="s">
        <v>23</v>
      </c>
      <c r="B529" s="11" t="s">
        <v>609</v>
      </c>
      <c r="C529" s="12" t="s">
        <v>612</v>
      </c>
      <c r="D529" s="59"/>
      <c r="E529" s="41" t="str">
        <f t="shared" ref="E529:E536" si="14">HYPERLINK("https://www.google.ru/search?q=1388823-299&amp;newwindow=1&amp;tbm=isch","Еще фото")</f>
        <v>Еще фото</v>
      </c>
      <c r="F529" s="13" t="s">
        <v>103</v>
      </c>
      <c r="G529" s="11" t="s">
        <v>28</v>
      </c>
      <c r="H529" s="11" t="s">
        <v>27</v>
      </c>
      <c r="I529" s="14" t="s">
        <v>28</v>
      </c>
      <c r="J529" s="14" t="s">
        <v>43</v>
      </c>
      <c r="K529" s="15" t="s">
        <v>30</v>
      </c>
      <c r="L529" s="57" t="s">
        <v>608</v>
      </c>
      <c r="M529" s="14"/>
      <c r="N529" s="14" t="s">
        <v>229</v>
      </c>
      <c r="O529" s="14"/>
      <c r="P529" s="15" t="s">
        <v>213</v>
      </c>
      <c r="Q529" s="16">
        <v>7599</v>
      </c>
      <c r="R529" s="17">
        <v>40</v>
      </c>
      <c r="S529" s="18">
        <v>5243.3099999999995</v>
      </c>
      <c r="T529" s="19" t="s">
        <v>36</v>
      </c>
      <c r="U529" s="33" t="s">
        <v>37</v>
      </c>
      <c r="V529" s="21" t="s">
        <v>38</v>
      </c>
      <c r="W529" s="22">
        <v>5</v>
      </c>
      <c r="X529" s="23"/>
    </row>
    <row r="530" spans="1:24" s="1" customFormat="1" ht="13.05" customHeight="1" x14ac:dyDescent="0.3">
      <c r="A530" s="24" t="s">
        <v>23</v>
      </c>
      <c r="B530" s="24" t="s">
        <v>609</v>
      </c>
      <c r="C530" s="12" t="s">
        <v>612</v>
      </c>
      <c r="D530" s="60"/>
      <c r="E530" s="41" t="str">
        <f t="shared" si="14"/>
        <v>Еще фото</v>
      </c>
      <c r="F530" s="13" t="s">
        <v>103</v>
      </c>
      <c r="G530" s="24" t="s">
        <v>28</v>
      </c>
      <c r="H530" s="24" t="s">
        <v>27</v>
      </c>
      <c r="I530" s="24" t="s">
        <v>28</v>
      </c>
      <c r="J530" s="14" t="s">
        <v>43</v>
      </c>
      <c r="K530" s="15" t="s">
        <v>30</v>
      </c>
      <c r="L530" s="62"/>
      <c r="M530" s="14"/>
      <c r="N530" s="14" t="s">
        <v>229</v>
      </c>
      <c r="O530" s="14"/>
      <c r="P530" s="15" t="s">
        <v>213</v>
      </c>
      <c r="Q530" s="16">
        <v>7599</v>
      </c>
      <c r="R530" s="17">
        <v>40</v>
      </c>
      <c r="S530" s="18">
        <v>5243.3099999999995</v>
      </c>
      <c r="T530" s="19" t="s">
        <v>36</v>
      </c>
      <c r="U530" s="20" t="s">
        <v>39</v>
      </c>
      <c r="V530" s="21" t="s">
        <v>40</v>
      </c>
      <c r="W530" s="22">
        <v>12</v>
      </c>
      <c r="X530" s="23"/>
    </row>
    <row r="531" spans="1:24" s="1" customFormat="1" ht="13.05" customHeight="1" x14ac:dyDescent="0.3">
      <c r="A531" s="24" t="s">
        <v>23</v>
      </c>
      <c r="B531" s="24" t="s">
        <v>609</v>
      </c>
      <c r="C531" s="12" t="s">
        <v>612</v>
      </c>
      <c r="D531" s="60"/>
      <c r="E531" s="41" t="str">
        <f t="shared" si="14"/>
        <v>Еще фото</v>
      </c>
      <c r="F531" s="13" t="s">
        <v>103</v>
      </c>
      <c r="G531" s="24" t="s">
        <v>28</v>
      </c>
      <c r="H531" s="24" t="s">
        <v>27</v>
      </c>
      <c r="I531" s="24" t="s">
        <v>28</v>
      </c>
      <c r="J531" s="14" t="s">
        <v>43</v>
      </c>
      <c r="K531" s="15" t="s">
        <v>30</v>
      </c>
      <c r="L531" s="62"/>
      <c r="M531" s="14"/>
      <c r="N531" s="14" t="s">
        <v>229</v>
      </c>
      <c r="O531" s="14"/>
      <c r="P531" s="15" t="s">
        <v>213</v>
      </c>
      <c r="Q531" s="16">
        <v>7599</v>
      </c>
      <c r="R531" s="17">
        <v>40</v>
      </c>
      <c r="S531" s="18">
        <v>5243.3099999999995</v>
      </c>
      <c r="T531" s="19" t="s">
        <v>36</v>
      </c>
      <c r="U531" s="20" t="s">
        <v>86</v>
      </c>
      <c r="V531" s="21" t="s">
        <v>87</v>
      </c>
      <c r="W531" s="22">
        <v>4</v>
      </c>
      <c r="X531" s="23"/>
    </row>
    <row r="532" spans="1:24" s="1" customFormat="1" ht="13.05" customHeight="1" x14ac:dyDescent="0.3">
      <c r="A532" s="24" t="s">
        <v>23</v>
      </c>
      <c r="B532" s="24" t="s">
        <v>609</v>
      </c>
      <c r="C532" s="12" t="s">
        <v>612</v>
      </c>
      <c r="D532" s="60"/>
      <c r="E532" s="41" t="str">
        <f t="shared" si="14"/>
        <v>Еще фото</v>
      </c>
      <c r="F532" s="13" t="s">
        <v>103</v>
      </c>
      <c r="G532" s="24" t="s">
        <v>28</v>
      </c>
      <c r="H532" s="24" t="s">
        <v>27</v>
      </c>
      <c r="I532" s="24" t="s">
        <v>28</v>
      </c>
      <c r="J532" s="14" t="s">
        <v>43</v>
      </c>
      <c r="K532" s="15" t="s">
        <v>30</v>
      </c>
      <c r="L532" s="62"/>
      <c r="M532" s="14"/>
      <c r="N532" s="14" t="s">
        <v>229</v>
      </c>
      <c r="O532" s="14"/>
      <c r="P532" s="15" t="s">
        <v>213</v>
      </c>
      <c r="Q532" s="16">
        <v>7599</v>
      </c>
      <c r="R532" s="17">
        <v>40</v>
      </c>
      <c r="S532" s="18">
        <v>5243.3099999999995</v>
      </c>
      <c r="T532" s="19" t="s">
        <v>36</v>
      </c>
      <c r="U532" s="20" t="s">
        <v>88</v>
      </c>
      <c r="V532" s="21" t="s">
        <v>89</v>
      </c>
      <c r="W532" s="22">
        <v>2</v>
      </c>
      <c r="X532" s="23"/>
    </row>
    <row r="533" spans="1:24" s="1" customFormat="1" ht="13.05" customHeight="1" x14ac:dyDescent="0.3">
      <c r="A533" s="24" t="s">
        <v>23</v>
      </c>
      <c r="B533" s="24" t="s">
        <v>609</v>
      </c>
      <c r="C533" s="12" t="s">
        <v>612</v>
      </c>
      <c r="D533" s="60"/>
      <c r="E533" s="41" t="str">
        <f t="shared" si="14"/>
        <v>Еще фото</v>
      </c>
      <c r="F533" s="13" t="s">
        <v>103</v>
      </c>
      <c r="G533" s="24" t="s">
        <v>28</v>
      </c>
      <c r="H533" s="24" t="s">
        <v>27</v>
      </c>
      <c r="I533" s="24" t="s">
        <v>28</v>
      </c>
      <c r="J533" s="14" t="s">
        <v>43</v>
      </c>
      <c r="K533" s="15" t="s">
        <v>30</v>
      </c>
      <c r="L533" s="62"/>
      <c r="M533" s="14"/>
      <c r="N533" s="14" t="s">
        <v>229</v>
      </c>
      <c r="O533" s="14"/>
      <c r="P533" s="15" t="s">
        <v>213</v>
      </c>
      <c r="Q533" s="16">
        <v>7599</v>
      </c>
      <c r="R533" s="17">
        <v>40</v>
      </c>
      <c r="S533" s="18">
        <v>5243.3099999999995</v>
      </c>
      <c r="T533" s="19" t="s">
        <v>36</v>
      </c>
      <c r="U533" s="20" t="s">
        <v>90</v>
      </c>
      <c r="V533" s="21" t="s">
        <v>91</v>
      </c>
      <c r="W533" s="22">
        <v>3</v>
      </c>
      <c r="X533" s="23"/>
    </row>
    <row r="534" spans="1:24" s="1" customFormat="1" ht="13.05" customHeight="1" x14ac:dyDescent="0.3">
      <c r="A534" s="24" t="s">
        <v>23</v>
      </c>
      <c r="B534" s="24" t="s">
        <v>609</v>
      </c>
      <c r="C534" s="12" t="s">
        <v>612</v>
      </c>
      <c r="D534" s="60"/>
      <c r="E534" s="41" t="str">
        <f t="shared" si="14"/>
        <v>Еще фото</v>
      </c>
      <c r="F534" s="13" t="s">
        <v>103</v>
      </c>
      <c r="G534" s="24" t="s">
        <v>28</v>
      </c>
      <c r="H534" s="24" t="s">
        <v>27</v>
      </c>
      <c r="I534" s="24" t="s">
        <v>28</v>
      </c>
      <c r="J534" s="14" t="s">
        <v>43</v>
      </c>
      <c r="K534" s="15" t="s">
        <v>30</v>
      </c>
      <c r="L534" s="62"/>
      <c r="M534" s="14"/>
      <c r="N534" s="14" t="s">
        <v>229</v>
      </c>
      <c r="O534" s="14"/>
      <c r="P534" s="15" t="s">
        <v>213</v>
      </c>
      <c r="Q534" s="16">
        <v>7599</v>
      </c>
      <c r="R534" s="17">
        <v>40</v>
      </c>
      <c r="S534" s="18">
        <v>5243.3099999999995</v>
      </c>
      <c r="T534" s="19" t="s">
        <v>36</v>
      </c>
      <c r="U534" s="20" t="s">
        <v>143</v>
      </c>
      <c r="V534" s="21" t="s">
        <v>144</v>
      </c>
      <c r="W534" s="22">
        <v>1</v>
      </c>
      <c r="X534" s="23"/>
    </row>
    <row r="535" spans="1:24" s="1" customFormat="1" ht="13.05" customHeight="1" x14ac:dyDescent="0.3">
      <c r="A535" s="24" t="s">
        <v>23</v>
      </c>
      <c r="B535" s="24" t="s">
        <v>609</v>
      </c>
      <c r="C535" s="12" t="s">
        <v>612</v>
      </c>
      <c r="D535" s="60"/>
      <c r="E535" s="41" t="str">
        <f t="shared" si="14"/>
        <v>Еще фото</v>
      </c>
      <c r="F535" s="13" t="s">
        <v>103</v>
      </c>
      <c r="G535" s="24" t="s">
        <v>28</v>
      </c>
      <c r="H535" s="24" t="s">
        <v>27</v>
      </c>
      <c r="I535" s="24" t="s">
        <v>28</v>
      </c>
      <c r="J535" s="14" t="s">
        <v>43</v>
      </c>
      <c r="K535" s="15" t="s">
        <v>30</v>
      </c>
      <c r="L535" s="62"/>
      <c r="M535" s="14"/>
      <c r="N535" s="14" t="s">
        <v>229</v>
      </c>
      <c r="O535" s="14"/>
      <c r="P535" s="15" t="s">
        <v>213</v>
      </c>
      <c r="Q535" s="16">
        <v>7599</v>
      </c>
      <c r="R535" s="17">
        <v>40</v>
      </c>
      <c r="S535" s="18">
        <v>5243.3099999999995</v>
      </c>
      <c r="T535" s="19" t="s">
        <v>36</v>
      </c>
      <c r="U535" s="20" t="s">
        <v>378</v>
      </c>
      <c r="V535" s="21" t="s">
        <v>379</v>
      </c>
      <c r="W535" s="22">
        <v>1</v>
      </c>
      <c r="X535" s="23"/>
    </row>
    <row r="536" spans="1:24" s="1" customFormat="1" ht="18" customHeight="1" x14ac:dyDescent="0.3">
      <c r="A536" s="24" t="s">
        <v>23</v>
      </c>
      <c r="B536" s="24" t="s">
        <v>609</v>
      </c>
      <c r="C536" s="12" t="s">
        <v>612</v>
      </c>
      <c r="D536" s="61"/>
      <c r="E536" s="41" t="str">
        <f t="shared" si="14"/>
        <v>Еще фото</v>
      </c>
      <c r="F536" s="13" t="s">
        <v>103</v>
      </c>
      <c r="G536" s="24" t="s">
        <v>28</v>
      </c>
      <c r="H536" s="24" t="s">
        <v>27</v>
      </c>
      <c r="I536" s="24" t="s">
        <v>28</v>
      </c>
      <c r="J536" s="14" t="s">
        <v>43</v>
      </c>
      <c r="K536" s="15" t="s">
        <v>30</v>
      </c>
      <c r="L536" s="58"/>
      <c r="M536" s="14"/>
      <c r="N536" s="14" t="s">
        <v>229</v>
      </c>
      <c r="O536" s="14"/>
      <c r="P536" s="15" t="s">
        <v>213</v>
      </c>
      <c r="Q536" s="16">
        <v>7599</v>
      </c>
      <c r="R536" s="17">
        <v>40</v>
      </c>
      <c r="S536" s="18">
        <v>5243.3099999999995</v>
      </c>
      <c r="T536" s="19" t="s">
        <v>36</v>
      </c>
      <c r="U536" s="20" t="s">
        <v>613</v>
      </c>
      <c r="V536" s="21" t="s">
        <v>614</v>
      </c>
      <c r="W536" s="22">
        <v>2</v>
      </c>
      <c r="X536" s="23"/>
    </row>
    <row r="537" spans="1:24" s="1" customFormat="1" ht="52.05" customHeight="1" x14ac:dyDescent="0.3">
      <c r="A537" s="11" t="s">
        <v>23</v>
      </c>
      <c r="B537" s="11" t="s">
        <v>81</v>
      </c>
      <c r="C537" s="12" t="s">
        <v>615</v>
      </c>
      <c r="D537" s="55"/>
      <c r="E537" s="41" t="str">
        <f>HYPERLINK("https://www.google.ru/search?q=1388827-001&amp;newwindow=1&amp;tbm=isch","Еще фото")</f>
        <v>Еще фото</v>
      </c>
      <c r="F537" s="13" t="s">
        <v>152</v>
      </c>
      <c r="G537" s="11" t="s">
        <v>28</v>
      </c>
      <c r="H537" s="11" t="s">
        <v>27</v>
      </c>
      <c r="I537" s="14" t="s">
        <v>28</v>
      </c>
      <c r="J537" s="14" t="s">
        <v>29</v>
      </c>
      <c r="K537" s="15" t="s">
        <v>30</v>
      </c>
      <c r="L537" s="57" t="s">
        <v>83</v>
      </c>
      <c r="M537" s="14" t="s">
        <v>32</v>
      </c>
      <c r="N537" s="14" t="s">
        <v>33</v>
      </c>
      <c r="O537" s="14"/>
      <c r="P537" s="15" t="s">
        <v>47</v>
      </c>
      <c r="Q537" s="16">
        <v>16799</v>
      </c>
      <c r="R537" s="17">
        <v>40</v>
      </c>
      <c r="S537" s="18">
        <v>11591.31</v>
      </c>
      <c r="T537" s="19" t="s">
        <v>36</v>
      </c>
      <c r="U537" s="20" t="s">
        <v>88</v>
      </c>
      <c r="V537" s="21" t="s">
        <v>89</v>
      </c>
      <c r="W537" s="22">
        <v>1</v>
      </c>
      <c r="X537" s="23"/>
    </row>
    <row r="538" spans="1:24" s="1" customFormat="1" ht="61.05" customHeight="1" x14ac:dyDescent="0.3">
      <c r="A538" s="24" t="s">
        <v>23</v>
      </c>
      <c r="B538" s="24" t="s">
        <v>81</v>
      </c>
      <c r="C538" s="12" t="s">
        <v>615</v>
      </c>
      <c r="D538" s="56"/>
      <c r="E538" s="41" t="str">
        <f>HYPERLINK("https://www.google.ru/search?q=1388827-001&amp;newwindow=1&amp;tbm=isch","Еще фото")</f>
        <v>Еще фото</v>
      </c>
      <c r="F538" s="13" t="s">
        <v>152</v>
      </c>
      <c r="G538" s="24" t="s">
        <v>28</v>
      </c>
      <c r="H538" s="24" t="s">
        <v>27</v>
      </c>
      <c r="I538" s="24" t="s">
        <v>28</v>
      </c>
      <c r="J538" s="14" t="s">
        <v>29</v>
      </c>
      <c r="K538" s="15" t="s">
        <v>30</v>
      </c>
      <c r="L538" s="58"/>
      <c r="M538" s="14" t="s">
        <v>32</v>
      </c>
      <c r="N538" s="14" t="s">
        <v>33</v>
      </c>
      <c r="O538" s="14"/>
      <c r="P538" s="15" t="s">
        <v>47</v>
      </c>
      <c r="Q538" s="16">
        <v>16799</v>
      </c>
      <c r="R538" s="17">
        <v>40</v>
      </c>
      <c r="S538" s="18">
        <v>11591.31</v>
      </c>
      <c r="T538" s="19" t="s">
        <v>36</v>
      </c>
      <c r="U538" s="20" t="s">
        <v>90</v>
      </c>
      <c r="V538" s="21" t="s">
        <v>91</v>
      </c>
      <c r="W538" s="22">
        <v>1</v>
      </c>
      <c r="X538" s="23"/>
    </row>
    <row r="539" spans="1:24" s="1" customFormat="1" ht="21" customHeight="1" x14ac:dyDescent="0.3">
      <c r="A539" s="11" t="s">
        <v>23</v>
      </c>
      <c r="B539" s="11" t="s">
        <v>124</v>
      </c>
      <c r="C539" s="26" t="s">
        <v>616</v>
      </c>
      <c r="D539" s="59"/>
      <c r="E539" s="41" t="str">
        <f>HYPERLINK("https://www.google.ru/search?q=1389358-001&amp;newwindow=1&amp;tbm=isch","Еще фото")</f>
        <v>Еще фото</v>
      </c>
      <c r="F539" s="13" t="s">
        <v>103</v>
      </c>
      <c r="G539" s="11" t="s">
        <v>28</v>
      </c>
      <c r="H539" s="11" t="s">
        <v>27</v>
      </c>
      <c r="I539" s="14" t="s">
        <v>28</v>
      </c>
      <c r="J539" s="14" t="s">
        <v>29</v>
      </c>
      <c r="K539" s="15" t="s">
        <v>30</v>
      </c>
      <c r="L539" s="57" t="s">
        <v>126</v>
      </c>
      <c r="M539" s="14"/>
      <c r="N539" s="14" t="s">
        <v>33</v>
      </c>
      <c r="O539" s="14"/>
      <c r="P539" s="15" t="s">
        <v>120</v>
      </c>
      <c r="Q539" s="16">
        <v>9399</v>
      </c>
      <c r="R539" s="17">
        <v>40</v>
      </c>
      <c r="S539" s="18">
        <v>6485.3099999999995</v>
      </c>
      <c r="T539" s="19" t="s">
        <v>36</v>
      </c>
      <c r="U539" s="20" t="s">
        <v>37</v>
      </c>
      <c r="V539" s="21" t="s">
        <v>38</v>
      </c>
      <c r="W539" s="22">
        <v>1</v>
      </c>
      <c r="X539" s="23"/>
    </row>
    <row r="540" spans="1:24" s="1" customFormat="1" ht="21" customHeight="1" x14ac:dyDescent="0.3">
      <c r="A540" s="24" t="s">
        <v>23</v>
      </c>
      <c r="B540" s="24" t="s">
        <v>124</v>
      </c>
      <c r="C540" s="27" t="s">
        <v>616</v>
      </c>
      <c r="D540" s="60"/>
      <c r="E540" s="41" t="str">
        <f>HYPERLINK("https://www.google.ru/search?q=1389358-001&amp;newwindow=1&amp;tbm=isch","Еще фото")</f>
        <v>Еще фото</v>
      </c>
      <c r="F540" s="13" t="s">
        <v>103</v>
      </c>
      <c r="G540" s="24" t="s">
        <v>28</v>
      </c>
      <c r="H540" s="24" t="s">
        <v>27</v>
      </c>
      <c r="I540" s="24" t="s">
        <v>28</v>
      </c>
      <c r="J540" s="14" t="s">
        <v>29</v>
      </c>
      <c r="K540" s="15" t="s">
        <v>30</v>
      </c>
      <c r="L540" s="62"/>
      <c r="M540" s="14"/>
      <c r="N540" s="14" t="s">
        <v>33</v>
      </c>
      <c r="O540" s="14"/>
      <c r="P540" s="15" t="s">
        <v>120</v>
      </c>
      <c r="Q540" s="16">
        <v>9399</v>
      </c>
      <c r="R540" s="17">
        <v>40</v>
      </c>
      <c r="S540" s="18">
        <v>6485.3099999999995</v>
      </c>
      <c r="T540" s="19" t="s">
        <v>36</v>
      </c>
      <c r="U540" s="20" t="s">
        <v>39</v>
      </c>
      <c r="V540" s="21" t="s">
        <v>40</v>
      </c>
      <c r="W540" s="22">
        <v>1</v>
      </c>
      <c r="X540" s="23"/>
    </row>
    <row r="541" spans="1:24" s="1" customFormat="1" ht="21" customHeight="1" x14ac:dyDescent="0.3">
      <c r="A541" s="24" t="s">
        <v>23</v>
      </c>
      <c r="B541" s="24" t="s">
        <v>124</v>
      </c>
      <c r="C541" s="27" t="s">
        <v>616</v>
      </c>
      <c r="D541" s="60"/>
      <c r="E541" s="41" t="str">
        <f>HYPERLINK("https://www.google.ru/search?q=1389358-001&amp;newwindow=1&amp;tbm=isch","Еще фото")</f>
        <v>Еще фото</v>
      </c>
      <c r="F541" s="13" t="s">
        <v>103</v>
      </c>
      <c r="G541" s="24" t="s">
        <v>28</v>
      </c>
      <c r="H541" s="24" t="s">
        <v>27</v>
      </c>
      <c r="I541" s="24" t="s">
        <v>28</v>
      </c>
      <c r="J541" s="14" t="s">
        <v>29</v>
      </c>
      <c r="K541" s="15" t="s">
        <v>30</v>
      </c>
      <c r="L541" s="62"/>
      <c r="M541" s="14"/>
      <c r="N541" s="14" t="s">
        <v>33</v>
      </c>
      <c r="O541" s="14"/>
      <c r="P541" s="15" t="s">
        <v>120</v>
      </c>
      <c r="Q541" s="16">
        <v>9399</v>
      </c>
      <c r="R541" s="17">
        <v>40</v>
      </c>
      <c r="S541" s="18">
        <v>6485.3099999999995</v>
      </c>
      <c r="T541" s="19" t="s">
        <v>36</v>
      </c>
      <c r="U541" s="20" t="s">
        <v>86</v>
      </c>
      <c r="V541" s="21" t="s">
        <v>87</v>
      </c>
      <c r="W541" s="22">
        <v>2</v>
      </c>
      <c r="X541" s="23"/>
    </row>
    <row r="542" spans="1:24" s="1" customFormat="1" ht="21" customHeight="1" x14ac:dyDescent="0.3">
      <c r="A542" s="24" t="s">
        <v>23</v>
      </c>
      <c r="B542" s="24" t="s">
        <v>124</v>
      </c>
      <c r="C542" s="27" t="s">
        <v>616</v>
      </c>
      <c r="D542" s="60"/>
      <c r="E542" s="41" t="str">
        <f>HYPERLINK("https://www.google.ru/search?q=1389358-001&amp;newwindow=1&amp;tbm=isch","Еще фото")</f>
        <v>Еще фото</v>
      </c>
      <c r="F542" s="13" t="s">
        <v>103</v>
      </c>
      <c r="G542" s="24" t="s">
        <v>28</v>
      </c>
      <c r="H542" s="24" t="s">
        <v>27</v>
      </c>
      <c r="I542" s="24" t="s">
        <v>28</v>
      </c>
      <c r="J542" s="14" t="s">
        <v>29</v>
      </c>
      <c r="K542" s="15" t="s">
        <v>30</v>
      </c>
      <c r="L542" s="62"/>
      <c r="M542" s="14"/>
      <c r="N542" s="14" t="s">
        <v>33</v>
      </c>
      <c r="O542" s="14"/>
      <c r="P542" s="15" t="s">
        <v>120</v>
      </c>
      <c r="Q542" s="16">
        <v>9399</v>
      </c>
      <c r="R542" s="17">
        <v>40</v>
      </c>
      <c r="S542" s="18">
        <v>6485.3099999999995</v>
      </c>
      <c r="T542" s="19" t="s">
        <v>36</v>
      </c>
      <c r="U542" s="20" t="s">
        <v>88</v>
      </c>
      <c r="V542" s="21" t="s">
        <v>89</v>
      </c>
      <c r="W542" s="22">
        <v>1</v>
      </c>
      <c r="X542" s="23"/>
    </row>
    <row r="543" spans="1:24" s="1" customFormat="1" ht="32" customHeight="1" x14ac:dyDescent="0.3">
      <c r="A543" s="24" t="s">
        <v>23</v>
      </c>
      <c r="B543" s="24" t="s">
        <v>124</v>
      </c>
      <c r="C543" s="27" t="s">
        <v>616</v>
      </c>
      <c r="D543" s="61"/>
      <c r="E543" s="41" t="str">
        <f>HYPERLINK("https://www.google.ru/search?q=1389358-001&amp;newwindow=1&amp;tbm=isch","Еще фото")</f>
        <v>Еще фото</v>
      </c>
      <c r="F543" s="13" t="s">
        <v>103</v>
      </c>
      <c r="G543" s="24" t="s">
        <v>28</v>
      </c>
      <c r="H543" s="24" t="s">
        <v>27</v>
      </c>
      <c r="I543" s="24" t="s">
        <v>28</v>
      </c>
      <c r="J543" s="14" t="s">
        <v>29</v>
      </c>
      <c r="K543" s="15" t="s">
        <v>30</v>
      </c>
      <c r="L543" s="58"/>
      <c r="M543" s="14"/>
      <c r="N543" s="14" t="s">
        <v>33</v>
      </c>
      <c r="O543" s="14"/>
      <c r="P543" s="15" t="s">
        <v>120</v>
      </c>
      <c r="Q543" s="16">
        <v>9399</v>
      </c>
      <c r="R543" s="17">
        <v>40</v>
      </c>
      <c r="S543" s="18">
        <v>6485.3099999999995</v>
      </c>
      <c r="T543" s="19" t="s">
        <v>36</v>
      </c>
      <c r="U543" s="20" t="s">
        <v>90</v>
      </c>
      <c r="V543" s="21" t="s">
        <v>91</v>
      </c>
      <c r="W543" s="22">
        <v>4</v>
      </c>
      <c r="X543" s="23"/>
    </row>
    <row r="544" spans="1:24" s="1" customFormat="1" ht="21" customHeight="1" x14ac:dyDescent="0.3">
      <c r="A544" s="11" t="s">
        <v>23</v>
      </c>
      <c r="B544" s="11" t="s">
        <v>124</v>
      </c>
      <c r="C544" s="26" t="s">
        <v>617</v>
      </c>
      <c r="D544" s="59"/>
      <c r="E544" s="41" t="str">
        <f>HYPERLINK("https://www.google.ru/search?q=1389358-391&amp;newwindow=1&amp;tbm=isch","Еще фото")</f>
        <v>Еще фото</v>
      </c>
      <c r="F544" s="13"/>
      <c r="G544" s="11" t="s">
        <v>28</v>
      </c>
      <c r="H544" s="11" t="s">
        <v>27</v>
      </c>
      <c r="I544" s="14" t="s">
        <v>28</v>
      </c>
      <c r="J544" s="14" t="s">
        <v>43</v>
      </c>
      <c r="K544" s="15" t="s">
        <v>30</v>
      </c>
      <c r="L544" s="57" t="s">
        <v>618</v>
      </c>
      <c r="M544" s="14"/>
      <c r="N544" s="14" t="s">
        <v>127</v>
      </c>
      <c r="O544" s="14"/>
      <c r="P544" s="15" t="s">
        <v>120</v>
      </c>
      <c r="Q544" s="16">
        <v>8199</v>
      </c>
      <c r="R544" s="17">
        <v>40</v>
      </c>
      <c r="S544" s="18">
        <v>5657.3099999999995</v>
      </c>
      <c r="T544" s="19" t="s">
        <v>36</v>
      </c>
      <c r="U544" s="20" t="s">
        <v>37</v>
      </c>
      <c r="V544" s="21" t="s">
        <v>38</v>
      </c>
      <c r="W544" s="22">
        <v>11</v>
      </c>
      <c r="X544" s="23"/>
    </row>
    <row r="545" spans="1:24" s="1" customFormat="1" ht="21" customHeight="1" x14ac:dyDescent="0.3">
      <c r="A545" s="24" t="s">
        <v>23</v>
      </c>
      <c r="B545" s="24" t="s">
        <v>124</v>
      </c>
      <c r="C545" s="27" t="s">
        <v>617</v>
      </c>
      <c r="D545" s="60"/>
      <c r="E545" s="41" t="str">
        <f>HYPERLINK("https://www.google.ru/search?q=1389358-391&amp;newwindow=1&amp;tbm=isch","Еще фото")</f>
        <v>Еще фото</v>
      </c>
      <c r="F545" s="13"/>
      <c r="G545" s="24" t="s">
        <v>28</v>
      </c>
      <c r="H545" s="24" t="s">
        <v>27</v>
      </c>
      <c r="I545" s="24" t="s">
        <v>28</v>
      </c>
      <c r="J545" s="14" t="s">
        <v>43</v>
      </c>
      <c r="K545" s="15" t="s">
        <v>30</v>
      </c>
      <c r="L545" s="62"/>
      <c r="M545" s="14"/>
      <c r="N545" s="14" t="s">
        <v>127</v>
      </c>
      <c r="O545" s="14"/>
      <c r="P545" s="15" t="s">
        <v>120</v>
      </c>
      <c r="Q545" s="16">
        <v>8199</v>
      </c>
      <c r="R545" s="17">
        <v>40</v>
      </c>
      <c r="S545" s="18">
        <v>5657.3099999999995</v>
      </c>
      <c r="T545" s="19" t="s">
        <v>36</v>
      </c>
      <c r="U545" s="20" t="s">
        <v>39</v>
      </c>
      <c r="V545" s="21" t="s">
        <v>40</v>
      </c>
      <c r="W545" s="22">
        <v>21</v>
      </c>
      <c r="X545" s="23"/>
    </row>
    <row r="546" spans="1:24" s="1" customFormat="1" ht="21" customHeight="1" x14ac:dyDescent="0.3">
      <c r="A546" s="24" t="s">
        <v>23</v>
      </c>
      <c r="B546" s="24" t="s">
        <v>124</v>
      </c>
      <c r="C546" s="27" t="s">
        <v>617</v>
      </c>
      <c r="D546" s="60"/>
      <c r="E546" s="41" t="str">
        <f>HYPERLINK("https://www.google.ru/search?q=1389358-391&amp;newwindow=1&amp;tbm=isch","Еще фото")</f>
        <v>Еще фото</v>
      </c>
      <c r="F546" s="13"/>
      <c r="G546" s="24" t="s">
        <v>28</v>
      </c>
      <c r="H546" s="24" t="s">
        <v>27</v>
      </c>
      <c r="I546" s="24" t="s">
        <v>28</v>
      </c>
      <c r="J546" s="14" t="s">
        <v>43</v>
      </c>
      <c r="K546" s="15" t="s">
        <v>30</v>
      </c>
      <c r="L546" s="62"/>
      <c r="M546" s="14"/>
      <c r="N546" s="14" t="s">
        <v>127</v>
      </c>
      <c r="O546" s="14"/>
      <c r="P546" s="15" t="s">
        <v>120</v>
      </c>
      <c r="Q546" s="16">
        <v>8199</v>
      </c>
      <c r="R546" s="17">
        <v>40</v>
      </c>
      <c r="S546" s="18">
        <v>5657.3099999999995</v>
      </c>
      <c r="T546" s="19" t="s">
        <v>36</v>
      </c>
      <c r="U546" s="20" t="s">
        <v>86</v>
      </c>
      <c r="V546" s="21" t="s">
        <v>87</v>
      </c>
      <c r="W546" s="22">
        <v>8</v>
      </c>
      <c r="X546" s="23"/>
    </row>
    <row r="547" spans="1:24" s="1" customFormat="1" ht="21" customHeight="1" x14ac:dyDescent="0.3">
      <c r="A547" s="24" t="s">
        <v>23</v>
      </c>
      <c r="B547" s="24" t="s">
        <v>124</v>
      </c>
      <c r="C547" s="27" t="s">
        <v>617</v>
      </c>
      <c r="D547" s="60"/>
      <c r="E547" s="41" t="str">
        <f>HYPERLINK("https://www.google.ru/search?q=1389358-391&amp;newwindow=1&amp;tbm=isch","Еще фото")</f>
        <v>Еще фото</v>
      </c>
      <c r="F547" s="13"/>
      <c r="G547" s="24" t="s">
        <v>28</v>
      </c>
      <c r="H547" s="24" t="s">
        <v>27</v>
      </c>
      <c r="I547" s="24" t="s">
        <v>28</v>
      </c>
      <c r="J547" s="14" t="s">
        <v>43</v>
      </c>
      <c r="K547" s="15" t="s">
        <v>30</v>
      </c>
      <c r="L547" s="62"/>
      <c r="M547" s="14"/>
      <c r="N547" s="14" t="s">
        <v>127</v>
      </c>
      <c r="O547" s="14"/>
      <c r="P547" s="15" t="s">
        <v>120</v>
      </c>
      <c r="Q547" s="16">
        <v>8199</v>
      </c>
      <c r="R547" s="17">
        <v>40</v>
      </c>
      <c r="S547" s="18">
        <v>5657.3099999999995</v>
      </c>
      <c r="T547" s="19" t="s">
        <v>36</v>
      </c>
      <c r="U547" s="20" t="s">
        <v>88</v>
      </c>
      <c r="V547" s="21" t="s">
        <v>89</v>
      </c>
      <c r="W547" s="22">
        <v>12</v>
      </c>
      <c r="X547" s="23"/>
    </row>
    <row r="548" spans="1:24" s="1" customFormat="1" ht="32" customHeight="1" x14ac:dyDescent="0.3">
      <c r="A548" s="24" t="s">
        <v>23</v>
      </c>
      <c r="B548" s="24" t="s">
        <v>124</v>
      </c>
      <c r="C548" s="27" t="s">
        <v>617</v>
      </c>
      <c r="D548" s="61"/>
      <c r="E548" s="41" t="str">
        <f>HYPERLINK("https://www.google.ru/search?q=1389358-391&amp;newwindow=1&amp;tbm=isch","Еще фото")</f>
        <v>Еще фото</v>
      </c>
      <c r="F548" s="13"/>
      <c r="G548" s="24" t="s">
        <v>28</v>
      </c>
      <c r="H548" s="24" t="s">
        <v>27</v>
      </c>
      <c r="I548" s="24" t="s">
        <v>28</v>
      </c>
      <c r="J548" s="14" t="s">
        <v>43</v>
      </c>
      <c r="K548" s="15" t="s">
        <v>30</v>
      </c>
      <c r="L548" s="58"/>
      <c r="M548" s="14"/>
      <c r="N548" s="14" t="s">
        <v>127</v>
      </c>
      <c r="O548" s="14"/>
      <c r="P548" s="15" t="s">
        <v>120</v>
      </c>
      <c r="Q548" s="16">
        <v>8199</v>
      </c>
      <c r="R548" s="17">
        <v>40</v>
      </c>
      <c r="S548" s="18">
        <v>5657.3099999999995</v>
      </c>
      <c r="T548" s="19" t="s">
        <v>36</v>
      </c>
      <c r="U548" s="20" t="s">
        <v>90</v>
      </c>
      <c r="V548" s="21" t="s">
        <v>91</v>
      </c>
      <c r="W548" s="22">
        <v>8</v>
      </c>
      <c r="X548" s="23"/>
    </row>
    <row r="549" spans="1:24" s="1" customFormat="1" ht="35" customHeight="1" x14ac:dyDescent="0.3">
      <c r="A549" s="11" t="s">
        <v>23</v>
      </c>
      <c r="B549" s="11" t="s">
        <v>619</v>
      </c>
      <c r="C549" s="12" t="s">
        <v>620</v>
      </c>
      <c r="D549" s="59"/>
      <c r="E549" s="41" t="str">
        <f>HYPERLINK("https://www.google.ru/search?q=1390143-025&amp;newwindow=1&amp;tbm=isch","Еще фото")</f>
        <v>Еще фото</v>
      </c>
      <c r="F549" s="13" t="s">
        <v>103</v>
      </c>
      <c r="G549" s="11" t="s">
        <v>28</v>
      </c>
      <c r="H549" s="11" t="s">
        <v>27</v>
      </c>
      <c r="I549" s="14" t="s">
        <v>28</v>
      </c>
      <c r="J549" s="14" t="s">
        <v>43</v>
      </c>
      <c r="K549" s="15" t="s">
        <v>30</v>
      </c>
      <c r="L549" s="57" t="s">
        <v>621</v>
      </c>
      <c r="M549" s="14"/>
      <c r="N549" s="14" t="s">
        <v>62</v>
      </c>
      <c r="O549" s="14"/>
      <c r="P549" s="15" t="s">
        <v>120</v>
      </c>
      <c r="Q549" s="16">
        <v>6999</v>
      </c>
      <c r="R549" s="17">
        <v>40</v>
      </c>
      <c r="S549" s="18">
        <v>4829.3099999999995</v>
      </c>
      <c r="T549" s="19" t="s">
        <v>36</v>
      </c>
      <c r="U549" s="20" t="s">
        <v>39</v>
      </c>
      <c r="V549" s="21" t="s">
        <v>40</v>
      </c>
      <c r="W549" s="22">
        <v>3</v>
      </c>
      <c r="X549" s="23"/>
    </row>
    <row r="550" spans="1:24" s="1" customFormat="1" ht="35" customHeight="1" x14ac:dyDescent="0.3">
      <c r="A550" s="24" t="s">
        <v>23</v>
      </c>
      <c r="B550" s="24" t="s">
        <v>619</v>
      </c>
      <c r="C550" s="12" t="s">
        <v>620</v>
      </c>
      <c r="D550" s="60"/>
      <c r="E550" s="41" t="str">
        <f>HYPERLINK("https://www.google.ru/search?q=1390143-025&amp;newwindow=1&amp;tbm=isch","Еще фото")</f>
        <v>Еще фото</v>
      </c>
      <c r="F550" s="13" t="s">
        <v>103</v>
      </c>
      <c r="G550" s="24" t="s">
        <v>28</v>
      </c>
      <c r="H550" s="24" t="s">
        <v>27</v>
      </c>
      <c r="I550" s="24" t="s">
        <v>28</v>
      </c>
      <c r="J550" s="14" t="s">
        <v>43</v>
      </c>
      <c r="K550" s="15" t="s">
        <v>30</v>
      </c>
      <c r="L550" s="62"/>
      <c r="M550" s="14"/>
      <c r="N550" s="14" t="s">
        <v>62</v>
      </c>
      <c r="O550" s="14"/>
      <c r="P550" s="15" t="s">
        <v>120</v>
      </c>
      <c r="Q550" s="16">
        <v>6999</v>
      </c>
      <c r="R550" s="17">
        <v>40</v>
      </c>
      <c r="S550" s="18">
        <v>4829.3099999999995</v>
      </c>
      <c r="T550" s="19" t="s">
        <v>36</v>
      </c>
      <c r="U550" s="20" t="s">
        <v>86</v>
      </c>
      <c r="V550" s="21" t="s">
        <v>87</v>
      </c>
      <c r="W550" s="22">
        <v>1</v>
      </c>
      <c r="X550" s="23"/>
    </row>
    <row r="551" spans="1:24" s="1" customFormat="1" ht="37.049999999999997" customHeight="1" x14ac:dyDescent="0.3">
      <c r="A551" s="24" t="s">
        <v>23</v>
      </c>
      <c r="B551" s="24" t="s">
        <v>619</v>
      </c>
      <c r="C551" s="12" t="s">
        <v>620</v>
      </c>
      <c r="D551" s="61"/>
      <c r="E551" s="41" t="str">
        <f>HYPERLINK("https://www.google.ru/search?q=1390143-025&amp;newwindow=1&amp;tbm=isch","Еще фото")</f>
        <v>Еще фото</v>
      </c>
      <c r="F551" s="13" t="s">
        <v>103</v>
      </c>
      <c r="G551" s="24" t="s">
        <v>28</v>
      </c>
      <c r="H551" s="24" t="s">
        <v>27</v>
      </c>
      <c r="I551" s="24" t="s">
        <v>28</v>
      </c>
      <c r="J551" s="14" t="s">
        <v>43</v>
      </c>
      <c r="K551" s="15" t="s">
        <v>30</v>
      </c>
      <c r="L551" s="58"/>
      <c r="M551" s="14"/>
      <c r="N551" s="14" t="s">
        <v>62</v>
      </c>
      <c r="O551" s="14"/>
      <c r="P551" s="15" t="s">
        <v>120</v>
      </c>
      <c r="Q551" s="16">
        <v>6999</v>
      </c>
      <c r="R551" s="17">
        <v>40</v>
      </c>
      <c r="S551" s="18">
        <v>4829.3099999999995</v>
      </c>
      <c r="T551" s="19" t="s">
        <v>36</v>
      </c>
      <c r="U551" s="20" t="s">
        <v>88</v>
      </c>
      <c r="V551" s="21" t="s">
        <v>89</v>
      </c>
      <c r="W551" s="22">
        <v>1</v>
      </c>
      <c r="X551" s="23"/>
    </row>
    <row r="552" spans="1:24" s="1" customFormat="1" ht="52.05" customHeight="1" x14ac:dyDescent="0.3">
      <c r="A552" s="11" t="s">
        <v>23</v>
      </c>
      <c r="B552" s="11" t="s">
        <v>622</v>
      </c>
      <c r="C552" s="12" t="s">
        <v>623</v>
      </c>
      <c r="D552" s="55"/>
      <c r="E552" s="41" t="str">
        <f>HYPERLINK("https://www.google.ru/search?q=1390150-011&amp;newwindow=1&amp;tbm=isch","Еще фото")</f>
        <v>Еще фото</v>
      </c>
      <c r="F552" s="13" t="s">
        <v>103</v>
      </c>
      <c r="G552" s="11" t="s">
        <v>28</v>
      </c>
      <c r="H552" s="11" t="s">
        <v>27</v>
      </c>
      <c r="I552" s="14" t="s">
        <v>28</v>
      </c>
      <c r="J552" s="14" t="s">
        <v>43</v>
      </c>
      <c r="K552" s="15" t="s">
        <v>30</v>
      </c>
      <c r="L552" s="57" t="s">
        <v>624</v>
      </c>
      <c r="M552" s="14" t="s">
        <v>32</v>
      </c>
      <c r="N552" s="14" t="s">
        <v>62</v>
      </c>
      <c r="O552" s="14"/>
      <c r="P552" s="15" t="s">
        <v>47</v>
      </c>
      <c r="Q552" s="16">
        <v>4699</v>
      </c>
      <c r="R552" s="17">
        <v>40</v>
      </c>
      <c r="S552" s="18">
        <v>3242.31</v>
      </c>
      <c r="T552" s="19" t="s">
        <v>36</v>
      </c>
      <c r="U552" s="20" t="s">
        <v>63</v>
      </c>
      <c r="V552" s="21" t="s">
        <v>85</v>
      </c>
      <c r="W552" s="22">
        <v>1</v>
      </c>
      <c r="X552" s="23"/>
    </row>
    <row r="553" spans="1:24" s="1" customFormat="1" ht="61.05" customHeight="1" x14ac:dyDescent="0.3">
      <c r="A553" s="24" t="s">
        <v>23</v>
      </c>
      <c r="B553" s="24" t="s">
        <v>622</v>
      </c>
      <c r="C553" s="12" t="s">
        <v>623</v>
      </c>
      <c r="D553" s="56"/>
      <c r="E553" s="41" t="str">
        <f>HYPERLINK("https://www.google.ru/search?q=1390150-011&amp;newwindow=1&amp;tbm=isch","Еще фото")</f>
        <v>Еще фото</v>
      </c>
      <c r="F553" s="13" t="s">
        <v>103</v>
      </c>
      <c r="G553" s="24" t="s">
        <v>28</v>
      </c>
      <c r="H553" s="24" t="s">
        <v>27</v>
      </c>
      <c r="I553" s="24" t="s">
        <v>28</v>
      </c>
      <c r="J553" s="14" t="s">
        <v>43</v>
      </c>
      <c r="K553" s="15" t="s">
        <v>30</v>
      </c>
      <c r="L553" s="58"/>
      <c r="M553" s="14" t="s">
        <v>32</v>
      </c>
      <c r="N553" s="14" t="s">
        <v>62</v>
      </c>
      <c r="O553" s="14"/>
      <c r="P553" s="15" t="s">
        <v>47</v>
      </c>
      <c r="Q553" s="16">
        <v>4699</v>
      </c>
      <c r="R553" s="17">
        <v>40</v>
      </c>
      <c r="S553" s="18">
        <v>3242.31</v>
      </c>
      <c r="T553" s="19" t="s">
        <v>36</v>
      </c>
      <c r="U553" s="20" t="s">
        <v>90</v>
      </c>
      <c r="V553" s="21" t="s">
        <v>91</v>
      </c>
      <c r="W553" s="22">
        <v>1</v>
      </c>
      <c r="X553" s="23"/>
    </row>
    <row r="554" spans="1:24" s="1" customFormat="1" ht="108" customHeight="1" x14ac:dyDescent="0.3">
      <c r="A554" s="11" t="s">
        <v>23</v>
      </c>
      <c r="B554" s="11" t="s">
        <v>622</v>
      </c>
      <c r="C554" s="12" t="s">
        <v>625</v>
      </c>
      <c r="D554" s="25"/>
      <c r="E554" s="41" t="str">
        <f>HYPERLINK("https://www.google.ru/search?q=1390150-390&amp;newwindow=1&amp;tbm=isch","Еще фото")</f>
        <v>Еще фото</v>
      </c>
      <c r="F554" s="13" t="s">
        <v>103</v>
      </c>
      <c r="G554" s="11" t="s">
        <v>28</v>
      </c>
      <c r="H554" s="11" t="s">
        <v>27</v>
      </c>
      <c r="I554" s="14" t="s">
        <v>28</v>
      </c>
      <c r="J554" s="14" t="s">
        <v>43</v>
      </c>
      <c r="K554" s="15" t="s">
        <v>30</v>
      </c>
      <c r="L554" s="14" t="s">
        <v>624</v>
      </c>
      <c r="M554" s="14" t="s">
        <v>32</v>
      </c>
      <c r="N554" s="14" t="s">
        <v>127</v>
      </c>
      <c r="O554" s="14"/>
      <c r="P554" s="15" t="s">
        <v>47</v>
      </c>
      <c r="Q554" s="16">
        <v>4699</v>
      </c>
      <c r="R554" s="17">
        <v>40</v>
      </c>
      <c r="S554" s="18">
        <v>3242.31</v>
      </c>
      <c r="T554" s="19" t="s">
        <v>36</v>
      </c>
      <c r="U554" s="20" t="s">
        <v>86</v>
      </c>
      <c r="V554" s="21" t="s">
        <v>87</v>
      </c>
      <c r="W554" s="22">
        <v>1</v>
      </c>
      <c r="X554" s="23"/>
    </row>
    <row r="555" spans="1:24" s="1" customFormat="1" ht="35" customHeight="1" x14ac:dyDescent="0.3">
      <c r="A555" s="11" t="s">
        <v>23</v>
      </c>
      <c r="B555" s="11" t="s">
        <v>622</v>
      </c>
      <c r="C555" s="12" t="s">
        <v>626</v>
      </c>
      <c r="D555" s="59"/>
      <c r="E555" s="41" t="str">
        <f>HYPERLINK("https://www.google.ru/search?q=1390150-410&amp;newwindow=1&amp;tbm=isch","Еще фото")</f>
        <v>Еще фото</v>
      </c>
      <c r="F555" s="13" t="s">
        <v>103</v>
      </c>
      <c r="G555" s="11" t="s">
        <v>28</v>
      </c>
      <c r="H555" s="11" t="s">
        <v>27</v>
      </c>
      <c r="I555" s="14" t="s">
        <v>28</v>
      </c>
      <c r="J555" s="14" t="s">
        <v>43</v>
      </c>
      <c r="K555" s="15" t="s">
        <v>30</v>
      </c>
      <c r="L555" s="57" t="s">
        <v>624</v>
      </c>
      <c r="M555" s="14" t="s">
        <v>32</v>
      </c>
      <c r="N555" s="14" t="s">
        <v>115</v>
      </c>
      <c r="O555" s="14"/>
      <c r="P555" s="15" t="s">
        <v>47</v>
      </c>
      <c r="Q555" s="16">
        <v>5299</v>
      </c>
      <c r="R555" s="17">
        <v>40</v>
      </c>
      <c r="S555" s="18">
        <v>3656.31</v>
      </c>
      <c r="T555" s="19" t="s">
        <v>36</v>
      </c>
      <c r="U555" s="20" t="s">
        <v>63</v>
      </c>
      <c r="V555" s="21" t="s">
        <v>85</v>
      </c>
      <c r="W555" s="22">
        <v>3</v>
      </c>
      <c r="X555" s="23"/>
    </row>
    <row r="556" spans="1:24" s="1" customFormat="1" ht="35" customHeight="1" x14ac:dyDescent="0.3">
      <c r="A556" s="24" t="s">
        <v>23</v>
      </c>
      <c r="B556" s="24" t="s">
        <v>622</v>
      </c>
      <c r="C556" s="12" t="s">
        <v>626</v>
      </c>
      <c r="D556" s="60"/>
      <c r="E556" s="41" t="str">
        <f>HYPERLINK("https://www.google.ru/search?q=1390150-410&amp;newwindow=1&amp;tbm=isch","Еще фото")</f>
        <v>Еще фото</v>
      </c>
      <c r="F556" s="13" t="s">
        <v>103</v>
      </c>
      <c r="G556" s="24" t="s">
        <v>28</v>
      </c>
      <c r="H556" s="24" t="s">
        <v>27</v>
      </c>
      <c r="I556" s="24" t="s">
        <v>28</v>
      </c>
      <c r="J556" s="14" t="s">
        <v>43</v>
      </c>
      <c r="K556" s="15" t="s">
        <v>30</v>
      </c>
      <c r="L556" s="62"/>
      <c r="M556" s="14" t="s">
        <v>32</v>
      </c>
      <c r="N556" s="14" t="s">
        <v>115</v>
      </c>
      <c r="O556" s="14"/>
      <c r="P556" s="15" t="s">
        <v>47</v>
      </c>
      <c r="Q556" s="16">
        <v>5299</v>
      </c>
      <c r="R556" s="17">
        <v>40</v>
      </c>
      <c r="S556" s="18">
        <v>3656.31</v>
      </c>
      <c r="T556" s="19" t="s">
        <v>36</v>
      </c>
      <c r="U556" s="20" t="s">
        <v>37</v>
      </c>
      <c r="V556" s="21" t="s">
        <v>38</v>
      </c>
      <c r="W556" s="22">
        <v>2</v>
      </c>
      <c r="X556" s="23"/>
    </row>
    <row r="557" spans="1:24" s="1" customFormat="1" ht="37.049999999999997" customHeight="1" x14ac:dyDescent="0.3">
      <c r="A557" s="24" t="s">
        <v>23</v>
      </c>
      <c r="B557" s="24" t="s">
        <v>622</v>
      </c>
      <c r="C557" s="12" t="s">
        <v>626</v>
      </c>
      <c r="D557" s="61"/>
      <c r="E557" s="41" t="str">
        <f>HYPERLINK("https://www.google.ru/search?q=1390150-410&amp;newwindow=1&amp;tbm=isch","Еще фото")</f>
        <v>Еще фото</v>
      </c>
      <c r="F557" s="13" t="s">
        <v>103</v>
      </c>
      <c r="G557" s="24" t="s">
        <v>28</v>
      </c>
      <c r="H557" s="24" t="s">
        <v>27</v>
      </c>
      <c r="I557" s="24" t="s">
        <v>28</v>
      </c>
      <c r="J557" s="14" t="s">
        <v>43</v>
      </c>
      <c r="K557" s="15" t="s">
        <v>30</v>
      </c>
      <c r="L557" s="58"/>
      <c r="M557" s="14" t="s">
        <v>32</v>
      </c>
      <c r="N557" s="14" t="s">
        <v>115</v>
      </c>
      <c r="O557" s="14"/>
      <c r="P557" s="15" t="s">
        <v>47</v>
      </c>
      <c r="Q557" s="16">
        <v>5299</v>
      </c>
      <c r="R557" s="17">
        <v>40</v>
      </c>
      <c r="S557" s="18">
        <v>3656.31</v>
      </c>
      <c r="T557" s="19" t="s">
        <v>36</v>
      </c>
      <c r="U557" s="20" t="s">
        <v>141</v>
      </c>
      <c r="V557" s="21" t="s">
        <v>142</v>
      </c>
      <c r="W557" s="22">
        <v>1</v>
      </c>
      <c r="X557" s="23"/>
    </row>
    <row r="558" spans="1:24" s="1" customFormat="1" ht="17" customHeight="1" x14ac:dyDescent="0.3">
      <c r="A558" s="11" t="s">
        <v>23</v>
      </c>
      <c r="B558" s="11" t="s">
        <v>627</v>
      </c>
      <c r="C558" s="12" t="s">
        <v>628</v>
      </c>
      <c r="D558" s="59"/>
      <c r="E558" s="41" t="str">
        <f t="shared" ref="E558:E563" si="15">HYPERLINK("https://www.google.ru/search?q=1390256-004&amp;newwindow=1&amp;tbm=isch","Еще фото")</f>
        <v>Еще фото</v>
      </c>
      <c r="F558" s="13" t="s">
        <v>103</v>
      </c>
      <c r="G558" s="11" t="s">
        <v>28</v>
      </c>
      <c r="H558" s="11" t="s">
        <v>27</v>
      </c>
      <c r="I558" s="14" t="s">
        <v>28</v>
      </c>
      <c r="J558" s="14" t="s">
        <v>43</v>
      </c>
      <c r="K558" s="15" t="s">
        <v>30</v>
      </c>
      <c r="L558" s="57" t="s">
        <v>629</v>
      </c>
      <c r="M558" s="14"/>
      <c r="N558" s="14" t="s">
        <v>33</v>
      </c>
      <c r="O558" s="14"/>
      <c r="P558" s="15" t="s">
        <v>213</v>
      </c>
      <c r="Q558" s="16">
        <v>10499</v>
      </c>
      <c r="R558" s="17">
        <v>40</v>
      </c>
      <c r="S558" s="18">
        <v>7244.3099999999986</v>
      </c>
      <c r="T558" s="19" t="s">
        <v>36</v>
      </c>
      <c r="U558" s="20" t="s">
        <v>37</v>
      </c>
      <c r="V558" s="21" t="s">
        <v>38</v>
      </c>
      <c r="W558" s="22">
        <v>4</v>
      </c>
      <c r="X558" s="23"/>
    </row>
    <row r="559" spans="1:24" s="1" customFormat="1" ht="17" customHeight="1" x14ac:dyDescent="0.3">
      <c r="A559" s="24" t="s">
        <v>23</v>
      </c>
      <c r="B559" s="24" t="s">
        <v>627</v>
      </c>
      <c r="C559" s="12" t="s">
        <v>628</v>
      </c>
      <c r="D559" s="60"/>
      <c r="E559" s="41" t="str">
        <f t="shared" si="15"/>
        <v>Еще фото</v>
      </c>
      <c r="F559" s="13" t="s">
        <v>103</v>
      </c>
      <c r="G559" s="24" t="s">
        <v>28</v>
      </c>
      <c r="H559" s="24" t="s">
        <v>27</v>
      </c>
      <c r="I559" s="24" t="s">
        <v>28</v>
      </c>
      <c r="J559" s="14" t="s">
        <v>43</v>
      </c>
      <c r="K559" s="15" t="s">
        <v>30</v>
      </c>
      <c r="L559" s="62"/>
      <c r="M559" s="14"/>
      <c r="N559" s="14" t="s">
        <v>33</v>
      </c>
      <c r="O559" s="14"/>
      <c r="P559" s="15" t="s">
        <v>213</v>
      </c>
      <c r="Q559" s="16">
        <v>10499</v>
      </c>
      <c r="R559" s="17">
        <v>40</v>
      </c>
      <c r="S559" s="18">
        <v>7244.3099999999986</v>
      </c>
      <c r="T559" s="19" t="s">
        <v>36</v>
      </c>
      <c r="U559" s="20" t="s">
        <v>39</v>
      </c>
      <c r="V559" s="21" t="s">
        <v>40</v>
      </c>
      <c r="W559" s="22">
        <v>16</v>
      </c>
      <c r="X559" s="23"/>
    </row>
    <row r="560" spans="1:24" s="1" customFormat="1" ht="17" customHeight="1" x14ac:dyDescent="0.3">
      <c r="A560" s="24" t="s">
        <v>23</v>
      </c>
      <c r="B560" s="24" t="s">
        <v>627</v>
      </c>
      <c r="C560" s="12" t="s">
        <v>628</v>
      </c>
      <c r="D560" s="60"/>
      <c r="E560" s="41" t="str">
        <f t="shared" si="15"/>
        <v>Еще фото</v>
      </c>
      <c r="F560" s="13" t="s">
        <v>103</v>
      </c>
      <c r="G560" s="24" t="s">
        <v>28</v>
      </c>
      <c r="H560" s="24" t="s">
        <v>27</v>
      </c>
      <c r="I560" s="24" t="s">
        <v>28</v>
      </c>
      <c r="J560" s="14" t="s">
        <v>43</v>
      </c>
      <c r="K560" s="15" t="s">
        <v>30</v>
      </c>
      <c r="L560" s="62"/>
      <c r="M560" s="14"/>
      <c r="N560" s="14" t="s">
        <v>33</v>
      </c>
      <c r="O560" s="14"/>
      <c r="P560" s="15" t="s">
        <v>213</v>
      </c>
      <c r="Q560" s="16">
        <v>10499</v>
      </c>
      <c r="R560" s="17">
        <v>40</v>
      </c>
      <c r="S560" s="18">
        <v>7244.3099999999986</v>
      </c>
      <c r="T560" s="19" t="s">
        <v>36</v>
      </c>
      <c r="U560" s="20" t="s">
        <v>86</v>
      </c>
      <c r="V560" s="21" t="s">
        <v>87</v>
      </c>
      <c r="W560" s="22">
        <v>8</v>
      </c>
      <c r="X560" s="23"/>
    </row>
    <row r="561" spans="1:24" s="1" customFormat="1" ht="17" customHeight="1" x14ac:dyDescent="0.3">
      <c r="A561" s="24" t="s">
        <v>23</v>
      </c>
      <c r="B561" s="24" t="s">
        <v>627</v>
      </c>
      <c r="C561" s="12" t="s">
        <v>628</v>
      </c>
      <c r="D561" s="60"/>
      <c r="E561" s="41" t="str">
        <f t="shared" si="15"/>
        <v>Еще фото</v>
      </c>
      <c r="F561" s="13" t="s">
        <v>103</v>
      </c>
      <c r="G561" s="24" t="s">
        <v>28</v>
      </c>
      <c r="H561" s="24" t="s">
        <v>27</v>
      </c>
      <c r="I561" s="24" t="s">
        <v>28</v>
      </c>
      <c r="J561" s="14" t="s">
        <v>43</v>
      </c>
      <c r="K561" s="15" t="s">
        <v>30</v>
      </c>
      <c r="L561" s="62"/>
      <c r="M561" s="14"/>
      <c r="N561" s="14" t="s">
        <v>33</v>
      </c>
      <c r="O561" s="14"/>
      <c r="P561" s="15" t="s">
        <v>213</v>
      </c>
      <c r="Q561" s="16">
        <v>10499</v>
      </c>
      <c r="R561" s="17">
        <v>40</v>
      </c>
      <c r="S561" s="18">
        <v>7244.3099999999986</v>
      </c>
      <c r="T561" s="19" t="s">
        <v>36</v>
      </c>
      <c r="U561" s="20" t="s">
        <v>88</v>
      </c>
      <c r="V561" s="21" t="s">
        <v>89</v>
      </c>
      <c r="W561" s="22">
        <v>2</v>
      </c>
      <c r="X561" s="23"/>
    </row>
    <row r="562" spans="1:24" s="1" customFormat="1" ht="17" customHeight="1" x14ac:dyDescent="0.3">
      <c r="A562" s="24" t="s">
        <v>23</v>
      </c>
      <c r="B562" s="24" t="s">
        <v>627</v>
      </c>
      <c r="C562" s="12" t="s">
        <v>628</v>
      </c>
      <c r="D562" s="60"/>
      <c r="E562" s="41" t="str">
        <f t="shared" si="15"/>
        <v>Еще фото</v>
      </c>
      <c r="F562" s="13" t="s">
        <v>103</v>
      </c>
      <c r="G562" s="24" t="s">
        <v>28</v>
      </c>
      <c r="H562" s="24" t="s">
        <v>27</v>
      </c>
      <c r="I562" s="24" t="s">
        <v>28</v>
      </c>
      <c r="J562" s="14" t="s">
        <v>43</v>
      </c>
      <c r="K562" s="15" t="s">
        <v>30</v>
      </c>
      <c r="L562" s="62"/>
      <c r="M562" s="14"/>
      <c r="N562" s="14" t="s">
        <v>33</v>
      </c>
      <c r="O562" s="14"/>
      <c r="P562" s="15" t="s">
        <v>213</v>
      </c>
      <c r="Q562" s="16">
        <v>10499</v>
      </c>
      <c r="R562" s="17">
        <v>40</v>
      </c>
      <c r="S562" s="18">
        <v>7244.3099999999986</v>
      </c>
      <c r="T562" s="19" t="s">
        <v>36</v>
      </c>
      <c r="U562" s="20" t="s">
        <v>90</v>
      </c>
      <c r="V562" s="21" t="s">
        <v>91</v>
      </c>
      <c r="W562" s="22">
        <v>6</v>
      </c>
      <c r="X562" s="23"/>
    </row>
    <row r="563" spans="1:24" s="1" customFormat="1" ht="22.05" customHeight="1" x14ac:dyDescent="0.3">
      <c r="A563" s="24" t="s">
        <v>23</v>
      </c>
      <c r="B563" s="24" t="s">
        <v>627</v>
      </c>
      <c r="C563" s="12" t="s">
        <v>628</v>
      </c>
      <c r="D563" s="61"/>
      <c r="E563" s="41" t="str">
        <f t="shared" si="15"/>
        <v>Еще фото</v>
      </c>
      <c r="F563" s="13" t="s">
        <v>103</v>
      </c>
      <c r="G563" s="24" t="s">
        <v>28</v>
      </c>
      <c r="H563" s="24" t="s">
        <v>27</v>
      </c>
      <c r="I563" s="24" t="s">
        <v>28</v>
      </c>
      <c r="J563" s="14" t="s">
        <v>43</v>
      </c>
      <c r="K563" s="15" t="s">
        <v>30</v>
      </c>
      <c r="L563" s="58"/>
      <c r="M563" s="14"/>
      <c r="N563" s="14" t="s">
        <v>33</v>
      </c>
      <c r="O563" s="14"/>
      <c r="P563" s="15" t="s">
        <v>213</v>
      </c>
      <c r="Q563" s="16">
        <v>10499</v>
      </c>
      <c r="R563" s="17">
        <v>40</v>
      </c>
      <c r="S563" s="18">
        <v>7244.3099999999986</v>
      </c>
      <c r="T563" s="19" t="s">
        <v>36</v>
      </c>
      <c r="U563" s="20" t="s">
        <v>141</v>
      </c>
      <c r="V563" s="21" t="s">
        <v>142</v>
      </c>
      <c r="W563" s="22">
        <v>5</v>
      </c>
      <c r="X563" s="23"/>
    </row>
    <row r="564" spans="1:24" s="1" customFormat="1" ht="21" customHeight="1" x14ac:dyDescent="0.3">
      <c r="A564" s="11" t="s">
        <v>23</v>
      </c>
      <c r="B564" s="11" t="s">
        <v>627</v>
      </c>
      <c r="C564" s="26" t="s">
        <v>630</v>
      </c>
      <c r="D564" s="59"/>
      <c r="E564" s="41" t="str">
        <f>HYPERLINK("https://www.google.ru/search?q=1390256-014&amp;newwindow=1&amp;tbm=isch","Еще фото")</f>
        <v>Еще фото</v>
      </c>
      <c r="F564" s="13" t="s">
        <v>103</v>
      </c>
      <c r="G564" s="11" t="s">
        <v>28</v>
      </c>
      <c r="H564" s="11" t="s">
        <v>27</v>
      </c>
      <c r="I564" s="14" t="s">
        <v>28</v>
      </c>
      <c r="J564" s="14" t="s">
        <v>43</v>
      </c>
      <c r="K564" s="15" t="s">
        <v>30</v>
      </c>
      <c r="L564" s="57" t="s">
        <v>629</v>
      </c>
      <c r="M564" s="14"/>
      <c r="N564" s="14" t="s">
        <v>62</v>
      </c>
      <c r="O564" s="14"/>
      <c r="P564" s="15" t="s">
        <v>213</v>
      </c>
      <c r="Q564" s="16">
        <v>10499</v>
      </c>
      <c r="R564" s="17">
        <v>40</v>
      </c>
      <c r="S564" s="18">
        <v>7244.3099999999986</v>
      </c>
      <c r="T564" s="19" t="s">
        <v>36</v>
      </c>
      <c r="U564" s="20" t="s">
        <v>37</v>
      </c>
      <c r="V564" s="21" t="s">
        <v>38</v>
      </c>
      <c r="W564" s="22">
        <v>3</v>
      </c>
      <c r="X564" s="23"/>
    </row>
    <row r="565" spans="1:24" s="1" customFormat="1" ht="21" customHeight="1" x14ac:dyDescent="0.3">
      <c r="A565" s="24" t="s">
        <v>23</v>
      </c>
      <c r="B565" s="24" t="s">
        <v>627</v>
      </c>
      <c r="C565" s="27" t="s">
        <v>630</v>
      </c>
      <c r="D565" s="60"/>
      <c r="E565" s="41" t="str">
        <f>HYPERLINK("https://www.google.ru/search?q=1390256-014&amp;newwindow=1&amp;tbm=isch","Еще фото")</f>
        <v>Еще фото</v>
      </c>
      <c r="F565" s="13" t="s">
        <v>103</v>
      </c>
      <c r="G565" s="24" t="s">
        <v>28</v>
      </c>
      <c r="H565" s="24" t="s">
        <v>27</v>
      </c>
      <c r="I565" s="24" t="s">
        <v>28</v>
      </c>
      <c r="J565" s="14" t="s">
        <v>43</v>
      </c>
      <c r="K565" s="15" t="s">
        <v>30</v>
      </c>
      <c r="L565" s="62"/>
      <c r="M565" s="14"/>
      <c r="N565" s="14" t="s">
        <v>62</v>
      </c>
      <c r="O565" s="14"/>
      <c r="P565" s="15" t="s">
        <v>213</v>
      </c>
      <c r="Q565" s="16">
        <v>10499</v>
      </c>
      <c r="R565" s="17">
        <v>40</v>
      </c>
      <c r="S565" s="18">
        <v>7244.3099999999986</v>
      </c>
      <c r="T565" s="19" t="s">
        <v>36</v>
      </c>
      <c r="U565" s="20" t="s">
        <v>39</v>
      </c>
      <c r="V565" s="21" t="s">
        <v>40</v>
      </c>
      <c r="W565" s="22">
        <v>17</v>
      </c>
      <c r="X565" s="23"/>
    </row>
    <row r="566" spans="1:24" s="1" customFormat="1" ht="21" customHeight="1" x14ac:dyDescent="0.3">
      <c r="A566" s="24" t="s">
        <v>23</v>
      </c>
      <c r="B566" s="24" t="s">
        <v>627</v>
      </c>
      <c r="C566" s="27" t="s">
        <v>630</v>
      </c>
      <c r="D566" s="60"/>
      <c r="E566" s="41" t="str">
        <f>HYPERLINK("https://www.google.ru/search?q=1390256-014&amp;newwindow=1&amp;tbm=isch","Еще фото")</f>
        <v>Еще фото</v>
      </c>
      <c r="F566" s="13" t="s">
        <v>103</v>
      </c>
      <c r="G566" s="24" t="s">
        <v>28</v>
      </c>
      <c r="H566" s="24" t="s">
        <v>27</v>
      </c>
      <c r="I566" s="24" t="s">
        <v>28</v>
      </c>
      <c r="J566" s="14" t="s">
        <v>43</v>
      </c>
      <c r="K566" s="15" t="s">
        <v>30</v>
      </c>
      <c r="L566" s="62"/>
      <c r="M566" s="14"/>
      <c r="N566" s="14" t="s">
        <v>62</v>
      </c>
      <c r="O566" s="14"/>
      <c r="P566" s="15" t="s">
        <v>213</v>
      </c>
      <c r="Q566" s="16">
        <v>10499</v>
      </c>
      <c r="R566" s="17">
        <v>40</v>
      </c>
      <c r="S566" s="18">
        <v>7244.3099999999986</v>
      </c>
      <c r="T566" s="19" t="s">
        <v>36</v>
      </c>
      <c r="U566" s="20" t="s">
        <v>86</v>
      </c>
      <c r="V566" s="21" t="s">
        <v>87</v>
      </c>
      <c r="W566" s="22">
        <v>18</v>
      </c>
      <c r="X566" s="23"/>
    </row>
    <row r="567" spans="1:24" s="1" customFormat="1" ht="21" customHeight="1" x14ac:dyDescent="0.3">
      <c r="A567" s="24" t="s">
        <v>23</v>
      </c>
      <c r="B567" s="24" t="s">
        <v>627</v>
      </c>
      <c r="C567" s="27" t="s">
        <v>630</v>
      </c>
      <c r="D567" s="60"/>
      <c r="E567" s="41" t="str">
        <f>HYPERLINK("https://www.google.ru/search?q=1390256-014&amp;newwindow=1&amp;tbm=isch","Еще фото")</f>
        <v>Еще фото</v>
      </c>
      <c r="F567" s="13" t="s">
        <v>103</v>
      </c>
      <c r="G567" s="24" t="s">
        <v>28</v>
      </c>
      <c r="H567" s="24" t="s">
        <v>27</v>
      </c>
      <c r="I567" s="24" t="s">
        <v>28</v>
      </c>
      <c r="J567" s="14" t="s">
        <v>43</v>
      </c>
      <c r="K567" s="15" t="s">
        <v>30</v>
      </c>
      <c r="L567" s="62"/>
      <c r="M567" s="14"/>
      <c r="N567" s="14" t="s">
        <v>62</v>
      </c>
      <c r="O567" s="14"/>
      <c r="P567" s="15" t="s">
        <v>213</v>
      </c>
      <c r="Q567" s="16">
        <v>10499</v>
      </c>
      <c r="R567" s="17">
        <v>40</v>
      </c>
      <c r="S567" s="18">
        <v>7244.3099999999986</v>
      </c>
      <c r="T567" s="19" t="s">
        <v>36</v>
      </c>
      <c r="U567" s="20" t="s">
        <v>88</v>
      </c>
      <c r="V567" s="21" t="s">
        <v>89</v>
      </c>
      <c r="W567" s="22">
        <v>5</v>
      </c>
      <c r="X567" s="23"/>
    </row>
    <row r="568" spans="1:24" s="1" customFormat="1" ht="32" customHeight="1" x14ac:dyDescent="0.3">
      <c r="A568" s="24" t="s">
        <v>23</v>
      </c>
      <c r="B568" s="24" t="s">
        <v>627</v>
      </c>
      <c r="C568" s="27" t="s">
        <v>630</v>
      </c>
      <c r="D568" s="61"/>
      <c r="E568" s="41" t="str">
        <f>HYPERLINK("https://www.google.ru/search?q=1390256-014&amp;newwindow=1&amp;tbm=isch","Еще фото")</f>
        <v>Еще фото</v>
      </c>
      <c r="F568" s="13" t="s">
        <v>103</v>
      </c>
      <c r="G568" s="24" t="s">
        <v>28</v>
      </c>
      <c r="H568" s="24" t="s">
        <v>27</v>
      </c>
      <c r="I568" s="24" t="s">
        <v>28</v>
      </c>
      <c r="J568" s="14" t="s">
        <v>43</v>
      </c>
      <c r="K568" s="15" t="s">
        <v>30</v>
      </c>
      <c r="L568" s="58"/>
      <c r="M568" s="14"/>
      <c r="N568" s="14" t="s">
        <v>62</v>
      </c>
      <c r="O568" s="14"/>
      <c r="P568" s="15" t="s">
        <v>213</v>
      </c>
      <c r="Q568" s="16">
        <v>10499</v>
      </c>
      <c r="R568" s="17">
        <v>40</v>
      </c>
      <c r="S568" s="18">
        <v>7244.3099999999986</v>
      </c>
      <c r="T568" s="19" t="s">
        <v>36</v>
      </c>
      <c r="U568" s="20" t="s">
        <v>90</v>
      </c>
      <c r="V568" s="21" t="s">
        <v>91</v>
      </c>
      <c r="W568" s="22">
        <v>9</v>
      </c>
      <c r="X568" s="23"/>
    </row>
    <row r="569" spans="1:24" s="1" customFormat="1" ht="35" customHeight="1" x14ac:dyDescent="0.3">
      <c r="A569" s="11" t="s">
        <v>23</v>
      </c>
      <c r="B569" s="11" t="s">
        <v>627</v>
      </c>
      <c r="C569" s="12" t="s">
        <v>631</v>
      </c>
      <c r="D569" s="59"/>
      <c r="E569" s="41" t="str">
        <f>HYPERLINK("https://www.google.ru/search?q=1390256-299&amp;newwindow=1&amp;tbm=isch","Еще фото")</f>
        <v>Еще фото</v>
      </c>
      <c r="F569" s="13" t="s">
        <v>103</v>
      </c>
      <c r="G569" s="11" t="s">
        <v>28</v>
      </c>
      <c r="H569" s="11" t="s">
        <v>27</v>
      </c>
      <c r="I569" s="14" t="s">
        <v>28</v>
      </c>
      <c r="J569" s="14" t="s">
        <v>43</v>
      </c>
      <c r="K569" s="15" t="s">
        <v>30</v>
      </c>
      <c r="L569" s="57" t="s">
        <v>629</v>
      </c>
      <c r="M569" s="14"/>
      <c r="N569" s="14" t="s">
        <v>229</v>
      </c>
      <c r="O569" s="14"/>
      <c r="P569" s="15" t="s">
        <v>213</v>
      </c>
      <c r="Q569" s="16">
        <v>10499</v>
      </c>
      <c r="R569" s="17">
        <v>40</v>
      </c>
      <c r="S569" s="18">
        <v>7244.3099999999986</v>
      </c>
      <c r="T569" s="19" t="s">
        <v>36</v>
      </c>
      <c r="U569" s="20" t="s">
        <v>39</v>
      </c>
      <c r="V569" s="21" t="s">
        <v>40</v>
      </c>
      <c r="W569" s="22">
        <v>5</v>
      </c>
      <c r="X569" s="23"/>
    </row>
    <row r="570" spans="1:24" s="1" customFormat="1" ht="35" customHeight="1" x14ac:dyDescent="0.3">
      <c r="A570" s="24" t="s">
        <v>23</v>
      </c>
      <c r="B570" s="24" t="s">
        <v>627</v>
      </c>
      <c r="C570" s="12" t="s">
        <v>631</v>
      </c>
      <c r="D570" s="60"/>
      <c r="E570" s="41" t="str">
        <f>HYPERLINK("https://www.google.ru/search?q=1390256-299&amp;newwindow=1&amp;tbm=isch","Еще фото")</f>
        <v>Еще фото</v>
      </c>
      <c r="F570" s="13" t="s">
        <v>103</v>
      </c>
      <c r="G570" s="24" t="s">
        <v>28</v>
      </c>
      <c r="H570" s="24" t="s">
        <v>27</v>
      </c>
      <c r="I570" s="24" t="s">
        <v>28</v>
      </c>
      <c r="J570" s="14" t="s">
        <v>43</v>
      </c>
      <c r="K570" s="15" t="s">
        <v>30</v>
      </c>
      <c r="L570" s="62"/>
      <c r="M570" s="14"/>
      <c r="N570" s="14" t="s">
        <v>229</v>
      </c>
      <c r="O570" s="14"/>
      <c r="P570" s="15" t="s">
        <v>213</v>
      </c>
      <c r="Q570" s="16">
        <v>10499</v>
      </c>
      <c r="R570" s="17">
        <v>40</v>
      </c>
      <c r="S570" s="18">
        <v>7244.3099999999986</v>
      </c>
      <c r="T570" s="19" t="s">
        <v>36</v>
      </c>
      <c r="U570" s="20" t="s">
        <v>90</v>
      </c>
      <c r="V570" s="21" t="s">
        <v>91</v>
      </c>
      <c r="W570" s="22">
        <v>1</v>
      </c>
      <c r="X570" s="23"/>
    </row>
    <row r="571" spans="1:24" s="1" customFormat="1" ht="37.049999999999997" customHeight="1" x14ac:dyDescent="0.3">
      <c r="A571" s="24" t="s">
        <v>23</v>
      </c>
      <c r="B571" s="24" t="s">
        <v>627</v>
      </c>
      <c r="C571" s="12" t="s">
        <v>631</v>
      </c>
      <c r="D571" s="61"/>
      <c r="E571" s="41" t="str">
        <f>HYPERLINK("https://www.google.ru/search?q=1390256-299&amp;newwindow=1&amp;tbm=isch","Еще фото")</f>
        <v>Еще фото</v>
      </c>
      <c r="F571" s="13" t="s">
        <v>103</v>
      </c>
      <c r="G571" s="24" t="s">
        <v>28</v>
      </c>
      <c r="H571" s="24" t="s">
        <v>27</v>
      </c>
      <c r="I571" s="24" t="s">
        <v>28</v>
      </c>
      <c r="J571" s="14" t="s">
        <v>43</v>
      </c>
      <c r="K571" s="15" t="s">
        <v>30</v>
      </c>
      <c r="L571" s="58"/>
      <c r="M571" s="14"/>
      <c r="N571" s="14" t="s">
        <v>229</v>
      </c>
      <c r="O571" s="14"/>
      <c r="P571" s="15" t="s">
        <v>213</v>
      </c>
      <c r="Q571" s="16">
        <v>10499</v>
      </c>
      <c r="R571" s="17">
        <v>40</v>
      </c>
      <c r="S571" s="18">
        <v>7244.3099999999986</v>
      </c>
      <c r="T571" s="19" t="s">
        <v>36</v>
      </c>
      <c r="U571" s="20" t="s">
        <v>143</v>
      </c>
      <c r="V571" s="21" t="s">
        <v>144</v>
      </c>
      <c r="W571" s="22">
        <v>1</v>
      </c>
      <c r="X571" s="23"/>
    </row>
    <row r="572" spans="1:24" s="1" customFormat="1" ht="21" customHeight="1" x14ac:dyDescent="0.3">
      <c r="A572" s="11" t="s">
        <v>23</v>
      </c>
      <c r="B572" s="11" t="s">
        <v>627</v>
      </c>
      <c r="C572" s="26" t="s">
        <v>632</v>
      </c>
      <c r="D572" s="59"/>
      <c r="E572" s="41" t="str">
        <f>HYPERLINK("https://www.google.ru/search?q=1390256-338&amp;newwindow=1&amp;tbm=isch","Еще фото")</f>
        <v>Еще фото</v>
      </c>
      <c r="F572" s="13" t="s">
        <v>103</v>
      </c>
      <c r="G572" s="11" t="s">
        <v>28</v>
      </c>
      <c r="H572" s="11" t="s">
        <v>27</v>
      </c>
      <c r="I572" s="14" t="s">
        <v>28</v>
      </c>
      <c r="J572" s="14" t="s">
        <v>43</v>
      </c>
      <c r="K572" s="15" t="s">
        <v>30</v>
      </c>
      <c r="L572" s="57" t="s">
        <v>629</v>
      </c>
      <c r="M572" s="14"/>
      <c r="N572" s="14" t="s">
        <v>127</v>
      </c>
      <c r="O572" s="14"/>
      <c r="P572" s="15" t="s">
        <v>213</v>
      </c>
      <c r="Q572" s="16">
        <v>10499</v>
      </c>
      <c r="R572" s="17">
        <v>40</v>
      </c>
      <c r="S572" s="18">
        <v>7244.3099999999986</v>
      </c>
      <c r="T572" s="19" t="s">
        <v>36</v>
      </c>
      <c r="U572" s="20" t="s">
        <v>37</v>
      </c>
      <c r="V572" s="21" t="s">
        <v>38</v>
      </c>
      <c r="W572" s="22">
        <v>4</v>
      </c>
      <c r="X572" s="23"/>
    </row>
    <row r="573" spans="1:24" s="1" customFormat="1" ht="21" customHeight="1" x14ac:dyDescent="0.3">
      <c r="A573" s="24" t="s">
        <v>23</v>
      </c>
      <c r="B573" s="24" t="s">
        <v>627</v>
      </c>
      <c r="C573" s="27" t="s">
        <v>632</v>
      </c>
      <c r="D573" s="60"/>
      <c r="E573" s="41" t="str">
        <f>HYPERLINK("https://www.google.ru/search?q=1390256-338&amp;newwindow=1&amp;tbm=isch","Еще фото")</f>
        <v>Еще фото</v>
      </c>
      <c r="F573" s="13" t="s">
        <v>103</v>
      </c>
      <c r="G573" s="24" t="s">
        <v>28</v>
      </c>
      <c r="H573" s="24" t="s">
        <v>27</v>
      </c>
      <c r="I573" s="24" t="s">
        <v>28</v>
      </c>
      <c r="J573" s="14" t="s">
        <v>43</v>
      </c>
      <c r="K573" s="15" t="s">
        <v>30</v>
      </c>
      <c r="L573" s="62"/>
      <c r="M573" s="14"/>
      <c r="N573" s="14" t="s">
        <v>127</v>
      </c>
      <c r="O573" s="14"/>
      <c r="P573" s="15" t="s">
        <v>213</v>
      </c>
      <c r="Q573" s="16">
        <v>10499</v>
      </c>
      <c r="R573" s="17">
        <v>40</v>
      </c>
      <c r="S573" s="18">
        <v>7244.3099999999986</v>
      </c>
      <c r="T573" s="19" t="s">
        <v>36</v>
      </c>
      <c r="U573" s="20" t="s">
        <v>39</v>
      </c>
      <c r="V573" s="21" t="s">
        <v>40</v>
      </c>
      <c r="W573" s="22">
        <v>15</v>
      </c>
      <c r="X573" s="23"/>
    </row>
    <row r="574" spans="1:24" s="1" customFormat="1" ht="21" customHeight="1" x14ac:dyDescent="0.3">
      <c r="A574" s="24" t="s">
        <v>23</v>
      </c>
      <c r="B574" s="24" t="s">
        <v>627</v>
      </c>
      <c r="C574" s="27" t="s">
        <v>632</v>
      </c>
      <c r="D574" s="60"/>
      <c r="E574" s="41" t="str">
        <f>HYPERLINK("https://www.google.ru/search?q=1390256-338&amp;newwindow=1&amp;tbm=isch","Еще фото")</f>
        <v>Еще фото</v>
      </c>
      <c r="F574" s="13" t="s">
        <v>103</v>
      </c>
      <c r="G574" s="24" t="s">
        <v>28</v>
      </c>
      <c r="H574" s="24" t="s">
        <v>27</v>
      </c>
      <c r="I574" s="24" t="s">
        <v>28</v>
      </c>
      <c r="J574" s="14" t="s">
        <v>43</v>
      </c>
      <c r="K574" s="15" t="s">
        <v>30</v>
      </c>
      <c r="L574" s="62"/>
      <c r="M574" s="14"/>
      <c r="N574" s="14" t="s">
        <v>127</v>
      </c>
      <c r="O574" s="14"/>
      <c r="P574" s="15" t="s">
        <v>213</v>
      </c>
      <c r="Q574" s="16">
        <v>10499</v>
      </c>
      <c r="R574" s="17">
        <v>40</v>
      </c>
      <c r="S574" s="18">
        <v>7244.3099999999986</v>
      </c>
      <c r="T574" s="19" t="s">
        <v>36</v>
      </c>
      <c r="U574" s="20" t="s">
        <v>86</v>
      </c>
      <c r="V574" s="21" t="s">
        <v>87</v>
      </c>
      <c r="W574" s="22">
        <v>8</v>
      </c>
      <c r="X574" s="23"/>
    </row>
    <row r="575" spans="1:24" s="1" customFormat="1" ht="21" customHeight="1" x14ac:dyDescent="0.3">
      <c r="A575" s="24" t="s">
        <v>23</v>
      </c>
      <c r="B575" s="24" t="s">
        <v>627</v>
      </c>
      <c r="C575" s="27" t="s">
        <v>632</v>
      </c>
      <c r="D575" s="60"/>
      <c r="E575" s="41" t="str">
        <f>HYPERLINK("https://www.google.ru/search?q=1390256-338&amp;newwindow=1&amp;tbm=isch","Еще фото")</f>
        <v>Еще фото</v>
      </c>
      <c r="F575" s="13" t="s">
        <v>103</v>
      </c>
      <c r="G575" s="24" t="s">
        <v>28</v>
      </c>
      <c r="H575" s="24" t="s">
        <v>27</v>
      </c>
      <c r="I575" s="24" t="s">
        <v>28</v>
      </c>
      <c r="J575" s="14" t="s">
        <v>43</v>
      </c>
      <c r="K575" s="15" t="s">
        <v>30</v>
      </c>
      <c r="L575" s="62"/>
      <c r="M575" s="14"/>
      <c r="N575" s="14" t="s">
        <v>127</v>
      </c>
      <c r="O575" s="14"/>
      <c r="P575" s="15" t="s">
        <v>213</v>
      </c>
      <c r="Q575" s="16">
        <v>10499</v>
      </c>
      <c r="R575" s="17">
        <v>40</v>
      </c>
      <c r="S575" s="18">
        <v>7244.3099999999986</v>
      </c>
      <c r="T575" s="19" t="s">
        <v>36</v>
      </c>
      <c r="U575" s="20" t="s">
        <v>88</v>
      </c>
      <c r="V575" s="21" t="s">
        <v>89</v>
      </c>
      <c r="W575" s="22">
        <v>7</v>
      </c>
      <c r="X575" s="23"/>
    </row>
    <row r="576" spans="1:24" s="1" customFormat="1" ht="32" customHeight="1" x14ac:dyDescent="0.3">
      <c r="A576" s="24" t="s">
        <v>23</v>
      </c>
      <c r="B576" s="24" t="s">
        <v>627</v>
      </c>
      <c r="C576" s="27" t="s">
        <v>632</v>
      </c>
      <c r="D576" s="61"/>
      <c r="E576" s="41" t="str">
        <f>HYPERLINK("https://www.google.ru/search?q=1390256-338&amp;newwindow=1&amp;tbm=isch","Еще фото")</f>
        <v>Еще фото</v>
      </c>
      <c r="F576" s="13" t="s">
        <v>103</v>
      </c>
      <c r="G576" s="24" t="s">
        <v>28</v>
      </c>
      <c r="H576" s="24" t="s">
        <v>27</v>
      </c>
      <c r="I576" s="24" t="s">
        <v>28</v>
      </c>
      <c r="J576" s="14" t="s">
        <v>43</v>
      </c>
      <c r="K576" s="15" t="s">
        <v>30</v>
      </c>
      <c r="L576" s="58"/>
      <c r="M576" s="14"/>
      <c r="N576" s="14" t="s">
        <v>127</v>
      </c>
      <c r="O576" s="14"/>
      <c r="P576" s="15" t="s">
        <v>213</v>
      </c>
      <c r="Q576" s="16">
        <v>10499</v>
      </c>
      <c r="R576" s="17">
        <v>40</v>
      </c>
      <c r="S576" s="18">
        <v>7244.3099999999986</v>
      </c>
      <c r="T576" s="19" t="s">
        <v>36</v>
      </c>
      <c r="U576" s="20" t="s">
        <v>90</v>
      </c>
      <c r="V576" s="21" t="s">
        <v>91</v>
      </c>
      <c r="W576" s="22">
        <v>5</v>
      </c>
      <c r="X576" s="23"/>
    </row>
    <row r="577" spans="1:24" s="1" customFormat="1" ht="108" customHeight="1" x14ac:dyDescent="0.3">
      <c r="A577" s="11" t="s">
        <v>23</v>
      </c>
      <c r="B577" s="11" t="s">
        <v>633</v>
      </c>
      <c r="C577" s="12" t="s">
        <v>634</v>
      </c>
      <c r="D577" s="25"/>
      <c r="E577" s="41" t="str">
        <f>HYPERLINK("https://www.google.ru/search?q=1390288-001&amp;newwindow=1&amp;tbm=isch","Еще фото")</f>
        <v>Еще фото</v>
      </c>
      <c r="F577" s="13"/>
      <c r="G577" s="11" t="s">
        <v>28</v>
      </c>
      <c r="H577" s="11" t="s">
        <v>27</v>
      </c>
      <c r="I577" s="14" t="s">
        <v>28</v>
      </c>
      <c r="J577" s="14" t="s">
        <v>43</v>
      </c>
      <c r="K577" s="15" t="s">
        <v>30</v>
      </c>
      <c r="L577" s="14" t="s">
        <v>635</v>
      </c>
      <c r="M577" s="14" t="s">
        <v>32</v>
      </c>
      <c r="N577" s="14" t="s">
        <v>33</v>
      </c>
      <c r="O577" s="14"/>
      <c r="P577" s="15" t="s">
        <v>248</v>
      </c>
      <c r="Q577" s="16">
        <v>13199</v>
      </c>
      <c r="R577" s="17">
        <v>40</v>
      </c>
      <c r="S577" s="18">
        <v>9107.31</v>
      </c>
      <c r="T577" s="19" t="s">
        <v>36</v>
      </c>
      <c r="U577" s="20" t="s">
        <v>90</v>
      </c>
      <c r="V577" s="21" t="s">
        <v>91</v>
      </c>
      <c r="W577" s="22">
        <v>1</v>
      </c>
      <c r="X577" s="23"/>
    </row>
    <row r="578" spans="1:24" s="1" customFormat="1" ht="52.05" customHeight="1" x14ac:dyDescent="0.3">
      <c r="A578" s="11" t="s">
        <v>23</v>
      </c>
      <c r="B578" s="11" t="s">
        <v>633</v>
      </c>
      <c r="C578" s="12" t="s">
        <v>636</v>
      </c>
      <c r="D578" s="55"/>
      <c r="E578" s="41" t="str">
        <f>HYPERLINK("https://www.google.ru/search?q=1390288-014&amp;newwindow=1&amp;tbm=isch","Еще фото")</f>
        <v>Еще фото</v>
      </c>
      <c r="F578" s="13" t="s">
        <v>103</v>
      </c>
      <c r="G578" s="11" t="s">
        <v>28</v>
      </c>
      <c r="H578" s="11" t="s">
        <v>27</v>
      </c>
      <c r="I578" s="14" t="s">
        <v>28</v>
      </c>
      <c r="J578" s="14" t="s">
        <v>43</v>
      </c>
      <c r="K578" s="15" t="s">
        <v>30</v>
      </c>
      <c r="L578" s="57" t="s">
        <v>635</v>
      </c>
      <c r="M578" s="14" t="s">
        <v>32</v>
      </c>
      <c r="N578" s="14" t="s">
        <v>62</v>
      </c>
      <c r="O578" s="14"/>
      <c r="P578" s="15" t="s">
        <v>248</v>
      </c>
      <c r="Q578" s="16">
        <v>14399</v>
      </c>
      <c r="R578" s="17">
        <v>40</v>
      </c>
      <c r="S578" s="18">
        <v>9935.31</v>
      </c>
      <c r="T578" s="19" t="s">
        <v>36</v>
      </c>
      <c r="U578" s="20" t="s">
        <v>37</v>
      </c>
      <c r="V578" s="21" t="s">
        <v>38</v>
      </c>
      <c r="W578" s="22">
        <v>3</v>
      </c>
      <c r="X578" s="23"/>
    </row>
    <row r="579" spans="1:24" s="1" customFormat="1" ht="61.05" customHeight="1" x14ac:dyDescent="0.3">
      <c r="A579" s="24" t="s">
        <v>23</v>
      </c>
      <c r="B579" s="24" t="s">
        <v>633</v>
      </c>
      <c r="C579" s="12" t="s">
        <v>636</v>
      </c>
      <c r="D579" s="56"/>
      <c r="E579" s="41" t="str">
        <f>HYPERLINK("https://www.google.ru/search?q=1390288-014&amp;newwindow=1&amp;tbm=isch","Еще фото")</f>
        <v>Еще фото</v>
      </c>
      <c r="F579" s="13" t="s">
        <v>103</v>
      </c>
      <c r="G579" s="24" t="s">
        <v>28</v>
      </c>
      <c r="H579" s="24" t="s">
        <v>27</v>
      </c>
      <c r="I579" s="24" t="s">
        <v>28</v>
      </c>
      <c r="J579" s="14" t="s">
        <v>43</v>
      </c>
      <c r="K579" s="15" t="s">
        <v>30</v>
      </c>
      <c r="L579" s="58"/>
      <c r="M579" s="14" t="s">
        <v>32</v>
      </c>
      <c r="N579" s="14" t="s">
        <v>62</v>
      </c>
      <c r="O579" s="14"/>
      <c r="P579" s="15" t="s">
        <v>248</v>
      </c>
      <c r="Q579" s="16">
        <v>14399</v>
      </c>
      <c r="R579" s="17">
        <v>40</v>
      </c>
      <c r="S579" s="18">
        <v>9935.31</v>
      </c>
      <c r="T579" s="19" t="s">
        <v>36</v>
      </c>
      <c r="U579" s="20" t="s">
        <v>90</v>
      </c>
      <c r="V579" s="21" t="s">
        <v>91</v>
      </c>
      <c r="W579" s="22">
        <v>1</v>
      </c>
      <c r="X579" s="23"/>
    </row>
    <row r="580" spans="1:24" s="1" customFormat="1" ht="26" customHeight="1" x14ac:dyDescent="0.3">
      <c r="A580" s="11" t="s">
        <v>23</v>
      </c>
      <c r="B580" s="11" t="s">
        <v>637</v>
      </c>
      <c r="C580" s="12" t="s">
        <v>638</v>
      </c>
      <c r="D580" s="59"/>
      <c r="E580" s="41" t="str">
        <f>HYPERLINK("https://www.google.ru/search?q=6003861-014&amp;newwindow=1&amp;tbm=isch","Еще фото")</f>
        <v>Еще фото</v>
      </c>
      <c r="F580" s="13"/>
      <c r="G580" s="11" t="s">
        <v>28</v>
      </c>
      <c r="H580" s="11" t="s">
        <v>27</v>
      </c>
      <c r="I580" s="14" t="s">
        <v>28</v>
      </c>
      <c r="J580" s="14" t="s">
        <v>43</v>
      </c>
      <c r="K580" s="15" t="s">
        <v>30</v>
      </c>
      <c r="L580" s="57" t="s">
        <v>639</v>
      </c>
      <c r="M580" s="14"/>
      <c r="N580" s="14" t="s">
        <v>62</v>
      </c>
      <c r="O580" s="14"/>
      <c r="P580" s="15" t="s">
        <v>213</v>
      </c>
      <c r="Q580" s="16">
        <v>6899</v>
      </c>
      <c r="R580" s="17">
        <v>40</v>
      </c>
      <c r="S580" s="18">
        <v>4760.3099999999995</v>
      </c>
      <c r="T580" s="19" t="s">
        <v>36</v>
      </c>
      <c r="U580" s="20" t="s">
        <v>39</v>
      </c>
      <c r="V580" s="21" t="s">
        <v>40</v>
      </c>
      <c r="W580" s="22">
        <v>10</v>
      </c>
      <c r="X580" s="23"/>
    </row>
    <row r="581" spans="1:24" s="1" customFormat="1" ht="26" customHeight="1" x14ac:dyDescent="0.3">
      <c r="A581" s="24" t="s">
        <v>23</v>
      </c>
      <c r="B581" s="24" t="s">
        <v>637</v>
      </c>
      <c r="C581" s="12" t="s">
        <v>638</v>
      </c>
      <c r="D581" s="60"/>
      <c r="E581" s="41" t="str">
        <f>HYPERLINK("https://www.google.ru/search?q=6003861-014&amp;newwindow=1&amp;tbm=isch","Еще фото")</f>
        <v>Еще фото</v>
      </c>
      <c r="F581" s="13"/>
      <c r="G581" s="24" t="s">
        <v>28</v>
      </c>
      <c r="H581" s="24" t="s">
        <v>27</v>
      </c>
      <c r="I581" s="24" t="s">
        <v>28</v>
      </c>
      <c r="J581" s="14" t="s">
        <v>43</v>
      </c>
      <c r="K581" s="15" t="s">
        <v>30</v>
      </c>
      <c r="L581" s="62"/>
      <c r="M581" s="14"/>
      <c r="N581" s="14" t="s">
        <v>62</v>
      </c>
      <c r="O581" s="14"/>
      <c r="P581" s="15" t="s">
        <v>213</v>
      </c>
      <c r="Q581" s="16">
        <v>6899</v>
      </c>
      <c r="R581" s="17">
        <v>40</v>
      </c>
      <c r="S581" s="18">
        <v>4760.3099999999995</v>
      </c>
      <c r="T581" s="19" t="s">
        <v>36</v>
      </c>
      <c r="U581" s="20" t="s">
        <v>86</v>
      </c>
      <c r="V581" s="21" t="s">
        <v>87</v>
      </c>
      <c r="W581" s="22">
        <v>14</v>
      </c>
      <c r="X581" s="23"/>
    </row>
    <row r="582" spans="1:24" s="1" customFormat="1" ht="26" customHeight="1" x14ac:dyDescent="0.3">
      <c r="A582" s="24" t="s">
        <v>23</v>
      </c>
      <c r="B582" s="24" t="s">
        <v>637</v>
      </c>
      <c r="C582" s="12" t="s">
        <v>638</v>
      </c>
      <c r="D582" s="60"/>
      <c r="E582" s="41" t="str">
        <f>HYPERLINK("https://www.google.ru/search?q=6003861-014&amp;newwindow=1&amp;tbm=isch","Еще фото")</f>
        <v>Еще фото</v>
      </c>
      <c r="F582" s="13"/>
      <c r="G582" s="24" t="s">
        <v>28</v>
      </c>
      <c r="H582" s="24" t="s">
        <v>27</v>
      </c>
      <c r="I582" s="24" t="s">
        <v>28</v>
      </c>
      <c r="J582" s="14" t="s">
        <v>43</v>
      </c>
      <c r="K582" s="15" t="s">
        <v>30</v>
      </c>
      <c r="L582" s="62"/>
      <c r="M582" s="14"/>
      <c r="N582" s="14" t="s">
        <v>62</v>
      </c>
      <c r="O582" s="14"/>
      <c r="P582" s="15" t="s">
        <v>213</v>
      </c>
      <c r="Q582" s="16">
        <v>6899</v>
      </c>
      <c r="R582" s="17">
        <v>40</v>
      </c>
      <c r="S582" s="18">
        <v>4760.3099999999995</v>
      </c>
      <c r="T582" s="19" t="s">
        <v>36</v>
      </c>
      <c r="U582" s="20" t="s">
        <v>88</v>
      </c>
      <c r="V582" s="21" t="s">
        <v>89</v>
      </c>
      <c r="W582" s="22">
        <v>5</v>
      </c>
      <c r="X582" s="23"/>
    </row>
    <row r="583" spans="1:24" s="1" customFormat="1" ht="26" customHeight="1" x14ac:dyDescent="0.3">
      <c r="A583" s="24" t="s">
        <v>23</v>
      </c>
      <c r="B583" s="24" t="s">
        <v>637</v>
      </c>
      <c r="C583" s="12" t="s">
        <v>638</v>
      </c>
      <c r="D583" s="61"/>
      <c r="E583" s="41" t="str">
        <f>HYPERLINK("https://www.google.ru/search?q=6003861-014&amp;newwindow=1&amp;tbm=isch","Еще фото")</f>
        <v>Еще фото</v>
      </c>
      <c r="F583" s="13"/>
      <c r="G583" s="24" t="s">
        <v>28</v>
      </c>
      <c r="H583" s="24" t="s">
        <v>27</v>
      </c>
      <c r="I583" s="24" t="s">
        <v>28</v>
      </c>
      <c r="J583" s="14" t="s">
        <v>43</v>
      </c>
      <c r="K583" s="15" t="s">
        <v>30</v>
      </c>
      <c r="L583" s="58"/>
      <c r="M583" s="14"/>
      <c r="N583" s="14" t="s">
        <v>62</v>
      </c>
      <c r="O583" s="14"/>
      <c r="P583" s="15" t="s">
        <v>213</v>
      </c>
      <c r="Q583" s="16">
        <v>6899</v>
      </c>
      <c r="R583" s="17">
        <v>40</v>
      </c>
      <c r="S583" s="18">
        <v>4760.3099999999995</v>
      </c>
      <c r="T583" s="19" t="s">
        <v>36</v>
      </c>
      <c r="U583" s="20" t="s">
        <v>90</v>
      </c>
      <c r="V583" s="21" t="s">
        <v>91</v>
      </c>
      <c r="W583" s="22">
        <v>9</v>
      </c>
      <c r="X583" s="23"/>
    </row>
    <row r="584" spans="1:24" s="1" customFormat="1" ht="52.05" customHeight="1" x14ac:dyDescent="0.3">
      <c r="A584" s="11" t="s">
        <v>23</v>
      </c>
      <c r="B584" s="11" t="s">
        <v>637</v>
      </c>
      <c r="C584" s="12" t="s">
        <v>640</v>
      </c>
      <c r="D584" s="55"/>
      <c r="E584" s="41" t="str">
        <f>HYPERLINK("https://www.google.ru/search?q=6003861-299&amp;newwindow=1&amp;tbm=isch","Еще фото")</f>
        <v>Еще фото</v>
      </c>
      <c r="F584" s="13"/>
      <c r="G584" s="11" t="s">
        <v>28</v>
      </c>
      <c r="H584" s="11" t="s">
        <v>27</v>
      </c>
      <c r="I584" s="14" t="s">
        <v>28</v>
      </c>
      <c r="J584" s="14" t="s">
        <v>43</v>
      </c>
      <c r="K584" s="15" t="s">
        <v>30</v>
      </c>
      <c r="L584" s="57" t="s">
        <v>639</v>
      </c>
      <c r="M584" s="14"/>
      <c r="N584" s="14" t="s">
        <v>229</v>
      </c>
      <c r="O584" s="14"/>
      <c r="P584" s="15" t="s">
        <v>213</v>
      </c>
      <c r="Q584" s="16">
        <v>6899</v>
      </c>
      <c r="R584" s="17">
        <v>40</v>
      </c>
      <c r="S584" s="18">
        <v>4760.3099999999995</v>
      </c>
      <c r="T584" s="19" t="s">
        <v>36</v>
      </c>
      <c r="U584" s="20" t="s">
        <v>37</v>
      </c>
      <c r="V584" s="21" t="s">
        <v>38</v>
      </c>
      <c r="W584" s="22">
        <v>1</v>
      </c>
      <c r="X584" s="23"/>
    </row>
    <row r="585" spans="1:24" s="1" customFormat="1" ht="61.05" customHeight="1" x14ac:dyDescent="0.3">
      <c r="A585" s="24" t="s">
        <v>23</v>
      </c>
      <c r="B585" s="24" t="s">
        <v>637</v>
      </c>
      <c r="C585" s="12" t="s">
        <v>640</v>
      </c>
      <c r="D585" s="56"/>
      <c r="E585" s="41" t="str">
        <f>HYPERLINK("https://www.google.ru/search?q=6003861-299&amp;newwindow=1&amp;tbm=isch","Еще фото")</f>
        <v>Еще фото</v>
      </c>
      <c r="F585" s="13"/>
      <c r="G585" s="24" t="s">
        <v>28</v>
      </c>
      <c r="H585" s="24" t="s">
        <v>27</v>
      </c>
      <c r="I585" s="24" t="s">
        <v>28</v>
      </c>
      <c r="J585" s="14" t="s">
        <v>43</v>
      </c>
      <c r="K585" s="15" t="s">
        <v>30</v>
      </c>
      <c r="L585" s="58"/>
      <c r="M585" s="14"/>
      <c r="N585" s="14" t="s">
        <v>229</v>
      </c>
      <c r="O585" s="14"/>
      <c r="P585" s="15" t="s">
        <v>213</v>
      </c>
      <c r="Q585" s="16">
        <v>6899</v>
      </c>
      <c r="R585" s="17">
        <v>40</v>
      </c>
      <c r="S585" s="18">
        <v>4760.3099999999995</v>
      </c>
      <c r="T585" s="19" t="s">
        <v>36</v>
      </c>
      <c r="U585" s="20" t="s">
        <v>39</v>
      </c>
      <c r="V585" s="21" t="s">
        <v>40</v>
      </c>
      <c r="W585" s="22">
        <v>6</v>
      </c>
      <c r="X585" s="23"/>
    </row>
    <row r="586" spans="1:24" s="1" customFormat="1" ht="21" customHeight="1" x14ac:dyDescent="0.3">
      <c r="A586" s="11" t="s">
        <v>23</v>
      </c>
      <c r="B586" s="11" t="s">
        <v>637</v>
      </c>
      <c r="C586" s="26" t="s">
        <v>641</v>
      </c>
      <c r="D586" s="59"/>
      <c r="E586" s="41" t="str">
        <f>HYPERLINK("https://www.google.ru/search?q=6003861-338&amp;newwindow=1&amp;tbm=isch","Еще фото")</f>
        <v>Еще фото</v>
      </c>
      <c r="F586" s="13"/>
      <c r="G586" s="11" t="s">
        <v>28</v>
      </c>
      <c r="H586" s="11" t="s">
        <v>27</v>
      </c>
      <c r="I586" s="14" t="s">
        <v>28</v>
      </c>
      <c r="J586" s="14" t="s">
        <v>43</v>
      </c>
      <c r="K586" s="15" t="s">
        <v>30</v>
      </c>
      <c r="L586" s="57" t="s">
        <v>639</v>
      </c>
      <c r="M586" s="14"/>
      <c r="N586" s="14" t="s">
        <v>127</v>
      </c>
      <c r="O586" s="14"/>
      <c r="P586" s="15" t="s">
        <v>213</v>
      </c>
      <c r="Q586" s="16">
        <v>6899</v>
      </c>
      <c r="R586" s="17">
        <v>40</v>
      </c>
      <c r="S586" s="18">
        <v>4760.3099999999995</v>
      </c>
      <c r="T586" s="19" t="s">
        <v>36</v>
      </c>
      <c r="U586" s="20" t="s">
        <v>37</v>
      </c>
      <c r="V586" s="21" t="s">
        <v>38</v>
      </c>
      <c r="W586" s="22">
        <v>4</v>
      </c>
      <c r="X586" s="23"/>
    </row>
    <row r="587" spans="1:24" s="1" customFormat="1" ht="21" customHeight="1" x14ac:dyDescent="0.3">
      <c r="A587" s="24" t="s">
        <v>23</v>
      </c>
      <c r="B587" s="24" t="s">
        <v>637</v>
      </c>
      <c r="C587" s="27" t="s">
        <v>641</v>
      </c>
      <c r="D587" s="60"/>
      <c r="E587" s="41" t="str">
        <f>HYPERLINK("https://www.google.ru/search?q=6003861-338&amp;newwindow=1&amp;tbm=isch","Еще фото")</f>
        <v>Еще фото</v>
      </c>
      <c r="F587" s="13"/>
      <c r="G587" s="24" t="s">
        <v>28</v>
      </c>
      <c r="H587" s="24" t="s">
        <v>27</v>
      </c>
      <c r="I587" s="24" t="s">
        <v>28</v>
      </c>
      <c r="J587" s="14" t="s">
        <v>43</v>
      </c>
      <c r="K587" s="15" t="s">
        <v>30</v>
      </c>
      <c r="L587" s="62"/>
      <c r="M587" s="14"/>
      <c r="N587" s="14" t="s">
        <v>127</v>
      </c>
      <c r="O587" s="14"/>
      <c r="P587" s="15" t="s">
        <v>213</v>
      </c>
      <c r="Q587" s="16">
        <v>6899</v>
      </c>
      <c r="R587" s="17">
        <v>40</v>
      </c>
      <c r="S587" s="18">
        <v>4760.3099999999995</v>
      </c>
      <c r="T587" s="19" t="s">
        <v>36</v>
      </c>
      <c r="U587" s="20" t="s">
        <v>39</v>
      </c>
      <c r="V587" s="21" t="s">
        <v>40</v>
      </c>
      <c r="W587" s="22">
        <v>9</v>
      </c>
      <c r="X587" s="23"/>
    </row>
    <row r="588" spans="1:24" s="1" customFormat="1" ht="21" customHeight="1" x14ac:dyDescent="0.3">
      <c r="A588" s="24" t="s">
        <v>23</v>
      </c>
      <c r="B588" s="24" t="s">
        <v>637</v>
      </c>
      <c r="C588" s="27" t="s">
        <v>641</v>
      </c>
      <c r="D588" s="60"/>
      <c r="E588" s="41" t="str">
        <f>HYPERLINK("https://www.google.ru/search?q=6003861-338&amp;newwindow=1&amp;tbm=isch","Еще фото")</f>
        <v>Еще фото</v>
      </c>
      <c r="F588" s="13"/>
      <c r="G588" s="24" t="s">
        <v>28</v>
      </c>
      <c r="H588" s="24" t="s">
        <v>27</v>
      </c>
      <c r="I588" s="24" t="s">
        <v>28</v>
      </c>
      <c r="J588" s="14" t="s">
        <v>43</v>
      </c>
      <c r="K588" s="15" t="s">
        <v>30</v>
      </c>
      <c r="L588" s="62"/>
      <c r="M588" s="14"/>
      <c r="N588" s="14" t="s">
        <v>127</v>
      </c>
      <c r="O588" s="14"/>
      <c r="P588" s="15" t="s">
        <v>213</v>
      </c>
      <c r="Q588" s="16">
        <v>6899</v>
      </c>
      <c r="R588" s="17">
        <v>40</v>
      </c>
      <c r="S588" s="18">
        <v>4760.3099999999995</v>
      </c>
      <c r="T588" s="19" t="s">
        <v>36</v>
      </c>
      <c r="U588" s="20" t="s">
        <v>86</v>
      </c>
      <c r="V588" s="21" t="s">
        <v>87</v>
      </c>
      <c r="W588" s="22">
        <v>8</v>
      </c>
      <c r="X588" s="23"/>
    </row>
    <row r="589" spans="1:24" s="1" customFormat="1" ht="21" customHeight="1" x14ac:dyDescent="0.3">
      <c r="A589" s="24" t="s">
        <v>23</v>
      </c>
      <c r="B589" s="24" t="s">
        <v>637</v>
      </c>
      <c r="C589" s="27" t="s">
        <v>641</v>
      </c>
      <c r="D589" s="60"/>
      <c r="E589" s="41" t="str">
        <f>HYPERLINK("https://www.google.ru/search?q=6003861-338&amp;newwindow=1&amp;tbm=isch","Еще фото")</f>
        <v>Еще фото</v>
      </c>
      <c r="F589" s="13"/>
      <c r="G589" s="24" t="s">
        <v>28</v>
      </c>
      <c r="H589" s="24" t="s">
        <v>27</v>
      </c>
      <c r="I589" s="24" t="s">
        <v>28</v>
      </c>
      <c r="J589" s="14" t="s">
        <v>43</v>
      </c>
      <c r="K589" s="15" t="s">
        <v>30</v>
      </c>
      <c r="L589" s="62"/>
      <c r="M589" s="14"/>
      <c r="N589" s="14" t="s">
        <v>127</v>
      </c>
      <c r="O589" s="14"/>
      <c r="P589" s="15" t="s">
        <v>213</v>
      </c>
      <c r="Q589" s="16">
        <v>6899</v>
      </c>
      <c r="R589" s="17">
        <v>40</v>
      </c>
      <c r="S589" s="18">
        <v>4760.3099999999995</v>
      </c>
      <c r="T589" s="19" t="s">
        <v>36</v>
      </c>
      <c r="U589" s="20" t="s">
        <v>88</v>
      </c>
      <c r="V589" s="21" t="s">
        <v>89</v>
      </c>
      <c r="W589" s="22">
        <v>7</v>
      </c>
      <c r="X589" s="23"/>
    </row>
    <row r="590" spans="1:24" s="1" customFormat="1" ht="32" customHeight="1" x14ac:dyDescent="0.3">
      <c r="A590" s="24" t="s">
        <v>23</v>
      </c>
      <c r="B590" s="24" t="s">
        <v>637</v>
      </c>
      <c r="C590" s="27" t="s">
        <v>641</v>
      </c>
      <c r="D590" s="61"/>
      <c r="E590" s="41" t="str">
        <f>HYPERLINK("https://www.google.ru/search?q=6003861-338&amp;newwindow=1&amp;tbm=isch","Еще фото")</f>
        <v>Еще фото</v>
      </c>
      <c r="F590" s="13"/>
      <c r="G590" s="24" t="s">
        <v>28</v>
      </c>
      <c r="H590" s="24" t="s">
        <v>27</v>
      </c>
      <c r="I590" s="24" t="s">
        <v>28</v>
      </c>
      <c r="J590" s="14" t="s">
        <v>43</v>
      </c>
      <c r="K590" s="15" t="s">
        <v>30</v>
      </c>
      <c r="L590" s="58"/>
      <c r="M590" s="14"/>
      <c r="N590" s="14" t="s">
        <v>127</v>
      </c>
      <c r="O590" s="14"/>
      <c r="P590" s="15" t="s">
        <v>213</v>
      </c>
      <c r="Q590" s="16">
        <v>6899</v>
      </c>
      <c r="R590" s="17">
        <v>40</v>
      </c>
      <c r="S590" s="18">
        <v>4760.3099999999995</v>
      </c>
      <c r="T590" s="19" t="s">
        <v>36</v>
      </c>
      <c r="U590" s="20" t="s">
        <v>90</v>
      </c>
      <c r="V590" s="21" t="s">
        <v>91</v>
      </c>
      <c r="W590" s="22">
        <v>4</v>
      </c>
      <c r="X590" s="23"/>
    </row>
    <row r="591" spans="1:24" s="1" customFormat="1" ht="26" customHeight="1" x14ac:dyDescent="0.3">
      <c r="A591" s="11" t="s">
        <v>23</v>
      </c>
      <c r="B591" s="11" t="s">
        <v>637</v>
      </c>
      <c r="C591" s="12" t="s">
        <v>642</v>
      </c>
      <c r="D591" s="59"/>
      <c r="E591" s="41" t="str">
        <f>HYPERLINK("https://www.google.ru/search?q=6003861-498&amp;newwindow=1&amp;tbm=isch","Еще фото")</f>
        <v>Еще фото</v>
      </c>
      <c r="F591" s="13"/>
      <c r="G591" s="11" t="s">
        <v>28</v>
      </c>
      <c r="H591" s="11" t="s">
        <v>27</v>
      </c>
      <c r="I591" s="14" t="s">
        <v>28</v>
      </c>
      <c r="J591" s="14" t="s">
        <v>43</v>
      </c>
      <c r="K591" s="15" t="s">
        <v>30</v>
      </c>
      <c r="L591" s="57" t="s">
        <v>639</v>
      </c>
      <c r="M591" s="14"/>
      <c r="N591" s="14" t="s">
        <v>115</v>
      </c>
      <c r="O591" s="14"/>
      <c r="P591" s="15" t="s">
        <v>213</v>
      </c>
      <c r="Q591" s="16">
        <v>6899</v>
      </c>
      <c r="R591" s="17">
        <v>40</v>
      </c>
      <c r="S591" s="18">
        <v>4760.3099999999995</v>
      </c>
      <c r="T591" s="19" t="s">
        <v>36</v>
      </c>
      <c r="U591" s="20" t="s">
        <v>37</v>
      </c>
      <c r="V591" s="21" t="s">
        <v>38</v>
      </c>
      <c r="W591" s="22">
        <v>1</v>
      </c>
      <c r="X591" s="23"/>
    </row>
    <row r="592" spans="1:24" s="1" customFormat="1" ht="26" customHeight="1" x14ac:dyDescent="0.3">
      <c r="A592" s="24" t="s">
        <v>23</v>
      </c>
      <c r="B592" s="24" t="s">
        <v>637</v>
      </c>
      <c r="C592" s="12" t="s">
        <v>642</v>
      </c>
      <c r="D592" s="60"/>
      <c r="E592" s="41" t="str">
        <f>HYPERLINK("https://www.google.ru/search?q=6003861-498&amp;newwindow=1&amp;tbm=isch","Еще фото")</f>
        <v>Еще фото</v>
      </c>
      <c r="F592" s="13"/>
      <c r="G592" s="24" t="s">
        <v>28</v>
      </c>
      <c r="H592" s="24" t="s">
        <v>27</v>
      </c>
      <c r="I592" s="24" t="s">
        <v>28</v>
      </c>
      <c r="J592" s="14" t="s">
        <v>43</v>
      </c>
      <c r="K592" s="15" t="s">
        <v>30</v>
      </c>
      <c r="L592" s="62"/>
      <c r="M592" s="14"/>
      <c r="N592" s="14" t="s">
        <v>115</v>
      </c>
      <c r="O592" s="14"/>
      <c r="P592" s="15" t="s">
        <v>213</v>
      </c>
      <c r="Q592" s="16">
        <v>6899</v>
      </c>
      <c r="R592" s="17">
        <v>40</v>
      </c>
      <c r="S592" s="18">
        <v>4760.3099999999995</v>
      </c>
      <c r="T592" s="19" t="s">
        <v>36</v>
      </c>
      <c r="U592" s="20" t="s">
        <v>39</v>
      </c>
      <c r="V592" s="21" t="s">
        <v>40</v>
      </c>
      <c r="W592" s="22">
        <v>3</v>
      </c>
      <c r="X592" s="23"/>
    </row>
    <row r="593" spans="1:24" s="1" customFormat="1" ht="26" customHeight="1" x14ac:dyDescent="0.3">
      <c r="A593" s="24" t="s">
        <v>23</v>
      </c>
      <c r="B593" s="24" t="s">
        <v>637</v>
      </c>
      <c r="C593" s="12" t="s">
        <v>642</v>
      </c>
      <c r="D593" s="60"/>
      <c r="E593" s="41" t="str">
        <f>HYPERLINK("https://www.google.ru/search?q=6003861-498&amp;newwindow=1&amp;tbm=isch","Еще фото")</f>
        <v>Еще фото</v>
      </c>
      <c r="F593" s="13"/>
      <c r="G593" s="24" t="s">
        <v>28</v>
      </c>
      <c r="H593" s="24" t="s">
        <v>27</v>
      </c>
      <c r="I593" s="24" t="s">
        <v>28</v>
      </c>
      <c r="J593" s="14" t="s">
        <v>43</v>
      </c>
      <c r="K593" s="15" t="s">
        <v>30</v>
      </c>
      <c r="L593" s="62"/>
      <c r="M593" s="14"/>
      <c r="N593" s="14" t="s">
        <v>115</v>
      </c>
      <c r="O593" s="14"/>
      <c r="P593" s="15" t="s">
        <v>213</v>
      </c>
      <c r="Q593" s="16">
        <v>6899</v>
      </c>
      <c r="R593" s="17">
        <v>40</v>
      </c>
      <c r="S593" s="18">
        <v>4760.3099999999995</v>
      </c>
      <c r="T593" s="19" t="s">
        <v>36</v>
      </c>
      <c r="U593" s="20" t="s">
        <v>86</v>
      </c>
      <c r="V593" s="21" t="s">
        <v>87</v>
      </c>
      <c r="W593" s="22">
        <v>8</v>
      </c>
      <c r="X593" s="23"/>
    </row>
    <row r="594" spans="1:24" s="1" customFormat="1" ht="26" customHeight="1" x14ac:dyDescent="0.3">
      <c r="A594" s="24" t="s">
        <v>23</v>
      </c>
      <c r="B594" s="24" t="s">
        <v>637</v>
      </c>
      <c r="C594" s="12" t="s">
        <v>642</v>
      </c>
      <c r="D594" s="61"/>
      <c r="E594" s="41" t="str">
        <f>HYPERLINK("https://www.google.ru/search?q=6003861-498&amp;newwindow=1&amp;tbm=isch","Еще фото")</f>
        <v>Еще фото</v>
      </c>
      <c r="F594" s="13"/>
      <c r="G594" s="24" t="s">
        <v>28</v>
      </c>
      <c r="H594" s="24" t="s">
        <v>27</v>
      </c>
      <c r="I594" s="24" t="s">
        <v>28</v>
      </c>
      <c r="J594" s="14" t="s">
        <v>43</v>
      </c>
      <c r="K594" s="15" t="s">
        <v>30</v>
      </c>
      <c r="L594" s="58"/>
      <c r="M594" s="14"/>
      <c r="N594" s="14" t="s">
        <v>115</v>
      </c>
      <c r="O594" s="14"/>
      <c r="P594" s="15" t="s">
        <v>213</v>
      </c>
      <c r="Q594" s="16">
        <v>6899</v>
      </c>
      <c r="R594" s="17">
        <v>40</v>
      </c>
      <c r="S594" s="18">
        <v>4760.3099999999995</v>
      </c>
      <c r="T594" s="19" t="s">
        <v>36</v>
      </c>
      <c r="U594" s="20" t="s">
        <v>88</v>
      </c>
      <c r="V594" s="21" t="s">
        <v>89</v>
      </c>
      <c r="W594" s="22">
        <v>1</v>
      </c>
      <c r="X594" s="23"/>
    </row>
    <row r="595" spans="1:24" s="1" customFormat="1" ht="52.05" customHeight="1" x14ac:dyDescent="0.3">
      <c r="A595" s="11" t="s">
        <v>23</v>
      </c>
      <c r="B595" s="11" t="s">
        <v>238</v>
      </c>
      <c r="C595" s="12" t="s">
        <v>643</v>
      </c>
      <c r="D595" s="55"/>
      <c r="E595" s="41" t="str">
        <f>HYPERLINK("https://www.google.ru/search?q=6004997-001&amp;newwindow=1&amp;tbm=isch","Еще фото")</f>
        <v>Еще фото</v>
      </c>
      <c r="F595" s="13"/>
      <c r="G595" s="11" t="s">
        <v>28</v>
      </c>
      <c r="H595" s="11" t="s">
        <v>27</v>
      </c>
      <c r="I595" s="14" t="s">
        <v>28</v>
      </c>
      <c r="J595" s="14" t="s">
        <v>43</v>
      </c>
      <c r="K595" s="15" t="s">
        <v>50</v>
      </c>
      <c r="L595" s="57" t="s">
        <v>240</v>
      </c>
      <c r="M595" s="14"/>
      <c r="N595" s="14" t="s">
        <v>33</v>
      </c>
      <c r="O595" s="14"/>
      <c r="P595" s="15" t="s">
        <v>47</v>
      </c>
      <c r="Q595" s="16">
        <v>3499</v>
      </c>
      <c r="R595" s="17">
        <v>40</v>
      </c>
      <c r="S595" s="18">
        <v>2414.31</v>
      </c>
      <c r="T595" s="19" t="s">
        <v>36</v>
      </c>
      <c r="U595" s="20" t="s">
        <v>99</v>
      </c>
      <c r="V595" s="21" t="s">
        <v>100</v>
      </c>
      <c r="W595" s="22">
        <v>4</v>
      </c>
      <c r="X595" s="23"/>
    </row>
    <row r="596" spans="1:24" s="1" customFormat="1" ht="61.05" customHeight="1" x14ac:dyDescent="0.3">
      <c r="A596" s="24" t="s">
        <v>23</v>
      </c>
      <c r="B596" s="24" t="s">
        <v>238</v>
      </c>
      <c r="C596" s="12" t="s">
        <v>643</v>
      </c>
      <c r="D596" s="56"/>
      <c r="E596" s="41" t="str">
        <f>HYPERLINK("https://www.google.ru/search?q=6004997-001&amp;newwindow=1&amp;tbm=isch","Еще фото")</f>
        <v>Еще фото</v>
      </c>
      <c r="F596" s="13"/>
      <c r="G596" s="24" t="s">
        <v>28</v>
      </c>
      <c r="H596" s="24" t="s">
        <v>27</v>
      </c>
      <c r="I596" s="24" t="s">
        <v>28</v>
      </c>
      <c r="J596" s="14" t="s">
        <v>43</v>
      </c>
      <c r="K596" s="15" t="s">
        <v>50</v>
      </c>
      <c r="L596" s="58"/>
      <c r="M596" s="14"/>
      <c r="N596" s="14" t="s">
        <v>33</v>
      </c>
      <c r="O596" s="14"/>
      <c r="P596" s="15" t="s">
        <v>47</v>
      </c>
      <c r="Q596" s="16">
        <v>3499</v>
      </c>
      <c r="R596" s="17">
        <v>40</v>
      </c>
      <c r="S596" s="18">
        <v>2414.31</v>
      </c>
      <c r="T596" s="19" t="s">
        <v>36</v>
      </c>
      <c r="U596" s="20" t="s">
        <v>54</v>
      </c>
      <c r="V596" s="21" t="s">
        <v>55</v>
      </c>
      <c r="W596" s="22">
        <v>5</v>
      </c>
      <c r="X596" s="23"/>
    </row>
    <row r="597" spans="1:24" s="1" customFormat="1" ht="21" customHeight="1" x14ac:dyDescent="0.3">
      <c r="A597" s="11" t="s">
        <v>23</v>
      </c>
      <c r="B597" s="11" t="s">
        <v>644</v>
      </c>
      <c r="C597" s="26" t="s">
        <v>645</v>
      </c>
      <c r="D597" s="59"/>
      <c r="E597" s="41" t="str">
        <f>HYPERLINK("https://www.google.ru/search?q=6005131-008&amp;newwindow=1&amp;tbm=isch","Еще фото")</f>
        <v>Еще фото</v>
      </c>
      <c r="F597" s="13"/>
      <c r="G597" s="11" t="s">
        <v>28</v>
      </c>
      <c r="H597" s="11" t="s">
        <v>27</v>
      </c>
      <c r="I597" s="14" t="s">
        <v>28</v>
      </c>
      <c r="J597" s="14" t="s">
        <v>311</v>
      </c>
      <c r="K597" s="15" t="s">
        <v>30</v>
      </c>
      <c r="L597" s="57" t="s">
        <v>646</v>
      </c>
      <c r="M597" s="14"/>
      <c r="N597" s="14" t="s">
        <v>33</v>
      </c>
      <c r="O597" s="14"/>
      <c r="P597" s="15" t="s">
        <v>47</v>
      </c>
      <c r="Q597" s="16">
        <v>8899</v>
      </c>
      <c r="R597" s="17">
        <v>40</v>
      </c>
      <c r="S597" s="18">
        <v>6140.3099999999995</v>
      </c>
      <c r="T597" s="19" t="s">
        <v>36</v>
      </c>
      <c r="U597" s="20" t="s">
        <v>37</v>
      </c>
      <c r="V597" s="21" t="s">
        <v>38</v>
      </c>
      <c r="W597" s="22">
        <v>10</v>
      </c>
      <c r="X597" s="23"/>
    </row>
    <row r="598" spans="1:24" s="1" customFormat="1" ht="21" customHeight="1" x14ac:dyDescent="0.3">
      <c r="A598" s="24" t="s">
        <v>23</v>
      </c>
      <c r="B598" s="24" t="s">
        <v>644</v>
      </c>
      <c r="C598" s="27" t="s">
        <v>645</v>
      </c>
      <c r="D598" s="60"/>
      <c r="E598" s="41" t="str">
        <f>HYPERLINK("https://www.google.ru/search?q=6005131-008&amp;newwindow=1&amp;tbm=isch","Еще фото")</f>
        <v>Еще фото</v>
      </c>
      <c r="F598" s="13"/>
      <c r="G598" s="24" t="s">
        <v>28</v>
      </c>
      <c r="H598" s="24" t="s">
        <v>27</v>
      </c>
      <c r="I598" s="24" t="s">
        <v>28</v>
      </c>
      <c r="J598" s="14" t="s">
        <v>311</v>
      </c>
      <c r="K598" s="15" t="s">
        <v>30</v>
      </c>
      <c r="L598" s="62"/>
      <c r="M598" s="14"/>
      <c r="N598" s="14" t="s">
        <v>33</v>
      </c>
      <c r="O598" s="14"/>
      <c r="P598" s="15" t="s">
        <v>47</v>
      </c>
      <c r="Q598" s="16">
        <v>8899</v>
      </c>
      <c r="R598" s="17">
        <v>40</v>
      </c>
      <c r="S598" s="18">
        <v>6140.3099999999995</v>
      </c>
      <c r="T598" s="19" t="s">
        <v>36</v>
      </c>
      <c r="U598" s="20" t="s">
        <v>39</v>
      </c>
      <c r="V598" s="21" t="s">
        <v>40</v>
      </c>
      <c r="W598" s="22">
        <v>20</v>
      </c>
      <c r="X598" s="23"/>
    </row>
    <row r="599" spans="1:24" s="1" customFormat="1" ht="21" customHeight="1" x14ac:dyDescent="0.3">
      <c r="A599" s="24" t="s">
        <v>23</v>
      </c>
      <c r="B599" s="24" t="s">
        <v>644</v>
      </c>
      <c r="C599" s="27" t="s">
        <v>645</v>
      </c>
      <c r="D599" s="60"/>
      <c r="E599" s="41" t="str">
        <f>HYPERLINK("https://www.google.ru/search?q=6005131-008&amp;newwindow=1&amp;tbm=isch","Еще фото")</f>
        <v>Еще фото</v>
      </c>
      <c r="F599" s="13"/>
      <c r="G599" s="24" t="s">
        <v>28</v>
      </c>
      <c r="H599" s="24" t="s">
        <v>27</v>
      </c>
      <c r="I599" s="24" t="s">
        <v>28</v>
      </c>
      <c r="J599" s="14" t="s">
        <v>311</v>
      </c>
      <c r="K599" s="15" t="s">
        <v>30</v>
      </c>
      <c r="L599" s="62"/>
      <c r="M599" s="14"/>
      <c r="N599" s="14" t="s">
        <v>33</v>
      </c>
      <c r="O599" s="14"/>
      <c r="P599" s="15" t="s">
        <v>47</v>
      </c>
      <c r="Q599" s="16">
        <v>8899</v>
      </c>
      <c r="R599" s="17">
        <v>40</v>
      </c>
      <c r="S599" s="18">
        <v>6140.3099999999995</v>
      </c>
      <c r="T599" s="19" t="s">
        <v>36</v>
      </c>
      <c r="U599" s="20" t="s">
        <v>86</v>
      </c>
      <c r="V599" s="21" t="s">
        <v>87</v>
      </c>
      <c r="W599" s="22">
        <v>26</v>
      </c>
      <c r="X599" s="23"/>
    </row>
    <row r="600" spans="1:24" s="1" customFormat="1" ht="21" customHeight="1" x14ac:dyDescent="0.3">
      <c r="A600" s="24" t="s">
        <v>23</v>
      </c>
      <c r="B600" s="24" t="s">
        <v>644</v>
      </c>
      <c r="C600" s="27" t="s">
        <v>645</v>
      </c>
      <c r="D600" s="60"/>
      <c r="E600" s="41" t="str">
        <f>HYPERLINK("https://www.google.ru/search?q=6005131-008&amp;newwindow=1&amp;tbm=isch","Еще фото")</f>
        <v>Еще фото</v>
      </c>
      <c r="F600" s="13"/>
      <c r="G600" s="24" t="s">
        <v>28</v>
      </c>
      <c r="H600" s="24" t="s">
        <v>27</v>
      </c>
      <c r="I600" s="24" t="s">
        <v>28</v>
      </c>
      <c r="J600" s="14" t="s">
        <v>311</v>
      </c>
      <c r="K600" s="15" t="s">
        <v>30</v>
      </c>
      <c r="L600" s="62"/>
      <c r="M600" s="14"/>
      <c r="N600" s="14" t="s">
        <v>33</v>
      </c>
      <c r="O600" s="14"/>
      <c r="P600" s="15" t="s">
        <v>47</v>
      </c>
      <c r="Q600" s="16">
        <v>8899</v>
      </c>
      <c r="R600" s="17">
        <v>40</v>
      </c>
      <c r="S600" s="18">
        <v>6140.3099999999995</v>
      </c>
      <c r="T600" s="19" t="s">
        <v>36</v>
      </c>
      <c r="U600" s="20" t="s">
        <v>88</v>
      </c>
      <c r="V600" s="21" t="s">
        <v>89</v>
      </c>
      <c r="W600" s="22">
        <v>16</v>
      </c>
      <c r="X600" s="23"/>
    </row>
    <row r="601" spans="1:24" s="1" customFormat="1" ht="32" customHeight="1" x14ac:dyDescent="0.3">
      <c r="A601" s="24" t="s">
        <v>23</v>
      </c>
      <c r="B601" s="24" t="s">
        <v>644</v>
      </c>
      <c r="C601" s="27" t="s">
        <v>645</v>
      </c>
      <c r="D601" s="61"/>
      <c r="E601" s="41" t="str">
        <f>HYPERLINK("https://www.google.ru/search?q=6005131-008&amp;newwindow=1&amp;tbm=isch","Еще фото")</f>
        <v>Еще фото</v>
      </c>
      <c r="F601" s="13"/>
      <c r="G601" s="24" t="s">
        <v>28</v>
      </c>
      <c r="H601" s="24" t="s">
        <v>27</v>
      </c>
      <c r="I601" s="24" t="s">
        <v>28</v>
      </c>
      <c r="J601" s="14" t="s">
        <v>311</v>
      </c>
      <c r="K601" s="15" t="s">
        <v>30</v>
      </c>
      <c r="L601" s="58"/>
      <c r="M601" s="14"/>
      <c r="N601" s="14" t="s">
        <v>33</v>
      </c>
      <c r="O601" s="14"/>
      <c r="P601" s="15" t="s">
        <v>47</v>
      </c>
      <c r="Q601" s="16">
        <v>8899</v>
      </c>
      <c r="R601" s="17">
        <v>40</v>
      </c>
      <c r="S601" s="18">
        <v>6140.3099999999995</v>
      </c>
      <c r="T601" s="19" t="s">
        <v>36</v>
      </c>
      <c r="U601" s="20" t="s">
        <v>90</v>
      </c>
      <c r="V601" s="21" t="s">
        <v>91</v>
      </c>
      <c r="W601" s="22">
        <v>10</v>
      </c>
      <c r="X601" s="23"/>
    </row>
    <row r="602" spans="1:24" s="1" customFormat="1" ht="35" customHeight="1" x14ac:dyDescent="0.3">
      <c r="A602" s="11" t="s">
        <v>23</v>
      </c>
      <c r="B602" s="11" t="s">
        <v>647</v>
      </c>
      <c r="C602" s="12" t="s">
        <v>648</v>
      </c>
      <c r="D602" s="59"/>
      <c r="E602" s="41" t="str">
        <f>HYPERLINK("https://www.google.ru/search?q=6005696-418&amp;newwindow=1&amp;tbm=isch","Еще фото")</f>
        <v>Еще фото</v>
      </c>
      <c r="F602" s="13"/>
      <c r="G602" s="11" t="s">
        <v>28</v>
      </c>
      <c r="H602" s="11" t="s">
        <v>27</v>
      </c>
      <c r="I602" s="14" t="s">
        <v>28</v>
      </c>
      <c r="J602" s="14" t="s">
        <v>43</v>
      </c>
      <c r="K602" s="15" t="s">
        <v>30</v>
      </c>
      <c r="L602" s="57" t="s">
        <v>649</v>
      </c>
      <c r="M602" s="14"/>
      <c r="N602" s="14" t="s">
        <v>115</v>
      </c>
      <c r="O602" s="14"/>
      <c r="P602" s="15" t="s">
        <v>120</v>
      </c>
      <c r="Q602" s="16">
        <v>11699</v>
      </c>
      <c r="R602" s="17">
        <v>40</v>
      </c>
      <c r="S602" s="18">
        <v>8072.3099999999986</v>
      </c>
      <c r="T602" s="19" t="s">
        <v>36</v>
      </c>
      <c r="U602" s="20" t="s">
        <v>39</v>
      </c>
      <c r="V602" s="21" t="s">
        <v>40</v>
      </c>
      <c r="W602" s="22">
        <v>1</v>
      </c>
      <c r="X602" s="23"/>
    </row>
    <row r="603" spans="1:24" s="1" customFormat="1" ht="35" customHeight="1" x14ac:dyDescent="0.3">
      <c r="A603" s="24" t="s">
        <v>23</v>
      </c>
      <c r="B603" s="24" t="s">
        <v>647</v>
      </c>
      <c r="C603" s="12" t="s">
        <v>648</v>
      </c>
      <c r="D603" s="60"/>
      <c r="E603" s="41" t="str">
        <f>HYPERLINK("https://www.google.ru/search?q=6005696-418&amp;newwindow=1&amp;tbm=isch","Еще фото")</f>
        <v>Еще фото</v>
      </c>
      <c r="F603" s="13"/>
      <c r="G603" s="24" t="s">
        <v>28</v>
      </c>
      <c r="H603" s="24" t="s">
        <v>27</v>
      </c>
      <c r="I603" s="24" t="s">
        <v>28</v>
      </c>
      <c r="J603" s="14" t="s">
        <v>43</v>
      </c>
      <c r="K603" s="15" t="s">
        <v>30</v>
      </c>
      <c r="L603" s="62"/>
      <c r="M603" s="14"/>
      <c r="N603" s="14" t="s">
        <v>115</v>
      </c>
      <c r="O603" s="14"/>
      <c r="P603" s="15" t="s">
        <v>120</v>
      </c>
      <c r="Q603" s="16">
        <v>11699</v>
      </c>
      <c r="R603" s="17">
        <v>40</v>
      </c>
      <c r="S603" s="18">
        <v>8072.3099999999986</v>
      </c>
      <c r="T603" s="19" t="s">
        <v>36</v>
      </c>
      <c r="U603" s="20" t="s">
        <v>86</v>
      </c>
      <c r="V603" s="21" t="s">
        <v>87</v>
      </c>
      <c r="W603" s="22">
        <v>1</v>
      </c>
      <c r="X603" s="23"/>
    </row>
    <row r="604" spans="1:24" s="1" customFormat="1" ht="37.049999999999997" customHeight="1" x14ac:dyDescent="0.3">
      <c r="A604" s="24" t="s">
        <v>23</v>
      </c>
      <c r="B604" s="24" t="s">
        <v>647</v>
      </c>
      <c r="C604" s="12" t="s">
        <v>648</v>
      </c>
      <c r="D604" s="61"/>
      <c r="E604" s="41" t="str">
        <f>HYPERLINK("https://www.google.ru/search?q=6005696-418&amp;newwindow=1&amp;tbm=isch","Еще фото")</f>
        <v>Еще фото</v>
      </c>
      <c r="F604" s="13"/>
      <c r="G604" s="24" t="s">
        <v>28</v>
      </c>
      <c r="H604" s="24" t="s">
        <v>27</v>
      </c>
      <c r="I604" s="24" t="s">
        <v>28</v>
      </c>
      <c r="J604" s="14" t="s">
        <v>43</v>
      </c>
      <c r="K604" s="15" t="s">
        <v>30</v>
      </c>
      <c r="L604" s="58"/>
      <c r="M604" s="14"/>
      <c r="N604" s="14" t="s">
        <v>115</v>
      </c>
      <c r="O604" s="14"/>
      <c r="P604" s="15" t="s">
        <v>120</v>
      </c>
      <c r="Q604" s="16">
        <v>11699</v>
      </c>
      <c r="R604" s="17">
        <v>40</v>
      </c>
      <c r="S604" s="18">
        <v>8072.3099999999986</v>
      </c>
      <c r="T604" s="19" t="s">
        <v>36</v>
      </c>
      <c r="U604" s="20" t="s">
        <v>88</v>
      </c>
      <c r="V604" s="21" t="s">
        <v>89</v>
      </c>
      <c r="W604" s="22">
        <v>1</v>
      </c>
      <c r="X604" s="23"/>
    </row>
    <row r="605" spans="1:24" s="1" customFormat="1" ht="108" customHeight="1" x14ac:dyDescent="0.3">
      <c r="A605" s="11" t="s">
        <v>23</v>
      </c>
      <c r="B605" s="11" t="s">
        <v>650</v>
      </c>
      <c r="C605" s="12" t="s">
        <v>651</v>
      </c>
      <c r="D605" s="25"/>
      <c r="E605" s="41" t="str">
        <f>HYPERLINK("https://www.google.ru/search?q=6005898-002&amp;newwindow=1&amp;tbm=isch","Еще фото")</f>
        <v>Еще фото</v>
      </c>
      <c r="F605" s="13" t="s">
        <v>103</v>
      </c>
      <c r="G605" s="11" t="s">
        <v>28</v>
      </c>
      <c r="H605" s="11" t="s">
        <v>27</v>
      </c>
      <c r="I605" s="14" t="s">
        <v>28</v>
      </c>
      <c r="J605" s="14" t="s">
        <v>29</v>
      </c>
      <c r="K605" s="15" t="s">
        <v>30</v>
      </c>
      <c r="L605" s="14" t="s">
        <v>652</v>
      </c>
      <c r="M605" s="14" t="s">
        <v>32</v>
      </c>
      <c r="N605" s="14" t="s">
        <v>33</v>
      </c>
      <c r="O605" s="14"/>
      <c r="P605" s="15" t="s">
        <v>53</v>
      </c>
      <c r="Q605" s="16">
        <v>9199</v>
      </c>
      <c r="R605" s="17">
        <v>40</v>
      </c>
      <c r="S605" s="18">
        <v>6347.3099999999995</v>
      </c>
      <c r="T605" s="19" t="s">
        <v>36</v>
      </c>
      <c r="U605" s="20" t="s">
        <v>37</v>
      </c>
      <c r="V605" s="21" t="s">
        <v>38</v>
      </c>
      <c r="W605" s="22">
        <v>4</v>
      </c>
      <c r="X605" s="23"/>
    </row>
    <row r="606" spans="1:24" s="1" customFormat="1" ht="52.05" customHeight="1" x14ac:dyDescent="0.3">
      <c r="A606" s="11" t="s">
        <v>23</v>
      </c>
      <c r="B606" s="11" t="s">
        <v>650</v>
      </c>
      <c r="C606" s="12" t="s">
        <v>653</v>
      </c>
      <c r="D606" s="55"/>
      <c r="E606" s="41" t="str">
        <f>HYPERLINK("https://www.google.ru/search?q=6005898-025&amp;newwindow=1&amp;tbm=isch","Еще фото")</f>
        <v>Еще фото</v>
      </c>
      <c r="F606" s="13" t="s">
        <v>103</v>
      </c>
      <c r="G606" s="11" t="s">
        <v>28</v>
      </c>
      <c r="H606" s="11" t="s">
        <v>27</v>
      </c>
      <c r="I606" s="14" t="s">
        <v>28</v>
      </c>
      <c r="J606" s="14" t="s">
        <v>29</v>
      </c>
      <c r="K606" s="15" t="s">
        <v>30</v>
      </c>
      <c r="L606" s="57" t="s">
        <v>652</v>
      </c>
      <c r="M606" s="14" t="s">
        <v>32</v>
      </c>
      <c r="N606" s="14" t="s">
        <v>62</v>
      </c>
      <c r="O606" s="14"/>
      <c r="P606" s="15" t="s">
        <v>53</v>
      </c>
      <c r="Q606" s="16">
        <v>9199</v>
      </c>
      <c r="R606" s="17">
        <v>40</v>
      </c>
      <c r="S606" s="18">
        <v>6347.3099999999995</v>
      </c>
      <c r="T606" s="19" t="s">
        <v>36</v>
      </c>
      <c r="U606" s="20" t="s">
        <v>37</v>
      </c>
      <c r="V606" s="21" t="s">
        <v>38</v>
      </c>
      <c r="W606" s="22">
        <v>8</v>
      </c>
      <c r="X606" s="23"/>
    </row>
    <row r="607" spans="1:24" s="1" customFormat="1" ht="61.05" customHeight="1" x14ac:dyDescent="0.3">
      <c r="A607" s="24" t="s">
        <v>23</v>
      </c>
      <c r="B607" s="24" t="s">
        <v>650</v>
      </c>
      <c r="C607" s="12" t="s">
        <v>653</v>
      </c>
      <c r="D607" s="56"/>
      <c r="E607" s="41" t="str">
        <f>HYPERLINK("https://www.google.ru/search?q=6005898-025&amp;newwindow=1&amp;tbm=isch","Еще фото")</f>
        <v>Еще фото</v>
      </c>
      <c r="F607" s="13" t="s">
        <v>103</v>
      </c>
      <c r="G607" s="24" t="s">
        <v>28</v>
      </c>
      <c r="H607" s="24" t="s">
        <v>27</v>
      </c>
      <c r="I607" s="24" t="s">
        <v>28</v>
      </c>
      <c r="J607" s="14" t="s">
        <v>29</v>
      </c>
      <c r="K607" s="15" t="s">
        <v>30</v>
      </c>
      <c r="L607" s="58"/>
      <c r="M607" s="14" t="s">
        <v>32</v>
      </c>
      <c r="N607" s="14" t="s">
        <v>62</v>
      </c>
      <c r="O607" s="14"/>
      <c r="P607" s="15" t="s">
        <v>53</v>
      </c>
      <c r="Q607" s="16">
        <v>9199</v>
      </c>
      <c r="R607" s="17">
        <v>40</v>
      </c>
      <c r="S607" s="18">
        <v>6347.3099999999995</v>
      </c>
      <c r="T607" s="19" t="s">
        <v>36</v>
      </c>
      <c r="U607" s="20" t="s">
        <v>39</v>
      </c>
      <c r="V607" s="21" t="s">
        <v>40</v>
      </c>
      <c r="W607" s="22">
        <v>2</v>
      </c>
      <c r="X607" s="23"/>
    </row>
    <row r="608" spans="1:24" s="1" customFormat="1" ht="21" customHeight="1" x14ac:dyDescent="0.3">
      <c r="A608" s="11" t="s">
        <v>23</v>
      </c>
      <c r="B608" s="11" t="s">
        <v>654</v>
      </c>
      <c r="C608" s="26" t="s">
        <v>655</v>
      </c>
      <c r="D608" s="59"/>
      <c r="E608" s="41" t="str">
        <f>HYPERLINK("https://www.google.ru/search?q=6005899-025&amp;newwindow=1&amp;tbm=isch","Еще фото")</f>
        <v>Еще фото</v>
      </c>
      <c r="F608" s="13"/>
      <c r="G608" s="11" t="s">
        <v>28</v>
      </c>
      <c r="H608" s="11" t="s">
        <v>27</v>
      </c>
      <c r="I608" s="14" t="s">
        <v>28</v>
      </c>
      <c r="J608" s="14" t="s">
        <v>29</v>
      </c>
      <c r="K608" s="15" t="s">
        <v>30</v>
      </c>
      <c r="L608" s="57" t="s">
        <v>656</v>
      </c>
      <c r="M608" s="14"/>
      <c r="N608" s="14" t="s">
        <v>62</v>
      </c>
      <c r="O608" s="14"/>
      <c r="P608" s="15" t="s">
        <v>53</v>
      </c>
      <c r="Q608" s="16">
        <v>7999</v>
      </c>
      <c r="R608" s="17">
        <v>40</v>
      </c>
      <c r="S608" s="18">
        <v>5519.3099999999995</v>
      </c>
      <c r="T608" s="19" t="s">
        <v>36</v>
      </c>
      <c r="U608" s="20" t="s">
        <v>37</v>
      </c>
      <c r="V608" s="21" t="s">
        <v>38</v>
      </c>
      <c r="W608" s="22">
        <v>8</v>
      </c>
      <c r="X608" s="23"/>
    </row>
    <row r="609" spans="1:24" s="1" customFormat="1" ht="21" customHeight="1" x14ac:dyDescent="0.3">
      <c r="A609" s="24" t="s">
        <v>23</v>
      </c>
      <c r="B609" s="24" t="s">
        <v>654</v>
      </c>
      <c r="C609" s="27" t="s">
        <v>655</v>
      </c>
      <c r="D609" s="60"/>
      <c r="E609" s="41" t="str">
        <f>HYPERLINK("https://www.google.ru/search?q=6005899-025&amp;newwindow=1&amp;tbm=isch","Еще фото")</f>
        <v>Еще фото</v>
      </c>
      <c r="F609" s="13"/>
      <c r="G609" s="24" t="s">
        <v>28</v>
      </c>
      <c r="H609" s="24" t="s">
        <v>27</v>
      </c>
      <c r="I609" s="24" t="s">
        <v>28</v>
      </c>
      <c r="J609" s="14" t="s">
        <v>29</v>
      </c>
      <c r="K609" s="15" t="s">
        <v>30</v>
      </c>
      <c r="L609" s="62"/>
      <c r="M609" s="14"/>
      <c r="N609" s="14" t="s">
        <v>62</v>
      </c>
      <c r="O609" s="14"/>
      <c r="P609" s="15" t="s">
        <v>53</v>
      </c>
      <c r="Q609" s="16">
        <v>7999</v>
      </c>
      <c r="R609" s="17">
        <v>40</v>
      </c>
      <c r="S609" s="18">
        <v>5519.3099999999995</v>
      </c>
      <c r="T609" s="19" t="s">
        <v>36</v>
      </c>
      <c r="U609" s="20" t="s">
        <v>39</v>
      </c>
      <c r="V609" s="21" t="s">
        <v>40</v>
      </c>
      <c r="W609" s="22">
        <v>13</v>
      </c>
      <c r="X609" s="23"/>
    </row>
    <row r="610" spans="1:24" s="1" customFormat="1" ht="21" customHeight="1" x14ac:dyDescent="0.3">
      <c r="A610" s="24" t="s">
        <v>23</v>
      </c>
      <c r="B610" s="24" t="s">
        <v>654</v>
      </c>
      <c r="C610" s="27" t="s">
        <v>655</v>
      </c>
      <c r="D610" s="60"/>
      <c r="E610" s="41" t="str">
        <f>HYPERLINK("https://www.google.ru/search?q=6005899-025&amp;newwindow=1&amp;tbm=isch","Еще фото")</f>
        <v>Еще фото</v>
      </c>
      <c r="F610" s="13"/>
      <c r="G610" s="24" t="s">
        <v>28</v>
      </c>
      <c r="H610" s="24" t="s">
        <v>27</v>
      </c>
      <c r="I610" s="24" t="s">
        <v>28</v>
      </c>
      <c r="J610" s="14" t="s">
        <v>29</v>
      </c>
      <c r="K610" s="15" t="s">
        <v>30</v>
      </c>
      <c r="L610" s="62"/>
      <c r="M610" s="14"/>
      <c r="N610" s="14" t="s">
        <v>62</v>
      </c>
      <c r="O610" s="14"/>
      <c r="P610" s="15" t="s">
        <v>53</v>
      </c>
      <c r="Q610" s="16">
        <v>7999</v>
      </c>
      <c r="R610" s="17">
        <v>40</v>
      </c>
      <c r="S610" s="18">
        <v>5519.3099999999995</v>
      </c>
      <c r="T610" s="19" t="s">
        <v>36</v>
      </c>
      <c r="U610" s="20" t="s">
        <v>86</v>
      </c>
      <c r="V610" s="21" t="s">
        <v>87</v>
      </c>
      <c r="W610" s="22">
        <v>12</v>
      </c>
      <c r="X610" s="23"/>
    </row>
    <row r="611" spans="1:24" s="1" customFormat="1" ht="21" customHeight="1" x14ac:dyDescent="0.3">
      <c r="A611" s="24" t="s">
        <v>23</v>
      </c>
      <c r="B611" s="24" t="s">
        <v>654</v>
      </c>
      <c r="C611" s="27" t="s">
        <v>655</v>
      </c>
      <c r="D611" s="60"/>
      <c r="E611" s="41" t="str">
        <f>HYPERLINK("https://www.google.ru/search?q=6005899-025&amp;newwindow=1&amp;tbm=isch","Еще фото")</f>
        <v>Еще фото</v>
      </c>
      <c r="F611" s="13"/>
      <c r="G611" s="24" t="s">
        <v>28</v>
      </c>
      <c r="H611" s="24" t="s">
        <v>27</v>
      </c>
      <c r="I611" s="24" t="s">
        <v>28</v>
      </c>
      <c r="J611" s="14" t="s">
        <v>29</v>
      </c>
      <c r="K611" s="15" t="s">
        <v>30</v>
      </c>
      <c r="L611" s="62"/>
      <c r="M611" s="14"/>
      <c r="N611" s="14" t="s">
        <v>62</v>
      </c>
      <c r="O611" s="14"/>
      <c r="P611" s="15" t="s">
        <v>53</v>
      </c>
      <c r="Q611" s="16">
        <v>7999</v>
      </c>
      <c r="R611" s="17">
        <v>40</v>
      </c>
      <c r="S611" s="18">
        <v>5519.3099999999995</v>
      </c>
      <c r="T611" s="19" t="s">
        <v>36</v>
      </c>
      <c r="U611" s="20" t="s">
        <v>88</v>
      </c>
      <c r="V611" s="21" t="s">
        <v>89</v>
      </c>
      <c r="W611" s="22">
        <v>8</v>
      </c>
      <c r="X611" s="23"/>
    </row>
    <row r="612" spans="1:24" s="1" customFormat="1" ht="32" customHeight="1" x14ac:dyDescent="0.3">
      <c r="A612" s="24" t="s">
        <v>23</v>
      </c>
      <c r="B612" s="24" t="s">
        <v>654</v>
      </c>
      <c r="C612" s="27" t="s">
        <v>655</v>
      </c>
      <c r="D612" s="61"/>
      <c r="E612" s="41" t="str">
        <f>HYPERLINK("https://www.google.ru/search?q=6005899-025&amp;newwindow=1&amp;tbm=isch","Еще фото")</f>
        <v>Еще фото</v>
      </c>
      <c r="F612" s="13"/>
      <c r="G612" s="24" t="s">
        <v>28</v>
      </c>
      <c r="H612" s="24" t="s">
        <v>27</v>
      </c>
      <c r="I612" s="24" t="s">
        <v>28</v>
      </c>
      <c r="J612" s="14" t="s">
        <v>29</v>
      </c>
      <c r="K612" s="15" t="s">
        <v>30</v>
      </c>
      <c r="L612" s="58"/>
      <c r="M612" s="14"/>
      <c r="N612" s="14" t="s">
        <v>62</v>
      </c>
      <c r="O612" s="14"/>
      <c r="P612" s="15" t="s">
        <v>53</v>
      </c>
      <c r="Q612" s="16">
        <v>7999</v>
      </c>
      <c r="R612" s="17">
        <v>40</v>
      </c>
      <c r="S612" s="18">
        <v>5519.3099999999995</v>
      </c>
      <c r="T612" s="19" t="s">
        <v>36</v>
      </c>
      <c r="U612" s="20" t="s">
        <v>90</v>
      </c>
      <c r="V612" s="21" t="s">
        <v>91</v>
      </c>
      <c r="W612" s="22">
        <v>7</v>
      </c>
      <c r="X612" s="23"/>
    </row>
    <row r="613" spans="1:24" s="1" customFormat="1" ht="26" customHeight="1" x14ac:dyDescent="0.3">
      <c r="A613" s="11" t="s">
        <v>23</v>
      </c>
      <c r="B613" s="11" t="s">
        <v>657</v>
      </c>
      <c r="C613" s="12" t="s">
        <v>658</v>
      </c>
      <c r="D613" s="59"/>
      <c r="E613" s="41" t="str">
        <f>HYPERLINK("https://www.google.ru/search?q=6006027-338&amp;newwindow=1&amp;tbm=isch","Еще фото")</f>
        <v>Еще фото</v>
      </c>
      <c r="F613" s="13"/>
      <c r="G613" s="11" t="s">
        <v>77</v>
      </c>
      <c r="H613" s="11" t="s">
        <v>27</v>
      </c>
      <c r="I613" s="14" t="s">
        <v>28</v>
      </c>
      <c r="J613" s="14" t="s">
        <v>29</v>
      </c>
      <c r="K613" s="15" t="s">
        <v>59</v>
      </c>
      <c r="L613" s="57" t="s">
        <v>659</v>
      </c>
      <c r="M613" s="14"/>
      <c r="N613" s="14" t="s">
        <v>127</v>
      </c>
      <c r="O613" s="14"/>
      <c r="P613" s="15" t="s">
        <v>53</v>
      </c>
      <c r="Q613" s="16">
        <v>5799</v>
      </c>
      <c r="R613" s="17">
        <v>40</v>
      </c>
      <c r="S613" s="18">
        <v>4001.31</v>
      </c>
      <c r="T613" s="19" t="s">
        <v>36</v>
      </c>
      <c r="U613" s="20" t="s">
        <v>63</v>
      </c>
      <c r="V613" s="21" t="s">
        <v>64</v>
      </c>
      <c r="W613" s="22">
        <v>13</v>
      </c>
      <c r="X613" s="23"/>
    </row>
    <row r="614" spans="1:24" s="1" customFormat="1" ht="26" customHeight="1" x14ac:dyDescent="0.3">
      <c r="A614" s="24" t="s">
        <v>23</v>
      </c>
      <c r="B614" s="24" t="s">
        <v>657</v>
      </c>
      <c r="C614" s="12" t="s">
        <v>658</v>
      </c>
      <c r="D614" s="60"/>
      <c r="E614" s="41" t="str">
        <f>HYPERLINK("https://www.google.ru/search?q=6006027-338&amp;newwindow=1&amp;tbm=isch","Еще фото")</f>
        <v>Еще фото</v>
      </c>
      <c r="F614" s="13"/>
      <c r="G614" s="24" t="s">
        <v>77</v>
      </c>
      <c r="H614" s="24" t="s">
        <v>27</v>
      </c>
      <c r="I614" s="24" t="s">
        <v>28</v>
      </c>
      <c r="J614" s="14" t="s">
        <v>29</v>
      </c>
      <c r="K614" s="15" t="s">
        <v>59</v>
      </c>
      <c r="L614" s="62"/>
      <c r="M614" s="14"/>
      <c r="N614" s="14" t="s">
        <v>127</v>
      </c>
      <c r="O614" s="14"/>
      <c r="P614" s="15" t="s">
        <v>53</v>
      </c>
      <c r="Q614" s="16">
        <v>5799</v>
      </c>
      <c r="R614" s="17">
        <v>40</v>
      </c>
      <c r="S614" s="18">
        <v>4001.31</v>
      </c>
      <c r="T614" s="19" t="s">
        <v>36</v>
      </c>
      <c r="U614" s="20" t="s">
        <v>37</v>
      </c>
      <c r="V614" s="21" t="s">
        <v>106</v>
      </c>
      <c r="W614" s="22">
        <v>13</v>
      </c>
      <c r="X614" s="23"/>
    </row>
    <row r="615" spans="1:24" s="1" customFormat="1" ht="26" customHeight="1" x14ac:dyDescent="0.3">
      <c r="A615" s="24" t="s">
        <v>23</v>
      </c>
      <c r="B615" s="24" t="s">
        <v>657</v>
      </c>
      <c r="C615" s="12" t="s">
        <v>658</v>
      </c>
      <c r="D615" s="60"/>
      <c r="E615" s="41" t="str">
        <f>HYPERLINK("https://www.google.ru/search?q=6006027-338&amp;newwindow=1&amp;tbm=isch","Еще фото")</f>
        <v>Еще фото</v>
      </c>
      <c r="F615" s="13"/>
      <c r="G615" s="24" t="s">
        <v>77</v>
      </c>
      <c r="H615" s="24" t="s">
        <v>27</v>
      </c>
      <c r="I615" s="24" t="s">
        <v>28</v>
      </c>
      <c r="J615" s="14" t="s">
        <v>29</v>
      </c>
      <c r="K615" s="15" t="s">
        <v>59</v>
      </c>
      <c r="L615" s="62"/>
      <c r="M615" s="14"/>
      <c r="N615" s="14" t="s">
        <v>127</v>
      </c>
      <c r="O615" s="14"/>
      <c r="P615" s="15" t="s">
        <v>53</v>
      </c>
      <c r="Q615" s="16">
        <v>5799</v>
      </c>
      <c r="R615" s="17">
        <v>40</v>
      </c>
      <c r="S615" s="18">
        <v>4001.31</v>
      </c>
      <c r="T615" s="19" t="s">
        <v>36</v>
      </c>
      <c r="U615" s="20" t="s">
        <v>39</v>
      </c>
      <c r="V615" s="21" t="s">
        <v>85</v>
      </c>
      <c r="W615" s="22">
        <v>7</v>
      </c>
      <c r="X615" s="23"/>
    </row>
    <row r="616" spans="1:24" s="1" customFormat="1" ht="26" customHeight="1" x14ac:dyDescent="0.3">
      <c r="A616" s="24" t="s">
        <v>23</v>
      </c>
      <c r="B616" s="24" t="s">
        <v>657</v>
      </c>
      <c r="C616" s="12" t="s">
        <v>658</v>
      </c>
      <c r="D616" s="61"/>
      <c r="E616" s="41" t="str">
        <f>HYPERLINK("https://www.google.ru/search?q=6006027-338&amp;newwindow=1&amp;tbm=isch","Еще фото")</f>
        <v>Еще фото</v>
      </c>
      <c r="F616" s="13"/>
      <c r="G616" s="24" t="s">
        <v>77</v>
      </c>
      <c r="H616" s="24" t="s">
        <v>27</v>
      </c>
      <c r="I616" s="24" t="s">
        <v>28</v>
      </c>
      <c r="J616" s="14" t="s">
        <v>29</v>
      </c>
      <c r="K616" s="15" t="s">
        <v>59</v>
      </c>
      <c r="L616" s="58"/>
      <c r="M616" s="14"/>
      <c r="N616" s="14" t="s">
        <v>127</v>
      </c>
      <c r="O616" s="14"/>
      <c r="P616" s="15" t="s">
        <v>53</v>
      </c>
      <c r="Q616" s="16">
        <v>5799</v>
      </c>
      <c r="R616" s="17">
        <v>40</v>
      </c>
      <c r="S616" s="18">
        <v>4001.31</v>
      </c>
      <c r="T616" s="19" t="s">
        <v>36</v>
      </c>
      <c r="U616" s="20" t="s">
        <v>86</v>
      </c>
      <c r="V616" s="21" t="s">
        <v>38</v>
      </c>
      <c r="W616" s="22">
        <v>11</v>
      </c>
      <c r="X616" s="23"/>
    </row>
    <row r="617" spans="1:24" s="1" customFormat="1" ht="52.05" customHeight="1" x14ac:dyDescent="0.3">
      <c r="A617" s="11" t="s">
        <v>23</v>
      </c>
      <c r="B617" s="11" t="s">
        <v>660</v>
      </c>
      <c r="C617" s="12" t="s">
        <v>661</v>
      </c>
      <c r="D617" s="55"/>
      <c r="E617" s="41" t="str">
        <f>HYPERLINK("https://www.google.ru/search?q=6006309-002&amp;newwindow=1&amp;tbm=isch","Еще фото")</f>
        <v>Еще фото</v>
      </c>
      <c r="F617" s="13" t="s">
        <v>152</v>
      </c>
      <c r="G617" s="11" t="s">
        <v>77</v>
      </c>
      <c r="H617" s="11" t="s">
        <v>27</v>
      </c>
      <c r="I617" s="14" t="s">
        <v>28</v>
      </c>
      <c r="J617" s="14" t="s">
        <v>29</v>
      </c>
      <c r="K617" s="15" t="s">
        <v>59</v>
      </c>
      <c r="L617" s="57" t="s">
        <v>662</v>
      </c>
      <c r="M617" s="14"/>
      <c r="N617" s="14" t="s">
        <v>33</v>
      </c>
      <c r="O617" s="14"/>
      <c r="P617" s="15" t="s">
        <v>105</v>
      </c>
      <c r="Q617" s="16">
        <v>9899</v>
      </c>
      <c r="R617" s="17">
        <v>40</v>
      </c>
      <c r="S617" s="18">
        <v>6830.3099999999995</v>
      </c>
      <c r="T617" s="19" t="s">
        <v>36</v>
      </c>
      <c r="U617" s="20" t="s">
        <v>63</v>
      </c>
      <c r="V617" s="21" t="s">
        <v>64</v>
      </c>
      <c r="W617" s="22">
        <v>4</v>
      </c>
      <c r="X617" s="23"/>
    </row>
    <row r="618" spans="1:24" s="1" customFormat="1" ht="61.05" customHeight="1" x14ac:dyDescent="0.3">
      <c r="A618" s="24" t="s">
        <v>23</v>
      </c>
      <c r="B618" s="24" t="s">
        <v>660</v>
      </c>
      <c r="C618" s="12" t="s">
        <v>661</v>
      </c>
      <c r="D618" s="56"/>
      <c r="E618" s="41" t="str">
        <f>HYPERLINK("https://www.google.ru/search?q=6006309-002&amp;newwindow=1&amp;tbm=isch","Еще фото")</f>
        <v>Еще фото</v>
      </c>
      <c r="F618" s="13" t="s">
        <v>152</v>
      </c>
      <c r="G618" s="24" t="s">
        <v>77</v>
      </c>
      <c r="H618" s="24" t="s">
        <v>27</v>
      </c>
      <c r="I618" s="24" t="s">
        <v>28</v>
      </c>
      <c r="J618" s="14" t="s">
        <v>29</v>
      </c>
      <c r="K618" s="15" t="s">
        <v>59</v>
      </c>
      <c r="L618" s="58"/>
      <c r="M618" s="14"/>
      <c r="N618" s="14" t="s">
        <v>33</v>
      </c>
      <c r="O618" s="14"/>
      <c r="P618" s="15" t="s">
        <v>105</v>
      </c>
      <c r="Q618" s="16">
        <v>9899</v>
      </c>
      <c r="R618" s="17">
        <v>40</v>
      </c>
      <c r="S618" s="18">
        <v>6830.3099999999995</v>
      </c>
      <c r="T618" s="19" t="s">
        <v>36</v>
      </c>
      <c r="U618" s="20" t="s">
        <v>88</v>
      </c>
      <c r="V618" s="21" t="s">
        <v>40</v>
      </c>
      <c r="W618" s="22">
        <v>3</v>
      </c>
      <c r="X618" s="23"/>
    </row>
    <row r="619" spans="1:24" s="1" customFormat="1" ht="52.05" customHeight="1" x14ac:dyDescent="0.3">
      <c r="A619" s="11" t="s">
        <v>23</v>
      </c>
      <c r="B619" s="11" t="s">
        <v>663</v>
      </c>
      <c r="C619" s="12" t="s">
        <v>664</v>
      </c>
      <c r="D619" s="55"/>
      <c r="E619" s="41" t="str">
        <f>HYPERLINK("https://www.google.ru/search?q=6007025-001&amp;newwindow=1&amp;tbm=isch","Еще фото")</f>
        <v>Еще фото</v>
      </c>
      <c r="F619" s="13" t="s">
        <v>152</v>
      </c>
      <c r="G619" s="11" t="s">
        <v>28</v>
      </c>
      <c r="H619" s="11" t="s">
        <v>27</v>
      </c>
      <c r="I619" s="14" t="s">
        <v>28</v>
      </c>
      <c r="J619" s="14" t="s">
        <v>43</v>
      </c>
      <c r="K619" s="15" t="s">
        <v>59</v>
      </c>
      <c r="L619" s="57" t="s">
        <v>665</v>
      </c>
      <c r="M619" s="14"/>
      <c r="N619" s="14" t="s">
        <v>33</v>
      </c>
      <c r="O619" s="14"/>
      <c r="P619" s="15" t="s">
        <v>666</v>
      </c>
      <c r="Q619" s="16">
        <v>15799</v>
      </c>
      <c r="R619" s="17">
        <v>40</v>
      </c>
      <c r="S619" s="18">
        <v>10901.31</v>
      </c>
      <c r="T619" s="19" t="s">
        <v>36</v>
      </c>
      <c r="U619" s="20" t="s">
        <v>37</v>
      </c>
      <c r="V619" s="21" t="s">
        <v>106</v>
      </c>
      <c r="W619" s="22">
        <v>3</v>
      </c>
      <c r="X619" s="23"/>
    </row>
    <row r="620" spans="1:24" s="1" customFormat="1" ht="61.05" customHeight="1" x14ac:dyDescent="0.3">
      <c r="A620" s="24" t="s">
        <v>23</v>
      </c>
      <c r="B620" s="24" t="s">
        <v>663</v>
      </c>
      <c r="C620" s="12" t="s">
        <v>664</v>
      </c>
      <c r="D620" s="56"/>
      <c r="E620" s="41" t="str">
        <f>HYPERLINK("https://www.google.ru/search?q=6007025-001&amp;newwindow=1&amp;tbm=isch","Еще фото")</f>
        <v>Еще фото</v>
      </c>
      <c r="F620" s="13" t="s">
        <v>152</v>
      </c>
      <c r="G620" s="24" t="s">
        <v>28</v>
      </c>
      <c r="H620" s="24" t="s">
        <v>27</v>
      </c>
      <c r="I620" s="24" t="s">
        <v>28</v>
      </c>
      <c r="J620" s="14" t="s">
        <v>43</v>
      </c>
      <c r="K620" s="15" t="s">
        <v>59</v>
      </c>
      <c r="L620" s="58"/>
      <c r="M620" s="14"/>
      <c r="N620" s="14" t="s">
        <v>33</v>
      </c>
      <c r="O620" s="14"/>
      <c r="P620" s="15" t="s">
        <v>666</v>
      </c>
      <c r="Q620" s="16">
        <v>15799</v>
      </c>
      <c r="R620" s="17">
        <v>40</v>
      </c>
      <c r="S620" s="18">
        <v>10901.31</v>
      </c>
      <c r="T620" s="19" t="s">
        <v>36</v>
      </c>
      <c r="U620" s="20" t="s">
        <v>86</v>
      </c>
      <c r="V620" s="21" t="s">
        <v>38</v>
      </c>
      <c r="W620" s="22">
        <v>2</v>
      </c>
      <c r="X620" s="23"/>
    </row>
    <row r="621" spans="1:24" s="1" customFormat="1" ht="108" customHeight="1" x14ac:dyDescent="0.3">
      <c r="A621" s="11" t="s">
        <v>23</v>
      </c>
      <c r="B621" s="11" t="s">
        <v>663</v>
      </c>
      <c r="C621" s="12" t="s">
        <v>667</v>
      </c>
      <c r="D621" s="25"/>
      <c r="E621" s="41" t="str">
        <f>HYPERLINK("https://www.google.ru/search?q=6007025-110&amp;newwindow=1&amp;tbm=isch","Еще фото")</f>
        <v>Еще фото</v>
      </c>
      <c r="F621" s="13" t="s">
        <v>152</v>
      </c>
      <c r="G621" s="11" t="s">
        <v>28</v>
      </c>
      <c r="H621" s="11" t="s">
        <v>27</v>
      </c>
      <c r="I621" s="14" t="s">
        <v>28</v>
      </c>
      <c r="J621" s="14" t="s">
        <v>43</v>
      </c>
      <c r="K621" s="15" t="s">
        <v>59</v>
      </c>
      <c r="L621" s="14" t="s">
        <v>668</v>
      </c>
      <c r="M621" s="14"/>
      <c r="N621" s="14" t="s">
        <v>84</v>
      </c>
      <c r="O621" s="14"/>
      <c r="P621" s="15" t="s">
        <v>666</v>
      </c>
      <c r="Q621" s="16">
        <v>15799</v>
      </c>
      <c r="R621" s="17">
        <v>40</v>
      </c>
      <c r="S621" s="18">
        <v>10901.31</v>
      </c>
      <c r="T621" s="19" t="s">
        <v>36</v>
      </c>
      <c r="U621" s="20" t="s">
        <v>86</v>
      </c>
      <c r="V621" s="21" t="s">
        <v>38</v>
      </c>
      <c r="W621" s="22">
        <v>3</v>
      </c>
      <c r="X621" s="23"/>
    </row>
    <row r="622" spans="1:24" s="1" customFormat="1" ht="35" customHeight="1" x14ac:dyDescent="0.3">
      <c r="A622" s="11" t="s">
        <v>23</v>
      </c>
      <c r="B622" s="11" t="s">
        <v>669</v>
      </c>
      <c r="C622" s="12" t="s">
        <v>670</v>
      </c>
      <c r="D622" s="59"/>
      <c r="E622" s="41" t="str">
        <f>HYPERLINK("https://www.google.ru/search?q=6009352-410&amp;newwindow=1&amp;tbm=isch","Еще фото")</f>
        <v>Еще фото</v>
      </c>
      <c r="F622" s="13"/>
      <c r="G622" s="11" t="s">
        <v>28</v>
      </c>
      <c r="H622" s="11" t="s">
        <v>27</v>
      </c>
      <c r="I622" s="14" t="s">
        <v>28</v>
      </c>
      <c r="J622" s="14" t="s">
        <v>43</v>
      </c>
      <c r="K622" s="15" t="s">
        <v>30</v>
      </c>
      <c r="L622" s="57" t="s">
        <v>671</v>
      </c>
      <c r="M622" s="14"/>
      <c r="N622" s="14" t="s">
        <v>115</v>
      </c>
      <c r="O622" s="14"/>
      <c r="P622" s="15" t="s">
        <v>120</v>
      </c>
      <c r="Q622" s="16">
        <v>6299</v>
      </c>
      <c r="R622" s="17">
        <v>40</v>
      </c>
      <c r="S622" s="18">
        <v>4346.3099999999995</v>
      </c>
      <c r="T622" s="19" t="s">
        <v>36</v>
      </c>
      <c r="U622" s="20" t="s">
        <v>39</v>
      </c>
      <c r="V622" s="21" t="s">
        <v>40</v>
      </c>
      <c r="W622" s="22">
        <v>2</v>
      </c>
      <c r="X622" s="23"/>
    </row>
    <row r="623" spans="1:24" s="1" customFormat="1" ht="35" customHeight="1" x14ac:dyDescent="0.3">
      <c r="A623" s="24" t="s">
        <v>23</v>
      </c>
      <c r="B623" s="24" t="s">
        <v>669</v>
      </c>
      <c r="C623" s="12" t="s">
        <v>670</v>
      </c>
      <c r="D623" s="60"/>
      <c r="E623" s="41" t="str">
        <f>HYPERLINK("https://www.google.ru/search?q=6009352-410&amp;newwindow=1&amp;tbm=isch","Еще фото")</f>
        <v>Еще фото</v>
      </c>
      <c r="F623" s="13"/>
      <c r="G623" s="24" t="s">
        <v>28</v>
      </c>
      <c r="H623" s="24" t="s">
        <v>27</v>
      </c>
      <c r="I623" s="24" t="s">
        <v>28</v>
      </c>
      <c r="J623" s="14" t="s">
        <v>43</v>
      </c>
      <c r="K623" s="15" t="s">
        <v>30</v>
      </c>
      <c r="L623" s="62"/>
      <c r="M623" s="14"/>
      <c r="N623" s="14" t="s">
        <v>115</v>
      </c>
      <c r="O623" s="14"/>
      <c r="P623" s="15" t="s">
        <v>120</v>
      </c>
      <c r="Q623" s="16">
        <v>6299</v>
      </c>
      <c r="R623" s="17">
        <v>40</v>
      </c>
      <c r="S623" s="18">
        <v>4346.3099999999995</v>
      </c>
      <c r="T623" s="19" t="s">
        <v>36</v>
      </c>
      <c r="U623" s="20" t="s">
        <v>86</v>
      </c>
      <c r="V623" s="21" t="s">
        <v>87</v>
      </c>
      <c r="W623" s="22">
        <v>2</v>
      </c>
      <c r="X623" s="23"/>
    </row>
    <row r="624" spans="1:24" s="1" customFormat="1" ht="37.049999999999997" customHeight="1" x14ac:dyDescent="0.3">
      <c r="A624" s="24" t="s">
        <v>23</v>
      </c>
      <c r="B624" s="24" t="s">
        <v>669</v>
      </c>
      <c r="C624" s="12" t="s">
        <v>670</v>
      </c>
      <c r="D624" s="61"/>
      <c r="E624" s="41" t="str">
        <f>HYPERLINK("https://www.google.ru/search?q=6009352-410&amp;newwindow=1&amp;tbm=isch","Еще фото")</f>
        <v>Еще фото</v>
      </c>
      <c r="F624" s="13"/>
      <c r="G624" s="24" t="s">
        <v>28</v>
      </c>
      <c r="H624" s="24" t="s">
        <v>27</v>
      </c>
      <c r="I624" s="24" t="s">
        <v>28</v>
      </c>
      <c r="J624" s="14" t="s">
        <v>43</v>
      </c>
      <c r="K624" s="15" t="s">
        <v>30</v>
      </c>
      <c r="L624" s="58"/>
      <c r="M624" s="14"/>
      <c r="N624" s="14" t="s">
        <v>115</v>
      </c>
      <c r="O624" s="14"/>
      <c r="P624" s="15" t="s">
        <v>120</v>
      </c>
      <c r="Q624" s="16">
        <v>6299</v>
      </c>
      <c r="R624" s="17">
        <v>40</v>
      </c>
      <c r="S624" s="18">
        <v>4346.3099999999995</v>
      </c>
      <c r="T624" s="19" t="s">
        <v>36</v>
      </c>
      <c r="U624" s="20" t="s">
        <v>88</v>
      </c>
      <c r="V624" s="21" t="s">
        <v>89</v>
      </c>
      <c r="W624" s="22">
        <v>1</v>
      </c>
      <c r="X624" s="23"/>
    </row>
    <row r="625" spans="1:24" s="1" customFormat="1" ht="26" customHeight="1" x14ac:dyDescent="0.3">
      <c r="A625" s="11" t="s">
        <v>23</v>
      </c>
      <c r="B625" s="11" t="s">
        <v>672</v>
      </c>
      <c r="C625" s="12" t="s">
        <v>673</v>
      </c>
      <c r="D625" s="59"/>
      <c r="E625" s="41" t="str">
        <f>HYPERLINK("https://www.google.ru/search?q=6009567-016&amp;newwindow=1&amp;tbm=isch","Еще фото")</f>
        <v>Еще фото</v>
      </c>
      <c r="F625" s="13"/>
      <c r="G625" s="11" t="s">
        <v>28</v>
      </c>
      <c r="H625" s="11" t="s">
        <v>27</v>
      </c>
      <c r="I625" s="14" t="s">
        <v>28</v>
      </c>
      <c r="J625" s="14" t="s">
        <v>674</v>
      </c>
      <c r="K625" s="15" t="s">
        <v>59</v>
      </c>
      <c r="L625" s="57" t="s">
        <v>675</v>
      </c>
      <c r="M625" s="14"/>
      <c r="N625" s="14" t="s">
        <v>62</v>
      </c>
      <c r="O625" s="14"/>
      <c r="P625" s="15" t="s">
        <v>47</v>
      </c>
      <c r="Q625" s="16">
        <v>8099</v>
      </c>
      <c r="R625" s="17">
        <v>40</v>
      </c>
      <c r="S625" s="18">
        <v>5588.3099999999995</v>
      </c>
      <c r="T625" s="19" t="s">
        <v>36</v>
      </c>
      <c r="U625" s="20" t="s">
        <v>63</v>
      </c>
      <c r="V625" s="21" t="s">
        <v>64</v>
      </c>
      <c r="W625" s="22">
        <v>8</v>
      </c>
      <c r="X625" s="23"/>
    </row>
    <row r="626" spans="1:24" s="1" customFormat="1" ht="26" customHeight="1" x14ac:dyDescent="0.3">
      <c r="A626" s="24" t="s">
        <v>23</v>
      </c>
      <c r="B626" s="24" t="s">
        <v>672</v>
      </c>
      <c r="C626" s="12" t="s">
        <v>673</v>
      </c>
      <c r="D626" s="60"/>
      <c r="E626" s="41" t="str">
        <f>HYPERLINK("https://www.google.ru/search?q=6009567-016&amp;newwindow=1&amp;tbm=isch","Еще фото")</f>
        <v>Еще фото</v>
      </c>
      <c r="F626" s="13"/>
      <c r="G626" s="24" t="s">
        <v>28</v>
      </c>
      <c r="H626" s="24" t="s">
        <v>27</v>
      </c>
      <c r="I626" s="24" t="s">
        <v>28</v>
      </c>
      <c r="J626" s="14" t="s">
        <v>674</v>
      </c>
      <c r="K626" s="15" t="s">
        <v>59</v>
      </c>
      <c r="L626" s="62"/>
      <c r="M626" s="14"/>
      <c r="N626" s="14" t="s">
        <v>62</v>
      </c>
      <c r="O626" s="14"/>
      <c r="P626" s="15" t="s">
        <v>47</v>
      </c>
      <c r="Q626" s="16">
        <v>8099</v>
      </c>
      <c r="R626" s="17">
        <v>40</v>
      </c>
      <c r="S626" s="18">
        <v>5588.3099999999995</v>
      </c>
      <c r="T626" s="19" t="s">
        <v>36</v>
      </c>
      <c r="U626" s="20" t="s">
        <v>37</v>
      </c>
      <c r="V626" s="21" t="s">
        <v>106</v>
      </c>
      <c r="W626" s="22">
        <v>9</v>
      </c>
      <c r="X626" s="23"/>
    </row>
    <row r="627" spans="1:24" s="1" customFormat="1" ht="26" customHeight="1" x14ac:dyDescent="0.3">
      <c r="A627" s="24" t="s">
        <v>23</v>
      </c>
      <c r="B627" s="24" t="s">
        <v>672</v>
      </c>
      <c r="C627" s="12" t="s">
        <v>673</v>
      </c>
      <c r="D627" s="60"/>
      <c r="E627" s="41" t="str">
        <f>HYPERLINK("https://www.google.ru/search?q=6009567-016&amp;newwindow=1&amp;tbm=isch","Еще фото")</f>
        <v>Еще фото</v>
      </c>
      <c r="F627" s="13"/>
      <c r="G627" s="24" t="s">
        <v>28</v>
      </c>
      <c r="H627" s="24" t="s">
        <v>27</v>
      </c>
      <c r="I627" s="24" t="s">
        <v>28</v>
      </c>
      <c r="J627" s="14" t="s">
        <v>674</v>
      </c>
      <c r="K627" s="15" t="s">
        <v>59</v>
      </c>
      <c r="L627" s="62"/>
      <c r="M627" s="14"/>
      <c r="N627" s="14" t="s">
        <v>62</v>
      </c>
      <c r="O627" s="14"/>
      <c r="P627" s="15" t="s">
        <v>47</v>
      </c>
      <c r="Q627" s="16">
        <v>8099</v>
      </c>
      <c r="R627" s="17">
        <v>40</v>
      </c>
      <c r="S627" s="18">
        <v>5588.3099999999995</v>
      </c>
      <c r="T627" s="19" t="s">
        <v>36</v>
      </c>
      <c r="U627" s="20" t="s">
        <v>39</v>
      </c>
      <c r="V627" s="21" t="s">
        <v>85</v>
      </c>
      <c r="W627" s="22">
        <v>7</v>
      </c>
      <c r="X627" s="23"/>
    </row>
    <row r="628" spans="1:24" s="1" customFormat="1" ht="26" customHeight="1" x14ac:dyDescent="0.3">
      <c r="A628" s="24" t="s">
        <v>23</v>
      </c>
      <c r="B628" s="24" t="s">
        <v>672</v>
      </c>
      <c r="C628" s="12" t="s">
        <v>673</v>
      </c>
      <c r="D628" s="61"/>
      <c r="E628" s="41" t="str">
        <f>HYPERLINK("https://www.google.ru/search?q=6009567-016&amp;newwindow=1&amp;tbm=isch","Еще фото")</f>
        <v>Еще фото</v>
      </c>
      <c r="F628" s="13"/>
      <c r="G628" s="24" t="s">
        <v>28</v>
      </c>
      <c r="H628" s="24" t="s">
        <v>27</v>
      </c>
      <c r="I628" s="24" t="s">
        <v>28</v>
      </c>
      <c r="J628" s="14" t="s">
        <v>674</v>
      </c>
      <c r="K628" s="15" t="s">
        <v>59</v>
      </c>
      <c r="L628" s="58"/>
      <c r="M628" s="14"/>
      <c r="N628" s="14" t="s">
        <v>62</v>
      </c>
      <c r="O628" s="14"/>
      <c r="P628" s="15" t="s">
        <v>47</v>
      </c>
      <c r="Q628" s="16">
        <v>8099</v>
      </c>
      <c r="R628" s="17">
        <v>40</v>
      </c>
      <c r="S628" s="18">
        <v>5588.3099999999995</v>
      </c>
      <c r="T628" s="19" t="s">
        <v>36</v>
      </c>
      <c r="U628" s="20" t="s">
        <v>86</v>
      </c>
      <c r="V628" s="21" t="s">
        <v>38</v>
      </c>
      <c r="W628" s="22">
        <v>10</v>
      </c>
      <c r="X628" s="23"/>
    </row>
    <row r="629" spans="1:24" s="1" customFormat="1" ht="21" customHeight="1" x14ac:dyDescent="0.3">
      <c r="A629" s="11" t="s">
        <v>23</v>
      </c>
      <c r="B629" s="11" t="s">
        <v>676</v>
      </c>
      <c r="C629" s="26" t="s">
        <v>677</v>
      </c>
      <c r="D629" s="59"/>
      <c r="E629" s="41" t="str">
        <f>HYPERLINK("https://www.google.ru/search?q=6009581-016&amp;newwindow=1&amp;tbm=isch","Еще фото")</f>
        <v>Еще фото</v>
      </c>
      <c r="F629" s="13" t="s">
        <v>103</v>
      </c>
      <c r="G629" s="11" t="s">
        <v>28</v>
      </c>
      <c r="H629" s="11" t="s">
        <v>27</v>
      </c>
      <c r="I629" s="14" t="s">
        <v>28</v>
      </c>
      <c r="J629" s="14" t="s">
        <v>674</v>
      </c>
      <c r="K629" s="15" t="s">
        <v>30</v>
      </c>
      <c r="L629" s="57" t="s">
        <v>678</v>
      </c>
      <c r="M629" s="14"/>
      <c r="N629" s="14" t="s">
        <v>62</v>
      </c>
      <c r="O629" s="14"/>
      <c r="P629" s="15" t="s">
        <v>666</v>
      </c>
      <c r="Q629" s="16">
        <v>11499</v>
      </c>
      <c r="R629" s="17">
        <v>40</v>
      </c>
      <c r="S629" s="18">
        <v>7934.3099999999986</v>
      </c>
      <c r="T629" s="19" t="s">
        <v>36</v>
      </c>
      <c r="U629" s="20" t="s">
        <v>37</v>
      </c>
      <c r="V629" s="21" t="s">
        <v>38</v>
      </c>
      <c r="W629" s="22">
        <v>8</v>
      </c>
      <c r="X629" s="23"/>
    </row>
    <row r="630" spans="1:24" s="1" customFormat="1" ht="21" customHeight="1" x14ac:dyDescent="0.3">
      <c r="A630" s="24" t="s">
        <v>23</v>
      </c>
      <c r="B630" s="24" t="s">
        <v>676</v>
      </c>
      <c r="C630" s="27" t="s">
        <v>677</v>
      </c>
      <c r="D630" s="60"/>
      <c r="E630" s="41" t="str">
        <f>HYPERLINK("https://www.google.ru/search?q=6009581-016&amp;newwindow=1&amp;tbm=isch","Еще фото")</f>
        <v>Еще фото</v>
      </c>
      <c r="F630" s="13" t="s">
        <v>103</v>
      </c>
      <c r="G630" s="24" t="s">
        <v>28</v>
      </c>
      <c r="H630" s="24" t="s">
        <v>27</v>
      </c>
      <c r="I630" s="24" t="s">
        <v>28</v>
      </c>
      <c r="J630" s="14" t="s">
        <v>674</v>
      </c>
      <c r="K630" s="15" t="s">
        <v>30</v>
      </c>
      <c r="L630" s="62"/>
      <c r="M630" s="14"/>
      <c r="N630" s="14" t="s">
        <v>62</v>
      </c>
      <c r="O630" s="14"/>
      <c r="P630" s="15" t="s">
        <v>666</v>
      </c>
      <c r="Q630" s="16">
        <v>11499</v>
      </c>
      <c r="R630" s="17">
        <v>40</v>
      </c>
      <c r="S630" s="18">
        <v>7934.3099999999986</v>
      </c>
      <c r="T630" s="19" t="s">
        <v>36</v>
      </c>
      <c r="U630" s="20" t="s">
        <v>39</v>
      </c>
      <c r="V630" s="21" t="s">
        <v>40</v>
      </c>
      <c r="W630" s="22">
        <v>16</v>
      </c>
      <c r="X630" s="23"/>
    </row>
    <row r="631" spans="1:24" s="1" customFormat="1" ht="21" customHeight="1" x14ac:dyDescent="0.3">
      <c r="A631" s="24" t="s">
        <v>23</v>
      </c>
      <c r="B631" s="24" t="s">
        <v>676</v>
      </c>
      <c r="C631" s="27" t="s">
        <v>677</v>
      </c>
      <c r="D631" s="60"/>
      <c r="E631" s="41" t="str">
        <f>HYPERLINK("https://www.google.ru/search?q=6009581-016&amp;newwindow=1&amp;tbm=isch","Еще фото")</f>
        <v>Еще фото</v>
      </c>
      <c r="F631" s="13" t="s">
        <v>103</v>
      </c>
      <c r="G631" s="24" t="s">
        <v>28</v>
      </c>
      <c r="H631" s="24" t="s">
        <v>27</v>
      </c>
      <c r="I631" s="24" t="s">
        <v>28</v>
      </c>
      <c r="J631" s="14" t="s">
        <v>674</v>
      </c>
      <c r="K631" s="15" t="s">
        <v>30</v>
      </c>
      <c r="L631" s="62"/>
      <c r="M631" s="14"/>
      <c r="N631" s="14" t="s">
        <v>62</v>
      </c>
      <c r="O631" s="14"/>
      <c r="P631" s="15" t="s">
        <v>666</v>
      </c>
      <c r="Q631" s="16">
        <v>11499</v>
      </c>
      <c r="R631" s="17">
        <v>40</v>
      </c>
      <c r="S631" s="18">
        <v>7934.3099999999986</v>
      </c>
      <c r="T631" s="19" t="s">
        <v>36</v>
      </c>
      <c r="U631" s="20" t="s">
        <v>86</v>
      </c>
      <c r="V631" s="21" t="s">
        <v>87</v>
      </c>
      <c r="W631" s="22">
        <v>20</v>
      </c>
      <c r="X631" s="23"/>
    </row>
    <row r="632" spans="1:24" s="1" customFormat="1" ht="21" customHeight="1" x14ac:dyDescent="0.3">
      <c r="A632" s="24" t="s">
        <v>23</v>
      </c>
      <c r="B632" s="24" t="s">
        <v>676</v>
      </c>
      <c r="C632" s="27" t="s">
        <v>677</v>
      </c>
      <c r="D632" s="60"/>
      <c r="E632" s="41" t="str">
        <f>HYPERLINK("https://www.google.ru/search?q=6009581-016&amp;newwindow=1&amp;tbm=isch","Еще фото")</f>
        <v>Еще фото</v>
      </c>
      <c r="F632" s="13" t="s">
        <v>103</v>
      </c>
      <c r="G632" s="24" t="s">
        <v>28</v>
      </c>
      <c r="H632" s="24" t="s">
        <v>27</v>
      </c>
      <c r="I632" s="24" t="s">
        <v>28</v>
      </c>
      <c r="J632" s="14" t="s">
        <v>674</v>
      </c>
      <c r="K632" s="15" t="s">
        <v>30</v>
      </c>
      <c r="L632" s="62"/>
      <c r="M632" s="14"/>
      <c r="N632" s="14" t="s">
        <v>62</v>
      </c>
      <c r="O632" s="14"/>
      <c r="P632" s="15" t="s">
        <v>666</v>
      </c>
      <c r="Q632" s="16">
        <v>11499</v>
      </c>
      <c r="R632" s="17">
        <v>40</v>
      </c>
      <c r="S632" s="18">
        <v>7934.3099999999986</v>
      </c>
      <c r="T632" s="19" t="s">
        <v>36</v>
      </c>
      <c r="U632" s="20" t="s">
        <v>88</v>
      </c>
      <c r="V632" s="21" t="s">
        <v>89</v>
      </c>
      <c r="W632" s="22">
        <v>9</v>
      </c>
      <c r="X632" s="23"/>
    </row>
    <row r="633" spans="1:24" s="1" customFormat="1" ht="32" customHeight="1" x14ac:dyDescent="0.3">
      <c r="A633" s="24" t="s">
        <v>23</v>
      </c>
      <c r="B633" s="24" t="s">
        <v>676</v>
      </c>
      <c r="C633" s="27" t="s">
        <v>677</v>
      </c>
      <c r="D633" s="61"/>
      <c r="E633" s="41" t="str">
        <f>HYPERLINK("https://www.google.ru/search?q=6009581-016&amp;newwindow=1&amp;tbm=isch","Еще фото")</f>
        <v>Еще фото</v>
      </c>
      <c r="F633" s="13" t="s">
        <v>103</v>
      </c>
      <c r="G633" s="24" t="s">
        <v>28</v>
      </c>
      <c r="H633" s="24" t="s">
        <v>27</v>
      </c>
      <c r="I633" s="24" t="s">
        <v>28</v>
      </c>
      <c r="J633" s="14" t="s">
        <v>674</v>
      </c>
      <c r="K633" s="15" t="s">
        <v>30</v>
      </c>
      <c r="L633" s="58"/>
      <c r="M633" s="14"/>
      <c r="N633" s="14" t="s">
        <v>62</v>
      </c>
      <c r="O633" s="14"/>
      <c r="P633" s="15" t="s">
        <v>666</v>
      </c>
      <c r="Q633" s="16">
        <v>11499</v>
      </c>
      <c r="R633" s="17">
        <v>40</v>
      </c>
      <c r="S633" s="18">
        <v>7934.3099999999986</v>
      </c>
      <c r="T633" s="19" t="s">
        <v>36</v>
      </c>
      <c r="U633" s="20" t="s">
        <v>90</v>
      </c>
      <c r="V633" s="21" t="s">
        <v>91</v>
      </c>
      <c r="W633" s="22">
        <v>7</v>
      </c>
      <c r="X633" s="23"/>
    </row>
    <row r="634" spans="1:24" s="1" customFormat="1" ht="26" customHeight="1" x14ac:dyDescent="0.3">
      <c r="A634" s="11" t="s">
        <v>23</v>
      </c>
      <c r="B634" s="11" t="s">
        <v>245</v>
      </c>
      <c r="C634" s="12" t="s">
        <v>679</v>
      </c>
      <c r="D634" s="59"/>
      <c r="E634" s="41" t="str">
        <f>HYPERLINK("https://www.google.ru/search?q=6009662-001&amp;newwindow=1&amp;tbm=isch","Еще фото")</f>
        <v>Еще фото</v>
      </c>
      <c r="F634" s="13"/>
      <c r="G634" s="11" t="s">
        <v>28</v>
      </c>
      <c r="H634" s="11" t="s">
        <v>27</v>
      </c>
      <c r="I634" s="14" t="s">
        <v>28</v>
      </c>
      <c r="J634" s="14" t="s">
        <v>43</v>
      </c>
      <c r="K634" s="15" t="s">
        <v>30</v>
      </c>
      <c r="L634" s="57" t="s">
        <v>247</v>
      </c>
      <c r="M634" s="14"/>
      <c r="N634" s="14" t="s">
        <v>33</v>
      </c>
      <c r="O634" s="14"/>
      <c r="P634" s="15" t="s">
        <v>248</v>
      </c>
      <c r="Q634" s="16">
        <v>11099</v>
      </c>
      <c r="R634" s="17">
        <v>40</v>
      </c>
      <c r="S634" s="18">
        <v>7658.3099999999986</v>
      </c>
      <c r="T634" s="19" t="s">
        <v>36</v>
      </c>
      <c r="U634" s="20" t="s">
        <v>37</v>
      </c>
      <c r="V634" s="21" t="s">
        <v>38</v>
      </c>
      <c r="W634" s="22">
        <v>1</v>
      </c>
      <c r="X634" s="23"/>
    </row>
    <row r="635" spans="1:24" s="1" customFormat="1" ht="26" customHeight="1" x14ac:dyDescent="0.3">
      <c r="A635" s="24" t="s">
        <v>23</v>
      </c>
      <c r="B635" s="24" t="s">
        <v>245</v>
      </c>
      <c r="C635" s="12" t="s">
        <v>679</v>
      </c>
      <c r="D635" s="60"/>
      <c r="E635" s="41" t="str">
        <f>HYPERLINK("https://www.google.ru/search?q=6009662-001&amp;newwindow=1&amp;tbm=isch","Еще фото")</f>
        <v>Еще фото</v>
      </c>
      <c r="F635" s="13"/>
      <c r="G635" s="24" t="s">
        <v>28</v>
      </c>
      <c r="H635" s="24" t="s">
        <v>27</v>
      </c>
      <c r="I635" s="24" t="s">
        <v>28</v>
      </c>
      <c r="J635" s="14" t="s">
        <v>43</v>
      </c>
      <c r="K635" s="15" t="s">
        <v>30</v>
      </c>
      <c r="L635" s="62"/>
      <c r="M635" s="14"/>
      <c r="N635" s="14" t="s">
        <v>33</v>
      </c>
      <c r="O635" s="14"/>
      <c r="P635" s="15" t="s">
        <v>248</v>
      </c>
      <c r="Q635" s="16">
        <v>11099</v>
      </c>
      <c r="R635" s="17">
        <v>40</v>
      </c>
      <c r="S635" s="18">
        <v>7658.3099999999986</v>
      </c>
      <c r="T635" s="19" t="s">
        <v>36</v>
      </c>
      <c r="U635" s="20" t="s">
        <v>39</v>
      </c>
      <c r="V635" s="21" t="s">
        <v>40</v>
      </c>
      <c r="W635" s="22">
        <v>6</v>
      </c>
      <c r="X635" s="23"/>
    </row>
    <row r="636" spans="1:24" s="1" customFormat="1" ht="26" customHeight="1" x14ac:dyDescent="0.3">
      <c r="A636" s="24" t="s">
        <v>23</v>
      </c>
      <c r="B636" s="24" t="s">
        <v>245</v>
      </c>
      <c r="C636" s="12" t="s">
        <v>679</v>
      </c>
      <c r="D636" s="60"/>
      <c r="E636" s="41" t="str">
        <f>HYPERLINK("https://www.google.ru/search?q=6009662-001&amp;newwindow=1&amp;tbm=isch","Еще фото")</f>
        <v>Еще фото</v>
      </c>
      <c r="F636" s="13"/>
      <c r="G636" s="24" t="s">
        <v>28</v>
      </c>
      <c r="H636" s="24" t="s">
        <v>27</v>
      </c>
      <c r="I636" s="24" t="s">
        <v>28</v>
      </c>
      <c r="J636" s="14" t="s">
        <v>43</v>
      </c>
      <c r="K636" s="15" t="s">
        <v>30</v>
      </c>
      <c r="L636" s="62"/>
      <c r="M636" s="14"/>
      <c r="N636" s="14" t="s">
        <v>33</v>
      </c>
      <c r="O636" s="14"/>
      <c r="P636" s="15" t="s">
        <v>248</v>
      </c>
      <c r="Q636" s="16">
        <v>11099</v>
      </c>
      <c r="R636" s="17">
        <v>40</v>
      </c>
      <c r="S636" s="18">
        <v>7658.3099999999986</v>
      </c>
      <c r="T636" s="19" t="s">
        <v>36</v>
      </c>
      <c r="U636" s="20" t="s">
        <v>88</v>
      </c>
      <c r="V636" s="21" t="s">
        <v>89</v>
      </c>
      <c r="W636" s="22">
        <v>5</v>
      </c>
      <c r="X636" s="23"/>
    </row>
    <row r="637" spans="1:24" s="1" customFormat="1" ht="26" customHeight="1" x14ac:dyDescent="0.3">
      <c r="A637" s="24" t="s">
        <v>23</v>
      </c>
      <c r="B637" s="24" t="s">
        <v>245</v>
      </c>
      <c r="C637" s="12" t="s">
        <v>679</v>
      </c>
      <c r="D637" s="61"/>
      <c r="E637" s="41" t="str">
        <f>HYPERLINK("https://www.google.ru/search?q=6009662-001&amp;newwindow=1&amp;tbm=isch","Еще фото")</f>
        <v>Еще фото</v>
      </c>
      <c r="F637" s="13"/>
      <c r="G637" s="24" t="s">
        <v>28</v>
      </c>
      <c r="H637" s="24" t="s">
        <v>27</v>
      </c>
      <c r="I637" s="24" t="s">
        <v>28</v>
      </c>
      <c r="J637" s="14" t="s">
        <v>43</v>
      </c>
      <c r="K637" s="15" t="s">
        <v>30</v>
      </c>
      <c r="L637" s="58"/>
      <c r="M637" s="14"/>
      <c r="N637" s="14" t="s">
        <v>33</v>
      </c>
      <c r="O637" s="14"/>
      <c r="P637" s="15" t="s">
        <v>248</v>
      </c>
      <c r="Q637" s="16">
        <v>11099</v>
      </c>
      <c r="R637" s="17">
        <v>40</v>
      </c>
      <c r="S637" s="18">
        <v>7658.3099999999986</v>
      </c>
      <c r="T637" s="19" t="s">
        <v>36</v>
      </c>
      <c r="U637" s="20" t="s">
        <v>90</v>
      </c>
      <c r="V637" s="21" t="s">
        <v>91</v>
      </c>
      <c r="W637" s="22">
        <v>3</v>
      </c>
      <c r="X637" s="23"/>
    </row>
    <row r="638" spans="1:24" s="1" customFormat="1" ht="17" customHeight="1" x14ac:dyDescent="0.3">
      <c r="A638" s="11" t="s">
        <v>23</v>
      </c>
      <c r="B638" s="11" t="s">
        <v>680</v>
      </c>
      <c r="C638" s="12" t="s">
        <v>681</v>
      </c>
      <c r="D638" s="59"/>
      <c r="E638" s="41" t="str">
        <f t="shared" ref="E638:E643" si="16">HYPERLINK("https://www.google.ru/search?q=6009700-008&amp;newwindow=1&amp;tbm=isch","Еще фото")</f>
        <v>Еще фото</v>
      </c>
      <c r="F638" s="13" t="s">
        <v>103</v>
      </c>
      <c r="G638" s="11" t="s">
        <v>28</v>
      </c>
      <c r="H638" s="11" t="s">
        <v>27</v>
      </c>
      <c r="I638" s="14" t="s">
        <v>28</v>
      </c>
      <c r="J638" s="14" t="s">
        <v>43</v>
      </c>
      <c r="K638" s="15" t="s">
        <v>59</v>
      </c>
      <c r="L638" s="57" t="s">
        <v>682</v>
      </c>
      <c r="M638" s="14"/>
      <c r="N638" s="14" t="s">
        <v>33</v>
      </c>
      <c r="O638" s="14"/>
      <c r="P638" s="15" t="s">
        <v>248</v>
      </c>
      <c r="Q638" s="16">
        <v>10999</v>
      </c>
      <c r="R638" s="17">
        <v>40</v>
      </c>
      <c r="S638" s="18">
        <v>7589.3099999999986</v>
      </c>
      <c r="T638" s="19" t="s">
        <v>36</v>
      </c>
      <c r="U638" s="20" t="s">
        <v>63</v>
      </c>
      <c r="V638" s="21" t="s">
        <v>64</v>
      </c>
      <c r="W638" s="22">
        <v>15</v>
      </c>
      <c r="X638" s="23"/>
    </row>
    <row r="639" spans="1:24" s="1" customFormat="1" ht="17" customHeight="1" x14ac:dyDescent="0.3">
      <c r="A639" s="24" t="s">
        <v>23</v>
      </c>
      <c r="B639" s="24" t="s">
        <v>680</v>
      </c>
      <c r="C639" s="12" t="s">
        <v>681</v>
      </c>
      <c r="D639" s="60"/>
      <c r="E639" s="41" t="str">
        <f t="shared" si="16"/>
        <v>Еще фото</v>
      </c>
      <c r="F639" s="13" t="s">
        <v>103</v>
      </c>
      <c r="G639" s="24" t="s">
        <v>28</v>
      </c>
      <c r="H639" s="24" t="s">
        <v>27</v>
      </c>
      <c r="I639" s="24" t="s">
        <v>28</v>
      </c>
      <c r="J639" s="14" t="s">
        <v>43</v>
      </c>
      <c r="K639" s="15" t="s">
        <v>59</v>
      </c>
      <c r="L639" s="62"/>
      <c r="M639" s="14"/>
      <c r="N639" s="14" t="s">
        <v>33</v>
      </c>
      <c r="O639" s="14"/>
      <c r="P639" s="15" t="s">
        <v>248</v>
      </c>
      <c r="Q639" s="16">
        <v>10999</v>
      </c>
      <c r="R639" s="17">
        <v>40</v>
      </c>
      <c r="S639" s="18">
        <v>7589.3099999999986</v>
      </c>
      <c r="T639" s="19" t="s">
        <v>36</v>
      </c>
      <c r="U639" s="20" t="s">
        <v>37</v>
      </c>
      <c r="V639" s="21" t="s">
        <v>106</v>
      </c>
      <c r="W639" s="22">
        <v>20</v>
      </c>
      <c r="X639" s="23"/>
    </row>
    <row r="640" spans="1:24" s="1" customFormat="1" ht="17" customHeight="1" x14ac:dyDescent="0.3">
      <c r="A640" s="24" t="s">
        <v>23</v>
      </c>
      <c r="B640" s="24" t="s">
        <v>680</v>
      </c>
      <c r="C640" s="12" t="s">
        <v>681</v>
      </c>
      <c r="D640" s="60"/>
      <c r="E640" s="41" t="str">
        <f t="shared" si="16"/>
        <v>Еще фото</v>
      </c>
      <c r="F640" s="13" t="s">
        <v>103</v>
      </c>
      <c r="G640" s="24" t="s">
        <v>28</v>
      </c>
      <c r="H640" s="24" t="s">
        <v>27</v>
      </c>
      <c r="I640" s="24" t="s">
        <v>28</v>
      </c>
      <c r="J640" s="14" t="s">
        <v>43</v>
      </c>
      <c r="K640" s="15" t="s">
        <v>59</v>
      </c>
      <c r="L640" s="62"/>
      <c r="M640" s="14"/>
      <c r="N640" s="14" t="s">
        <v>33</v>
      </c>
      <c r="O640" s="14"/>
      <c r="P640" s="15" t="s">
        <v>248</v>
      </c>
      <c r="Q640" s="16">
        <v>10999</v>
      </c>
      <c r="R640" s="17">
        <v>40</v>
      </c>
      <c r="S640" s="18">
        <v>7589.3099999999986</v>
      </c>
      <c r="T640" s="19" t="s">
        <v>36</v>
      </c>
      <c r="U640" s="20" t="s">
        <v>39</v>
      </c>
      <c r="V640" s="21" t="s">
        <v>85</v>
      </c>
      <c r="W640" s="22">
        <v>23</v>
      </c>
      <c r="X640" s="23"/>
    </row>
    <row r="641" spans="1:24" s="1" customFormat="1" ht="17" customHeight="1" x14ac:dyDescent="0.3">
      <c r="A641" s="24" t="s">
        <v>23</v>
      </c>
      <c r="B641" s="24" t="s">
        <v>680</v>
      </c>
      <c r="C641" s="12" t="s">
        <v>681</v>
      </c>
      <c r="D641" s="60"/>
      <c r="E641" s="41" t="str">
        <f t="shared" si="16"/>
        <v>Еще фото</v>
      </c>
      <c r="F641" s="13" t="s">
        <v>103</v>
      </c>
      <c r="G641" s="24" t="s">
        <v>28</v>
      </c>
      <c r="H641" s="24" t="s">
        <v>27</v>
      </c>
      <c r="I641" s="24" t="s">
        <v>28</v>
      </c>
      <c r="J641" s="14" t="s">
        <v>43</v>
      </c>
      <c r="K641" s="15" t="s">
        <v>59</v>
      </c>
      <c r="L641" s="62"/>
      <c r="M641" s="14"/>
      <c r="N641" s="14" t="s">
        <v>33</v>
      </c>
      <c r="O641" s="14"/>
      <c r="P641" s="15" t="s">
        <v>248</v>
      </c>
      <c r="Q641" s="16">
        <v>10999</v>
      </c>
      <c r="R641" s="17">
        <v>40</v>
      </c>
      <c r="S641" s="18">
        <v>7589.3099999999986</v>
      </c>
      <c r="T641" s="19" t="s">
        <v>36</v>
      </c>
      <c r="U641" s="20" t="s">
        <v>86</v>
      </c>
      <c r="V641" s="21" t="s">
        <v>38</v>
      </c>
      <c r="W641" s="22">
        <v>5</v>
      </c>
      <c r="X641" s="23"/>
    </row>
    <row r="642" spans="1:24" s="1" customFormat="1" ht="17" customHeight="1" x14ac:dyDescent="0.3">
      <c r="A642" s="24" t="s">
        <v>23</v>
      </c>
      <c r="B642" s="24" t="s">
        <v>680</v>
      </c>
      <c r="C642" s="12" t="s">
        <v>681</v>
      </c>
      <c r="D642" s="60"/>
      <c r="E642" s="41" t="str">
        <f t="shared" si="16"/>
        <v>Еще фото</v>
      </c>
      <c r="F642" s="13" t="s">
        <v>103</v>
      </c>
      <c r="G642" s="24" t="s">
        <v>28</v>
      </c>
      <c r="H642" s="24" t="s">
        <v>27</v>
      </c>
      <c r="I642" s="24" t="s">
        <v>28</v>
      </c>
      <c r="J642" s="14" t="s">
        <v>43</v>
      </c>
      <c r="K642" s="15" t="s">
        <v>59</v>
      </c>
      <c r="L642" s="62"/>
      <c r="M642" s="14"/>
      <c r="N642" s="14" t="s">
        <v>33</v>
      </c>
      <c r="O642" s="14"/>
      <c r="P642" s="15" t="s">
        <v>248</v>
      </c>
      <c r="Q642" s="16">
        <v>10999</v>
      </c>
      <c r="R642" s="17">
        <v>40</v>
      </c>
      <c r="S642" s="18">
        <v>7589.3099999999986</v>
      </c>
      <c r="T642" s="19" t="s">
        <v>36</v>
      </c>
      <c r="U642" s="20" t="s">
        <v>683</v>
      </c>
      <c r="V642" s="21" t="s">
        <v>684</v>
      </c>
      <c r="W642" s="22">
        <v>4</v>
      </c>
      <c r="X642" s="23"/>
    </row>
    <row r="643" spans="1:24" s="1" customFormat="1" ht="22.05" customHeight="1" x14ac:dyDescent="0.3">
      <c r="A643" s="24" t="s">
        <v>23</v>
      </c>
      <c r="B643" s="24" t="s">
        <v>680</v>
      </c>
      <c r="C643" s="12" t="s">
        <v>681</v>
      </c>
      <c r="D643" s="61"/>
      <c r="E643" s="41" t="str">
        <f t="shared" si="16"/>
        <v>Еще фото</v>
      </c>
      <c r="F643" s="13" t="s">
        <v>103</v>
      </c>
      <c r="G643" s="24" t="s">
        <v>28</v>
      </c>
      <c r="H643" s="24" t="s">
        <v>27</v>
      </c>
      <c r="I643" s="24" t="s">
        <v>28</v>
      </c>
      <c r="J643" s="14" t="s">
        <v>43</v>
      </c>
      <c r="K643" s="15" t="s">
        <v>59</v>
      </c>
      <c r="L643" s="58"/>
      <c r="M643" s="14"/>
      <c r="N643" s="14" t="s">
        <v>33</v>
      </c>
      <c r="O643" s="14"/>
      <c r="P643" s="15" t="s">
        <v>248</v>
      </c>
      <c r="Q643" s="16">
        <v>10999</v>
      </c>
      <c r="R643" s="17">
        <v>40</v>
      </c>
      <c r="S643" s="18">
        <v>7589.3099999999986</v>
      </c>
      <c r="T643" s="19" t="s">
        <v>36</v>
      </c>
      <c r="U643" s="20" t="s">
        <v>685</v>
      </c>
      <c r="V643" s="21" t="s">
        <v>686</v>
      </c>
      <c r="W643" s="22">
        <v>3</v>
      </c>
      <c r="X643" s="23"/>
    </row>
    <row r="644" spans="1:24" s="1" customFormat="1" ht="26" customHeight="1" x14ac:dyDescent="0.3">
      <c r="A644" s="11" t="s">
        <v>23</v>
      </c>
      <c r="B644" s="11" t="s">
        <v>687</v>
      </c>
      <c r="C644" s="12" t="s">
        <v>688</v>
      </c>
      <c r="D644" s="59"/>
      <c r="E644" s="41" t="str">
        <f>HYPERLINK("https://www.google.ru/search?q=6010002-019&amp;newwindow=1&amp;tbm=isch","Еще фото")</f>
        <v>Еще фото</v>
      </c>
      <c r="F644" s="13"/>
      <c r="G644" s="11" t="s">
        <v>77</v>
      </c>
      <c r="H644" s="11" t="s">
        <v>27</v>
      </c>
      <c r="I644" s="14" t="s">
        <v>28</v>
      </c>
      <c r="J644" s="14" t="s">
        <v>29</v>
      </c>
      <c r="K644" s="15" t="s">
        <v>59</v>
      </c>
      <c r="L644" s="57" t="s">
        <v>689</v>
      </c>
      <c r="M644" s="14"/>
      <c r="N644" s="14" t="s">
        <v>62</v>
      </c>
      <c r="O644" s="14"/>
      <c r="P644" s="15" t="s">
        <v>53</v>
      </c>
      <c r="Q644" s="16">
        <v>4399</v>
      </c>
      <c r="R644" s="17">
        <v>40</v>
      </c>
      <c r="S644" s="18">
        <v>3035.31</v>
      </c>
      <c r="T644" s="19" t="s">
        <v>36</v>
      </c>
      <c r="U644" s="20" t="s">
        <v>63</v>
      </c>
      <c r="V644" s="21" t="s">
        <v>64</v>
      </c>
      <c r="W644" s="22">
        <v>15</v>
      </c>
      <c r="X644" s="23"/>
    </row>
    <row r="645" spans="1:24" s="1" customFormat="1" ht="26" customHeight="1" x14ac:dyDescent="0.3">
      <c r="A645" s="24" t="s">
        <v>23</v>
      </c>
      <c r="B645" s="24" t="s">
        <v>687</v>
      </c>
      <c r="C645" s="12" t="s">
        <v>688</v>
      </c>
      <c r="D645" s="60"/>
      <c r="E645" s="41" t="str">
        <f>HYPERLINK("https://www.google.ru/search?q=6010002-019&amp;newwindow=1&amp;tbm=isch","Еще фото")</f>
        <v>Еще фото</v>
      </c>
      <c r="F645" s="13"/>
      <c r="G645" s="24" t="s">
        <v>77</v>
      </c>
      <c r="H645" s="24" t="s">
        <v>27</v>
      </c>
      <c r="I645" s="24" t="s">
        <v>28</v>
      </c>
      <c r="J645" s="14" t="s">
        <v>29</v>
      </c>
      <c r="K645" s="15" t="s">
        <v>59</v>
      </c>
      <c r="L645" s="62"/>
      <c r="M645" s="14"/>
      <c r="N645" s="14" t="s">
        <v>62</v>
      </c>
      <c r="O645" s="14"/>
      <c r="P645" s="15" t="s">
        <v>53</v>
      </c>
      <c r="Q645" s="16">
        <v>4399</v>
      </c>
      <c r="R645" s="17">
        <v>40</v>
      </c>
      <c r="S645" s="18">
        <v>3035.31</v>
      </c>
      <c r="T645" s="19" t="s">
        <v>36</v>
      </c>
      <c r="U645" s="20" t="s">
        <v>37</v>
      </c>
      <c r="V645" s="21" t="s">
        <v>106</v>
      </c>
      <c r="W645" s="22">
        <v>17</v>
      </c>
      <c r="X645" s="23"/>
    </row>
    <row r="646" spans="1:24" s="1" customFormat="1" ht="26" customHeight="1" x14ac:dyDescent="0.3">
      <c r="A646" s="24" t="s">
        <v>23</v>
      </c>
      <c r="B646" s="24" t="s">
        <v>687</v>
      </c>
      <c r="C646" s="12" t="s">
        <v>688</v>
      </c>
      <c r="D646" s="60"/>
      <c r="E646" s="41" t="str">
        <f>HYPERLINK("https://www.google.ru/search?q=6010002-019&amp;newwindow=1&amp;tbm=isch","Еще фото")</f>
        <v>Еще фото</v>
      </c>
      <c r="F646" s="13"/>
      <c r="G646" s="24" t="s">
        <v>77</v>
      </c>
      <c r="H646" s="24" t="s">
        <v>27</v>
      </c>
      <c r="I646" s="24" t="s">
        <v>28</v>
      </c>
      <c r="J646" s="14" t="s">
        <v>29</v>
      </c>
      <c r="K646" s="15" t="s">
        <v>59</v>
      </c>
      <c r="L646" s="62"/>
      <c r="M646" s="14"/>
      <c r="N646" s="14" t="s">
        <v>62</v>
      </c>
      <c r="O646" s="14"/>
      <c r="P646" s="15" t="s">
        <v>53</v>
      </c>
      <c r="Q646" s="16">
        <v>4399</v>
      </c>
      <c r="R646" s="17">
        <v>40</v>
      </c>
      <c r="S646" s="18">
        <v>3035.31</v>
      </c>
      <c r="T646" s="19" t="s">
        <v>36</v>
      </c>
      <c r="U646" s="20" t="s">
        <v>39</v>
      </c>
      <c r="V646" s="21" t="s">
        <v>85</v>
      </c>
      <c r="W646" s="22">
        <v>17</v>
      </c>
      <c r="X646" s="23"/>
    </row>
    <row r="647" spans="1:24" s="1" customFormat="1" ht="26" customHeight="1" x14ac:dyDescent="0.3">
      <c r="A647" s="24" t="s">
        <v>23</v>
      </c>
      <c r="B647" s="24" t="s">
        <v>687</v>
      </c>
      <c r="C647" s="12" t="s">
        <v>688</v>
      </c>
      <c r="D647" s="61"/>
      <c r="E647" s="41" t="str">
        <f>HYPERLINK("https://www.google.ru/search?q=6010002-019&amp;newwindow=1&amp;tbm=isch","Еще фото")</f>
        <v>Еще фото</v>
      </c>
      <c r="F647" s="13"/>
      <c r="G647" s="24" t="s">
        <v>77</v>
      </c>
      <c r="H647" s="24" t="s">
        <v>27</v>
      </c>
      <c r="I647" s="24" t="s">
        <v>28</v>
      </c>
      <c r="J647" s="14" t="s">
        <v>29</v>
      </c>
      <c r="K647" s="15" t="s">
        <v>59</v>
      </c>
      <c r="L647" s="58"/>
      <c r="M647" s="14"/>
      <c r="N647" s="14" t="s">
        <v>62</v>
      </c>
      <c r="O647" s="14"/>
      <c r="P647" s="15" t="s">
        <v>53</v>
      </c>
      <c r="Q647" s="16">
        <v>4399</v>
      </c>
      <c r="R647" s="17">
        <v>40</v>
      </c>
      <c r="S647" s="18">
        <v>3035.31</v>
      </c>
      <c r="T647" s="19" t="s">
        <v>36</v>
      </c>
      <c r="U647" s="20" t="s">
        <v>86</v>
      </c>
      <c r="V647" s="21" t="s">
        <v>38</v>
      </c>
      <c r="W647" s="22">
        <v>16</v>
      </c>
      <c r="X647" s="23"/>
    </row>
    <row r="648" spans="1:24" s="1" customFormat="1" ht="35" customHeight="1" x14ac:dyDescent="0.3">
      <c r="A648" s="11" t="s">
        <v>23</v>
      </c>
      <c r="B648" s="11" t="s">
        <v>687</v>
      </c>
      <c r="C648" s="12" t="s">
        <v>690</v>
      </c>
      <c r="D648" s="59"/>
      <c r="E648" s="41" t="str">
        <f>HYPERLINK("https://www.google.ru/search?q=6010002-338&amp;newwindow=1&amp;tbm=isch","Еще фото")</f>
        <v>Еще фото</v>
      </c>
      <c r="F648" s="13"/>
      <c r="G648" s="11" t="s">
        <v>77</v>
      </c>
      <c r="H648" s="11" t="s">
        <v>27</v>
      </c>
      <c r="I648" s="14" t="s">
        <v>28</v>
      </c>
      <c r="J648" s="14" t="s">
        <v>29</v>
      </c>
      <c r="K648" s="15" t="s">
        <v>59</v>
      </c>
      <c r="L648" s="57" t="s">
        <v>689</v>
      </c>
      <c r="M648" s="14"/>
      <c r="N648" s="14" t="s">
        <v>127</v>
      </c>
      <c r="O648" s="14"/>
      <c r="P648" s="15" t="s">
        <v>53</v>
      </c>
      <c r="Q648" s="16">
        <v>4399</v>
      </c>
      <c r="R648" s="17">
        <v>40</v>
      </c>
      <c r="S648" s="18">
        <v>3035.31</v>
      </c>
      <c r="T648" s="19" t="s">
        <v>36</v>
      </c>
      <c r="U648" s="20" t="s">
        <v>63</v>
      </c>
      <c r="V648" s="21" t="s">
        <v>64</v>
      </c>
      <c r="W648" s="22">
        <v>9</v>
      </c>
      <c r="X648" s="23"/>
    </row>
    <row r="649" spans="1:24" s="1" customFormat="1" ht="35" customHeight="1" x14ac:dyDescent="0.3">
      <c r="A649" s="24" t="s">
        <v>23</v>
      </c>
      <c r="B649" s="24" t="s">
        <v>687</v>
      </c>
      <c r="C649" s="12" t="s">
        <v>690</v>
      </c>
      <c r="D649" s="60"/>
      <c r="E649" s="41" t="str">
        <f>HYPERLINK("https://www.google.ru/search?q=6010002-338&amp;newwindow=1&amp;tbm=isch","Еще фото")</f>
        <v>Еще фото</v>
      </c>
      <c r="F649" s="13"/>
      <c r="G649" s="24" t="s">
        <v>77</v>
      </c>
      <c r="H649" s="24" t="s">
        <v>27</v>
      </c>
      <c r="I649" s="24" t="s">
        <v>28</v>
      </c>
      <c r="J649" s="14" t="s">
        <v>29</v>
      </c>
      <c r="K649" s="15" t="s">
        <v>59</v>
      </c>
      <c r="L649" s="62"/>
      <c r="M649" s="14"/>
      <c r="N649" s="14" t="s">
        <v>127</v>
      </c>
      <c r="O649" s="14"/>
      <c r="P649" s="15" t="s">
        <v>53</v>
      </c>
      <c r="Q649" s="16">
        <v>4399</v>
      </c>
      <c r="R649" s="17">
        <v>40</v>
      </c>
      <c r="S649" s="18">
        <v>3035.31</v>
      </c>
      <c r="T649" s="19" t="s">
        <v>36</v>
      </c>
      <c r="U649" s="20" t="s">
        <v>39</v>
      </c>
      <c r="V649" s="21" t="s">
        <v>85</v>
      </c>
      <c r="W649" s="22">
        <v>9</v>
      </c>
      <c r="X649" s="23"/>
    </row>
    <row r="650" spans="1:24" s="1" customFormat="1" ht="37.049999999999997" customHeight="1" x14ac:dyDescent="0.3">
      <c r="A650" s="24" t="s">
        <v>23</v>
      </c>
      <c r="B650" s="24" t="s">
        <v>687</v>
      </c>
      <c r="C650" s="12" t="s">
        <v>690</v>
      </c>
      <c r="D650" s="61"/>
      <c r="E650" s="41" t="str">
        <f>HYPERLINK("https://www.google.ru/search?q=6010002-338&amp;newwindow=1&amp;tbm=isch","Еще фото")</f>
        <v>Еще фото</v>
      </c>
      <c r="F650" s="13"/>
      <c r="G650" s="24" t="s">
        <v>77</v>
      </c>
      <c r="H650" s="24" t="s">
        <v>27</v>
      </c>
      <c r="I650" s="24" t="s">
        <v>28</v>
      </c>
      <c r="J650" s="14" t="s">
        <v>29</v>
      </c>
      <c r="K650" s="15" t="s">
        <v>59</v>
      </c>
      <c r="L650" s="58"/>
      <c r="M650" s="14"/>
      <c r="N650" s="14" t="s">
        <v>127</v>
      </c>
      <c r="O650" s="14"/>
      <c r="P650" s="15" t="s">
        <v>53</v>
      </c>
      <c r="Q650" s="16">
        <v>4399</v>
      </c>
      <c r="R650" s="17">
        <v>40</v>
      </c>
      <c r="S650" s="18">
        <v>3035.31</v>
      </c>
      <c r="T650" s="19" t="s">
        <v>36</v>
      </c>
      <c r="U650" s="20" t="s">
        <v>86</v>
      </c>
      <c r="V650" s="21" t="s">
        <v>38</v>
      </c>
      <c r="W650" s="22">
        <v>13</v>
      </c>
      <c r="X650" s="23"/>
    </row>
    <row r="651" spans="1:24" s="1" customFormat="1" ht="35" customHeight="1" x14ac:dyDescent="0.3">
      <c r="A651" s="11" t="s">
        <v>23</v>
      </c>
      <c r="B651" s="11" t="s">
        <v>691</v>
      </c>
      <c r="C651" s="12" t="s">
        <v>692</v>
      </c>
      <c r="D651" s="59"/>
      <c r="E651" s="41" t="str">
        <f>HYPERLINK("https://www.google.ru/search?q=6010009-600&amp;newwindow=1&amp;tbm=isch","Еще фото")</f>
        <v>Еще фото</v>
      </c>
      <c r="F651" s="13"/>
      <c r="G651" s="11" t="s">
        <v>77</v>
      </c>
      <c r="H651" s="11" t="s">
        <v>27</v>
      </c>
      <c r="I651" s="14" t="s">
        <v>28</v>
      </c>
      <c r="J651" s="14" t="s">
        <v>29</v>
      </c>
      <c r="K651" s="15" t="s">
        <v>59</v>
      </c>
      <c r="L651" s="57" t="s">
        <v>693</v>
      </c>
      <c r="M651" s="14"/>
      <c r="N651" s="14" t="s">
        <v>69</v>
      </c>
      <c r="O651" s="14"/>
      <c r="P651" s="15" t="s">
        <v>53</v>
      </c>
      <c r="Q651" s="16">
        <v>4299</v>
      </c>
      <c r="R651" s="17">
        <v>40</v>
      </c>
      <c r="S651" s="18">
        <v>2966.31</v>
      </c>
      <c r="T651" s="19" t="s">
        <v>36</v>
      </c>
      <c r="U651" s="20" t="s">
        <v>37</v>
      </c>
      <c r="V651" s="21" t="s">
        <v>106</v>
      </c>
      <c r="W651" s="22">
        <v>13</v>
      </c>
      <c r="X651" s="23"/>
    </row>
    <row r="652" spans="1:24" s="1" customFormat="1" ht="35" customHeight="1" x14ac:dyDescent="0.3">
      <c r="A652" s="24" t="s">
        <v>23</v>
      </c>
      <c r="B652" s="24" t="s">
        <v>691</v>
      </c>
      <c r="C652" s="12" t="s">
        <v>692</v>
      </c>
      <c r="D652" s="60"/>
      <c r="E652" s="41" t="str">
        <f>HYPERLINK("https://www.google.ru/search?q=6010009-600&amp;newwindow=1&amp;tbm=isch","Еще фото")</f>
        <v>Еще фото</v>
      </c>
      <c r="F652" s="13"/>
      <c r="G652" s="24" t="s">
        <v>77</v>
      </c>
      <c r="H652" s="24" t="s">
        <v>27</v>
      </c>
      <c r="I652" s="24" t="s">
        <v>28</v>
      </c>
      <c r="J652" s="14" t="s">
        <v>29</v>
      </c>
      <c r="K652" s="15" t="s">
        <v>59</v>
      </c>
      <c r="L652" s="62"/>
      <c r="M652" s="14"/>
      <c r="N652" s="14" t="s">
        <v>69</v>
      </c>
      <c r="O652" s="14"/>
      <c r="P652" s="15" t="s">
        <v>53</v>
      </c>
      <c r="Q652" s="16">
        <v>4299</v>
      </c>
      <c r="R652" s="17">
        <v>40</v>
      </c>
      <c r="S652" s="18">
        <v>2966.31</v>
      </c>
      <c r="T652" s="19" t="s">
        <v>36</v>
      </c>
      <c r="U652" s="20" t="s">
        <v>39</v>
      </c>
      <c r="V652" s="21" t="s">
        <v>85</v>
      </c>
      <c r="W652" s="22">
        <v>17</v>
      </c>
      <c r="X652" s="23"/>
    </row>
    <row r="653" spans="1:24" s="1" customFormat="1" ht="37.049999999999997" customHeight="1" x14ac:dyDescent="0.3">
      <c r="A653" s="24" t="s">
        <v>23</v>
      </c>
      <c r="B653" s="24" t="s">
        <v>691</v>
      </c>
      <c r="C653" s="12" t="s">
        <v>692</v>
      </c>
      <c r="D653" s="61"/>
      <c r="E653" s="41" t="str">
        <f>HYPERLINK("https://www.google.ru/search?q=6010009-600&amp;newwindow=1&amp;tbm=isch","Еще фото")</f>
        <v>Еще фото</v>
      </c>
      <c r="F653" s="13"/>
      <c r="G653" s="24" t="s">
        <v>77</v>
      </c>
      <c r="H653" s="24" t="s">
        <v>27</v>
      </c>
      <c r="I653" s="24" t="s">
        <v>28</v>
      </c>
      <c r="J653" s="14" t="s">
        <v>29</v>
      </c>
      <c r="K653" s="15" t="s">
        <v>59</v>
      </c>
      <c r="L653" s="58"/>
      <c r="M653" s="14"/>
      <c r="N653" s="14" t="s">
        <v>69</v>
      </c>
      <c r="O653" s="14"/>
      <c r="P653" s="15" t="s">
        <v>53</v>
      </c>
      <c r="Q653" s="16">
        <v>4299</v>
      </c>
      <c r="R653" s="17">
        <v>40</v>
      </c>
      <c r="S653" s="18">
        <v>2966.31</v>
      </c>
      <c r="T653" s="19" t="s">
        <v>36</v>
      </c>
      <c r="U653" s="20" t="s">
        <v>86</v>
      </c>
      <c r="V653" s="21" t="s">
        <v>38</v>
      </c>
      <c r="W653" s="22">
        <v>15</v>
      </c>
      <c r="X653" s="23"/>
    </row>
    <row r="654" spans="1:24" s="1" customFormat="1" ht="26" customHeight="1" x14ac:dyDescent="0.3">
      <c r="A654" s="11" t="s">
        <v>23</v>
      </c>
      <c r="B654" s="11" t="s">
        <v>694</v>
      </c>
      <c r="C654" s="12" t="s">
        <v>695</v>
      </c>
      <c r="D654" s="59"/>
      <c r="E654" s="41" t="str">
        <f>HYPERLINK("https://www.google.ru/search?q=6010916-014&amp;newwindow=1&amp;tbm=isch","Еще фото")</f>
        <v>Еще фото</v>
      </c>
      <c r="F654" s="13"/>
      <c r="G654" s="11" t="s">
        <v>28</v>
      </c>
      <c r="H654" s="11" t="s">
        <v>27</v>
      </c>
      <c r="I654" s="14" t="s">
        <v>28</v>
      </c>
      <c r="J654" s="14" t="s">
        <v>43</v>
      </c>
      <c r="K654" s="15" t="s">
        <v>59</v>
      </c>
      <c r="L654" s="57" t="s">
        <v>696</v>
      </c>
      <c r="M654" s="14"/>
      <c r="N654" s="14" t="s">
        <v>62</v>
      </c>
      <c r="O654" s="14"/>
      <c r="P654" s="15" t="s">
        <v>697</v>
      </c>
      <c r="Q654" s="16">
        <v>6699</v>
      </c>
      <c r="R654" s="17">
        <v>40</v>
      </c>
      <c r="S654" s="18">
        <v>4622.3099999999995</v>
      </c>
      <c r="T654" s="19" t="s">
        <v>36</v>
      </c>
      <c r="U654" s="20" t="s">
        <v>63</v>
      </c>
      <c r="V654" s="21" t="s">
        <v>64</v>
      </c>
      <c r="W654" s="22">
        <v>11</v>
      </c>
      <c r="X654" s="23"/>
    </row>
    <row r="655" spans="1:24" s="1" customFormat="1" ht="26" customHeight="1" x14ac:dyDescent="0.3">
      <c r="A655" s="24" t="s">
        <v>23</v>
      </c>
      <c r="B655" s="24" t="s">
        <v>694</v>
      </c>
      <c r="C655" s="12" t="s">
        <v>695</v>
      </c>
      <c r="D655" s="60"/>
      <c r="E655" s="41" t="str">
        <f>HYPERLINK("https://www.google.ru/search?q=6010916-014&amp;newwindow=1&amp;tbm=isch","Еще фото")</f>
        <v>Еще фото</v>
      </c>
      <c r="F655" s="13"/>
      <c r="G655" s="24" t="s">
        <v>28</v>
      </c>
      <c r="H655" s="24" t="s">
        <v>27</v>
      </c>
      <c r="I655" s="24" t="s">
        <v>28</v>
      </c>
      <c r="J655" s="14" t="s">
        <v>43</v>
      </c>
      <c r="K655" s="15" t="s">
        <v>59</v>
      </c>
      <c r="L655" s="62"/>
      <c r="M655" s="14"/>
      <c r="N655" s="14" t="s">
        <v>62</v>
      </c>
      <c r="O655" s="14"/>
      <c r="P655" s="15" t="s">
        <v>697</v>
      </c>
      <c r="Q655" s="16">
        <v>6699</v>
      </c>
      <c r="R655" s="17">
        <v>40</v>
      </c>
      <c r="S655" s="18">
        <v>4622.3099999999995</v>
      </c>
      <c r="T655" s="19" t="s">
        <v>36</v>
      </c>
      <c r="U655" s="20" t="s">
        <v>37</v>
      </c>
      <c r="V655" s="21" t="s">
        <v>106</v>
      </c>
      <c r="W655" s="22">
        <v>13</v>
      </c>
      <c r="X655" s="23"/>
    </row>
    <row r="656" spans="1:24" s="1" customFormat="1" ht="26" customHeight="1" x14ac:dyDescent="0.3">
      <c r="A656" s="24" t="s">
        <v>23</v>
      </c>
      <c r="B656" s="24" t="s">
        <v>694</v>
      </c>
      <c r="C656" s="12" t="s">
        <v>695</v>
      </c>
      <c r="D656" s="60"/>
      <c r="E656" s="41" t="str">
        <f>HYPERLINK("https://www.google.ru/search?q=6010916-014&amp;newwindow=1&amp;tbm=isch","Еще фото")</f>
        <v>Еще фото</v>
      </c>
      <c r="F656" s="13"/>
      <c r="G656" s="24" t="s">
        <v>28</v>
      </c>
      <c r="H656" s="24" t="s">
        <v>27</v>
      </c>
      <c r="I656" s="24" t="s">
        <v>28</v>
      </c>
      <c r="J656" s="14" t="s">
        <v>43</v>
      </c>
      <c r="K656" s="15" t="s">
        <v>59</v>
      </c>
      <c r="L656" s="62"/>
      <c r="M656" s="14"/>
      <c r="N656" s="14" t="s">
        <v>62</v>
      </c>
      <c r="O656" s="14"/>
      <c r="P656" s="15" t="s">
        <v>697</v>
      </c>
      <c r="Q656" s="16">
        <v>6699</v>
      </c>
      <c r="R656" s="17">
        <v>40</v>
      </c>
      <c r="S656" s="18">
        <v>4622.3099999999995</v>
      </c>
      <c r="T656" s="19" t="s">
        <v>36</v>
      </c>
      <c r="U656" s="20" t="s">
        <v>39</v>
      </c>
      <c r="V656" s="21" t="s">
        <v>85</v>
      </c>
      <c r="W656" s="22">
        <v>9</v>
      </c>
      <c r="X656" s="23"/>
    </row>
    <row r="657" spans="1:24" s="1" customFormat="1" ht="26" customHeight="1" x14ac:dyDescent="0.3">
      <c r="A657" s="24" t="s">
        <v>23</v>
      </c>
      <c r="B657" s="24" t="s">
        <v>694</v>
      </c>
      <c r="C657" s="12" t="s">
        <v>695</v>
      </c>
      <c r="D657" s="61"/>
      <c r="E657" s="41" t="str">
        <f>HYPERLINK("https://www.google.ru/search?q=6010916-014&amp;newwindow=1&amp;tbm=isch","Еще фото")</f>
        <v>Еще фото</v>
      </c>
      <c r="F657" s="13"/>
      <c r="G657" s="24" t="s">
        <v>28</v>
      </c>
      <c r="H657" s="24" t="s">
        <v>27</v>
      </c>
      <c r="I657" s="24" t="s">
        <v>28</v>
      </c>
      <c r="J657" s="14" t="s">
        <v>43</v>
      </c>
      <c r="K657" s="15" t="s">
        <v>59</v>
      </c>
      <c r="L657" s="58"/>
      <c r="M657" s="14"/>
      <c r="N657" s="14" t="s">
        <v>62</v>
      </c>
      <c r="O657" s="14"/>
      <c r="P657" s="15" t="s">
        <v>697</v>
      </c>
      <c r="Q657" s="16">
        <v>6699</v>
      </c>
      <c r="R657" s="17">
        <v>40</v>
      </c>
      <c r="S657" s="18">
        <v>4622.3099999999995</v>
      </c>
      <c r="T657" s="19" t="s">
        <v>36</v>
      </c>
      <c r="U657" s="20" t="s">
        <v>86</v>
      </c>
      <c r="V657" s="21" t="s">
        <v>38</v>
      </c>
      <c r="W657" s="22">
        <v>2</v>
      </c>
      <c r="X657" s="23"/>
    </row>
    <row r="658" spans="1:24" s="1" customFormat="1" ht="35" customHeight="1" x14ac:dyDescent="0.3">
      <c r="A658" s="11" t="s">
        <v>23</v>
      </c>
      <c r="B658" s="11" t="s">
        <v>694</v>
      </c>
      <c r="C658" s="12" t="s">
        <v>698</v>
      </c>
      <c r="D658" s="59"/>
      <c r="E658" s="41" t="str">
        <f>HYPERLINK("https://www.google.ru/search?q=6010916-338&amp;newwindow=1&amp;tbm=isch","Еще фото")</f>
        <v>Еще фото</v>
      </c>
      <c r="F658" s="13"/>
      <c r="G658" s="11" t="s">
        <v>28</v>
      </c>
      <c r="H658" s="11" t="s">
        <v>27</v>
      </c>
      <c r="I658" s="14" t="s">
        <v>28</v>
      </c>
      <c r="J658" s="14" t="s">
        <v>43</v>
      </c>
      <c r="K658" s="15" t="s">
        <v>59</v>
      </c>
      <c r="L658" s="57" t="s">
        <v>696</v>
      </c>
      <c r="M658" s="14"/>
      <c r="N658" s="14" t="s">
        <v>127</v>
      </c>
      <c r="O658" s="14"/>
      <c r="P658" s="15" t="s">
        <v>697</v>
      </c>
      <c r="Q658" s="16">
        <v>6699</v>
      </c>
      <c r="R658" s="17">
        <v>40</v>
      </c>
      <c r="S658" s="18">
        <v>4622.3099999999995</v>
      </c>
      <c r="T658" s="19" t="s">
        <v>36</v>
      </c>
      <c r="U658" s="20" t="s">
        <v>63</v>
      </c>
      <c r="V658" s="21" t="s">
        <v>64</v>
      </c>
      <c r="W658" s="22">
        <v>10</v>
      </c>
      <c r="X658" s="23"/>
    </row>
    <row r="659" spans="1:24" s="1" customFormat="1" ht="35" customHeight="1" x14ac:dyDescent="0.3">
      <c r="A659" s="24" t="s">
        <v>23</v>
      </c>
      <c r="B659" s="24" t="s">
        <v>694</v>
      </c>
      <c r="C659" s="12" t="s">
        <v>698</v>
      </c>
      <c r="D659" s="60"/>
      <c r="E659" s="41" t="str">
        <f>HYPERLINK("https://www.google.ru/search?q=6010916-338&amp;newwindow=1&amp;tbm=isch","Еще фото")</f>
        <v>Еще фото</v>
      </c>
      <c r="F659" s="13"/>
      <c r="G659" s="24" t="s">
        <v>28</v>
      </c>
      <c r="H659" s="24" t="s">
        <v>27</v>
      </c>
      <c r="I659" s="24" t="s">
        <v>28</v>
      </c>
      <c r="J659" s="14" t="s">
        <v>43</v>
      </c>
      <c r="K659" s="15" t="s">
        <v>59</v>
      </c>
      <c r="L659" s="62"/>
      <c r="M659" s="14"/>
      <c r="N659" s="14" t="s">
        <v>127</v>
      </c>
      <c r="O659" s="14"/>
      <c r="P659" s="15" t="s">
        <v>697</v>
      </c>
      <c r="Q659" s="16">
        <v>6699</v>
      </c>
      <c r="R659" s="17">
        <v>40</v>
      </c>
      <c r="S659" s="18">
        <v>4622.3099999999995</v>
      </c>
      <c r="T659" s="19" t="s">
        <v>36</v>
      </c>
      <c r="U659" s="20" t="s">
        <v>37</v>
      </c>
      <c r="V659" s="21" t="s">
        <v>106</v>
      </c>
      <c r="W659" s="22">
        <v>9</v>
      </c>
      <c r="X659" s="23"/>
    </row>
    <row r="660" spans="1:24" s="1" customFormat="1" ht="37.049999999999997" customHeight="1" x14ac:dyDescent="0.3">
      <c r="A660" s="24" t="s">
        <v>23</v>
      </c>
      <c r="B660" s="24" t="s">
        <v>694</v>
      </c>
      <c r="C660" s="12" t="s">
        <v>698</v>
      </c>
      <c r="D660" s="61"/>
      <c r="E660" s="41" t="str">
        <f>HYPERLINK("https://www.google.ru/search?q=6010916-338&amp;newwindow=1&amp;tbm=isch","Еще фото")</f>
        <v>Еще фото</v>
      </c>
      <c r="F660" s="13"/>
      <c r="G660" s="24" t="s">
        <v>28</v>
      </c>
      <c r="H660" s="24" t="s">
        <v>27</v>
      </c>
      <c r="I660" s="24" t="s">
        <v>28</v>
      </c>
      <c r="J660" s="14" t="s">
        <v>43</v>
      </c>
      <c r="K660" s="15" t="s">
        <v>59</v>
      </c>
      <c r="L660" s="58"/>
      <c r="M660" s="14"/>
      <c r="N660" s="14" t="s">
        <v>127</v>
      </c>
      <c r="O660" s="14"/>
      <c r="P660" s="15" t="s">
        <v>697</v>
      </c>
      <c r="Q660" s="16">
        <v>6699</v>
      </c>
      <c r="R660" s="17">
        <v>40</v>
      </c>
      <c r="S660" s="18">
        <v>4622.3099999999995</v>
      </c>
      <c r="T660" s="19" t="s">
        <v>36</v>
      </c>
      <c r="U660" s="20" t="s">
        <v>39</v>
      </c>
      <c r="V660" s="21" t="s">
        <v>85</v>
      </c>
      <c r="W660" s="22">
        <v>13</v>
      </c>
      <c r="X660" s="23"/>
    </row>
    <row r="661" spans="1:24" s="1" customFormat="1" ht="21" customHeight="1" x14ac:dyDescent="0.3">
      <c r="A661" s="11" t="s">
        <v>23</v>
      </c>
      <c r="B661" s="11" t="s">
        <v>699</v>
      </c>
      <c r="C661" s="26" t="s">
        <v>700</v>
      </c>
      <c r="D661" s="59"/>
      <c r="E661" s="41" t="str">
        <f>HYPERLINK("https://www.google.ru/search?q=6010986-001&amp;newwindow=1&amp;tbm=isch","Еще фото")</f>
        <v>Еще фото</v>
      </c>
      <c r="F661" s="13"/>
      <c r="G661" s="11" t="s">
        <v>28</v>
      </c>
      <c r="H661" s="11" t="s">
        <v>27</v>
      </c>
      <c r="I661" s="14" t="s">
        <v>28</v>
      </c>
      <c r="J661" s="14" t="s">
        <v>43</v>
      </c>
      <c r="K661" s="15" t="s">
        <v>30</v>
      </c>
      <c r="L661" s="57" t="s">
        <v>701</v>
      </c>
      <c r="M661" s="14"/>
      <c r="N661" s="14" t="s">
        <v>33</v>
      </c>
      <c r="O661" s="14"/>
      <c r="P661" s="15" t="s">
        <v>248</v>
      </c>
      <c r="Q661" s="16">
        <v>10399</v>
      </c>
      <c r="R661" s="17">
        <v>40</v>
      </c>
      <c r="S661" s="18">
        <v>7175.3099999999986</v>
      </c>
      <c r="T661" s="19" t="s">
        <v>36</v>
      </c>
      <c r="U661" s="20" t="s">
        <v>37</v>
      </c>
      <c r="V661" s="21" t="s">
        <v>38</v>
      </c>
      <c r="W661" s="22">
        <v>6</v>
      </c>
      <c r="X661" s="23"/>
    </row>
    <row r="662" spans="1:24" s="1" customFormat="1" ht="21" customHeight="1" x14ac:dyDescent="0.3">
      <c r="A662" s="24" t="s">
        <v>23</v>
      </c>
      <c r="B662" s="24" t="s">
        <v>699</v>
      </c>
      <c r="C662" s="27" t="s">
        <v>700</v>
      </c>
      <c r="D662" s="60"/>
      <c r="E662" s="41" t="str">
        <f>HYPERLINK("https://www.google.ru/search?q=6010986-001&amp;newwindow=1&amp;tbm=isch","Еще фото")</f>
        <v>Еще фото</v>
      </c>
      <c r="F662" s="13"/>
      <c r="G662" s="24" t="s">
        <v>28</v>
      </c>
      <c r="H662" s="24" t="s">
        <v>27</v>
      </c>
      <c r="I662" s="24" t="s">
        <v>28</v>
      </c>
      <c r="J662" s="14" t="s">
        <v>43</v>
      </c>
      <c r="K662" s="15" t="s">
        <v>30</v>
      </c>
      <c r="L662" s="62"/>
      <c r="M662" s="14"/>
      <c r="N662" s="14" t="s">
        <v>33</v>
      </c>
      <c r="O662" s="14"/>
      <c r="P662" s="15" t="s">
        <v>248</v>
      </c>
      <c r="Q662" s="16">
        <v>10399</v>
      </c>
      <c r="R662" s="17">
        <v>40</v>
      </c>
      <c r="S662" s="18">
        <v>7175.3099999999986</v>
      </c>
      <c r="T662" s="19" t="s">
        <v>36</v>
      </c>
      <c r="U662" s="20" t="s">
        <v>39</v>
      </c>
      <c r="V662" s="21" t="s">
        <v>40</v>
      </c>
      <c r="W662" s="22">
        <v>11</v>
      </c>
      <c r="X662" s="23"/>
    </row>
    <row r="663" spans="1:24" s="1" customFormat="1" ht="21" customHeight="1" x14ac:dyDescent="0.3">
      <c r="A663" s="24" t="s">
        <v>23</v>
      </c>
      <c r="B663" s="24" t="s">
        <v>699</v>
      </c>
      <c r="C663" s="27" t="s">
        <v>700</v>
      </c>
      <c r="D663" s="60"/>
      <c r="E663" s="41" t="str">
        <f>HYPERLINK("https://www.google.ru/search?q=6010986-001&amp;newwindow=1&amp;tbm=isch","Еще фото")</f>
        <v>Еще фото</v>
      </c>
      <c r="F663" s="13"/>
      <c r="G663" s="24" t="s">
        <v>28</v>
      </c>
      <c r="H663" s="24" t="s">
        <v>27</v>
      </c>
      <c r="I663" s="24" t="s">
        <v>28</v>
      </c>
      <c r="J663" s="14" t="s">
        <v>43</v>
      </c>
      <c r="K663" s="15" t="s">
        <v>30</v>
      </c>
      <c r="L663" s="62"/>
      <c r="M663" s="14"/>
      <c r="N663" s="14" t="s">
        <v>33</v>
      </c>
      <c r="O663" s="14"/>
      <c r="P663" s="15" t="s">
        <v>248</v>
      </c>
      <c r="Q663" s="16">
        <v>10399</v>
      </c>
      <c r="R663" s="17">
        <v>40</v>
      </c>
      <c r="S663" s="18">
        <v>7175.3099999999986</v>
      </c>
      <c r="T663" s="19" t="s">
        <v>36</v>
      </c>
      <c r="U663" s="20" t="s">
        <v>86</v>
      </c>
      <c r="V663" s="21" t="s">
        <v>87</v>
      </c>
      <c r="W663" s="22">
        <v>22</v>
      </c>
      <c r="X663" s="23"/>
    </row>
    <row r="664" spans="1:24" s="1" customFormat="1" ht="21" customHeight="1" x14ac:dyDescent="0.3">
      <c r="A664" s="24" t="s">
        <v>23</v>
      </c>
      <c r="B664" s="24" t="s">
        <v>699</v>
      </c>
      <c r="C664" s="27" t="s">
        <v>700</v>
      </c>
      <c r="D664" s="60"/>
      <c r="E664" s="41" t="str">
        <f>HYPERLINK("https://www.google.ru/search?q=6010986-001&amp;newwindow=1&amp;tbm=isch","Еще фото")</f>
        <v>Еще фото</v>
      </c>
      <c r="F664" s="13"/>
      <c r="G664" s="24" t="s">
        <v>28</v>
      </c>
      <c r="H664" s="24" t="s">
        <v>27</v>
      </c>
      <c r="I664" s="24" t="s">
        <v>28</v>
      </c>
      <c r="J664" s="14" t="s">
        <v>43</v>
      </c>
      <c r="K664" s="15" t="s">
        <v>30</v>
      </c>
      <c r="L664" s="62"/>
      <c r="M664" s="14"/>
      <c r="N664" s="14" t="s">
        <v>33</v>
      </c>
      <c r="O664" s="14"/>
      <c r="P664" s="15" t="s">
        <v>248</v>
      </c>
      <c r="Q664" s="16">
        <v>10399</v>
      </c>
      <c r="R664" s="17">
        <v>40</v>
      </c>
      <c r="S664" s="18">
        <v>7175.3099999999986</v>
      </c>
      <c r="T664" s="19" t="s">
        <v>36</v>
      </c>
      <c r="U664" s="20" t="s">
        <v>88</v>
      </c>
      <c r="V664" s="21" t="s">
        <v>89</v>
      </c>
      <c r="W664" s="22">
        <v>6</v>
      </c>
      <c r="X664" s="23"/>
    </row>
    <row r="665" spans="1:24" s="1" customFormat="1" ht="32" customHeight="1" x14ac:dyDescent="0.3">
      <c r="A665" s="24" t="s">
        <v>23</v>
      </c>
      <c r="B665" s="24" t="s">
        <v>699</v>
      </c>
      <c r="C665" s="27" t="s">
        <v>700</v>
      </c>
      <c r="D665" s="61"/>
      <c r="E665" s="41" t="str">
        <f>HYPERLINK("https://www.google.ru/search?q=6010986-001&amp;newwindow=1&amp;tbm=isch","Еще фото")</f>
        <v>Еще фото</v>
      </c>
      <c r="F665" s="13"/>
      <c r="G665" s="24" t="s">
        <v>28</v>
      </c>
      <c r="H665" s="24" t="s">
        <v>27</v>
      </c>
      <c r="I665" s="24" t="s">
        <v>28</v>
      </c>
      <c r="J665" s="14" t="s">
        <v>43</v>
      </c>
      <c r="K665" s="15" t="s">
        <v>30</v>
      </c>
      <c r="L665" s="58"/>
      <c r="M665" s="14"/>
      <c r="N665" s="14" t="s">
        <v>33</v>
      </c>
      <c r="O665" s="14"/>
      <c r="P665" s="15" t="s">
        <v>248</v>
      </c>
      <c r="Q665" s="16">
        <v>10399</v>
      </c>
      <c r="R665" s="17">
        <v>40</v>
      </c>
      <c r="S665" s="18">
        <v>7175.3099999999986</v>
      </c>
      <c r="T665" s="19" t="s">
        <v>36</v>
      </c>
      <c r="U665" s="20" t="s">
        <v>90</v>
      </c>
      <c r="V665" s="21" t="s">
        <v>91</v>
      </c>
      <c r="W665" s="22">
        <v>5</v>
      </c>
      <c r="X665" s="23"/>
    </row>
    <row r="666" spans="1:24" s="1" customFormat="1" ht="108" customHeight="1" x14ac:dyDescent="0.3">
      <c r="A666" s="11" t="s">
        <v>23</v>
      </c>
      <c r="B666" s="11" t="s">
        <v>702</v>
      </c>
      <c r="C666" s="12" t="s">
        <v>703</v>
      </c>
      <c r="D666" s="25"/>
      <c r="E666" s="41" t="str">
        <f>HYPERLINK("https://www.google.ru/search?q=6011020-001&amp;newwindow=1&amp;tbm=isch","Еще фото")</f>
        <v>Еще фото</v>
      </c>
      <c r="F666" s="13" t="s">
        <v>152</v>
      </c>
      <c r="G666" s="11" t="s">
        <v>28</v>
      </c>
      <c r="H666" s="11" t="s">
        <v>27</v>
      </c>
      <c r="I666" s="14" t="s">
        <v>28</v>
      </c>
      <c r="J666" s="14" t="s">
        <v>43</v>
      </c>
      <c r="K666" s="15" t="s">
        <v>59</v>
      </c>
      <c r="L666" s="14" t="s">
        <v>704</v>
      </c>
      <c r="M666" s="14"/>
      <c r="N666" s="14" t="s">
        <v>33</v>
      </c>
      <c r="O666" s="14"/>
      <c r="P666" s="15" t="s">
        <v>697</v>
      </c>
      <c r="Q666" s="16">
        <v>5499</v>
      </c>
      <c r="R666" s="17">
        <v>40</v>
      </c>
      <c r="S666" s="18">
        <v>3794.31</v>
      </c>
      <c r="T666" s="19" t="s">
        <v>36</v>
      </c>
      <c r="U666" s="20" t="s">
        <v>63</v>
      </c>
      <c r="V666" s="21" t="s">
        <v>64</v>
      </c>
      <c r="W666" s="22">
        <v>4</v>
      </c>
      <c r="X666" s="23"/>
    </row>
    <row r="667" spans="1:24" s="1" customFormat="1" ht="26" customHeight="1" x14ac:dyDescent="0.3">
      <c r="A667" s="11" t="s">
        <v>23</v>
      </c>
      <c r="B667" s="11" t="s">
        <v>705</v>
      </c>
      <c r="C667" s="12" t="s">
        <v>706</v>
      </c>
      <c r="D667" s="59"/>
      <c r="E667" s="41" t="str">
        <f>HYPERLINK("https://www.google.ru/search?q=6011400-008&amp;newwindow=1&amp;tbm=isch","Еще фото")</f>
        <v>Еще фото</v>
      </c>
      <c r="F667" s="13"/>
      <c r="G667" s="11" t="s">
        <v>28</v>
      </c>
      <c r="H667" s="11" t="s">
        <v>27</v>
      </c>
      <c r="I667" s="14" t="s">
        <v>28</v>
      </c>
      <c r="J667" s="14" t="s">
        <v>43</v>
      </c>
      <c r="K667" s="15" t="s">
        <v>59</v>
      </c>
      <c r="L667" s="57" t="s">
        <v>707</v>
      </c>
      <c r="M667" s="14"/>
      <c r="N667" s="14" t="s">
        <v>33</v>
      </c>
      <c r="O667" s="14"/>
      <c r="P667" s="15" t="s">
        <v>708</v>
      </c>
      <c r="Q667" s="16">
        <v>8499</v>
      </c>
      <c r="R667" s="17">
        <v>40</v>
      </c>
      <c r="S667" s="18">
        <v>5864.3099999999995</v>
      </c>
      <c r="T667" s="19" t="s">
        <v>36</v>
      </c>
      <c r="U667" s="20" t="s">
        <v>63</v>
      </c>
      <c r="V667" s="21" t="s">
        <v>64</v>
      </c>
      <c r="W667" s="22">
        <v>13</v>
      </c>
      <c r="X667" s="23"/>
    </row>
    <row r="668" spans="1:24" s="1" customFormat="1" ht="26" customHeight="1" x14ac:dyDescent="0.3">
      <c r="A668" s="24" t="s">
        <v>23</v>
      </c>
      <c r="B668" s="24" t="s">
        <v>705</v>
      </c>
      <c r="C668" s="12" t="s">
        <v>706</v>
      </c>
      <c r="D668" s="60"/>
      <c r="E668" s="41" t="str">
        <f>HYPERLINK("https://www.google.ru/search?q=6011400-008&amp;newwindow=1&amp;tbm=isch","Еще фото")</f>
        <v>Еще фото</v>
      </c>
      <c r="F668" s="13"/>
      <c r="G668" s="24" t="s">
        <v>28</v>
      </c>
      <c r="H668" s="24" t="s">
        <v>27</v>
      </c>
      <c r="I668" s="24" t="s">
        <v>28</v>
      </c>
      <c r="J668" s="14" t="s">
        <v>43</v>
      </c>
      <c r="K668" s="15" t="s">
        <v>59</v>
      </c>
      <c r="L668" s="62"/>
      <c r="M668" s="14"/>
      <c r="N668" s="14" t="s">
        <v>33</v>
      </c>
      <c r="O668" s="14"/>
      <c r="P668" s="15" t="s">
        <v>708</v>
      </c>
      <c r="Q668" s="16">
        <v>8499</v>
      </c>
      <c r="R668" s="17">
        <v>40</v>
      </c>
      <c r="S668" s="18">
        <v>5864.3099999999995</v>
      </c>
      <c r="T668" s="19" t="s">
        <v>36</v>
      </c>
      <c r="U668" s="20" t="s">
        <v>37</v>
      </c>
      <c r="V668" s="21" t="s">
        <v>106</v>
      </c>
      <c r="W668" s="22">
        <v>9</v>
      </c>
      <c r="X668" s="23"/>
    </row>
    <row r="669" spans="1:24" s="1" customFormat="1" ht="26" customHeight="1" x14ac:dyDescent="0.3">
      <c r="A669" s="24" t="s">
        <v>23</v>
      </c>
      <c r="B669" s="24" t="s">
        <v>705</v>
      </c>
      <c r="C669" s="12" t="s">
        <v>706</v>
      </c>
      <c r="D669" s="60"/>
      <c r="E669" s="41" t="str">
        <f>HYPERLINK("https://www.google.ru/search?q=6011400-008&amp;newwindow=1&amp;tbm=isch","Еще фото")</f>
        <v>Еще фото</v>
      </c>
      <c r="F669" s="13"/>
      <c r="G669" s="24" t="s">
        <v>28</v>
      </c>
      <c r="H669" s="24" t="s">
        <v>27</v>
      </c>
      <c r="I669" s="24" t="s">
        <v>28</v>
      </c>
      <c r="J669" s="14" t="s">
        <v>43</v>
      </c>
      <c r="K669" s="15" t="s">
        <v>59</v>
      </c>
      <c r="L669" s="62"/>
      <c r="M669" s="14"/>
      <c r="N669" s="14" t="s">
        <v>33</v>
      </c>
      <c r="O669" s="14"/>
      <c r="P669" s="15" t="s">
        <v>708</v>
      </c>
      <c r="Q669" s="16">
        <v>8499</v>
      </c>
      <c r="R669" s="17">
        <v>40</v>
      </c>
      <c r="S669" s="18">
        <v>5864.3099999999995</v>
      </c>
      <c r="T669" s="19" t="s">
        <v>36</v>
      </c>
      <c r="U669" s="20" t="s">
        <v>39</v>
      </c>
      <c r="V669" s="21" t="s">
        <v>85</v>
      </c>
      <c r="W669" s="22">
        <v>16</v>
      </c>
      <c r="X669" s="23"/>
    </row>
    <row r="670" spans="1:24" s="1" customFormat="1" ht="26" customHeight="1" x14ac:dyDescent="0.3">
      <c r="A670" s="24" t="s">
        <v>23</v>
      </c>
      <c r="B670" s="24" t="s">
        <v>705</v>
      </c>
      <c r="C670" s="12" t="s">
        <v>706</v>
      </c>
      <c r="D670" s="61"/>
      <c r="E670" s="41" t="str">
        <f>HYPERLINK("https://www.google.ru/search?q=6011400-008&amp;newwindow=1&amp;tbm=isch","Еще фото")</f>
        <v>Еще фото</v>
      </c>
      <c r="F670" s="13"/>
      <c r="G670" s="24" t="s">
        <v>28</v>
      </c>
      <c r="H670" s="24" t="s">
        <v>27</v>
      </c>
      <c r="I670" s="24" t="s">
        <v>28</v>
      </c>
      <c r="J670" s="14" t="s">
        <v>43</v>
      </c>
      <c r="K670" s="15" t="s">
        <v>59</v>
      </c>
      <c r="L670" s="58"/>
      <c r="M670" s="14"/>
      <c r="N670" s="14" t="s">
        <v>33</v>
      </c>
      <c r="O670" s="14"/>
      <c r="P670" s="15" t="s">
        <v>708</v>
      </c>
      <c r="Q670" s="16">
        <v>8499</v>
      </c>
      <c r="R670" s="17">
        <v>40</v>
      </c>
      <c r="S670" s="18">
        <v>5864.3099999999995</v>
      </c>
      <c r="T670" s="19" t="s">
        <v>36</v>
      </c>
      <c r="U670" s="20" t="s">
        <v>86</v>
      </c>
      <c r="V670" s="21" t="s">
        <v>38</v>
      </c>
      <c r="W670" s="22">
        <v>7</v>
      </c>
      <c r="X670" s="23"/>
    </row>
    <row r="671" spans="1:24" s="1" customFormat="1" ht="26" customHeight="1" x14ac:dyDescent="0.3">
      <c r="A671" s="11" t="s">
        <v>23</v>
      </c>
      <c r="B671" s="11" t="s">
        <v>705</v>
      </c>
      <c r="C671" s="12" t="s">
        <v>709</v>
      </c>
      <c r="D671" s="59"/>
      <c r="E671" s="41" t="str">
        <f>HYPERLINK("https://www.google.ru/search?q=6011400-110&amp;newwindow=1&amp;tbm=isch","Еще фото")</f>
        <v>Еще фото</v>
      </c>
      <c r="F671" s="13"/>
      <c r="G671" s="11" t="s">
        <v>28</v>
      </c>
      <c r="H671" s="11" t="s">
        <v>27</v>
      </c>
      <c r="I671" s="14" t="s">
        <v>28</v>
      </c>
      <c r="J671" s="14" t="s">
        <v>43</v>
      </c>
      <c r="K671" s="15" t="s">
        <v>59</v>
      </c>
      <c r="L671" s="57" t="s">
        <v>707</v>
      </c>
      <c r="M671" s="14"/>
      <c r="N671" s="14" t="s">
        <v>229</v>
      </c>
      <c r="O671" s="14"/>
      <c r="P671" s="15" t="s">
        <v>708</v>
      </c>
      <c r="Q671" s="16">
        <v>8499</v>
      </c>
      <c r="R671" s="17">
        <v>40</v>
      </c>
      <c r="S671" s="18">
        <v>5864.3099999999995</v>
      </c>
      <c r="T671" s="19" t="s">
        <v>36</v>
      </c>
      <c r="U671" s="20" t="s">
        <v>63</v>
      </c>
      <c r="V671" s="21" t="s">
        <v>64</v>
      </c>
      <c r="W671" s="22">
        <v>10</v>
      </c>
      <c r="X671" s="23"/>
    </row>
    <row r="672" spans="1:24" s="1" customFormat="1" ht="26" customHeight="1" x14ac:dyDescent="0.3">
      <c r="A672" s="24" t="s">
        <v>23</v>
      </c>
      <c r="B672" s="24" t="s">
        <v>705</v>
      </c>
      <c r="C672" s="12" t="s">
        <v>709</v>
      </c>
      <c r="D672" s="60"/>
      <c r="E672" s="41" t="str">
        <f>HYPERLINK("https://www.google.ru/search?q=6011400-110&amp;newwindow=1&amp;tbm=isch","Еще фото")</f>
        <v>Еще фото</v>
      </c>
      <c r="F672" s="13"/>
      <c r="G672" s="24" t="s">
        <v>28</v>
      </c>
      <c r="H672" s="24" t="s">
        <v>27</v>
      </c>
      <c r="I672" s="24" t="s">
        <v>28</v>
      </c>
      <c r="J672" s="14" t="s">
        <v>43</v>
      </c>
      <c r="K672" s="15" t="s">
        <v>59</v>
      </c>
      <c r="L672" s="62"/>
      <c r="M672" s="14"/>
      <c r="N672" s="14" t="s">
        <v>229</v>
      </c>
      <c r="O672" s="14"/>
      <c r="P672" s="15" t="s">
        <v>708</v>
      </c>
      <c r="Q672" s="16">
        <v>8499</v>
      </c>
      <c r="R672" s="17">
        <v>40</v>
      </c>
      <c r="S672" s="18">
        <v>5864.3099999999995</v>
      </c>
      <c r="T672" s="19" t="s">
        <v>36</v>
      </c>
      <c r="U672" s="20" t="s">
        <v>37</v>
      </c>
      <c r="V672" s="21" t="s">
        <v>106</v>
      </c>
      <c r="W672" s="22">
        <v>12</v>
      </c>
      <c r="X672" s="23"/>
    </row>
    <row r="673" spans="1:24" s="1" customFormat="1" ht="26" customHeight="1" x14ac:dyDescent="0.3">
      <c r="A673" s="24" t="s">
        <v>23</v>
      </c>
      <c r="B673" s="24" t="s">
        <v>705</v>
      </c>
      <c r="C673" s="12" t="s">
        <v>709</v>
      </c>
      <c r="D673" s="60"/>
      <c r="E673" s="41" t="str">
        <f>HYPERLINK("https://www.google.ru/search?q=6011400-110&amp;newwindow=1&amp;tbm=isch","Еще фото")</f>
        <v>Еще фото</v>
      </c>
      <c r="F673" s="13"/>
      <c r="G673" s="24" t="s">
        <v>28</v>
      </c>
      <c r="H673" s="24" t="s">
        <v>27</v>
      </c>
      <c r="I673" s="24" t="s">
        <v>28</v>
      </c>
      <c r="J673" s="14" t="s">
        <v>43</v>
      </c>
      <c r="K673" s="15" t="s">
        <v>59</v>
      </c>
      <c r="L673" s="62"/>
      <c r="M673" s="14"/>
      <c r="N673" s="14" t="s">
        <v>229</v>
      </c>
      <c r="O673" s="14"/>
      <c r="P673" s="15" t="s">
        <v>708</v>
      </c>
      <c r="Q673" s="16">
        <v>8499</v>
      </c>
      <c r="R673" s="17">
        <v>40</v>
      </c>
      <c r="S673" s="18">
        <v>5864.3099999999995</v>
      </c>
      <c r="T673" s="19" t="s">
        <v>36</v>
      </c>
      <c r="U673" s="20" t="s">
        <v>39</v>
      </c>
      <c r="V673" s="21" t="s">
        <v>85</v>
      </c>
      <c r="W673" s="22">
        <v>17</v>
      </c>
      <c r="X673" s="23"/>
    </row>
    <row r="674" spans="1:24" s="1" customFormat="1" ht="26" customHeight="1" x14ac:dyDescent="0.3">
      <c r="A674" s="24" t="s">
        <v>23</v>
      </c>
      <c r="B674" s="24" t="s">
        <v>705</v>
      </c>
      <c r="C674" s="12" t="s">
        <v>709</v>
      </c>
      <c r="D674" s="61"/>
      <c r="E674" s="41" t="str">
        <f>HYPERLINK("https://www.google.ru/search?q=6011400-110&amp;newwindow=1&amp;tbm=isch","Еще фото")</f>
        <v>Еще фото</v>
      </c>
      <c r="F674" s="13"/>
      <c r="G674" s="24" t="s">
        <v>28</v>
      </c>
      <c r="H674" s="24" t="s">
        <v>27</v>
      </c>
      <c r="I674" s="24" t="s">
        <v>28</v>
      </c>
      <c r="J674" s="14" t="s">
        <v>43</v>
      </c>
      <c r="K674" s="15" t="s">
        <v>59</v>
      </c>
      <c r="L674" s="58"/>
      <c r="M674" s="14"/>
      <c r="N674" s="14" t="s">
        <v>229</v>
      </c>
      <c r="O674" s="14"/>
      <c r="P674" s="15" t="s">
        <v>708</v>
      </c>
      <c r="Q674" s="16">
        <v>8499</v>
      </c>
      <c r="R674" s="17">
        <v>40</v>
      </c>
      <c r="S674" s="18">
        <v>5864.3099999999995</v>
      </c>
      <c r="T674" s="19" t="s">
        <v>36</v>
      </c>
      <c r="U674" s="20" t="s">
        <v>86</v>
      </c>
      <c r="V674" s="21" t="s">
        <v>38</v>
      </c>
      <c r="W674" s="22">
        <v>8</v>
      </c>
      <c r="X674" s="23"/>
    </row>
    <row r="675" spans="1:24" s="1" customFormat="1" ht="21" customHeight="1" x14ac:dyDescent="0.3">
      <c r="A675" s="11" t="s">
        <v>23</v>
      </c>
      <c r="B675" s="11" t="s">
        <v>710</v>
      </c>
      <c r="C675" s="26" t="s">
        <v>711</v>
      </c>
      <c r="D675" s="59"/>
      <c r="E675" s="41" t="str">
        <f>HYPERLINK("https://www.google.ru/search?q=6012293-011&amp;newwindow=1&amp;tbm=isch","Еще фото")</f>
        <v>Еще фото</v>
      </c>
      <c r="F675" s="13"/>
      <c r="G675" s="11" t="s">
        <v>28</v>
      </c>
      <c r="H675" s="11" t="s">
        <v>27</v>
      </c>
      <c r="I675" s="14" t="s">
        <v>28</v>
      </c>
      <c r="J675" s="14" t="s">
        <v>43</v>
      </c>
      <c r="K675" s="15" t="s">
        <v>59</v>
      </c>
      <c r="L675" s="57"/>
      <c r="M675" s="14"/>
      <c r="N675" s="14" t="s">
        <v>62</v>
      </c>
      <c r="O675" s="14"/>
      <c r="P675" s="15" t="s">
        <v>120</v>
      </c>
      <c r="Q675" s="16">
        <v>6599</v>
      </c>
      <c r="R675" s="17">
        <v>40</v>
      </c>
      <c r="S675" s="18">
        <v>4553.3099999999995</v>
      </c>
      <c r="T675" s="19" t="s">
        <v>36</v>
      </c>
      <c r="U675" s="20" t="s">
        <v>63</v>
      </c>
      <c r="V675" s="21" t="s">
        <v>64</v>
      </c>
      <c r="W675" s="22">
        <v>11</v>
      </c>
      <c r="X675" s="23"/>
    </row>
    <row r="676" spans="1:24" s="1" customFormat="1" ht="21" customHeight="1" x14ac:dyDescent="0.3">
      <c r="A676" s="24" t="s">
        <v>23</v>
      </c>
      <c r="B676" s="24" t="s">
        <v>710</v>
      </c>
      <c r="C676" s="27" t="s">
        <v>711</v>
      </c>
      <c r="D676" s="60"/>
      <c r="E676" s="41" t="str">
        <f>HYPERLINK("https://www.google.ru/search?q=6012293-011&amp;newwindow=1&amp;tbm=isch","Еще фото")</f>
        <v>Еще фото</v>
      </c>
      <c r="F676" s="13"/>
      <c r="G676" s="24" t="s">
        <v>28</v>
      </c>
      <c r="H676" s="24" t="s">
        <v>27</v>
      </c>
      <c r="I676" s="24" t="s">
        <v>28</v>
      </c>
      <c r="J676" s="14" t="s">
        <v>43</v>
      </c>
      <c r="K676" s="15" t="s">
        <v>59</v>
      </c>
      <c r="L676" s="62"/>
      <c r="M676" s="14"/>
      <c r="N676" s="14" t="s">
        <v>62</v>
      </c>
      <c r="O676" s="14"/>
      <c r="P676" s="15" t="s">
        <v>120</v>
      </c>
      <c r="Q676" s="16">
        <v>6599</v>
      </c>
      <c r="R676" s="17">
        <v>40</v>
      </c>
      <c r="S676" s="18">
        <v>4553.3099999999995</v>
      </c>
      <c r="T676" s="19" t="s">
        <v>36</v>
      </c>
      <c r="U676" s="20" t="s">
        <v>37</v>
      </c>
      <c r="V676" s="21" t="s">
        <v>106</v>
      </c>
      <c r="W676" s="22">
        <v>15</v>
      </c>
      <c r="X676" s="23"/>
    </row>
    <row r="677" spans="1:24" s="1" customFormat="1" ht="21" customHeight="1" x14ac:dyDescent="0.3">
      <c r="A677" s="24" t="s">
        <v>23</v>
      </c>
      <c r="B677" s="24" t="s">
        <v>710</v>
      </c>
      <c r="C677" s="27" t="s">
        <v>711</v>
      </c>
      <c r="D677" s="60"/>
      <c r="E677" s="41" t="str">
        <f>HYPERLINK("https://www.google.ru/search?q=6012293-011&amp;newwindow=1&amp;tbm=isch","Еще фото")</f>
        <v>Еще фото</v>
      </c>
      <c r="F677" s="13"/>
      <c r="G677" s="24" t="s">
        <v>28</v>
      </c>
      <c r="H677" s="24" t="s">
        <v>27</v>
      </c>
      <c r="I677" s="24" t="s">
        <v>28</v>
      </c>
      <c r="J677" s="14" t="s">
        <v>43</v>
      </c>
      <c r="K677" s="15" t="s">
        <v>59</v>
      </c>
      <c r="L677" s="62"/>
      <c r="M677" s="14"/>
      <c r="N677" s="14" t="s">
        <v>62</v>
      </c>
      <c r="O677" s="14"/>
      <c r="P677" s="15" t="s">
        <v>120</v>
      </c>
      <c r="Q677" s="16">
        <v>6599</v>
      </c>
      <c r="R677" s="17">
        <v>40</v>
      </c>
      <c r="S677" s="18">
        <v>4553.3099999999995</v>
      </c>
      <c r="T677" s="19" t="s">
        <v>36</v>
      </c>
      <c r="U677" s="20" t="s">
        <v>39</v>
      </c>
      <c r="V677" s="21" t="s">
        <v>85</v>
      </c>
      <c r="W677" s="22">
        <v>18</v>
      </c>
      <c r="X677" s="23"/>
    </row>
    <row r="678" spans="1:24" s="1" customFormat="1" ht="21" customHeight="1" x14ac:dyDescent="0.3">
      <c r="A678" s="24" t="s">
        <v>23</v>
      </c>
      <c r="B678" s="24" t="s">
        <v>710</v>
      </c>
      <c r="C678" s="27" t="s">
        <v>711</v>
      </c>
      <c r="D678" s="60"/>
      <c r="E678" s="41" t="str">
        <f>HYPERLINK("https://www.google.ru/search?q=6012293-011&amp;newwindow=1&amp;tbm=isch","Еще фото")</f>
        <v>Еще фото</v>
      </c>
      <c r="F678" s="13"/>
      <c r="G678" s="24" t="s">
        <v>28</v>
      </c>
      <c r="H678" s="24" t="s">
        <v>27</v>
      </c>
      <c r="I678" s="24" t="s">
        <v>28</v>
      </c>
      <c r="J678" s="14" t="s">
        <v>43</v>
      </c>
      <c r="K678" s="15" t="s">
        <v>59</v>
      </c>
      <c r="L678" s="62"/>
      <c r="M678" s="14"/>
      <c r="N678" s="14" t="s">
        <v>62</v>
      </c>
      <c r="O678" s="14"/>
      <c r="P678" s="15" t="s">
        <v>120</v>
      </c>
      <c r="Q678" s="16">
        <v>6599</v>
      </c>
      <c r="R678" s="17">
        <v>40</v>
      </c>
      <c r="S678" s="18">
        <v>4553.3099999999995</v>
      </c>
      <c r="T678" s="19" t="s">
        <v>36</v>
      </c>
      <c r="U678" s="20" t="s">
        <v>86</v>
      </c>
      <c r="V678" s="21" t="s">
        <v>38</v>
      </c>
      <c r="W678" s="22">
        <v>4</v>
      </c>
      <c r="X678" s="23"/>
    </row>
    <row r="679" spans="1:24" s="1" customFormat="1" ht="32" customHeight="1" x14ac:dyDescent="0.3">
      <c r="A679" s="24" t="s">
        <v>23</v>
      </c>
      <c r="B679" s="24" t="s">
        <v>710</v>
      </c>
      <c r="C679" s="27" t="s">
        <v>711</v>
      </c>
      <c r="D679" s="61"/>
      <c r="E679" s="41" t="str">
        <f>HYPERLINK("https://www.google.ru/search?q=6012293-011&amp;newwindow=1&amp;tbm=isch","Еще фото")</f>
        <v>Еще фото</v>
      </c>
      <c r="F679" s="13"/>
      <c r="G679" s="24" t="s">
        <v>28</v>
      </c>
      <c r="H679" s="24" t="s">
        <v>27</v>
      </c>
      <c r="I679" s="24" t="s">
        <v>28</v>
      </c>
      <c r="J679" s="14" t="s">
        <v>43</v>
      </c>
      <c r="K679" s="15" t="s">
        <v>59</v>
      </c>
      <c r="L679" s="58"/>
      <c r="M679" s="14"/>
      <c r="N679" s="14" t="s">
        <v>62</v>
      </c>
      <c r="O679" s="14"/>
      <c r="P679" s="15" t="s">
        <v>120</v>
      </c>
      <c r="Q679" s="16">
        <v>6599</v>
      </c>
      <c r="R679" s="17">
        <v>40</v>
      </c>
      <c r="S679" s="18">
        <v>4553.3099999999995</v>
      </c>
      <c r="T679" s="19" t="s">
        <v>36</v>
      </c>
      <c r="U679" s="20" t="s">
        <v>685</v>
      </c>
      <c r="V679" s="21" t="s">
        <v>686</v>
      </c>
      <c r="W679" s="22">
        <v>2</v>
      </c>
      <c r="X679" s="23"/>
    </row>
    <row r="680" spans="1:24" s="1" customFormat="1" ht="21" customHeight="1" x14ac:dyDescent="0.3">
      <c r="A680" s="11" t="s">
        <v>23</v>
      </c>
      <c r="B680" s="11" t="s">
        <v>712</v>
      </c>
      <c r="C680" s="26" t="s">
        <v>713</v>
      </c>
      <c r="D680" s="59"/>
      <c r="E680" s="41" t="str">
        <f>HYPERLINK("https://www.google.ru/search?q=6014688-338&amp;newwindow=1&amp;tbm=isch","Еще фото")</f>
        <v>Еще фото</v>
      </c>
      <c r="F680" s="13"/>
      <c r="G680" s="11" t="s">
        <v>28</v>
      </c>
      <c r="H680" s="11" t="s">
        <v>27</v>
      </c>
      <c r="I680" s="14" t="s">
        <v>28</v>
      </c>
      <c r="J680" s="14" t="s">
        <v>43</v>
      </c>
      <c r="K680" s="15" t="s">
        <v>30</v>
      </c>
      <c r="L680" s="57" t="s">
        <v>714</v>
      </c>
      <c r="M680" s="14"/>
      <c r="N680" s="14" t="s">
        <v>127</v>
      </c>
      <c r="O680" s="14"/>
      <c r="P680" s="15" t="s">
        <v>120</v>
      </c>
      <c r="Q680" s="16">
        <v>7099</v>
      </c>
      <c r="R680" s="17">
        <v>40</v>
      </c>
      <c r="S680" s="18">
        <v>4898.3099999999995</v>
      </c>
      <c r="T680" s="19" t="s">
        <v>36</v>
      </c>
      <c r="U680" s="20" t="s">
        <v>37</v>
      </c>
      <c r="V680" s="21" t="s">
        <v>38</v>
      </c>
      <c r="W680" s="22">
        <v>8</v>
      </c>
      <c r="X680" s="23"/>
    </row>
    <row r="681" spans="1:24" s="1" customFormat="1" ht="21" customHeight="1" x14ac:dyDescent="0.3">
      <c r="A681" s="24" t="s">
        <v>23</v>
      </c>
      <c r="B681" s="24" t="s">
        <v>712</v>
      </c>
      <c r="C681" s="27" t="s">
        <v>713</v>
      </c>
      <c r="D681" s="60"/>
      <c r="E681" s="41" t="str">
        <f>HYPERLINK("https://www.google.ru/search?q=6014688-338&amp;newwindow=1&amp;tbm=isch","Еще фото")</f>
        <v>Еще фото</v>
      </c>
      <c r="F681" s="13"/>
      <c r="G681" s="24" t="s">
        <v>28</v>
      </c>
      <c r="H681" s="24" t="s">
        <v>27</v>
      </c>
      <c r="I681" s="24" t="s">
        <v>28</v>
      </c>
      <c r="J681" s="14" t="s">
        <v>43</v>
      </c>
      <c r="K681" s="15" t="s">
        <v>30</v>
      </c>
      <c r="L681" s="62"/>
      <c r="M681" s="14"/>
      <c r="N681" s="14" t="s">
        <v>127</v>
      </c>
      <c r="O681" s="14"/>
      <c r="P681" s="15" t="s">
        <v>120</v>
      </c>
      <c r="Q681" s="16">
        <v>7099</v>
      </c>
      <c r="R681" s="17">
        <v>40</v>
      </c>
      <c r="S681" s="18">
        <v>4898.3099999999995</v>
      </c>
      <c r="T681" s="19" t="s">
        <v>36</v>
      </c>
      <c r="U681" s="20" t="s">
        <v>39</v>
      </c>
      <c r="V681" s="21" t="s">
        <v>40</v>
      </c>
      <c r="W681" s="22">
        <v>13</v>
      </c>
      <c r="X681" s="23"/>
    </row>
    <row r="682" spans="1:24" s="1" customFormat="1" ht="21" customHeight="1" x14ac:dyDescent="0.3">
      <c r="A682" s="24" t="s">
        <v>23</v>
      </c>
      <c r="B682" s="24" t="s">
        <v>712</v>
      </c>
      <c r="C682" s="27" t="s">
        <v>713</v>
      </c>
      <c r="D682" s="60"/>
      <c r="E682" s="41" t="str">
        <f>HYPERLINK("https://www.google.ru/search?q=6014688-338&amp;newwindow=1&amp;tbm=isch","Еще фото")</f>
        <v>Еще фото</v>
      </c>
      <c r="F682" s="13"/>
      <c r="G682" s="24" t="s">
        <v>28</v>
      </c>
      <c r="H682" s="24" t="s">
        <v>27</v>
      </c>
      <c r="I682" s="24" t="s">
        <v>28</v>
      </c>
      <c r="J682" s="14" t="s">
        <v>43</v>
      </c>
      <c r="K682" s="15" t="s">
        <v>30</v>
      </c>
      <c r="L682" s="62"/>
      <c r="M682" s="14"/>
      <c r="N682" s="14" t="s">
        <v>127</v>
      </c>
      <c r="O682" s="14"/>
      <c r="P682" s="15" t="s">
        <v>120</v>
      </c>
      <c r="Q682" s="16">
        <v>7099</v>
      </c>
      <c r="R682" s="17">
        <v>40</v>
      </c>
      <c r="S682" s="18">
        <v>4898.3099999999995</v>
      </c>
      <c r="T682" s="19" t="s">
        <v>36</v>
      </c>
      <c r="U682" s="20" t="s">
        <v>86</v>
      </c>
      <c r="V682" s="21" t="s">
        <v>87</v>
      </c>
      <c r="W682" s="22">
        <v>16</v>
      </c>
      <c r="X682" s="23"/>
    </row>
    <row r="683" spans="1:24" s="1" customFormat="1" ht="21" customHeight="1" x14ac:dyDescent="0.3">
      <c r="A683" s="24" t="s">
        <v>23</v>
      </c>
      <c r="B683" s="24" t="s">
        <v>712</v>
      </c>
      <c r="C683" s="27" t="s">
        <v>713</v>
      </c>
      <c r="D683" s="60"/>
      <c r="E683" s="41" t="str">
        <f>HYPERLINK("https://www.google.ru/search?q=6014688-338&amp;newwindow=1&amp;tbm=isch","Еще фото")</f>
        <v>Еще фото</v>
      </c>
      <c r="F683" s="13"/>
      <c r="G683" s="24" t="s">
        <v>28</v>
      </c>
      <c r="H683" s="24" t="s">
        <v>27</v>
      </c>
      <c r="I683" s="24" t="s">
        <v>28</v>
      </c>
      <c r="J683" s="14" t="s">
        <v>43</v>
      </c>
      <c r="K683" s="15" t="s">
        <v>30</v>
      </c>
      <c r="L683" s="62"/>
      <c r="M683" s="14"/>
      <c r="N683" s="14" t="s">
        <v>127</v>
      </c>
      <c r="O683" s="14"/>
      <c r="P683" s="15" t="s">
        <v>120</v>
      </c>
      <c r="Q683" s="16">
        <v>7099</v>
      </c>
      <c r="R683" s="17">
        <v>40</v>
      </c>
      <c r="S683" s="18">
        <v>4898.3099999999995</v>
      </c>
      <c r="T683" s="19" t="s">
        <v>36</v>
      </c>
      <c r="U683" s="20" t="s">
        <v>88</v>
      </c>
      <c r="V683" s="21" t="s">
        <v>89</v>
      </c>
      <c r="W683" s="22">
        <v>6</v>
      </c>
      <c r="X683" s="23"/>
    </row>
    <row r="684" spans="1:24" s="1" customFormat="1" ht="32" customHeight="1" x14ac:dyDescent="0.3">
      <c r="A684" s="24" t="s">
        <v>23</v>
      </c>
      <c r="B684" s="24" t="s">
        <v>712</v>
      </c>
      <c r="C684" s="27" t="s">
        <v>713</v>
      </c>
      <c r="D684" s="61"/>
      <c r="E684" s="41" t="str">
        <f>HYPERLINK("https://www.google.ru/search?q=6014688-338&amp;newwindow=1&amp;tbm=isch","Еще фото")</f>
        <v>Еще фото</v>
      </c>
      <c r="F684" s="13"/>
      <c r="G684" s="24" t="s">
        <v>28</v>
      </c>
      <c r="H684" s="24" t="s">
        <v>27</v>
      </c>
      <c r="I684" s="24" t="s">
        <v>28</v>
      </c>
      <c r="J684" s="14" t="s">
        <v>43</v>
      </c>
      <c r="K684" s="15" t="s">
        <v>30</v>
      </c>
      <c r="L684" s="58"/>
      <c r="M684" s="14"/>
      <c r="N684" s="14" t="s">
        <v>127</v>
      </c>
      <c r="O684" s="14"/>
      <c r="P684" s="15" t="s">
        <v>120</v>
      </c>
      <c r="Q684" s="16">
        <v>7099</v>
      </c>
      <c r="R684" s="17">
        <v>40</v>
      </c>
      <c r="S684" s="18">
        <v>4898.3099999999995</v>
      </c>
      <c r="T684" s="19" t="s">
        <v>36</v>
      </c>
      <c r="U684" s="20" t="s">
        <v>90</v>
      </c>
      <c r="V684" s="21" t="s">
        <v>91</v>
      </c>
      <c r="W684" s="22">
        <v>9</v>
      </c>
      <c r="X684" s="23"/>
    </row>
    <row r="685" spans="1:24" s="1" customFormat="1" ht="35" customHeight="1" x14ac:dyDescent="0.3">
      <c r="A685" s="11" t="s">
        <v>23</v>
      </c>
      <c r="B685" s="11" t="s">
        <v>715</v>
      </c>
      <c r="C685" s="12" t="s">
        <v>716</v>
      </c>
      <c r="D685" s="59"/>
      <c r="E685" s="41" t="str">
        <f>HYPERLINK("https://www.google.ru/search?q=6014752-230&amp;newwindow=1&amp;tbm=isch","Еще фото")</f>
        <v>Еще фото</v>
      </c>
      <c r="F685" s="13"/>
      <c r="G685" s="11" t="s">
        <v>28</v>
      </c>
      <c r="H685" s="11" t="s">
        <v>27</v>
      </c>
      <c r="I685" s="14" t="s">
        <v>28</v>
      </c>
      <c r="J685" s="14" t="s">
        <v>43</v>
      </c>
      <c r="K685" s="15" t="s">
        <v>59</v>
      </c>
      <c r="L685" s="57" t="s">
        <v>717</v>
      </c>
      <c r="M685" s="14"/>
      <c r="N685" s="14" t="s">
        <v>332</v>
      </c>
      <c r="O685" s="14"/>
      <c r="P685" s="15" t="s">
        <v>708</v>
      </c>
      <c r="Q685" s="16">
        <v>8799</v>
      </c>
      <c r="R685" s="17">
        <v>40</v>
      </c>
      <c r="S685" s="18">
        <v>6071.3099999999995</v>
      </c>
      <c r="T685" s="19" t="s">
        <v>36</v>
      </c>
      <c r="U685" s="20" t="s">
        <v>63</v>
      </c>
      <c r="V685" s="21" t="s">
        <v>64</v>
      </c>
      <c r="W685" s="22">
        <v>7</v>
      </c>
      <c r="X685" s="23"/>
    </row>
    <row r="686" spans="1:24" s="1" customFormat="1" ht="35" customHeight="1" x14ac:dyDescent="0.3">
      <c r="A686" s="24" t="s">
        <v>23</v>
      </c>
      <c r="B686" s="24" t="s">
        <v>715</v>
      </c>
      <c r="C686" s="12" t="s">
        <v>716</v>
      </c>
      <c r="D686" s="60"/>
      <c r="E686" s="41" t="str">
        <f>HYPERLINK("https://www.google.ru/search?q=6014752-230&amp;newwindow=1&amp;tbm=isch","Еще фото")</f>
        <v>Еще фото</v>
      </c>
      <c r="F686" s="13"/>
      <c r="G686" s="24" t="s">
        <v>28</v>
      </c>
      <c r="H686" s="24" t="s">
        <v>27</v>
      </c>
      <c r="I686" s="24" t="s">
        <v>28</v>
      </c>
      <c r="J686" s="14" t="s">
        <v>43</v>
      </c>
      <c r="K686" s="15" t="s">
        <v>59</v>
      </c>
      <c r="L686" s="62"/>
      <c r="M686" s="14"/>
      <c r="N686" s="14" t="s">
        <v>332</v>
      </c>
      <c r="O686" s="14"/>
      <c r="P686" s="15" t="s">
        <v>708</v>
      </c>
      <c r="Q686" s="16">
        <v>8799</v>
      </c>
      <c r="R686" s="17">
        <v>40</v>
      </c>
      <c r="S686" s="18">
        <v>6071.3099999999995</v>
      </c>
      <c r="T686" s="19" t="s">
        <v>36</v>
      </c>
      <c r="U686" s="20" t="s">
        <v>37</v>
      </c>
      <c r="V686" s="21" t="s">
        <v>106</v>
      </c>
      <c r="W686" s="22">
        <v>10</v>
      </c>
      <c r="X686" s="23"/>
    </row>
    <row r="687" spans="1:24" s="1" customFormat="1" ht="37.049999999999997" customHeight="1" x14ac:dyDescent="0.3">
      <c r="A687" s="24" t="s">
        <v>23</v>
      </c>
      <c r="B687" s="24" t="s">
        <v>715</v>
      </c>
      <c r="C687" s="12" t="s">
        <v>716</v>
      </c>
      <c r="D687" s="61"/>
      <c r="E687" s="41" t="str">
        <f>HYPERLINK("https://www.google.ru/search?q=6014752-230&amp;newwindow=1&amp;tbm=isch","Еще фото")</f>
        <v>Еще фото</v>
      </c>
      <c r="F687" s="13"/>
      <c r="G687" s="24" t="s">
        <v>28</v>
      </c>
      <c r="H687" s="24" t="s">
        <v>27</v>
      </c>
      <c r="I687" s="24" t="s">
        <v>28</v>
      </c>
      <c r="J687" s="14" t="s">
        <v>43</v>
      </c>
      <c r="K687" s="15" t="s">
        <v>59</v>
      </c>
      <c r="L687" s="58"/>
      <c r="M687" s="14"/>
      <c r="N687" s="14" t="s">
        <v>332</v>
      </c>
      <c r="O687" s="14"/>
      <c r="P687" s="15" t="s">
        <v>708</v>
      </c>
      <c r="Q687" s="16">
        <v>8799</v>
      </c>
      <c r="R687" s="17">
        <v>40</v>
      </c>
      <c r="S687" s="18">
        <v>6071.3099999999995</v>
      </c>
      <c r="T687" s="19" t="s">
        <v>36</v>
      </c>
      <c r="U687" s="20" t="s">
        <v>39</v>
      </c>
      <c r="V687" s="21" t="s">
        <v>85</v>
      </c>
      <c r="W687" s="22">
        <v>4</v>
      </c>
      <c r="X687" s="23"/>
    </row>
    <row r="688" spans="1:24" s="1" customFormat="1" ht="108" customHeight="1" x14ac:dyDescent="0.3">
      <c r="A688" s="11" t="s">
        <v>23</v>
      </c>
      <c r="B688" s="11" t="s">
        <v>718</v>
      </c>
      <c r="C688" s="12" t="s">
        <v>719</v>
      </c>
      <c r="D688" s="25"/>
      <c r="E688" s="41" t="str">
        <f>HYPERLINK("https://www.google.ru/search?q=1365985-001&amp;newwindow=1&amp;tbm=isch","Еще фото")</f>
        <v>Еще фото</v>
      </c>
      <c r="F688" s="13" t="s">
        <v>103</v>
      </c>
      <c r="G688" s="11" t="s">
        <v>720</v>
      </c>
      <c r="H688" s="11" t="s">
        <v>721</v>
      </c>
      <c r="I688" s="14" t="s">
        <v>722</v>
      </c>
      <c r="J688" s="14" t="s">
        <v>29</v>
      </c>
      <c r="K688" s="15" t="s">
        <v>723</v>
      </c>
      <c r="L688" s="14" t="s">
        <v>724</v>
      </c>
      <c r="M688" s="14"/>
      <c r="N688" s="14" t="s">
        <v>33</v>
      </c>
      <c r="O688" s="14"/>
      <c r="P688" s="15" t="s">
        <v>47</v>
      </c>
      <c r="Q688" s="16">
        <v>2999</v>
      </c>
      <c r="R688" s="17">
        <v>40</v>
      </c>
      <c r="S688" s="18">
        <v>2069.31</v>
      </c>
      <c r="T688" s="19" t="s">
        <v>725</v>
      </c>
      <c r="U688" s="20" t="s">
        <v>726</v>
      </c>
      <c r="V688" s="21" t="s">
        <v>727</v>
      </c>
      <c r="W688" s="22">
        <v>1</v>
      </c>
      <c r="X688" s="23"/>
    </row>
    <row r="689" spans="1:24" s="1" customFormat="1" ht="52.05" customHeight="1" x14ac:dyDescent="0.3">
      <c r="A689" s="11" t="s">
        <v>23</v>
      </c>
      <c r="B689" s="11" t="s">
        <v>728</v>
      </c>
      <c r="C689" s="12" t="s">
        <v>729</v>
      </c>
      <c r="D689" s="55"/>
      <c r="E689" s="41" t="str">
        <f>HYPERLINK("https://www.google.ru/search?q=1376704-001&amp;newwindow=1&amp;tbm=isch","Еще фото")</f>
        <v>Еще фото</v>
      </c>
      <c r="F689" s="13" t="s">
        <v>103</v>
      </c>
      <c r="G689" s="11" t="s">
        <v>730</v>
      </c>
      <c r="H689" s="11" t="s">
        <v>721</v>
      </c>
      <c r="I689" s="14" t="s">
        <v>722</v>
      </c>
      <c r="J689" s="14" t="s">
        <v>29</v>
      </c>
      <c r="K689" s="15" t="s">
        <v>30</v>
      </c>
      <c r="L689" s="57" t="s">
        <v>731</v>
      </c>
      <c r="M689" s="14"/>
      <c r="N689" s="14" t="s">
        <v>33</v>
      </c>
      <c r="O689" s="14"/>
      <c r="P689" s="15" t="s">
        <v>732</v>
      </c>
      <c r="Q689" s="16">
        <v>3499</v>
      </c>
      <c r="R689" s="17">
        <v>40</v>
      </c>
      <c r="S689" s="18">
        <v>2414.31</v>
      </c>
      <c r="T689" s="19" t="s">
        <v>36</v>
      </c>
      <c r="U689" s="20" t="s">
        <v>733</v>
      </c>
      <c r="V689" s="21" t="s">
        <v>409</v>
      </c>
      <c r="W689" s="22">
        <v>17</v>
      </c>
      <c r="X689" s="23"/>
    </row>
    <row r="690" spans="1:24" s="1" customFormat="1" ht="61.05" customHeight="1" x14ac:dyDescent="0.3">
      <c r="A690" s="24" t="s">
        <v>23</v>
      </c>
      <c r="B690" s="24" t="s">
        <v>728</v>
      </c>
      <c r="C690" s="12" t="s">
        <v>729</v>
      </c>
      <c r="D690" s="56"/>
      <c r="E690" s="41" t="str">
        <f>HYPERLINK("https://www.google.ru/search?q=1376704-001&amp;newwindow=1&amp;tbm=isch","Еще фото")</f>
        <v>Еще фото</v>
      </c>
      <c r="F690" s="13" t="s">
        <v>103</v>
      </c>
      <c r="G690" s="24" t="s">
        <v>730</v>
      </c>
      <c r="H690" s="24" t="s">
        <v>721</v>
      </c>
      <c r="I690" s="24" t="s">
        <v>722</v>
      </c>
      <c r="J690" s="14" t="s">
        <v>29</v>
      </c>
      <c r="K690" s="15" t="s">
        <v>30</v>
      </c>
      <c r="L690" s="58"/>
      <c r="M690" s="14"/>
      <c r="N690" s="14" t="s">
        <v>33</v>
      </c>
      <c r="O690" s="14"/>
      <c r="P690" s="15" t="s">
        <v>732</v>
      </c>
      <c r="Q690" s="16">
        <v>3499</v>
      </c>
      <c r="R690" s="17">
        <v>40</v>
      </c>
      <c r="S690" s="18">
        <v>2414.31</v>
      </c>
      <c r="T690" s="19" t="s">
        <v>36</v>
      </c>
      <c r="U690" s="20" t="s">
        <v>734</v>
      </c>
      <c r="V690" s="21" t="s">
        <v>735</v>
      </c>
      <c r="W690" s="22">
        <v>1</v>
      </c>
      <c r="X690" s="23"/>
    </row>
    <row r="691" spans="1:24" s="1" customFormat="1" ht="52.05" customHeight="1" x14ac:dyDescent="0.3">
      <c r="A691" s="11" t="s">
        <v>23</v>
      </c>
      <c r="B691" s="11" t="s">
        <v>736</v>
      </c>
      <c r="C691" s="12" t="s">
        <v>737</v>
      </c>
      <c r="D691" s="55"/>
      <c r="E691" s="41" t="str">
        <f>HYPERLINK("https://www.google.ru/search?q=1376704-338&amp;newwindow=1&amp;tbm=isch","Еще фото")</f>
        <v>Еще фото</v>
      </c>
      <c r="F691" s="28" t="s">
        <v>138</v>
      </c>
      <c r="G691" s="11" t="s">
        <v>730</v>
      </c>
      <c r="H691" s="11" t="s">
        <v>721</v>
      </c>
      <c r="I691" s="14" t="s">
        <v>722</v>
      </c>
      <c r="J691" s="14" t="s">
        <v>43</v>
      </c>
      <c r="K691" s="15" t="s">
        <v>30</v>
      </c>
      <c r="L691" s="57" t="s">
        <v>731</v>
      </c>
      <c r="M691" s="14"/>
      <c r="N691" s="14" t="s">
        <v>127</v>
      </c>
      <c r="O691" s="14"/>
      <c r="P691" s="15" t="s">
        <v>732</v>
      </c>
      <c r="Q691" s="16">
        <v>3499</v>
      </c>
      <c r="R691" s="17">
        <v>40</v>
      </c>
      <c r="S691" s="18">
        <v>2414.31</v>
      </c>
      <c r="T691" s="19" t="s">
        <v>36</v>
      </c>
      <c r="U691" s="20" t="s">
        <v>733</v>
      </c>
      <c r="V691" s="21" t="s">
        <v>409</v>
      </c>
      <c r="W691" s="22">
        <v>47</v>
      </c>
      <c r="X691" s="23"/>
    </row>
    <row r="692" spans="1:24" s="1" customFormat="1" ht="61.05" customHeight="1" x14ac:dyDescent="0.3">
      <c r="A692" s="24" t="s">
        <v>23</v>
      </c>
      <c r="B692" s="24" t="s">
        <v>736</v>
      </c>
      <c r="C692" s="12" t="s">
        <v>737</v>
      </c>
      <c r="D692" s="56"/>
      <c r="E692" s="41" t="str">
        <f>HYPERLINK("https://www.google.ru/search?q=1376704-338&amp;newwindow=1&amp;tbm=isch","Еще фото")</f>
        <v>Еще фото</v>
      </c>
      <c r="F692" s="28" t="s">
        <v>138</v>
      </c>
      <c r="G692" s="24" t="s">
        <v>730</v>
      </c>
      <c r="H692" s="24" t="s">
        <v>721</v>
      </c>
      <c r="I692" s="24" t="s">
        <v>722</v>
      </c>
      <c r="J692" s="14" t="s">
        <v>43</v>
      </c>
      <c r="K692" s="15" t="s">
        <v>30</v>
      </c>
      <c r="L692" s="58"/>
      <c r="M692" s="14"/>
      <c r="N692" s="14" t="s">
        <v>127</v>
      </c>
      <c r="O692" s="14"/>
      <c r="P692" s="15" t="s">
        <v>732</v>
      </c>
      <c r="Q692" s="16">
        <v>3499</v>
      </c>
      <c r="R692" s="17">
        <v>40</v>
      </c>
      <c r="S692" s="18">
        <v>2414.31</v>
      </c>
      <c r="T692" s="19" t="s">
        <v>36</v>
      </c>
      <c r="U692" s="20" t="s">
        <v>734</v>
      </c>
      <c r="V692" s="21" t="s">
        <v>735</v>
      </c>
      <c r="W692" s="22">
        <v>19</v>
      </c>
      <c r="X692" s="23"/>
    </row>
    <row r="693" spans="1:24" s="1" customFormat="1" ht="11" customHeight="1" x14ac:dyDescent="0.3">
      <c r="A693" s="11" t="s">
        <v>23</v>
      </c>
      <c r="B693" s="11" t="s">
        <v>738</v>
      </c>
      <c r="C693" s="12" t="s">
        <v>739</v>
      </c>
      <c r="D693" s="59"/>
      <c r="E693" s="41" t="str">
        <f t="shared" ref="E693:E702" si="17">HYPERLINK("https://www.google.ru/search?q=3027382-251&amp;newwindow=1&amp;tbm=isch","Еще фото")</f>
        <v>Еще фото</v>
      </c>
      <c r="F693" s="13" t="s">
        <v>152</v>
      </c>
      <c r="G693" s="11" t="s">
        <v>740</v>
      </c>
      <c r="H693" s="11" t="s">
        <v>741</v>
      </c>
      <c r="I693" s="14" t="s">
        <v>742</v>
      </c>
      <c r="J693" s="14" t="s">
        <v>743</v>
      </c>
      <c r="K693" s="15" t="s">
        <v>30</v>
      </c>
      <c r="L693" s="57" t="s">
        <v>744</v>
      </c>
      <c r="M693" s="14"/>
      <c r="N693" s="14" t="s">
        <v>127</v>
      </c>
      <c r="O693" s="14"/>
      <c r="P693" s="15" t="s">
        <v>745</v>
      </c>
      <c r="Q693" s="16">
        <v>18799</v>
      </c>
      <c r="R693" s="17">
        <v>49.74</v>
      </c>
      <c r="S693" s="18">
        <v>10864.9355</v>
      </c>
      <c r="T693" s="19" t="s">
        <v>36</v>
      </c>
      <c r="U693" s="20" t="s">
        <v>746</v>
      </c>
      <c r="V693" s="22">
        <v>39</v>
      </c>
      <c r="W693" s="22">
        <v>4</v>
      </c>
      <c r="X693" s="23"/>
    </row>
    <row r="694" spans="1:24" s="1" customFormat="1" ht="11" customHeight="1" x14ac:dyDescent="0.3">
      <c r="A694" s="24" t="s">
        <v>23</v>
      </c>
      <c r="B694" s="24" t="s">
        <v>738</v>
      </c>
      <c r="C694" s="12" t="s">
        <v>739</v>
      </c>
      <c r="D694" s="60"/>
      <c r="E694" s="41" t="str">
        <f t="shared" si="17"/>
        <v>Еще фото</v>
      </c>
      <c r="F694" s="13" t="s">
        <v>152</v>
      </c>
      <c r="G694" s="24" t="s">
        <v>740</v>
      </c>
      <c r="H694" s="24" t="s">
        <v>741</v>
      </c>
      <c r="I694" s="24" t="s">
        <v>742</v>
      </c>
      <c r="J694" s="14" t="s">
        <v>743</v>
      </c>
      <c r="K694" s="15" t="s">
        <v>30</v>
      </c>
      <c r="L694" s="62"/>
      <c r="M694" s="14"/>
      <c r="N694" s="14" t="s">
        <v>127</v>
      </c>
      <c r="O694" s="14"/>
      <c r="P694" s="15" t="s">
        <v>745</v>
      </c>
      <c r="Q694" s="16">
        <v>18799</v>
      </c>
      <c r="R694" s="17">
        <v>49.74</v>
      </c>
      <c r="S694" s="18">
        <v>10864.9355</v>
      </c>
      <c r="T694" s="19" t="s">
        <v>36</v>
      </c>
      <c r="U694" s="20" t="s">
        <v>747</v>
      </c>
      <c r="V694" s="34">
        <v>39.5</v>
      </c>
      <c r="W694" s="22">
        <v>5</v>
      </c>
      <c r="X694" s="23"/>
    </row>
    <row r="695" spans="1:24" s="1" customFormat="1" ht="11" customHeight="1" x14ac:dyDescent="0.3">
      <c r="A695" s="24" t="s">
        <v>23</v>
      </c>
      <c r="B695" s="24" t="s">
        <v>738</v>
      </c>
      <c r="C695" s="12" t="s">
        <v>739</v>
      </c>
      <c r="D695" s="60"/>
      <c r="E695" s="41" t="str">
        <f t="shared" si="17"/>
        <v>Еще фото</v>
      </c>
      <c r="F695" s="13" t="s">
        <v>152</v>
      </c>
      <c r="G695" s="24" t="s">
        <v>740</v>
      </c>
      <c r="H695" s="24" t="s">
        <v>741</v>
      </c>
      <c r="I695" s="24" t="s">
        <v>742</v>
      </c>
      <c r="J695" s="14" t="s">
        <v>743</v>
      </c>
      <c r="K695" s="15" t="s">
        <v>30</v>
      </c>
      <c r="L695" s="62"/>
      <c r="M695" s="14"/>
      <c r="N695" s="14" t="s">
        <v>127</v>
      </c>
      <c r="O695" s="14"/>
      <c r="P695" s="15" t="s">
        <v>745</v>
      </c>
      <c r="Q695" s="16">
        <v>18799</v>
      </c>
      <c r="R695" s="17">
        <v>49.74</v>
      </c>
      <c r="S695" s="18">
        <v>10864.9355</v>
      </c>
      <c r="T695" s="19" t="s">
        <v>36</v>
      </c>
      <c r="U695" s="20" t="s">
        <v>748</v>
      </c>
      <c r="V695" s="22">
        <v>40</v>
      </c>
      <c r="W695" s="22">
        <v>8</v>
      </c>
      <c r="X695" s="23"/>
    </row>
    <row r="696" spans="1:24" s="1" customFormat="1" ht="11" customHeight="1" x14ac:dyDescent="0.3">
      <c r="A696" s="24" t="s">
        <v>23</v>
      </c>
      <c r="B696" s="24" t="s">
        <v>738</v>
      </c>
      <c r="C696" s="12" t="s">
        <v>739</v>
      </c>
      <c r="D696" s="60"/>
      <c r="E696" s="41" t="str">
        <f t="shared" si="17"/>
        <v>Еще фото</v>
      </c>
      <c r="F696" s="13" t="s">
        <v>152</v>
      </c>
      <c r="G696" s="24" t="s">
        <v>740</v>
      </c>
      <c r="H696" s="24" t="s">
        <v>741</v>
      </c>
      <c r="I696" s="24" t="s">
        <v>742</v>
      </c>
      <c r="J696" s="14" t="s">
        <v>743</v>
      </c>
      <c r="K696" s="15" t="s">
        <v>30</v>
      </c>
      <c r="L696" s="62"/>
      <c r="M696" s="14"/>
      <c r="N696" s="14" t="s">
        <v>127</v>
      </c>
      <c r="O696" s="14"/>
      <c r="P696" s="15" t="s">
        <v>745</v>
      </c>
      <c r="Q696" s="16">
        <v>18799</v>
      </c>
      <c r="R696" s="17">
        <v>49.74</v>
      </c>
      <c r="S696" s="18">
        <v>10864.9355</v>
      </c>
      <c r="T696" s="19" t="s">
        <v>36</v>
      </c>
      <c r="U696" s="20" t="s">
        <v>749</v>
      </c>
      <c r="V696" s="22">
        <v>41</v>
      </c>
      <c r="W696" s="22">
        <v>9</v>
      </c>
      <c r="X696" s="23"/>
    </row>
    <row r="697" spans="1:24" s="1" customFormat="1" ht="11" customHeight="1" x14ac:dyDescent="0.3">
      <c r="A697" s="24" t="s">
        <v>23</v>
      </c>
      <c r="B697" s="24" t="s">
        <v>738</v>
      </c>
      <c r="C697" s="12" t="s">
        <v>739</v>
      </c>
      <c r="D697" s="60"/>
      <c r="E697" s="41" t="str">
        <f t="shared" si="17"/>
        <v>Еще фото</v>
      </c>
      <c r="F697" s="13" t="s">
        <v>152</v>
      </c>
      <c r="G697" s="24" t="s">
        <v>740</v>
      </c>
      <c r="H697" s="24" t="s">
        <v>741</v>
      </c>
      <c r="I697" s="24" t="s">
        <v>742</v>
      </c>
      <c r="J697" s="14" t="s">
        <v>743</v>
      </c>
      <c r="K697" s="15" t="s">
        <v>30</v>
      </c>
      <c r="L697" s="62"/>
      <c r="M697" s="14"/>
      <c r="N697" s="14" t="s">
        <v>127</v>
      </c>
      <c r="O697" s="14"/>
      <c r="P697" s="15" t="s">
        <v>745</v>
      </c>
      <c r="Q697" s="16">
        <v>18799</v>
      </c>
      <c r="R697" s="17">
        <v>49.74</v>
      </c>
      <c r="S697" s="18">
        <v>10864.9355</v>
      </c>
      <c r="T697" s="19" t="s">
        <v>36</v>
      </c>
      <c r="U697" s="20" t="s">
        <v>750</v>
      </c>
      <c r="V697" s="34">
        <v>41.5</v>
      </c>
      <c r="W697" s="22">
        <v>14</v>
      </c>
      <c r="X697" s="23"/>
    </row>
    <row r="698" spans="1:24" s="1" customFormat="1" ht="11" customHeight="1" x14ac:dyDescent="0.3">
      <c r="A698" s="24" t="s">
        <v>23</v>
      </c>
      <c r="B698" s="24" t="s">
        <v>738</v>
      </c>
      <c r="C698" s="12" t="s">
        <v>739</v>
      </c>
      <c r="D698" s="60"/>
      <c r="E698" s="41" t="str">
        <f t="shared" si="17"/>
        <v>Еще фото</v>
      </c>
      <c r="F698" s="13" t="s">
        <v>152</v>
      </c>
      <c r="G698" s="24" t="s">
        <v>740</v>
      </c>
      <c r="H698" s="24" t="s">
        <v>741</v>
      </c>
      <c r="I698" s="24" t="s">
        <v>742</v>
      </c>
      <c r="J698" s="14" t="s">
        <v>743</v>
      </c>
      <c r="K698" s="15" t="s">
        <v>30</v>
      </c>
      <c r="L698" s="62"/>
      <c r="M698" s="14"/>
      <c r="N698" s="14" t="s">
        <v>127</v>
      </c>
      <c r="O698" s="14"/>
      <c r="P698" s="15" t="s">
        <v>745</v>
      </c>
      <c r="Q698" s="16">
        <v>18799</v>
      </c>
      <c r="R698" s="17">
        <v>49.74</v>
      </c>
      <c r="S698" s="18">
        <v>10864.9355</v>
      </c>
      <c r="T698" s="19" t="s">
        <v>36</v>
      </c>
      <c r="U698" s="20" t="s">
        <v>751</v>
      </c>
      <c r="V698" s="22">
        <v>42</v>
      </c>
      <c r="W698" s="22">
        <v>19</v>
      </c>
      <c r="X698" s="23"/>
    </row>
    <row r="699" spans="1:24" s="1" customFormat="1" ht="11" customHeight="1" x14ac:dyDescent="0.3">
      <c r="A699" s="24" t="s">
        <v>23</v>
      </c>
      <c r="B699" s="24" t="s">
        <v>738</v>
      </c>
      <c r="C699" s="12" t="s">
        <v>739</v>
      </c>
      <c r="D699" s="60"/>
      <c r="E699" s="41" t="str">
        <f t="shared" si="17"/>
        <v>Еще фото</v>
      </c>
      <c r="F699" s="13" t="s">
        <v>152</v>
      </c>
      <c r="G699" s="24" t="s">
        <v>740</v>
      </c>
      <c r="H699" s="24" t="s">
        <v>741</v>
      </c>
      <c r="I699" s="24" t="s">
        <v>742</v>
      </c>
      <c r="J699" s="14" t="s">
        <v>743</v>
      </c>
      <c r="K699" s="15" t="s">
        <v>30</v>
      </c>
      <c r="L699" s="62"/>
      <c r="M699" s="14"/>
      <c r="N699" s="14" t="s">
        <v>127</v>
      </c>
      <c r="O699" s="14"/>
      <c r="P699" s="15" t="s">
        <v>745</v>
      </c>
      <c r="Q699" s="16">
        <v>18799</v>
      </c>
      <c r="R699" s="17">
        <v>49.74</v>
      </c>
      <c r="S699" s="18">
        <v>10864.9355</v>
      </c>
      <c r="T699" s="19" t="s">
        <v>36</v>
      </c>
      <c r="U699" s="20" t="s">
        <v>752</v>
      </c>
      <c r="V699" s="22">
        <v>43</v>
      </c>
      <c r="W699" s="22">
        <v>15</v>
      </c>
      <c r="X699" s="23"/>
    </row>
    <row r="700" spans="1:24" s="1" customFormat="1" ht="11" customHeight="1" x14ac:dyDescent="0.3">
      <c r="A700" s="24" t="s">
        <v>23</v>
      </c>
      <c r="B700" s="24" t="s">
        <v>738</v>
      </c>
      <c r="C700" s="12" t="s">
        <v>739</v>
      </c>
      <c r="D700" s="60"/>
      <c r="E700" s="41" t="str">
        <f t="shared" si="17"/>
        <v>Еще фото</v>
      </c>
      <c r="F700" s="13" t="s">
        <v>152</v>
      </c>
      <c r="G700" s="24" t="s">
        <v>740</v>
      </c>
      <c r="H700" s="24" t="s">
        <v>741</v>
      </c>
      <c r="I700" s="24" t="s">
        <v>742</v>
      </c>
      <c r="J700" s="14" t="s">
        <v>743</v>
      </c>
      <c r="K700" s="15" t="s">
        <v>30</v>
      </c>
      <c r="L700" s="62"/>
      <c r="M700" s="14"/>
      <c r="N700" s="14" t="s">
        <v>127</v>
      </c>
      <c r="O700" s="14"/>
      <c r="P700" s="15" t="s">
        <v>745</v>
      </c>
      <c r="Q700" s="16">
        <v>18799</v>
      </c>
      <c r="R700" s="17">
        <v>49.74</v>
      </c>
      <c r="S700" s="18">
        <v>10864.9355</v>
      </c>
      <c r="T700" s="19" t="s">
        <v>36</v>
      </c>
      <c r="U700" s="20" t="s">
        <v>753</v>
      </c>
      <c r="V700" s="34">
        <v>43.5</v>
      </c>
      <c r="W700" s="22">
        <v>15</v>
      </c>
      <c r="X700" s="23"/>
    </row>
    <row r="701" spans="1:24" s="1" customFormat="1" ht="11" customHeight="1" x14ac:dyDescent="0.3">
      <c r="A701" s="24" t="s">
        <v>23</v>
      </c>
      <c r="B701" s="24" t="s">
        <v>738</v>
      </c>
      <c r="C701" s="12" t="s">
        <v>739</v>
      </c>
      <c r="D701" s="60"/>
      <c r="E701" s="41" t="str">
        <f t="shared" si="17"/>
        <v>Еще фото</v>
      </c>
      <c r="F701" s="13" t="s">
        <v>152</v>
      </c>
      <c r="G701" s="24" t="s">
        <v>740</v>
      </c>
      <c r="H701" s="24" t="s">
        <v>741</v>
      </c>
      <c r="I701" s="24" t="s">
        <v>742</v>
      </c>
      <c r="J701" s="14" t="s">
        <v>743</v>
      </c>
      <c r="K701" s="15" t="s">
        <v>30</v>
      </c>
      <c r="L701" s="62"/>
      <c r="M701" s="14"/>
      <c r="N701" s="14" t="s">
        <v>127</v>
      </c>
      <c r="O701" s="14"/>
      <c r="P701" s="15" t="s">
        <v>745</v>
      </c>
      <c r="Q701" s="16">
        <v>18799</v>
      </c>
      <c r="R701" s="17">
        <v>49.74</v>
      </c>
      <c r="S701" s="18">
        <v>10864.9355</v>
      </c>
      <c r="T701" s="19" t="s">
        <v>36</v>
      </c>
      <c r="U701" s="20" t="s">
        <v>754</v>
      </c>
      <c r="V701" s="22">
        <v>44</v>
      </c>
      <c r="W701" s="22">
        <v>6</v>
      </c>
      <c r="X701" s="23"/>
    </row>
    <row r="702" spans="1:24" s="1" customFormat="1" ht="11" customHeight="1" x14ac:dyDescent="0.3">
      <c r="A702" s="14" t="s">
        <v>23</v>
      </c>
      <c r="B702" s="14" t="s">
        <v>738</v>
      </c>
      <c r="C702" s="12" t="s">
        <v>739</v>
      </c>
      <c r="D702" s="61"/>
      <c r="E702" s="41" t="str">
        <f t="shared" si="17"/>
        <v>Еще фото</v>
      </c>
      <c r="F702" s="29" t="s">
        <v>152</v>
      </c>
      <c r="G702" s="14" t="s">
        <v>740</v>
      </c>
      <c r="H702" s="14" t="s">
        <v>741</v>
      </c>
      <c r="I702" s="14" t="s">
        <v>742</v>
      </c>
      <c r="J702" s="14" t="s">
        <v>743</v>
      </c>
      <c r="K702" s="14" t="s">
        <v>30</v>
      </c>
      <c r="L702" s="58"/>
      <c r="M702" s="14"/>
      <c r="N702" s="14" t="s">
        <v>127</v>
      </c>
      <c r="O702" s="14"/>
      <c r="P702" s="14" t="s">
        <v>745</v>
      </c>
      <c r="Q702" s="30">
        <v>18799</v>
      </c>
      <c r="R702" s="31">
        <v>49.74</v>
      </c>
      <c r="S702" s="32">
        <v>10864.9355</v>
      </c>
      <c r="T702" s="19" t="s">
        <v>36</v>
      </c>
      <c r="U702" s="20" t="s">
        <v>755</v>
      </c>
      <c r="V702" s="34">
        <v>44.5</v>
      </c>
      <c r="W702" s="22">
        <v>3</v>
      </c>
      <c r="X702" s="23"/>
    </row>
    <row r="703" spans="1:24" s="1" customFormat="1" ht="108" customHeight="1" x14ac:dyDescent="0.3">
      <c r="A703" s="11" t="s">
        <v>23</v>
      </c>
      <c r="B703" s="11" t="s">
        <v>756</v>
      </c>
      <c r="C703" s="12" t="s">
        <v>757</v>
      </c>
      <c r="D703" s="25"/>
      <c r="E703" s="41" t="str">
        <f>HYPERLINK("https://www.google.ru/search?q=3000309-500&amp;newwindow=1&amp;tbm=isch","Еще фото")</f>
        <v>Еще фото</v>
      </c>
      <c r="F703" s="13"/>
      <c r="G703" s="11" t="s">
        <v>740</v>
      </c>
      <c r="H703" s="11" t="s">
        <v>741</v>
      </c>
      <c r="I703" s="14" t="s">
        <v>742</v>
      </c>
      <c r="J703" s="14" t="s">
        <v>758</v>
      </c>
      <c r="K703" s="15" t="s">
        <v>59</v>
      </c>
      <c r="L703" s="14" t="s">
        <v>759</v>
      </c>
      <c r="M703" s="14"/>
      <c r="N703" s="14" t="s">
        <v>79</v>
      </c>
      <c r="O703" s="14" t="s">
        <v>760</v>
      </c>
      <c r="P703" s="15" t="s">
        <v>761</v>
      </c>
      <c r="Q703" s="16">
        <v>16090</v>
      </c>
      <c r="R703" s="17">
        <v>45.31</v>
      </c>
      <c r="S703" s="18">
        <v>10119.988499999999</v>
      </c>
      <c r="T703" s="19" t="s">
        <v>36</v>
      </c>
      <c r="U703" s="20" t="s">
        <v>746</v>
      </c>
      <c r="V703" s="22">
        <v>37</v>
      </c>
      <c r="W703" s="22">
        <v>1</v>
      </c>
      <c r="X703" s="23"/>
    </row>
    <row r="704" spans="1:24" s="1" customFormat="1" ht="13.05" customHeight="1" x14ac:dyDescent="0.3">
      <c r="A704" s="11" t="s">
        <v>23</v>
      </c>
      <c r="B704" s="11" t="s">
        <v>762</v>
      </c>
      <c r="C704" s="12" t="s">
        <v>763</v>
      </c>
      <c r="D704" s="59"/>
      <c r="E704" s="41" t="str">
        <f t="shared" ref="E704:E711" si="18">HYPERLINK("https://www.google.ru/search?q=3023743-001&amp;newwindow=1&amp;tbm=isch","Еще фото")</f>
        <v>Еще фото</v>
      </c>
      <c r="F704" s="13"/>
      <c r="G704" s="11" t="s">
        <v>740</v>
      </c>
      <c r="H704" s="11" t="s">
        <v>741</v>
      </c>
      <c r="I704" s="14" t="s">
        <v>742</v>
      </c>
      <c r="J704" s="14" t="s">
        <v>43</v>
      </c>
      <c r="K704" s="15" t="s">
        <v>30</v>
      </c>
      <c r="L704" s="57" t="s">
        <v>764</v>
      </c>
      <c r="M704" s="14" t="s">
        <v>765</v>
      </c>
      <c r="N704" s="14" t="s">
        <v>33</v>
      </c>
      <c r="O704" s="14"/>
      <c r="P704" s="15" t="s">
        <v>766</v>
      </c>
      <c r="Q704" s="16">
        <v>20999</v>
      </c>
      <c r="R704" s="17">
        <v>45.01</v>
      </c>
      <c r="S704" s="18">
        <v>13279.9355</v>
      </c>
      <c r="T704" s="19" t="s">
        <v>36</v>
      </c>
      <c r="U704" s="33" t="s">
        <v>746</v>
      </c>
      <c r="V704" s="22">
        <v>39</v>
      </c>
      <c r="W704" s="22">
        <v>1</v>
      </c>
      <c r="X704" s="23"/>
    </row>
    <row r="705" spans="1:24" s="1" customFormat="1" ht="13.05" customHeight="1" x14ac:dyDescent="0.3">
      <c r="A705" s="24" t="s">
        <v>23</v>
      </c>
      <c r="B705" s="24" t="s">
        <v>762</v>
      </c>
      <c r="C705" s="12" t="s">
        <v>763</v>
      </c>
      <c r="D705" s="60"/>
      <c r="E705" s="41" t="str">
        <f t="shared" si="18"/>
        <v>Еще фото</v>
      </c>
      <c r="F705" s="13"/>
      <c r="G705" s="24" t="s">
        <v>740</v>
      </c>
      <c r="H705" s="24" t="s">
        <v>741</v>
      </c>
      <c r="I705" s="24" t="s">
        <v>742</v>
      </c>
      <c r="J705" s="14" t="s">
        <v>43</v>
      </c>
      <c r="K705" s="15" t="s">
        <v>30</v>
      </c>
      <c r="L705" s="62"/>
      <c r="M705" s="14" t="s">
        <v>765</v>
      </c>
      <c r="N705" s="14" t="s">
        <v>33</v>
      </c>
      <c r="O705" s="14"/>
      <c r="P705" s="15" t="s">
        <v>766</v>
      </c>
      <c r="Q705" s="16">
        <v>20999</v>
      </c>
      <c r="R705" s="17">
        <v>45.01</v>
      </c>
      <c r="S705" s="18">
        <v>13279.9355</v>
      </c>
      <c r="T705" s="19" t="s">
        <v>36</v>
      </c>
      <c r="U705" s="20" t="s">
        <v>747</v>
      </c>
      <c r="V705" s="34">
        <v>39.5</v>
      </c>
      <c r="W705" s="22">
        <v>6</v>
      </c>
      <c r="X705" s="23"/>
    </row>
    <row r="706" spans="1:24" s="1" customFormat="1" ht="13.05" customHeight="1" x14ac:dyDescent="0.3">
      <c r="A706" s="24" t="s">
        <v>23</v>
      </c>
      <c r="B706" s="24" t="s">
        <v>762</v>
      </c>
      <c r="C706" s="12" t="s">
        <v>763</v>
      </c>
      <c r="D706" s="60"/>
      <c r="E706" s="41" t="str">
        <f t="shared" si="18"/>
        <v>Еще фото</v>
      </c>
      <c r="F706" s="13"/>
      <c r="G706" s="24" t="s">
        <v>740</v>
      </c>
      <c r="H706" s="24" t="s">
        <v>741</v>
      </c>
      <c r="I706" s="24" t="s">
        <v>742</v>
      </c>
      <c r="J706" s="14" t="s">
        <v>43</v>
      </c>
      <c r="K706" s="15" t="s">
        <v>30</v>
      </c>
      <c r="L706" s="62"/>
      <c r="M706" s="14" t="s">
        <v>765</v>
      </c>
      <c r="N706" s="14" t="s">
        <v>33</v>
      </c>
      <c r="O706" s="14"/>
      <c r="P706" s="15" t="s">
        <v>766</v>
      </c>
      <c r="Q706" s="16">
        <v>20999</v>
      </c>
      <c r="R706" s="17">
        <v>45.01</v>
      </c>
      <c r="S706" s="18">
        <v>13279.9355</v>
      </c>
      <c r="T706" s="19" t="s">
        <v>36</v>
      </c>
      <c r="U706" s="20" t="s">
        <v>748</v>
      </c>
      <c r="V706" s="22">
        <v>40</v>
      </c>
      <c r="W706" s="22">
        <v>7</v>
      </c>
      <c r="X706" s="23"/>
    </row>
    <row r="707" spans="1:24" s="1" customFormat="1" ht="13.05" customHeight="1" x14ac:dyDescent="0.3">
      <c r="A707" s="24" t="s">
        <v>23</v>
      </c>
      <c r="B707" s="24" t="s">
        <v>762</v>
      </c>
      <c r="C707" s="12" t="s">
        <v>763</v>
      </c>
      <c r="D707" s="60"/>
      <c r="E707" s="41" t="str">
        <f t="shared" si="18"/>
        <v>Еще фото</v>
      </c>
      <c r="F707" s="13"/>
      <c r="G707" s="24" t="s">
        <v>740</v>
      </c>
      <c r="H707" s="24" t="s">
        <v>741</v>
      </c>
      <c r="I707" s="24" t="s">
        <v>742</v>
      </c>
      <c r="J707" s="14" t="s">
        <v>43</v>
      </c>
      <c r="K707" s="15" t="s">
        <v>30</v>
      </c>
      <c r="L707" s="62"/>
      <c r="M707" s="14" t="s">
        <v>765</v>
      </c>
      <c r="N707" s="14" t="s">
        <v>33</v>
      </c>
      <c r="O707" s="14"/>
      <c r="P707" s="15" t="s">
        <v>766</v>
      </c>
      <c r="Q707" s="16">
        <v>20999</v>
      </c>
      <c r="R707" s="17">
        <v>45.01</v>
      </c>
      <c r="S707" s="18">
        <v>13279.9355</v>
      </c>
      <c r="T707" s="19" t="s">
        <v>36</v>
      </c>
      <c r="U707" s="20" t="s">
        <v>749</v>
      </c>
      <c r="V707" s="22">
        <v>41</v>
      </c>
      <c r="W707" s="22">
        <v>5</v>
      </c>
      <c r="X707" s="23"/>
    </row>
    <row r="708" spans="1:24" s="1" customFormat="1" ht="13.05" customHeight="1" x14ac:dyDescent="0.3">
      <c r="A708" s="24" t="s">
        <v>23</v>
      </c>
      <c r="B708" s="24" t="s">
        <v>762</v>
      </c>
      <c r="C708" s="12" t="s">
        <v>763</v>
      </c>
      <c r="D708" s="60"/>
      <c r="E708" s="41" t="str">
        <f t="shared" si="18"/>
        <v>Еще фото</v>
      </c>
      <c r="F708" s="13"/>
      <c r="G708" s="24" t="s">
        <v>740</v>
      </c>
      <c r="H708" s="24" t="s">
        <v>741</v>
      </c>
      <c r="I708" s="24" t="s">
        <v>742</v>
      </c>
      <c r="J708" s="14" t="s">
        <v>43</v>
      </c>
      <c r="K708" s="15" t="s">
        <v>30</v>
      </c>
      <c r="L708" s="62"/>
      <c r="M708" s="14" t="s">
        <v>765</v>
      </c>
      <c r="N708" s="14" t="s">
        <v>33</v>
      </c>
      <c r="O708" s="14"/>
      <c r="P708" s="15" t="s">
        <v>766</v>
      </c>
      <c r="Q708" s="16">
        <v>20999</v>
      </c>
      <c r="R708" s="17">
        <v>45.01</v>
      </c>
      <c r="S708" s="18">
        <v>13279.9355</v>
      </c>
      <c r="T708" s="19" t="s">
        <v>36</v>
      </c>
      <c r="U708" s="20" t="s">
        <v>750</v>
      </c>
      <c r="V708" s="34">
        <v>41.5</v>
      </c>
      <c r="W708" s="22">
        <v>9</v>
      </c>
      <c r="X708" s="23"/>
    </row>
    <row r="709" spans="1:24" s="1" customFormat="1" ht="13.05" customHeight="1" x14ac:dyDescent="0.3">
      <c r="A709" s="24" t="s">
        <v>23</v>
      </c>
      <c r="B709" s="24" t="s">
        <v>762</v>
      </c>
      <c r="C709" s="12" t="s">
        <v>763</v>
      </c>
      <c r="D709" s="60"/>
      <c r="E709" s="41" t="str">
        <f t="shared" si="18"/>
        <v>Еще фото</v>
      </c>
      <c r="F709" s="13"/>
      <c r="G709" s="24" t="s">
        <v>740</v>
      </c>
      <c r="H709" s="24" t="s">
        <v>741</v>
      </c>
      <c r="I709" s="24" t="s">
        <v>742</v>
      </c>
      <c r="J709" s="14" t="s">
        <v>43</v>
      </c>
      <c r="K709" s="15" t="s">
        <v>30</v>
      </c>
      <c r="L709" s="62"/>
      <c r="M709" s="14" t="s">
        <v>765</v>
      </c>
      <c r="N709" s="14" t="s">
        <v>33</v>
      </c>
      <c r="O709" s="14"/>
      <c r="P709" s="15" t="s">
        <v>766</v>
      </c>
      <c r="Q709" s="16">
        <v>20999</v>
      </c>
      <c r="R709" s="17">
        <v>45.01</v>
      </c>
      <c r="S709" s="18">
        <v>13279.9355</v>
      </c>
      <c r="T709" s="19" t="s">
        <v>36</v>
      </c>
      <c r="U709" s="20" t="s">
        <v>751</v>
      </c>
      <c r="V709" s="22">
        <v>42</v>
      </c>
      <c r="W709" s="22">
        <v>1</v>
      </c>
      <c r="X709" s="23"/>
    </row>
    <row r="710" spans="1:24" s="1" customFormat="1" ht="13.05" customHeight="1" x14ac:dyDescent="0.3">
      <c r="A710" s="24" t="s">
        <v>23</v>
      </c>
      <c r="B710" s="24" t="s">
        <v>762</v>
      </c>
      <c r="C710" s="12" t="s">
        <v>763</v>
      </c>
      <c r="D710" s="60"/>
      <c r="E710" s="41" t="str">
        <f t="shared" si="18"/>
        <v>Еще фото</v>
      </c>
      <c r="F710" s="13"/>
      <c r="G710" s="24" t="s">
        <v>740</v>
      </c>
      <c r="H710" s="24" t="s">
        <v>741</v>
      </c>
      <c r="I710" s="24" t="s">
        <v>742</v>
      </c>
      <c r="J710" s="14" t="s">
        <v>43</v>
      </c>
      <c r="K710" s="15" t="s">
        <v>30</v>
      </c>
      <c r="L710" s="62"/>
      <c r="M710" s="14" t="s">
        <v>765</v>
      </c>
      <c r="N710" s="14" t="s">
        <v>33</v>
      </c>
      <c r="O710" s="14"/>
      <c r="P710" s="15" t="s">
        <v>766</v>
      </c>
      <c r="Q710" s="16">
        <v>20999</v>
      </c>
      <c r="R710" s="17">
        <v>45.01</v>
      </c>
      <c r="S710" s="18">
        <v>13279.9355</v>
      </c>
      <c r="T710" s="19" t="s">
        <v>36</v>
      </c>
      <c r="U710" s="20" t="s">
        <v>752</v>
      </c>
      <c r="V710" s="22">
        <v>43</v>
      </c>
      <c r="W710" s="22">
        <v>1</v>
      </c>
      <c r="X710" s="23"/>
    </row>
    <row r="711" spans="1:24" s="1" customFormat="1" ht="18" customHeight="1" x14ac:dyDescent="0.3">
      <c r="A711" s="24" t="s">
        <v>23</v>
      </c>
      <c r="B711" s="24" t="s">
        <v>762</v>
      </c>
      <c r="C711" s="12" t="s">
        <v>763</v>
      </c>
      <c r="D711" s="61"/>
      <c r="E711" s="41" t="str">
        <f t="shared" si="18"/>
        <v>Еще фото</v>
      </c>
      <c r="F711" s="13"/>
      <c r="G711" s="24" t="s">
        <v>740</v>
      </c>
      <c r="H711" s="24" t="s">
        <v>741</v>
      </c>
      <c r="I711" s="24" t="s">
        <v>742</v>
      </c>
      <c r="J711" s="14" t="s">
        <v>43</v>
      </c>
      <c r="K711" s="15" t="s">
        <v>30</v>
      </c>
      <c r="L711" s="58"/>
      <c r="M711" s="14" t="s">
        <v>765</v>
      </c>
      <c r="N711" s="14" t="s">
        <v>33</v>
      </c>
      <c r="O711" s="14"/>
      <c r="P711" s="15" t="s">
        <v>766</v>
      </c>
      <c r="Q711" s="16">
        <v>20999</v>
      </c>
      <c r="R711" s="17">
        <v>45.01</v>
      </c>
      <c r="S711" s="18">
        <v>13279.9355</v>
      </c>
      <c r="T711" s="19" t="s">
        <v>36</v>
      </c>
      <c r="U711" s="20" t="s">
        <v>753</v>
      </c>
      <c r="V711" s="34">
        <v>43.5</v>
      </c>
      <c r="W711" s="22">
        <v>1</v>
      </c>
      <c r="X711" s="23"/>
    </row>
    <row r="712" spans="1:24" s="1" customFormat="1" ht="108" customHeight="1" x14ac:dyDescent="0.3">
      <c r="A712" s="11" t="s">
        <v>23</v>
      </c>
      <c r="B712" s="11" t="s">
        <v>767</v>
      </c>
      <c r="C712" s="12" t="s">
        <v>768</v>
      </c>
      <c r="D712" s="25"/>
      <c r="E712" s="41" t="str">
        <f>HYPERLINK("https://www.google.ru/search?q=6009335-477&amp;newwindow=1&amp;tbm=isch","Еще фото")</f>
        <v>Еще фото</v>
      </c>
      <c r="F712" s="13"/>
      <c r="G712" s="11" t="s">
        <v>769</v>
      </c>
      <c r="H712" s="11" t="s">
        <v>721</v>
      </c>
      <c r="I712" s="14" t="s">
        <v>770</v>
      </c>
      <c r="J712" s="14" t="s">
        <v>43</v>
      </c>
      <c r="K712" s="15" t="s">
        <v>59</v>
      </c>
      <c r="L712" s="14" t="s">
        <v>771</v>
      </c>
      <c r="M712" s="14"/>
      <c r="N712" s="14" t="s">
        <v>46</v>
      </c>
      <c r="O712" s="14"/>
      <c r="P712" s="15" t="s">
        <v>47</v>
      </c>
      <c r="Q712" s="16">
        <v>2599</v>
      </c>
      <c r="R712" s="17">
        <v>46</v>
      </c>
      <c r="S712" s="18">
        <v>1613.9789999999998</v>
      </c>
      <c r="T712" s="19" t="s">
        <v>725</v>
      </c>
      <c r="U712" s="20" t="s">
        <v>726</v>
      </c>
      <c r="V712" s="21" t="s">
        <v>409</v>
      </c>
      <c r="W712" s="22">
        <v>15</v>
      </c>
      <c r="X712" s="23"/>
    </row>
    <row r="713" spans="1:24" s="1" customFormat="1" ht="108" customHeight="1" x14ac:dyDescent="0.3">
      <c r="A713" s="11" t="s">
        <v>23</v>
      </c>
      <c r="B713" s="11" t="s">
        <v>767</v>
      </c>
      <c r="C713" s="12" t="s">
        <v>772</v>
      </c>
      <c r="D713" s="25"/>
      <c r="E713" s="41" t="str">
        <f>HYPERLINK("https://www.google.ru/search?q=6009335-600&amp;newwindow=1&amp;tbm=isch","Еще фото")</f>
        <v>Еще фото</v>
      </c>
      <c r="F713" s="13"/>
      <c r="G713" s="11" t="s">
        <v>769</v>
      </c>
      <c r="H713" s="11" t="s">
        <v>721</v>
      </c>
      <c r="I713" s="14" t="s">
        <v>770</v>
      </c>
      <c r="J713" s="14" t="s">
        <v>43</v>
      </c>
      <c r="K713" s="15" t="s">
        <v>59</v>
      </c>
      <c r="L713" s="14" t="s">
        <v>771</v>
      </c>
      <c r="M713" s="14"/>
      <c r="N713" s="14" t="s">
        <v>69</v>
      </c>
      <c r="O713" s="14"/>
      <c r="P713" s="15" t="s">
        <v>47</v>
      </c>
      <c r="Q713" s="16">
        <v>2599</v>
      </c>
      <c r="R713" s="17">
        <v>46</v>
      </c>
      <c r="S713" s="18">
        <v>1613.9789999999998</v>
      </c>
      <c r="T713" s="19" t="s">
        <v>725</v>
      </c>
      <c r="U713" s="20" t="s">
        <v>726</v>
      </c>
      <c r="V713" s="21" t="s">
        <v>409</v>
      </c>
      <c r="W713" s="22">
        <v>46</v>
      </c>
      <c r="X713" s="23"/>
    </row>
    <row r="714" spans="1:24" s="1" customFormat="1" ht="108" customHeight="1" x14ac:dyDescent="0.3">
      <c r="A714" s="11" t="s">
        <v>23</v>
      </c>
      <c r="B714" s="11" t="s">
        <v>773</v>
      </c>
      <c r="C714" s="12" t="s">
        <v>774</v>
      </c>
      <c r="D714" s="25"/>
      <c r="E714" s="41" t="str">
        <f>HYPERLINK("https://www.google.ru/search?q=1369781-498&amp;newwindow=1&amp;tbm=isch","Еще фото")</f>
        <v>Еще фото</v>
      </c>
      <c r="F714" s="13"/>
      <c r="G714" s="11" t="s">
        <v>769</v>
      </c>
      <c r="H714" s="11" t="s">
        <v>721</v>
      </c>
      <c r="I714" s="14" t="s">
        <v>770</v>
      </c>
      <c r="J714" s="14" t="s">
        <v>29</v>
      </c>
      <c r="K714" s="15" t="s">
        <v>30</v>
      </c>
      <c r="L714" s="14" t="s">
        <v>775</v>
      </c>
      <c r="M714" s="14" t="s">
        <v>32</v>
      </c>
      <c r="N714" s="14" t="s">
        <v>115</v>
      </c>
      <c r="O714" s="14"/>
      <c r="P714" s="15" t="s">
        <v>47</v>
      </c>
      <c r="Q714" s="16">
        <v>2699</v>
      </c>
      <c r="R714" s="17">
        <v>40</v>
      </c>
      <c r="S714" s="18">
        <v>1862.31</v>
      </c>
      <c r="T714" s="19" t="s">
        <v>725</v>
      </c>
      <c r="U714" s="20" t="s">
        <v>726</v>
      </c>
      <c r="V714" s="21" t="s">
        <v>727</v>
      </c>
      <c r="W714" s="22">
        <v>18</v>
      </c>
      <c r="X714" s="23"/>
    </row>
    <row r="715" spans="1:24" s="1" customFormat="1" ht="108" customHeight="1" x14ac:dyDescent="0.3">
      <c r="A715" s="11" t="s">
        <v>23</v>
      </c>
      <c r="B715" s="11" t="s">
        <v>776</v>
      </c>
      <c r="C715" s="12" t="s">
        <v>777</v>
      </c>
      <c r="D715" s="25"/>
      <c r="E715" s="41" t="str">
        <f>HYPERLINK("https://www.google.ru/search?q=1369790-102&amp;newwindow=1&amp;tbm=isch","Еще фото")</f>
        <v>Еще фото</v>
      </c>
      <c r="F715" s="13"/>
      <c r="G715" s="11" t="s">
        <v>769</v>
      </c>
      <c r="H715" s="11" t="s">
        <v>721</v>
      </c>
      <c r="I715" s="14" t="s">
        <v>770</v>
      </c>
      <c r="J715" s="14" t="s">
        <v>29</v>
      </c>
      <c r="K715" s="15" t="s">
        <v>59</v>
      </c>
      <c r="L715" s="14" t="s">
        <v>778</v>
      </c>
      <c r="M715" s="14"/>
      <c r="N715" s="14" t="s">
        <v>84</v>
      </c>
      <c r="O715" s="14"/>
      <c r="P715" s="15" t="s">
        <v>779</v>
      </c>
      <c r="Q715" s="16">
        <v>2299</v>
      </c>
      <c r="R715" s="17">
        <v>40</v>
      </c>
      <c r="S715" s="18">
        <v>1586.31</v>
      </c>
      <c r="T715" s="19" t="s">
        <v>725</v>
      </c>
      <c r="U715" s="20" t="s">
        <v>726</v>
      </c>
      <c r="V715" s="21" t="s">
        <v>409</v>
      </c>
      <c r="W715" s="22">
        <v>1</v>
      </c>
      <c r="X715" s="23"/>
    </row>
    <row r="716" spans="1:24" s="1" customFormat="1" ht="108" customHeight="1" x14ac:dyDescent="0.3">
      <c r="A716" s="11" t="s">
        <v>23</v>
      </c>
      <c r="B716" s="11" t="s">
        <v>780</v>
      </c>
      <c r="C716" s="12" t="s">
        <v>781</v>
      </c>
      <c r="D716" s="25"/>
      <c r="E716" s="41" t="str">
        <f>HYPERLINK("https://www.google.ru/search?q=1369815-308&amp;newwindow=1&amp;tbm=isch","Еще фото")</f>
        <v>Еще фото</v>
      </c>
      <c r="F716" s="13" t="s">
        <v>152</v>
      </c>
      <c r="G716" s="11" t="s">
        <v>769</v>
      </c>
      <c r="H716" s="11" t="s">
        <v>721</v>
      </c>
      <c r="I716" s="14" t="s">
        <v>770</v>
      </c>
      <c r="J716" s="14" t="s">
        <v>29</v>
      </c>
      <c r="K716" s="15" t="s">
        <v>30</v>
      </c>
      <c r="L716" s="14" t="s">
        <v>782</v>
      </c>
      <c r="M716" s="14"/>
      <c r="N716" s="14" t="s">
        <v>127</v>
      </c>
      <c r="O716" s="14"/>
      <c r="P716" s="15" t="s">
        <v>47</v>
      </c>
      <c r="Q716" s="16">
        <v>5699</v>
      </c>
      <c r="R716" s="17">
        <v>40</v>
      </c>
      <c r="S716" s="18">
        <v>3932.31</v>
      </c>
      <c r="T716" s="19" t="s">
        <v>725</v>
      </c>
      <c r="U716" s="20" t="s">
        <v>726</v>
      </c>
      <c r="V716" s="21" t="s">
        <v>727</v>
      </c>
      <c r="W716" s="22">
        <v>4</v>
      </c>
      <c r="X716" s="23"/>
    </row>
    <row r="717" spans="1:24" s="1" customFormat="1" ht="108" customHeight="1" x14ac:dyDescent="0.3">
      <c r="A717" s="11" t="s">
        <v>23</v>
      </c>
      <c r="B717" s="11" t="s">
        <v>783</v>
      </c>
      <c r="C717" s="12" t="s">
        <v>784</v>
      </c>
      <c r="D717" s="25"/>
      <c r="E717" s="41" t="str">
        <f>HYPERLINK("https://www.google.ru/search?q=1376700-035&amp;newwindow=1&amp;tbm=isch","Еще фото")</f>
        <v>Еще фото</v>
      </c>
      <c r="F717" s="13" t="s">
        <v>103</v>
      </c>
      <c r="G717" s="11" t="s">
        <v>769</v>
      </c>
      <c r="H717" s="11" t="s">
        <v>721</v>
      </c>
      <c r="I717" s="14" t="s">
        <v>770</v>
      </c>
      <c r="J717" s="14" t="s">
        <v>29</v>
      </c>
      <c r="K717" s="15" t="s">
        <v>30</v>
      </c>
      <c r="L717" s="14" t="s">
        <v>785</v>
      </c>
      <c r="M717" s="14" t="s">
        <v>61</v>
      </c>
      <c r="N717" s="14" t="s">
        <v>62</v>
      </c>
      <c r="O717" s="14"/>
      <c r="P717" s="15" t="s">
        <v>47</v>
      </c>
      <c r="Q717" s="16">
        <v>2499</v>
      </c>
      <c r="R717" s="17">
        <v>40</v>
      </c>
      <c r="S717" s="18">
        <v>1724.31</v>
      </c>
      <c r="T717" s="19" t="s">
        <v>36</v>
      </c>
      <c r="U717" s="20" t="s">
        <v>734</v>
      </c>
      <c r="V717" s="21" t="s">
        <v>786</v>
      </c>
      <c r="W717" s="22">
        <v>2</v>
      </c>
      <c r="X717" s="23"/>
    </row>
    <row r="718" spans="1:24" s="1" customFormat="1" ht="108" customHeight="1" x14ac:dyDescent="0.3">
      <c r="A718" s="11" t="s">
        <v>23</v>
      </c>
      <c r="B718" s="11" t="s">
        <v>783</v>
      </c>
      <c r="C718" s="12" t="s">
        <v>787</v>
      </c>
      <c r="D718" s="25"/>
      <c r="E718" s="41" t="str">
        <f>HYPERLINK("https://www.google.ru/search?q=1376700-400&amp;newwindow=1&amp;tbm=isch","Еще фото")</f>
        <v>Еще фото</v>
      </c>
      <c r="F718" s="13" t="s">
        <v>103</v>
      </c>
      <c r="G718" s="11" t="s">
        <v>769</v>
      </c>
      <c r="H718" s="11" t="s">
        <v>721</v>
      </c>
      <c r="I718" s="14" t="s">
        <v>770</v>
      </c>
      <c r="J718" s="14" t="s">
        <v>29</v>
      </c>
      <c r="K718" s="15" t="s">
        <v>30</v>
      </c>
      <c r="L718" s="14" t="s">
        <v>785</v>
      </c>
      <c r="M718" s="14" t="s">
        <v>61</v>
      </c>
      <c r="N718" s="14" t="s">
        <v>115</v>
      </c>
      <c r="O718" s="14"/>
      <c r="P718" s="15" t="s">
        <v>47</v>
      </c>
      <c r="Q718" s="16">
        <v>2499</v>
      </c>
      <c r="R718" s="17">
        <v>40</v>
      </c>
      <c r="S718" s="18">
        <v>1724.31</v>
      </c>
      <c r="T718" s="19" t="s">
        <v>36</v>
      </c>
      <c r="U718" s="20" t="s">
        <v>734</v>
      </c>
      <c r="V718" s="21" t="s">
        <v>786</v>
      </c>
      <c r="W718" s="22">
        <v>1</v>
      </c>
      <c r="X718" s="23"/>
    </row>
    <row r="719" spans="1:24" s="1" customFormat="1" ht="108" customHeight="1" x14ac:dyDescent="0.3">
      <c r="A719" s="11" t="s">
        <v>23</v>
      </c>
      <c r="B719" s="11" t="s">
        <v>783</v>
      </c>
      <c r="C719" s="12" t="s">
        <v>788</v>
      </c>
      <c r="D719" s="25"/>
      <c r="E719" s="41" t="str">
        <f>HYPERLINK("https://www.google.ru/search?q=1376700-410&amp;newwindow=1&amp;tbm=isch","Еще фото")</f>
        <v>Еще фото</v>
      </c>
      <c r="F719" s="13" t="s">
        <v>103</v>
      </c>
      <c r="G719" s="11" t="s">
        <v>769</v>
      </c>
      <c r="H719" s="11" t="s">
        <v>721</v>
      </c>
      <c r="I719" s="14" t="s">
        <v>770</v>
      </c>
      <c r="J719" s="14" t="s">
        <v>29</v>
      </c>
      <c r="K719" s="15" t="s">
        <v>30</v>
      </c>
      <c r="L719" s="14" t="s">
        <v>785</v>
      </c>
      <c r="M719" s="14" t="s">
        <v>61</v>
      </c>
      <c r="N719" s="14" t="s">
        <v>115</v>
      </c>
      <c r="O719" s="14"/>
      <c r="P719" s="15" t="s">
        <v>47</v>
      </c>
      <c r="Q719" s="16">
        <v>2499</v>
      </c>
      <c r="R719" s="17">
        <v>40</v>
      </c>
      <c r="S719" s="18">
        <v>1724.31</v>
      </c>
      <c r="T719" s="19" t="s">
        <v>36</v>
      </c>
      <c r="U719" s="20" t="s">
        <v>734</v>
      </c>
      <c r="V719" s="21" t="s">
        <v>786</v>
      </c>
      <c r="W719" s="22">
        <v>2</v>
      </c>
      <c r="X719" s="23"/>
    </row>
    <row r="720" spans="1:24" s="1" customFormat="1" ht="108" customHeight="1" x14ac:dyDescent="0.3">
      <c r="A720" s="11" t="s">
        <v>23</v>
      </c>
      <c r="B720" s="11" t="s">
        <v>789</v>
      </c>
      <c r="C720" s="12" t="s">
        <v>790</v>
      </c>
      <c r="D720" s="25"/>
      <c r="E720" s="41" t="str">
        <f>HYPERLINK("https://www.google.ru/search?q=1376701-452&amp;newwindow=1&amp;tbm=isch","Еще фото")</f>
        <v>Еще фото</v>
      </c>
      <c r="F720" s="13"/>
      <c r="G720" s="11" t="s">
        <v>791</v>
      </c>
      <c r="H720" s="11" t="s">
        <v>721</v>
      </c>
      <c r="I720" s="14" t="s">
        <v>770</v>
      </c>
      <c r="J720" s="14" t="s">
        <v>43</v>
      </c>
      <c r="K720" s="15" t="s">
        <v>30</v>
      </c>
      <c r="L720" s="14" t="s">
        <v>792</v>
      </c>
      <c r="M720" s="14"/>
      <c r="N720" s="14" t="s">
        <v>115</v>
      </c>
      <c r="O720" s="14"/>
      <c r="P720" s="15" t="s">
        <v>47</v>
      </c>
      <c r="Q720" s="16">
        <v>3199</v>
      </c>
      <c r="R720" s="17">
        <v>40</v>
      </c>
      <c r="S720" s="18">
        <v>2207.31</v>
      </c>
      <c r="T720" s="19" t="s">
        <v>725</v>
      </c>
      <c r="U720" s="20" t="s">
        <v>726</v>
      </c>
      <c r="V720" s="21" t="s">
        <v>727</v>
      </c>
      <c r="W720" s="22">
        <v>1</v>
      </c>
      <c r="X720" s="23"/>
    </row>
    <row r="721" spans="1:24" s="1" customFormat="1" ht="108" customHeight="1" x14ac:dyDescent="0.3">
      <c r="A721" s="11" t="s">
        <v>23</v>
      </c>
      <c r="B721" s="11" t="s">
        <v>789</v>
      </c>
      <c r="C721" s="12" t="s">
        <v>793</v>
      </c>
      <c r="D721" s="25"/>
      <c r="E721" s="41" t="str">
        <f>HYPERLINK("https://www.google.ru/search?q=1376701-600&amp;newwindow=1&amp;tbm=isch","Еще фото")</f>
        <v>Еще фото</v>
      </c>
      <c r="F721" s="13"/>
      <c r="G721" s="11" t="s">
        <v>791</v>
      </c>
      <c r="H721" s="11" t="s">
        <v>721</v>
      </c>
      <c r="I721" s="14" t="s">
        <v>770</v>
      </c>
      <c r="J721" s="14" t="s">
        <v>29</v>
      </c>
      <c r="K721" s="15" t="s">
        <v>30</v>
      </c>
      <c r="L721" s="14" t="s">
        <v>794</v>
      </c>
      <c r="M721" s="14" t="s">
        <v>61</v>
      </c>
      <c r="N721" s="14" t="s">
        <v>198</v>
      </c>
      <c r="O721" s="14"/>
      <c r="P721" s="15" t="s">
        <v>47</v>
      </c>
      <c r="Q721" s="16">
        <v>3599</v>
      </c>
      <c r="R721" s="17">
        <v>40</v>
      </c>
      <c r="S721" s="18">
        <v>2483.31</v>
      </c>
      <c r="T721" s="19" t="s">
        <v>725</v>
      </c>
      <c r="U721" s="20" t="s">
        <v>726</v>
      </c>
      <c r="V721" s="21" t="s">
        <v>727</v>
      </c>
      <c r="W721" s="22">
        <v>3</v>
      </c>
      <c r="X721" s="23"/>
    </row>
    <row r="722" spans="1:24" s="1" customFormat="1" ht="108" customHeight="1" x14ac:dyDescent="0.3">
      <c r="A722" s="11" t="s">
        <v>23</v>
      </c>
      <c r="B722" s="11" t="s">
        <v>795</v>
      </c>
      <c r="C722" s="12" t="s">
        <v>796</v>
      </c>
      <c r="D722" s="25"/>
      <c r="E722" s="41" t="str">
        <f>HYPERLINK("https://www.google.ru/search?q=1376702-001&amp;newwindow=1&amp;tbm=isch","Еще фото")</f>
        <v>Еще фото</v>
      </c>
      <c r="F722" s="13" t="s">
        <v>103</v>
      </c>
      <c r="G722" s="11" t="s">
        <v>769</v>
      </c>
      <c r="H722" s="11" t="s">
        <v>721</v>
      </c>
      <c r="I722" s="14" t="s">
        <v>770</v>
      </c>
      <c r="J722" s="14" t="s">
        <v>29</v>
      </c>
      <c r="K722" s="15" t="s">
        <v>30</v>
      </c>
      <c r="L722" s="14" t="s">
        <v>797</v>
      </c>
      <c r="M722" s="14"/>
      <c r="N722" s="14" t="s">
        <v>33</v>
      </c>
      <c r="O722" s="14"/>
      <c r="P722" s="15" t="s">
        <v>47</v>
      </c>
      <c r="Q722" s="16">
        <v>2399</v>
      </c>
      <c r="R722" s="17">
        <v>40</v>
      </c>
      <c r="S722" s="18">
        <v>1655.31</v>
      </c>
      <c r="T722" s="19" t="s">
        <v>36</v>
      </c>
      <c r="U722" s="20" t="s">
        <v>733</v>
      </c>
      <c r="V722" s="21" t="s">
        <v>798</v>
      </c>
      <c r="W722" s="22">
        <v>1</v>
      </c>
      <c r="X722" s="23"/>
    </row>
    <row r="723" spans="1:24" s="1" customFormat="1" ht="108" customHeight="1" x14ac:dyDescent="0.3">
      <c r="A723" s="11" t="s">
        <v>23</v>
      </c>
      <c r="B723" s="11" t="s">
        <v>795</v>
      </c>
      <c r="C723" s="12" t="s">
        <v>799</v>
      </c>
      <c r="D723" s="25"/>
      <c r="E723" s="41" t="str">
        <f>HYPERLINK("https://www.google.ru/search?q=1376702-100&amp;newwindow=1&amp;tbm=isch","Еще фото")</f>
        <v>Еще фото</v>
      </c>
      <c r="F723" s="13" t="s">
        <v>103</v>
      </c>
      <c r="G723" s="11" t="s">
        <v>769</v>
      </c>
      <c r="H723" s="11" t="s">
        <v>721</v>
      </c>
      <c r="I723" s="14" t="s">
        <v>770</v>
      </c>
      <c r="J723" s="14" t="s">
        <v>29</v>
      </c>
      <c r="K723" s="15" t="s">
        <v>30</v>
      </c>
      <c r="L723" s="14" t="s">
        <v>797</v>
      </c>
      <c r="M723" s="14"/>
      <c r="N723" s="14" t="s">
        <v>84</v>
      </c>
      <c r="O723" s="14"/>
      <c r="P723" s="15" t="s">
        <v>47</v>
      </c>
      <c r="Q723" s="16">
        <v>2399</v>
      </c>
      <c r="R723" s="17">
        <v>40</v>
      </c>
      <c r="S723" s="18">
        <v>1655.31</v>
      </c>
      <c r="T723" s="19" t="s">
        <v>36</v>
      </c>
      <c r="U723" s="20" t="s">
        <v>734</v>
      </c>
      <c r="V723" s="21" t="s">
        <v>786</v>
      </c>
      <c r="W723" s="22">
        <v>1</v>
      </c>
      <c r="X723" s="23"/>
    </row>
    <row r="724" spans="1:24" s="1" customFormat="1" ht="108" customHeight="1" x14ac:dyDescent="0.3">
      <c r="A724" s="11" t="s">
        <v>23</v>
      </c>
      <c r="B724" s="11" t="s">
        <v>800</v>
      </c>
      <c r="C724" s="12" t="s">
        <v>801</v>
      </c>
      <c r="D724" s="25"/>
      <c r="E724" s="41" t="str">
        <f>HYPERLINK("https://www.google.ru/search?q=1381646-410&amp;newwindow=1&amp;tbm=isch","Еще фото")</f>
        <v>Еще фото</v>
      </c>
      <c r="F724" s="13"/>
      <c r="G724" s="11" t="s">
        <v>769</v>
      </c>
      <c r="H724" s="11" t="s">
        <v>721</v>
      </c>
      <c r="I724" s="14" t="s">
        <v>770</v>
      </c>
      <c r="J724" s="14" t="s">
        <v>29</v>
      </c>
      <c r="K724" s="15" t="s">
        <v>50</v>
      </c>
      <c r="L724" s="14" t="s">
        <v>802</v>
      </c>
      <c r="M724" s="14"/>
      <c r="N724" s="14" t="s">
        <v>115</v>
      </c>
      <c r="O724" s="14"/>
      <c r="P724" s="15" t="s">
        <v>779</v>
      </c>
      <c r="Q724" s="16">
        <v>2299</v>
      </c>
      <c r="R724" s="17">
        <v>40</v>
      </c>
      <c r="S724" s="18">
        <v>1586.31</v>
      </c>
      <c r="T724" s="19" t="s">
        <v>725</v>
      </c>
      <c r="U724" s="20" t="s">
        <v>726</v>
      </c>
      <c r="V724" s="21" t="s">
        <v>803</v>
      </c>
      <c r="W724" s="22">
        <v>1</v>
      </c>
      <c r="X724" s="23"/>
    </row>
    <row r="725" spans="1:24" s="1" customFormat="1" ht="108" customHeight="1" x14ac:dyDescent="0.3">
      <c r="A725" s="11" t="s">
        <v>23</v>
      </c>
      <c r="B725" s="11" t="s">
        <v>804</v>
      </c>
      <c r="C725" s="12" t="s">
        <v>805</v>
      </c>
      <c r="D725" s="25"/>
      <c r="E725" s="41" t="str">
        <f>HYPERLINK("https://www.google.ru/search?q=1383436-002&amp;newwindow=1&amp;tbm=isch","Еще фото")</f>
        <v>Еще фото</v>
      </c>
      <c r="F725" s="28" t="s">
        <v>138</v>
      </c>
      <c r="G725" s="11" t="s">
        <v>769</v>
      </c>
      <c r="H725" s="11" t="s">
        <v>721</v>
      </c>
      <c r="I725" s="14" t="s">
        <v>770</v>
      </c>
      <c r="J725" s="14" t="s">
        <v>29</v>
      </c>
      <c r="K725" s="15" t="s">
        <v>30</v>
      </c>
      <c r="L725" s="14" t="s">
        <v>806</v>
      </c>
      <c r="M725" s="14"/>
      <c r="N725" s="14" t="s">
        <v>33</v>
      </c>
      <c r="O725" s="14"/>
      <c r="P725" s="15" t="s">
        <v>47</v>
      </c>
      <c r="Q725" s="16">
        <v>3099</v>
      </c>
      <c r="R725" s="17">
        <v>40</v>
      </c>
      <c r="S725" s="18">
        <v>2138.31</v>
      </c>
      <c r="T725" s="19" t="s">
        <v>725</v>
      </c>
      <c r="U725" s="20" t="s">
        <v>726</v>
      </c>
      <c r="V725" s="21" t="s">
        <v>727</v>
      </c>
      <c r="W725" s="22">
        <v>67</v>
      </c>
      <c r="X725" s="23"/>
    </row>
    <row r="726" spans="1:24" s="1" customFormat="1" ht="108" customHeight="1" x14ac:dyDescent="0.3">
      <c r="A726" s="11" t="s">
        <v>23</v>
      </c>
      <c r="B726" s="11" t="s">
        <v>804</v>
      </c>
      <c r="C726" s="12" t="s">
        <v>807</v>
      </c>
      <c r="D726" s="25"/>
      <c r="E726" s="41" t="str">
        <f>HYPERLINK("https://www.google.ru/search?q=1383436-069&amp;newwindow=1&amp;tbm=isch","Еще фото")</f>
        <v>Еще фото</v>
      </c>
      <c r="F726" s="28" t="s">
        <v>138</v>
      </c>
      <c r="G726" s="11" t="s">
        <v>769</v>
      </c>
      <c r="H726" s="11" t="s">
        <v>721</v>
      </c>
      <c r="I726" s="14" t="s">
        <v>770</v>
      </c>
      <c r="J726" s="14" t="s">
        <v>29</v>
      </c>
      <c r="K726" s="15" t="s">
        <v>30</v>
      </c>
      <c r="L726" s="14" t="s">
        <v>806</v>
      </c>
      <c r="M726" s="14"/>
      <c r="N726" s="14" t="s">
        <v>62</v>
      </c>
      <c r="O726" s="14"/>
      <c r="P726" s="15" t="s">
        <v>47</v>
      </c>
      <c r="Q726" s="16">
        <v>3099</v>
      </c>
      <c r="R726" s="17">
        <v>40</v>
      </c>
      <c r="S726" s="18">
        <v>2138.31</v>
      </c>
      <c r="T726" s="19" t="s">
        <v>725</v>
      </c>
      <c r="U726" s="20" t="s">
        <v>726</v>
      </c>
      <c r="V726" s="21" t="s">
        <v>727</v>
      </c>
      <c r="W726" s="22">
        <v>63</v>
      </c>
      <c r="X726" s="23"/>
    </row>
    <row r="727" spans="1:24" s="1" customFormat="1" ht="108" customHeight="1" x14ac:dyDescent="0.3">
      <c r="A727" s="11" t="s">
        <v>23</v>
      </c>
      <c r="B727" s="11" t="s">
        <v>808</v>
      </c>
      <c r="C727" s="12" t="s">
        <v>809</v>
      </c>
      <c r="D727" s="25"/>
      <c r="E727" s="41" t="str">
        <f>HYPERLINK("https://www.google.ru/search?q=1383440-001&amp;newwindow=1&amp;tbm=isch","Еще фото")</f>
        <v>Еще фото</v>
      </c>
      <c r="F727" s="13"/>
      <c r="G727" s="11" t="s">
        <v>769</v>
      </c>
      <c r="H727" s="11" t="s">
        <v>721</v>
      </c>
      <c r="I727" s="14" t="s">
        <v>770</v>
      </c>
      <c r="J727" s="14" t="s">
        <v>29</v>
      </c>
      <c r="K727" s="15" t="s">
        <v>30</v>
      </c>
      <c r="L727" s="14" t="s">
        <v>810</v>
      </c>
      <c r="M727" s="14"/>
      <c r="N727" s="14" t="s">
        <v>33</v>
      </c>
      <c r="O727" s="14"/>
      <c r="P727" s="15" t="s">
        <v>47</v>
      </c>
      <c r="Q727" s="16">
        <v>3299</v>
      </c>
      <c r="R727" s="17">
        <v>40</v>
      </c>
      <c r="S727" s="18">
        <v>2276.31</v>
      </c>
      <c r="T727" s="19" t="s">
        <v>725</v>
      </c>
      <c r="U727" s="20" t="s">
        <v>726</v>
      </c>
      <c r="V727" s="21" t="s">
        <v>727</v>
      </c>
      <c r="W727" s="22">
        <v>1</v>
      </c>
      <c r="X727" s="23"/>
    </row>
    <row r="728" spans="1:24" s="1" customFormat="1" ht="108" customHeight="1" x14ac:dyDescent="0.3">
      <c r="A728" s="11" t="s">
        <v>23</v>
      </c>
      <c r="B728" s="11" t="s">
        <v>811</v>
      </c>
      <c r="C728" s="12" t="s">
        <v>812</v>
      </c>
      <c r="D728" s="25"/>
      <c r="E728" s="41" t="str">
        <f>HYPERLINK("https://www.google.ru/search?q=1383445-377&amp;newwindow=1&amp;tbm=isch","Еще фото")</f>
        <v>Еще фото</v>
      </c>
      <c r="F728" s="13"/>
      <c r="G728" s="11" t="s">
        <v>769</v>
      </c>
      <c r="H728" s="11" t="s">
        <v>721</v>
      </c>
      <c r="I728" s="14" t="s">
        <v>770</v>
      </c>
      <c r="J728" s="14" t="s">
        <v>29</v>
      </c>
      <c r="K728" s="15" t="s">
        <v>59</v>
      </c>
      <c r="L728" s="14" t="s">
        <v>813</v>
      </c>
      <c r="M728" s="14"/>
      <c r="N728" s="14" t="s">
        <v>127</v>
      </c>
      <c r="O728" s="14"/>
      <c r="P728" s="15" t="s">
        <v>47</v>
      </c>
      <c r="Q728" s="16">
        <v>3099</v>
      </c>
      <c r="R728" s="17">
        <v>40</v>
      </c>
      <c r="S728" s="18">
        <v>2138.31</v>
      </c>
      <c r="T728" s="19" t="s">
        <v>725</v>
      </c>
      <c r="U728" s="20" t="s">
        <v>726</v>
      </c>
      <c r="V728" s="21" t="s">
        <v>409</v>
      </c>
      <c r="W728" s="22">
        <v>6</v>
      </c>
      <c r="X728" s="23"/>
    </row>
    <row r="729" spans="1:24" s="1" customFormat="1" ht="108" customHeight="1" x14ac:dyDescent="0.3">
      <c r="A729" s="11" t="s">
        <v>23</v>
      </c>
      <c r="B729" s="11" t="s">
        <v>814</v>
      </c>
      <c r="C729" s="12" t="s">
        <v>815</v>
      </c>
      <c r="D729" s="25"/>
      <c r="E729" s="41" t="str">
        <f>HYPERLINK("https://www.google.ru/search?q=1383478-001&amp;newwindow=1&amp;tbm=isch","Еще фото")</f>
        <v>Еще фото</v>
      </c>
      <c r="F729" s="13" t="s">
        <v>103</v>
      </c>
      <c r="G729" s="11" t="s">
        <v>769</v>
      </c>
      <c r="H729" s="11" t="s">
        <v>721</v>
      </c>
      <c r="I729" s="14" t="s">
        <v>770</v>
      </c>
      <c r="J729" s="14" t="s">
        <v>29</v>
      </c>
      <c r="K729" s="15" t="s">
        <v>59</v>
      </c>
      <c r="L729" s="14" t="s">
        <v>816</v>
      </c>
      <c r="M729" s="14" t="s">
        <v>817</v>
      </c>
      <c r="N729" s="14" t="s">
        <v>33</v>
      </c>
      <c r="O729" s="14"/>
      <c r="P729" s="15" t="s">
        <v>47</v>
      </c>
      <c r="Q729" s="16">
        <v>2999</v>
      </c>
      <c r="R729" s="17">
        <v>40</v>
      </c>
      <c r="S729" s="18">
        <v>2069.31</v>
      </c>
      <c r="T729" s="19" t="s">
        <v>725</v>
      </c>
      <c r="U729" s="20" t="s">
        <v>726</v>
      </c>
      <c r="V729" s="21" t="s">
        <v>409</v>
      </c>
      <c r="W729" s="22">
        <v>4</v>
      </c>
      <c r="X729" s="23"/>
    </row>
    <row r="730" spans="1:24" s="1" customFormat="1" ht="108" customHeight="1" x14ac:dyDescent="0.3">
      <c r="A730" s="11" t="s">
        <v>23</v>
      </c>
      <c r="B730" s="11" t="s">
        <v>814</v>
      </c>
      <c r="C730" s="12" t="s">
        <v>818</v>
      </c>
      <c r="D730" s="25"/>
      <c r="E730" s="41" t="str">
        <f>HYPERLINK("https://www.google.ru/search?q=1383478-100&amp;newwindow=1&amp;tbm=isch","Еще фото")</f>
        <v>Еще фото</v>
      </c>
      <c r="F730" s="13" t="s">
        <v>103</v>
      </c>
      <c r="G730" s="11" t="s">
        <v>769</v>
      </c>
      <c r="H730" s="11" t="s">
        <v>721</v>
      </c>
      <c r="I730" s="14" t="s">
        <v>770</v>
      </c>
      <c r="J730" s="14" t="s">
        <v>29</v>
      </c>
      <c r="K730" s="15" t="s">
        <v>59</v>
      </c>
      <c r="L730" s="14" t="s">
        <v>816</v>
      </c>
      <c r="M730" s="14" t="s">
        <v>817</v>
      </c>
      <c r="N730" s="14" t="s">
        <v>84</v>
      </c>
      <c r="O730" s="14"/>
      <c r="P730" s="15" t="s">
        <v>47</v>
      </c>
      <c r="Q730" s="16">
        <v>3099</v>
      </c>
      <c r="R730" s="17">
        <v>40</v>
      </c>
      <c r="S730" s="18">
        <v>2138.31</v>
      </c>
      <c r="T730" s="19" t="s">
        <v>725</v>
      </c>
      <c r="U730" s="20" t="s">
        <v>726</v>
      </c>
      <c r="V730" s="21" t="s">
        <v>409</v>
      </c>
      <c r="W730" s="22">
        <v>41</v>
      </c>
      <c r="X730" s="23"/>
    </row>
    <row r="731" spans="1:24" s="1" customFormat="1" ht="108" customHeight="1" x14ac:dyDescent="0.3">
      <c r="A731" s="11" t="s">
        <v>23</v>
      </c>
      <c r="B731" s="11" t="s">
        <v>819</v>
      </c>
      <c r="C731" s="12" t="s">
        <v>820</v>
      </c>
      <c r="D731" s="25"/>
      <c r="E731" s="41" t="str">
        <f>HYPERLINK("https://www.google.ru/search?q=1386658-709&amp;newwindow=1&amp;tbm=isch","Еще фото")</f>
        <v>Еще фото</v>
      </c>
      <c r="F731" s="28" t="s">
        <v>138</v>
      </c>
      <c r="G731" s="11" t="s">
        <v>769</v>
      </c>
      <c r="H731" s="11" t="s">
        <v>721</v>
      </c>
      <c r="I731" s="14" t="s">
        <v>770</v>
      </c>
      <c r="J731" s="14" t="s">
        <v>674</v>
      </c>
      <c r="K731" s="15" t="s">
        <v>30</v>
      </c>
      <c r="L731" s="14" t="s">
        <v>821</v>
      </c>
      <c r="M731" s="14"/>
      <c r="N731" s="14" t="s">
        <v>127</v>
      </c>
      <c r="O731" s="14"/>
      <c r="P731" s="15" t="s">
        <v>213</v>
      </c>
      <c r="Q731" s="16">
        <v>2999</v>
      </c>
      <c r="R731" s="17">
        <v>40</v>
      </c>
      <c r="S731" s="18">
        <v>2069.31</v>
      </c>
      <c r="T731" s="19" t="s">
        <v>725</v>
      </c>
      <c r="U731" s="20" t="s">
        <v>726</v>
      </c>
      <c r="V731" s="21" t="s">
        <v>727</v>
      </c>
      <c r="W731" s="22">
        <v>17</v>
      </c>
      <c r="X731" s="23"/>
    </row>
    <row r="732" spans="1:24" s="1" customFormat="1" ht="108" customHeight="1" x14ac:dyDescent="0.3">
      <c r="A732" s="11" t="s">
        <v>23</v>
      </c>
      <c r="B732" s="11" t="s">
        <v>822</v>
      </c>
      <c r="C732" s="12" t="s">
        <v>823</v>
      </c>
      <c r="D732" s="25"/>
      <c r="E732" s="41" t="str">
        <f>HYPERLINK("https://www.google.ru/search?q=1389695-410&amp;newwindow=1&amp;tbm=isch","Еще фото")</f>
        <v>Еще фото</v>
      </c>
      <c r="F732" s="13"/>
      <c r="G732" s="11" t="s">
        <v>769</v>
      </c>
      <c r="H732" s="11" t="s">
        <v>721</v>
      </c>
      <c r="I732" s="14" t="s">
        <v>770</v>
      </c>
      <c r="J732" s="14" t="s">
        <v>43</v>
      </c>
      <c r="K732" s="15" t="s">
        <v>30</v>
      </c>
      <c r="L732" s="14" t="s">
        <v>824</v>
      </c>
      <c r="M732" s="14"/>
      <c r="N732" s="14" t="s">
        <v>115</v>
      </c>
      <c r="O732" s="14"/>
      <c r="P732" s="15" t="s">
        <v>732</v>
      </c>
      <c r="Q732" s="16">
        <v>2799</v>
      </c>
      <c r="R732" s="17">
        <v>40</v>
      </c>
      <c r="S732" s="18">
        <v>1931.31</v>
      </c>
      <c r="T732" s="19" t="s">
        <v>725</v>
      </c>
      <c r="U732" s="20" t="s">
        <v>726</v>
      </c>
      <c r="V732" s="21" t="s">
        <v>727</v>
      </c>
      <c r="W732" s="22">
        <v>1</v>
      </c>
      <c r="X732" s="23"/>
    </row>
    <row r="733" spans="1:24" s="1" customFormat="1" ht="108" customHeight="1" x14ac:dyDescent="0.3">
      <c r="A733" s="11" t="s">
        <v>23</v>
      </c>
      <c r="B733" s="11" t="s">
        <v>825</v>
      </c>
      <c r="C733" s="12" t="s">
        <v>826</v>
      </c>
      <c r="D733" s="25"/>
      <c r="E733" s="41" t="str">
        <f>HYPERLINK("https://www.google.ru/search?q=1389887-025&amp;newwindow=1&amp;tbm=isch","Еще фото")</f>
        <v>Еще фото</v>
      </c>
      <c r="F733" s="13"/>
      <c r="G733" s="11" t="s">
        <v>769</v>
      </c>
      <c r="H733" s="11" t="s">
        <v>721</v>
      </c>
      <c r="I733" s="14" t="s">
        <v>770</v>
      </c>
      <c r="J733" s="14" t="s">
        <v>211</v>
      </c>
      <c r="K733" s="15" t="s">
        <v>30</v>
      </c>
      <c r="L733" s="14"/>
      <c r="M733" s="14"/>
      <c r="N733" s="14" t="s">
        <v>62</v>
      </c>
      <c r="O733" s="14"/>
      <c r="P733" s="15" t="s">
        <v>827</v>
      </c>
      <c r="Q733" s="16">
        <v>2999</v>
      </c>
      <c r="R733" s="17">
        <v>40</v>
      </c>
      <c r="S733" s="18">
        <v>2069.31</v>
      </c>
      <c r="T733" s="19" t="s">
        <v>36</v>
      </c>
      <c r="U733" s="20" t="s">
        <v>733</v>
      </c>
      <c r="V733" s="21" t="s">
        <v>798</v>
      </c>
      <c r="W733" s="22">
        <v>1</v>
      </c>
      <c r="X733" s="23"/>
    </row>
    <row r="734" spans="1:24" s="1" customFormat="1" ht="26" customHeight="1" x14ac:dyDescent="0.3">
      <c r="A734" s="11" t="s">
        <v>23</v>
      </c>
      <c r="B734" s="11" t="s">
        <v>825</v>
      </c>
      <c r="C734" s="12" t="s">
        <v>828</v>
      </c>
      <c r="D734" s="59"/>
      <c r="E734" s="41" t="str">
        <f>HYPERLINK("https://www.google.ru/search?q=1389887-069&amp;newwindow=1&amp;tbm=isch","Еще фото")</f>
        <v>Еще фото</v>
      </c>
      <c r="F734" s="28" t="s">
        <v>138</v>
      </c>
      <c r="G734" s="11" t="s">
        <v>769</v>
      </c>
      <c r="H734" s="11" t="s">
        <v>721</v>
      </c>
      <c r="I734" s="14" t="s">
        <v>770</v>
      </c>
      <c r="J734" s="14" t="s">
        <v>211</v>
      </c>
      <c r="K734" s="15" t="s">
        <v>30</v>
      </c>
      <c r="L734" s="57"/>
      <c r="M734" s="14"/>
      <c r="N734" s="14" t="s">
        <v>62</v>
      </c>
      <c r="O734" s="14"/>
      <c r="P734" s="15" t="s">
        <v>827</v>
      </c>
      <c r="Q734" s="16">
        <v>2999</v>
      </c>
      <c r="R734" s="17">
        <v>40</v>
      </c>
      <c r="S734" s="18">
        <v>2069.31</v>
      </c>
      <c r="T734" s="19" t="s">
        <v>36</v>
      </c>
      <c r="U734" s="20" t="s">
        <v>829</v>
      </c>
      <c r="V734" s="21" t="s">
        <v>830</v>
      </c>
      <c r="W734" s="22">
        <v>10</v>
      </c>
      <c r="X734" s="23"/>
    </row>
    <row r="735" spans="1:24" s="1" customFormat="1" ht="26" customHeight="1" x14ac:dyDescent="0.3">
      <c r="A735" s="24" t="s">
        <v>23</v>
      </c>
      <c r="B735" s="24" t="s">
        <v>825</v>
      </c>
      <c r="C735" s="12" t="s">
        <v>828</v>
      </c>
      <c r="D735" s="60"/>
      <c r="E735" s="41" t="str">
        <f>HYPERLINK("https://www.google.ru/search?q=1389887-069&amp;newwindow=1&amp;tbm=isch","Еще фото")</f>
        <v>Еще фото</v>
      </c>
      <c r="F735" s="28" t="s">
        <v>138</v>
      </c>
      <c r="G735" s="24" t="s">
        <v>769</v>
      </c>
      <c r="H735" s="24" t="s">
        <v>721</v>
      </c>
      <c r="I735" s="24" t="s">
        <v>770</v>
      </c>
      <c r="J735" s="14" t="s">
        <v>211</v>
      </c>
      <c r="K735" s="15" t="s">
        <v>30</v>
      </c>
      <c r="L735" s="62"/>
      <c r="M735" s="14"/>
      <c r="N735" s="14" t="s">
        <v>62</v>
      </c>
      <c r="O735" s="14"/>
      <c r="P735" s="15" t="s">
        <v>827</v>
      </c>
      <c r="Q735" s="16">
        <v>2999</v>
      </c>
      <c r="R735" s="17">
        <v>40</v>
      </c>
      <c r="S735" s="18">
        <v>2069.31</v>
      </c>
      <c r="T735" s="19" t="s">
        <v>36</v>
      </c>
      <c r="U735" s="20" t="s">
        <v>733</v>
      </c>
      <c r="V735" s="21" t="s">
        <v>798</v>
      </c>
      <c r="W735" s="22">
        <v>24</v>
      </c>
      <c r="X735" s="23"/>
    </row>
    <row r="736" spans="1:24" s="1" customFormat="1" ht="26" customHeight="1" x14ac:dyDescent="0.3">
      <c r="A736" s="24" t="s">
        <v>23</v>
      </c>
      <c r="B736" s="24" t="s">
        <v>825</v>
      </c>
      <c r="C736" s="12" t="s">
        <v>828</v>
      </c>
      <c r="D736" s="60"/>
      <c r="E736" s="41" t="str">
        <f>HYPERLINK("https://www.google.ru/search?q=1389887-069&amp;newwindow=1&amp;tbm=isch","Еще фото")</f>
        <v>Еще фото</v>
      </c>
      <c r="F736" s="28" t="s">
        <v>138</v>
      </c>
      <c r="G736" s="24" t="s">
        <v>769</v>
      </c>
      <c r="H736" s="24" t="s">
        <v>721</v>
      </c>
      <c r="I736" s="24" t="s">
        <v>770</v>
      </c>
      <c r="J736" s="14" t="s">
        <v>211</v>
      </c>
      <c r="K736" s="15" t="s">
        <v>30</v>
      </c>
      <c r="L736" s="62"/>
      <c r="M736" s="14"/>
      <c r="N736" s="14" t="s">
        <v>62</v>
      </c>
      <c r="O736" s="14"/>
      <c r="P736" s="15" t="s">
        <v>827</v>
      </c>
      <c r="Q736" s="16">
        <v>2999</v>
      </c>
      <c r="R736" s="17">
        <v>40</v>
      </c>
      <c r="S736" s="18">
        <v>2069.31</v>
      </c>
      <c r="T736" s="19" t="s">
        <v>36</v>
      </c>
      <c r="U736" s="20" t="s">
        <v>734</v>
      </c>
      <c r="V736" s="21" t="s">
        <v>786</v>
      </c>
      <c r="W736" s="22">
        <v>29</v>
      </c>
      <c r="X736" s="23"/>
    </row>
    <row r="737" spans="1:24" s="1" customFormat="1" ht="26" customHeight="1" x14ac:dyDescent="0.3">
      <c r="A737" s="24" t="s">
        <v>23</v>
      </c>
      <c r="B737" s="24" t="s">
        <v>825</v>
      </c>
      <c r="C737" s="12" t="s">
        <v>828</v>
      </c>
      <c r="D737" s="61"/>
      <c r="E737" s="41" t="str">
        <f>HYPERLINK("https://www.google.ru/search?q=1389887-069&amp;newwindow=1&amp;tbm=isch","Еще фото")</f>
        <v>Еще фото</v>
      </c>
      <c r="F737" s="28" t="s">
        <v>138</v>
      </c>
      <c r="G737" s="24" t="s">
        <v>769</v>
      </c>
      <c r="H737" s="24" t="s">
        <v>721</v>
      </c>
      <c r="I737" s="24" t="s">
        <v>770</v>
      </c>
      <c r="J737" s="14" t="s">
        <v>211</v>
      </c>
      <c r="K737" s="15" t="s">
        <v>30</v>
      </c>
      <c r="L737" s="58"/>
      <c r="M737" s="14"/>
      <c r="N737" s="14" t="s">
        <v>62</v>
      </c>
      <c r="O737" s="14"/>
      <c r="P737" s="15" t="s">
        <v>827</v>
      </c>
      <c r="Q737" s="16">
        <v>2999</v>
      </c>
      <c r="R737" s="17">
        <v>40</v>
      </c>
      <c r="S737" s="18">
        <v>2069.31</v>
      </c>
      <c r="T737" s="19" t="s">
        <v>36</v>
      </c>
      <c r="U737" s="20" t="s">
        <v>831</v>
      </c>
      <c r="V737" s="21" t="s">
        <v>832</v>
      </c>
      <c r="W737" s="22">
        <v>11</v>
      </c>
      <c r="X737" s="23"/>
    </row>
    <row r="738" spans="1:24" s="1" customFormat="1" ht="108" customHeight="1" x14ac:dyDescent="0.3">
      <c r="A738" s="11" t="s">
        <v>23</v>
      </c>
      <c r="B738" s="11" t="s">
        <v>833</v>
      </c>
      <c r="C738" s="12" t="s">
        <v>834</v>
      </c>
      <c r="D738" s="25"/>
      <c r="E738" s="41" t="str">
        <f>HYPERLINK("https://www.google.ru/search?q=1389890-100&amp;newwindow=1&amp;tbm=isch","Еще фото")</f>
        <v>Еще фото</v>
      </c>
      <c r="F738" s="13"/>
      <c r="G738" s="11" t="s">
        <v>769</v>
      </c>
      <c r="H738" s="11" t="s">
        <v>721</v>
      </c>
      <c r="I738" s="14" t="s">
        <v>770</v>
      </c>
      <c r="J738" s="14" t="s">
        <v>211</v>
      </c>
      <c r="K738" s="15" t="s">
        <v>30</v>
      </c>
      <c r="L738" s="14" t="s">
        <v>835</v>
      </c>
      <c r="M738" s="14"/>
      <c r="N738" s="14" t="s">
        <v>84</v>
      </c>
      <c r="O738" s="14"/>
      <c r="P738" s="15" t="s">
        <v>248</v>
      </c>
      <c r="Q738" s="16">
        <v>3499</v>
      </c>
      <c r="R738" s="17">
        <v>40</v>
      </c>
      <c r="S738" s="18">
        <v>2414.31</v>
      </c>
      <c r="T738" s="19" t="s">
        <v>725</v>
      </c>
      <c r="U738" s="20" t="s">
        <v>726</v>
      </c>
      <c r="V738" s="21" t="s">
        <v>727</v>
      </c>
      <c r="W738" s="22">
        <v>1</v>
      </c>
      <c r="X738" s="23"/>
    </row>
    <row r="739" spans="1:24" s="1" customFormat="1" ht="108" customHeight="1" x14ac:dyDescent="0.3">
      <c r="A739" s="11" t="s">
        <v>23</v>
      </c>
      <c r="B739" s="11" t="s">
        <v>836</v>
      </c>
      <c r="C739" s="12" t="s">
        <v>837</v>
      </c>
      <c r="D739" s="25"/>
      <c r="E739" s="41" t="str">
        <f>HYPERLINK("https://www.google.ru/search?q=6007147-022&amp;newwindow=1&amp;tbm=isch","Еще фото")</f>
        <v>Еще фото</v>
      </c>
      <c r="F739" s="13"/>
      <c r="G739" s="11" t="s">
        <v>769</v>
      </c>
      <c r="H739" s="11" t="s">
        <v>721</v>
      </c>
      <c r="I739" s="14" t="s">
        <v>770</v>
      </c>
      <c r="J739" s="14" t="s">
        <v>43</v>
      </c>
      <c r="K739" s="15" t="s">
        <v>30</v>
      </c>
      <c r="L739" s="14"/>
      <c r="M739" s="14"/>
      <c r="N739" s="14" t="s">
        <v>33</v>
      </c>
      <c r="O739" s="14"/>
      <c r="P739" s="15" t="s">
        <v>732</v>
      </c>
      <c r="Q739" s="16">
        <v>3099</v>
      </c>
      <c r="R739" s="17">
        <v>40</v>
      </c>
      <c r="S739" s="18">
        <v>2138.31</v>
      </c>
      <c r="T739" s="19" t="s">
        <v>725</v>
      </c>
      <c r="U739" s="20" t="s">
        <v>726</v>
      </c>
      <c r="V739" s="21" t="s">
        <v>727</v>
      </c>
      <c r="W739" s="22">
        <v>1</v>
      </c>
      <c r="X739" s="23"/>
    </row>
    <row r="740" spans="1:24" s="1" customFormat="1" ht="108" customHeight="1" x14ac:dyDescent="0.3">
      <c r="A740" s="11" t="s">
        <v>23</v>
      </c>
      <c r="B740" s="11" t="s">
        <v>767</v>
      </c>
      <c r="C740" s="12" t="s">
        <v>838</v>
      </c>
      <c r="D740" s="25"/>
      <c r="E740" s="41" t="str">
        <f>HYPERLINK("https://www.google.ru/search?q=6009335-001&amp;newwindow=1&amp;tbm=isch","Еще фото")</f>
        <v>Еще фото</v>
      </c>
      <c r="F740" s="13"/>
      <c r="G740" s="11" t="s">
        <v>769</v>
      </c>
      <c r="H740" s="11" t="s">
        <v>721</v>
      </c>
      <c r="I740" s="14" t="s">
        <v>770</v>
      </c>
      <c r="J740" s="14" t="s">
        <v>43</v>
      </c>
      <c r="K740" s="15" t="s">
        <v>59</v>
      </c>
      <c r="L740" s="14" t="s">
        <v>771</v>
      </c>
      <c r="M740" s="14"/>
      <c r="N740" s="14" t="s">
        <v>33</v>
      </c>
      <c r="O740" s="14"/>
      <c r="P740" s="15" t="s">
        <v>47</v>
      </c>
      <c r="Q740" s="16">
        <v>2599</v>
      </c>
      <c r="R740" s="17">
        <v>40</v>
      </c>
      <c r="S740" s="18">
        <v>1793.31</v>
      </c>
      <c r="T740" s="19" t="s">
        <v>725</v>
      </c>
      <c r="U740" s="20" t="s">
        <v>726</v>
      </c>
      <c r="V740" s="21" t="s">
        <v>409</v>
      </c>
      <c r="W740" s="22">
        <v>53</v>
      </c>
      <c r="X740" s="23"/>
    </row>
    <row r="741" spans="1:24" s="1" customFormat="1" ht="108" customHeight="1" x14ac:dyDescent="0.3">
      <c r="A741" s="11" t="s">
        <v>23</v>
      </c>
      <c r="B741" s="11" t="s">
        <v>767</v>
      </c>
      <c r="C741" s="12" t="s">
        <v>839</v>
      </c>
      <c r="D741" s="25"/>
      <c r="E741" s="41" t="str">
        <f>HYPERLINK("https://www.google.ru/search?q=6009335-100&amp;newwindow=1&amp;tbm=isch","Еще фото")</f>
        <v>Еще фото</v>
      </c>
      <c r="F741" s="13"/>
      <c r="G741" s="11" t="s">
        <v>769</v>
      </c>
      <c r="H741" s="11" t="s">
        <v>721</v>
      </c>
      <c r="I741" s="14" t="s">
        <v>770</v>
      </c>
      <c r="J741" s="14" t="s">
        <v>43</v>
      </c>
      <c r="K741" s="15" t="s">
        <v>59</v>
      </c>
      <c r="L741" s="14" t="s">
        <v>771</v>
      </c>
      <c r="M741" s="14"/>
      <c r="N741" s="14" t="s">
        <v>84</v>
      </c>
      <c r="O741" s="14"/>
      <c r="P741" s="15" t="s">
        <v>47</v>
      </c>
      <c r="Q741" s="16">
        <v>2599</v>
      </c>
      <c r="R741" s="17">
        <v>40</v>
      </c>
      <c r="S741" s="18">
        <v>1793.31</v>
      </c>
      <c r="T741" s="19" t="s">
        <v>725</v>
      </c>
      <c r="U741" s="20" t="s">
        <v>726</v>
      </c>
      <c r="V741" s="21" t="s">
        <v>409</v>
      </c>
      <c r="W741" s="22">
        <v>36</v>
      </c>
      <c r="X741" s="23"/>
    </row>
    <row r="742" spans="1:24" s="1" customFormat="1" ht="108" customHeight="1" x14ac:dyDescent="0.3">
      <c r="A742" s="11" t="s">
        <v>23</v>
      </c>
      <c r="B742" s="11" t="s">
        <v>767</v>
      </c>
      <c r="C742" s="12" t="s">
        <v>840</v>
      </c>
      <c r="D742" s="25"/>
      <c r="E742" s="41" t="str">
        <f>HYPERLINK("https://www.google.ru/search?q=6009335-110&amp;newwindow=1&amp;tbm=isch","Еще фото")</f>
        <v>Еще фото</v>
      </c>
      <c r="F742" s="13"/>
      <c r="G742" s="11" t="s">
        <v>769</v>
      </c>
      <c r="H742" s="11" t="s">
        <v>721</v>
      </c>
      <c r="I742" s="14" t="s">
        <v>770</v>
      </c>
      <c r="J742" s="14" t="s">
        <v>43</v>
      </c>
      <c r="K742" s="15" t="s">
        <v>59</v>
      </c>
      <c r="L742" s="14" t="s">
        <v>771</v>
      </c>
      <c r="M742" s="14"/>
      <c r="N742" s="14" t="s">
        <v>229</v>
      </c>
      <c r="O742" s="14"/>
      <c r="P742" s="15" t="s">
        <v>47</v>
      </c>
      <c r="Q742" s="16">
        <v>2599</v>
      </c>
      <c r="R742" s="17">
        <v>40</v>
      </c>
      <c r="S742" s="18">
        <v>1793.31</v>
      </c>
      <c r="T742" s="19" t="s">
        <v>725</v>
      </c>
      <c r="U742" s="20" t="s">
        <v>726</v>
      </c>
      <c r="V742" s="21" t="s">
        <v>409</v>
      </c>
      <c r="W742" s="22">
        <v>39</v>
      </c>
      <c r="X742" s="23"/>
    </row>
    <row r="743" spans="1:24" s="1" customFormat="1" ht="108" customHeight="1" x14ac:dyDescent="0.3">
      <c r="A743" s="11" t="s">
        <v>23</v>
      </c>
      <c r="B743" s="11" t="s">
        <v>841</v>
      </c>
      <c r="C743" s="12" t="s">
        <v>842</v>
      </c>
      <c r="D743" s="25"/>
      <c r="E743" s="41" t="str">
        <f>HYPERLINK("https://www.google.ru/search?q=6012684-338&amp;newwindow=1&amp;tbm=isch","Еще фото")</f>
        <v>Еще фото</v>
      </c>
      <c r="F743" s="13"/>
      <c r="G743" s="11" t="s">
        <v>769</v>
      </c>
      <c r="H743" s="11" t="s">
        <v>721</v>
      </c>
      <c r="I743" s="14" t="s">
        <v>770</v>
      </c>
      <c r="J743" s="14" t="s">
        <v>211</v>
      </c>
      <c r="K743" s="15" t="s">
        <v>30</v>
      </c>
      <c r="L743" s="14"/>
      <c r="M743" s="14"/>
      <c r="N743" s="14" t="s">
        <v>127</v>
      </c>
      <c r="O743" s="14"/>
      <c r="P743" s="15" t="s">
        <v>248</v>
      </c>
      <c r="Q743" s="16">
        <v>3099</v>
      </c>
      <c r="R743" s="17">
        <v>40</v>
      </c>
      <c r="S743" s="18">
        <v>2138.31</v>
      </c>
      <c r="T743" s="19" t="s">
        <v>725</v>
      </c>
      <c r="U743" s="20" t="s">
        <v>726</v>
      </c>
      <c r="V743" s="21" t="s">
        <v>727</v>
      </c>
      <c r="W743" s="22">
        <v>21</v>
      </c>
      <c r="X743" s="23"/>
    </row>
    <row r="744" spans="1:24" s="1" customFormat="1" ht="108" customHeight="1" x14ac:dyDescent="0.3">
      <c r="A744" s="11" t="s">
        <v>23</v>
      </c>
      <c r="B744" s="11" t="s">
        <v>843</v>
      </c>
      <c r="C744" s="12" t="s">
        <v>844</v>
      </c>
      <c r="D744" s="25"/>
      <c r="E744" s="41" t="str">
        <f>HYPERLINK("https://www.google.ru/search?q=6012685-001&amp;newwindow=1&amp;tbm=isch","Еще фото")</f>
        <v>Еще фото</v>
      </c>
      <c r="F744" s="13"/>
      <c r="G744" s="11" t="s">
        <v>769</v>
      </c>
      <c r="H744" s="11" t="s">
        <v>721</v>
      </c>
      <c r="I744" s="14" t="s">
        <v>770</v>
      </c>
      <c r="J744" s="14" t="s">
        <v>43</v>
      </c>
      <c r="K744" s="15" t="s">
        <v>59</v>
      </c>
      <c r="L744" s="14" t="s">
        <v>845</v>
      </c>
      <c r="M744" s="14"/>
      <c r="N744" s="14" t="s">
        <v>33</v>
      </c>
      <c r="O744" s="14"/>
      <c r="P744" s="15" t="s">
        <v>779</v>
      </c>
      <c r="Q744" s="16">
        <v>2499</v>
      </c>
      <c r="R744" s="17">
        <v>40</v>
      </c>
      <c r="S744" s="18">
        <v>1724.31</v>
      </c>
      <c r="T744" s="19" t="s">
        <v>725</v>
      </c>
      <c r="U744" s="20" t="s">
        <v>726</v>
      </c>
      <c r="V744" s="21" t="s">
        <v>409</v>
      </c>
      <c r="W744" s="22">
        <v>37</v>
      </c>
      <c r="X744" s="23"/>
    </row>
    <row r="745" spans="1:24" s="1" customFormat="1" ht="108" customHeight="1" x14ac:dyDescent="0.3">
      <c r="A745" s="11" t="s">
        <v>23</v>
      </c>
      <c r="B745" s="11" t="s">
        <v>843</v>
      </c>
      <c r="C745" s="12" t="s">
        <v>846</v>
      </c>
      <c r="D745" s="25"/>
      <c r="E745" s="41" t="str">
        <f>HYPERLINK("https://www.google.ru/search?q=6012685-100&amp;newwindow=1&amp;tbm=isch","Еще фото")</f>
        <v>Еще фото</v>
      </c>
      <c r="F745" s="13"/>
      <c r="G745" s="11" t="s">
        <v>769</v>
      </c>
      <c r="H745" s="11" t="s">
        <v>721</v>
      </c>
      <c r="I745" s="14" t="s">
        <v>770</v>
      </c>
      <c r="J745" s="14" t="s">
        <v>43</v>
      </c>
      <c r="K745" s="15" t="s">
        <v>59</v>
      </c>
      <c r="L745" s="14" t="s">
        <v>845</v>
      </c>
      <c r="M745" s="14"/>
      <c r="N745" s="14" t="s">
        <v>84</v>
      </c>
      <c r="O745" s="14"/>
      <c r="P745" s="15" t="s">
        <v>779</v>
      </c>
      <c r="Q745" s="16">
        <v>2499</v>
      </c>
      <c r="R745" s="17">
        <v>40</v>
      </c>
      <c r="S745" s="18">
        <v>1724.31</v>
      </c>
      <c r="T745" s="19" t="s">
        <v>725</v>
      </c>
      <c r="U745" s="20" t="s">
        <v>726</v>
      </c>
      <c r="V745" s="21" t="s">
        <v>409</v>
      </c>
      <c r="W745" s="22">
        <v>16</v>
      </c>
      <c r="X745" s="23"/>
    </row>
    <row r="746" spans="1:24" s="1" customFormat="1" ht="52.05" customHeight="1" x14ac:dyDescent="0.3">
      <c r="A746" s="11" t="s">
        <v>23</v>
      </c>
      <c r="B746" s="11" t="s">
        <v>847</v>
      </c>
      <c r="C746" s="12" t="s">
        <v>848</v>
      </c>
      <c r="D746" s="55"/>
      <c r="E746" s="41" t="str">
        <f>HYPERLINK("https://www.google.ru/search?q=1375442-001&amp;newwindow=1&amp;tbm=isch","Еще фото")</f>
        <v>Еще фото</v>
      </c>
      <c r="F746" s="13"/>
      <c r="G746" s="11" t="s">
        <v>849</v>
      </c>
      <c r="H746" s="11" t="s">
        <v>27</v>
      </c>
      <c r="I746" s="14" t="s">
        <v>850</v>
      </c>
      <c r="J746" s="14" t="s">
        <v>43</v>
      </c>
      <c r="K746" s="15" t="s">
        <v>59</v>
      </c>
      <c r="L746" s="57" t="s">
        <v>851</v>
      </c>
      <c r="M746" s="14" t="s">
        <v>852</v>
      </c>
      <c r="N746" s="14" t="s">
        <v>33</v>
      </c>
      <c r="O746" s="14"/>
      <c r="P746" s="15" t="s">
        <v>248</v>
      </c>
      <c r="Q746" s="16">
        <v>41999</v>
      </c>
      <c r="R746" s="17">
        <v>69.17</v>
      </c>
      <c r="S746" s="18">
        <v>14889.9355</v>
      </c>
      <c r="T746" s="19" t="s">
        <v>36</v>
      </c>
      <c r="U746" s="20" t="s">
        <v>37</v>
      </c>
      <c r="V746" s="21" t="s">
        <v>106</v>
      </c>
      <c r="W746" s="22">
        <v>21</v>
      </c>
      <c r="X746" s="23"/>
    </row>
    <row r="747" spans="1:24" s="1" customFormat="1" ht="61.05" customHeight="1" x14ac:dyDescent="0.3">
      <c r="A747" s="24" t="s">
        <v>23</v>
      </c>
      <c r="B747" s="24" t="s">
        <v>847</v>
      </c>
      <c r="C747" s="12" t="s">
        <v>848</v>
      </c>
      <c r="D747" s="56"/>
      <c r="E747" s="41" t="str">
        <f>HYPERLINK("https://www.google.ru/search?q=1375442-001&amp;newwindow=1&amp;tbm=isch","Еще фото")</f>
        <v>Еще фото</v>
      </c>
      <c r="F747" s="13"/>
      <c r="G747" s="24" t="s">
        <v>849</v>
      </c>
      <c r="H747" s="24" t="s">
        <v>27</v>
      </c>
      <c r="I747" s="24" t="s">
        <v>850</v>
      </c>
      <c r="J747" s="14" t="s">
        <v>43</v>
      </c>
      <c r="K747" s="15" t="s">
        <v>59</v>
      </c>
      <c r="L747" s="58"/>
      <c r="M747" s="14" t="s">
        <v>852</v>
      </c>
      <c r="N747" s="14" t="s">
        <v>33</v>
      </c>
      <c r="O747" s="14"/>
      <c r="P747" s="15" t="s">
        <v>248</v>
      </c>
      <c r="Q747" s="16">
        <v>41999</v>
      </c>
      <c r="R747" s="17">
        <v>69.17</v>
      </c>
      <c r="S747" s="18">
        <v>14889.9355</v>
      </c>
      <c r="T747" s="19" t="s">
        <v>36</v>
      </c>
      <c r="U747" s="20" t="s">
        <v>39</v>
      </c>
      <c r="V747" s="21" t="s">
        <v>85</v>
      </c>
      <c r="W747" s="22">
        <v>33</v>
      </c>
      <c r="X747" s="23"/>
    </row>
    <row r="748" spans="1:24" s="1" customFormat="1" ht="52.05" customHeight="1" x14ac:dyDescent="0.3">
      <c r="A748" s="11" t="s">
        <v>23</v>
      </c>
      <c r="B748" s="11" t="s">
        <v>853</v>
      </c>
      <c r="C748" s="12" t="s">
        <v>854</v>
      </c>
      <c r="D748" s="55"/>
      <c r="E748" s="41" t="str">
        <f>HYPERLINK("https://www.google.ru/search?q=1372650-431&amp;newwindow=1&amp;tbm=isch","Еще фото")</f>
        <v>Еще фото</v>
      </c>
      <c r="F748" s="13"/>
      <c r="G748" s="11" t="s">
        <v>855</v>
      </c>
      <c r="H748" s="11" t="s">
        <v>27</v>
      </c>
      <c r="I748" s="14" t="s">
        <v>850</v>
      </c>
      <c r="J748" s="14" t="s">
        <v>29</v>
      </c>
      <c r="K748" s="15" t="s">
        <v>30</v>
      </c>
      <c r="L748" s="57" t="s">
        <v>856</v>
      </c>
      <c r="M748" s="14"/>
      <c r="N748" s="14" t="s">
        <v>46</v>
      </c>
      <c r="O748" s="14"/>
      <c r="P748" s="15" t="s">
        <v>248</v>
      </c>
      <c r="Q748" s="16">
        <v>20399</v>
      </c>
      <c r="R748" s="17">
        <v>66.92</v>
      </c>
      <c r="S748" s="18">
        <v>7759.9354999999996</v>
      </c>
      <c r="T748" s="19" t="s">
        <v>36</v>
      </c>
      <c r="U748" s="20" t="s">
        <v>37</v>
      </c>
      <c r="V748" s="21" t="s">
        <v>38</v>
      </c>
      <c r="W748" s="22">
        <v>5</v>
      </c>
      <c r="X748" s="23"/>
    </row>
    <row r="749" spans="1:24" s="1" customFormat="1" ht="61.05" customHeight="1" x14ac:dyDescent="0.3">
      <c r="A749" s="24" t="s">
        <v>23</v>
      </c>
      <c r="B749" s="24" t="s">
        <v>853</v>
      </c>
      <c r="C749" s="12" t="s">
        <v>854</v>
      </c>
      <c r="D749" s="56"/>
      <c r="E749" s="41" t="str">
        <f>HYPERLINK("https://www.google.ru/search?q=1372650-431&amp;newwindow=1&amp;tbm=isch","Еще фото")</f>
        <v>Еще фото</v>
      </c>
      <c r="F749" s="13"/>
      <c r="G749" s="24" t="s">
        <v>855</v>
      </c>
      <c r="H749" s="24" t="s">
        <v>27</v>
      </c>
      <c r="I749" s="24" t="s">
        <v>850</v>
      </c>
      <c r="J749" s="14" t="s">
        <v>29</v>
      </c>
      <c r="K749" s="15" t="s">
        <v>30</v>
      </c>
      <c r="L749" s="58"/>
      <c r="M749" s="14"/>
      <c r="N749" s="14" t="s">
        <v>46</v>
      </c>
      <c r="O749" s="14"/>
      <c r="P749" s="15" t="s">
        <v>248</v>
      </c>
      <c r="Q749" s="16">
        <v>20399</v>
      </c>
      <c r="R749" s="17">
        <v>66.92</v>
      </c>
      <c r="S749" s="18">
        <v>7759.9354999999996</v>
      </c>
      <c r="T749" s="19" t="s">
        <v>36</v>
      </c>
      <c r="U749" s="20" t="s">
        <v>39</v>
      </c>
      <c r="V749" s="21" t="s">
        <v>40</v>
      </c>
      <c r="W749" s="22">
        <v>1</v>
      </c>
      <c r="X749" s="23"/>
    </row>
    <row r="750" spans="1:24" s="1" customFormat="1" ht="35" customHeight="1" x14ac:dyDescent="0.3">
      <c r="A750" s="11" t="s">
        <v>23</v>
      </c>
      <c r="B750" s="11" t="s">
        <v>857</v>
      </c>
      <c r="C750" s="12" t="s">
        <v>858</v>
      </c>
      <c r="D750" s="59"/>
      <c r="E750" s="41" t="str">
        <f>HYPERLINK("https://www.google.ru/search?q=1378494-112&amp;newwindow=1&amp;tbm=isch","Еще фото")</f>
        <v>Еще фото</v>
      </c>
      <c r="F750" s="13"/>
      <c r="G750" s="11" t="s">
        <v>859</v>
      </c>
      <c r="H750" s="11" t="s">
        <v>27</v>
      </c>
      <c r="I750" s="14" t="s">
        <v>850</v>
      </c>
      <c r="J750" s="14" t="s">
        <v>29</v>
      </c>
      <c r="K750" s="15" t="s">
        <v>30</v>
      </c>
      <c r="L750" s="57" t="s">
        <v>860</v>
      </c>
      <c r="M750" s="14" t="s">
        <v>32</v>
      </c>
      <c r="N750" s="14" t="s">
        <v>861</v>
      </c>
      <c r="O750" s="14"/>
      <c r="P750" s="15" t="s">
        <v>47</v>
      </c>
      <c r="Q750" s="16">
        <v>26999</v>
      </c>
      <c r="R750" s="17">
        <v>61.71</v>
      </c>
      <c r="S750" s="18">
        <v>11888.4355</v>
      </c>
      <c r="T750" s="19" t="s">
        <v>36</v>
      </c>
      <c r="U750" s="20" t="s">
        <v>37</v>
      </c>
      <c r="V750" s="21" t="s">
        <v>38</v>
      </c>
      <c r="W750" s="22">
        <v>10</v>
      </c>
      <c r="X750" s="23"/>
    </row>
    <row r="751" spans="1:24" s="1" customFormat="1" ht="35" customHeight="1" x14ac:dyDescent="0.3">
      <c r="A751" s="24" t="s">
        <v>23</v>
      </c>
      <c r="B751" s="24" t="s">
        <v>857</v>
      </c>
      <c r="C751" s="12" t="s">
        <v>858</v>
      </c>
      <c r="D751" s="60"/>
      <c r="E751" s="41" t="str">
        <f>HYPERLINK("https://www.google.ru/search?q=1378494-112&amp;newwindow=1&amp;tbm=isch","Еще фото")</f>
        <v>Еще фото</v>
      </c>
      <c r="F751" s="13"/>
      <c r="G751" s="24" t="s">
        <v>859</v>
      </c>
      <c r="H751" s="24" t="s">
        <v>27</v>
      </c>
      <c r="I751" s="24" t="s">
        <v>850</v>
      </c>
      <c r="J751" s="14" t="s">
        <v>29</v>
      </c>
      <c r="K751" s="15" t="s">
        <v>30</v>
      </c>
      <c r="L751" s="62"/>
      <c r="M751" s="14" t="s">
        <v>32</v>
      </c>
      <c r="N751" s="14" t="s">
        <v>861</v>
      </c>
      <c r="O751" s="14"/>
      <c r="P751" s="15" t="s">
        <v>47</v>
      </c>
      <c r="Q751" s="16">
        <v>26999</v>
      </c>
      <c r="R751" s="17">
        <v>61.71</v>
      </c>
      <c r="S751" s="18">
        <v>11888.4355</v>
      </c>
      <c r="T751" s="19" t="s">
        <v>36</v>
      </c>
      <c r="U751" s="20" t="s">
        <v>39</v>
      </c>
      <c r="V751" s="21" t="s">
        <v>40</v>
      </c>
      <c r="W751" s="22">
        <v>5</v>
      </c>
      <c r="X751" s="23"/>
    </row>
    <row r="752" spans="1:24" s="1" customFormat="1" ht="37.049999999999997" customHeight="1" x14ac:dyDescent="0.3">
      <c r="A752" s="24" t="s">
        <v>23</v>
      </c>
      <c r="B752" s="24" t="s">
        <v>857</v>
      </c>
      <c r="C752" s="12" t="s">
        <v>858</v>
      </c>
      <c r="D752" s="61"/>
      <c r="E752" s="41" t="str">
        <f>HYPERLINK("https://www.google.ru/search?q=1378494-112&amp;newwindow=1&amp;tbm=isch","Еще фото")</f>
        <v>Еще фото</v>
      </c>
      <c r="F752" s="13"/>
      <c r="G752" s="24" t="s">
        <v>859</v>
      </c>
      <c r="H752" s="24" t="s">
        <v>27</v>
      </c>
      <c r="I752" s="24" t="s">
        <v>850</v>
      </c>
      <c r="J752" s="14" t="s">
        <v>29</v>
      </c>
      <c r="K752" s="15" t="s">
        <v>30</v>
      </c>
      <c r="L752" s="58"/>
      <c r="M752" s="14" t="s">
        <v>32</v>
      </c>
      <c r="N752" s="14" t="s">
        <v>861</v>
      </c>
      <c r="O752" s="14"/>
      <c r="P752" s="15" t="s">
        <v>47</v>
      </c>
      <c r="Q752" s="16">
        <v>26999</v>
      </c>
      <c r="R752" s="17">
        <v>61.71</v>
      </c>
      <c r="S752" s="18">
        <v>11888.4355</v>
      </c>
      <c r="T752" s="19" t="s">
        <v>36</v>
      </c>
      <c r="U752" s="20" t="s">
        <v>86</v>
      </c>
      <c r="V752" s="21" t="s">
        <v>87</v>
      </c>
      <c r="W752" s="22">
        <v>1</v>
      </c>
      <c r="X752" s="23"/>
    </row>
    <row r="753" spans="1:24" s="1" customFormat="1" ht="52.05" customHeight="1" x14ac:dyDescent="0.3">
      <c r="A753" s="11" t="s">
        <v>23</v>
      </c>
      <c r="B753" s="11" t="s">
        <v>862</v>
      </c>
      <c r="C753" s="12" t="s">
        <v>863</v>
      </c>
      <c r="D753" s="55"/>
      <c r="E753" s="41" t="str">
        <f>HYPERLINK("https://www.google.ru/search?q=1316034-601&amp;newwindow=1&amp;tbm=isch","Еще фото")</f>
        <v>Еще фото</v>
      </c>
      <c r="F753" s="13"/>
      <c r="G753" s="11" t="s">
        <v>859</v>
      </c>
      <c r="H753" s="11" t="s">
        <v>27</v>
      </c>
      <c r="I753" s="14" t="s">
        <v>850</v>
      </c>
      <c r="J753" s="14" t="s">
        <v>43</v>
      </c>
      <c r="K753" s="15" t="s">
        <v>59</v>
      </c>
      <c r="L753" s="57" t="s">
        <v>864</v>
      </c>
      <c r="M753" s="14" t="s">
        <v>32</v>
      </c>
      <c r="N753" s="14" t="s">
        <v>382</v>
      </c>
      <c r="O753" s="14"/>
      <c r="P753" s="15" t="s">
        <v>248</v>
      </c>
      <c r="Q753" s="16">
        <v>17890</v>
      </c>
      <c r="R753" s="17">
        <v>55.74</v>
      </c>
      <c r="S753" s="18">
        <v>9105.4354999999996</v>
      </c>
      <c r="T753" s="19" t="s">
        <v>36</v>
      </c>
      <c r="U753" s="20" t="s">
        <v>63</v>
      </c>
      <c r="V753" s="21" t="s">
        <v>64</v>
      </c>
      <c r="W753" s="22">
        <v>5</v>
      </c>
      <c r="X753" s="23"/>
    </row>
    <row r="754" spans="1:24" s="1" customFormat="1" ht="61.05" customHeight="1" x14ac:dyDescent="0.3">
      <c r="A754" s="24" t="s">
        <v>23</v>
      </c>
      <c r="B754" s="24" t="s">
        <v>862</v>
      </c>
      <c r="C754" s="12" t="s">
        <v>863</v>
      </c>
      <c r="D754" s="56"/>
      <c r="E754" s="41" t="str">
        <f>HYPERLINK("https://www.google.ru/search?q=1316034-601&amp;newwindow=1&amp;tbm=isch","Еще фото")</f>
        <v>Еще фото</v>
      </c>
      <c r="F754" s="13"/>
      <c r="G754" s="24" t="s">
        <v>859</v>
      </c>
      <c r="H754" s="24" t="s">
        <v>27</v>
      </c>
      <c r="I754" s="24" t="s">
        <v>850</v>
      </c>
      <c r="J754" s="14" t="s">
        <v>43</v>
      </c>
      <c r="K754" s="15" t="s">
        <v>59</v>
      </c>
      <c r="L754" s="58"/>
      <c r="M754" s="14" t="s">
        <v>32</v>
      </c>
      <c r="N754" s="14" t="s">
        <v>382</v>
      </c>
      <c r="O754" s="14"/>
      <c r="P754" s="15" t="s">
        <v>248</v>
      </c>
      <c r="Q754" s="16">
        <v>17890</v>
      </c>
      <c r="R754" s="17">
        <v>55.74</v>
      </c>
      <c r="S754" s="18">
        <v>9105.4354999999996</v>
      </c>
      <c r="T754" s="19" t="s">
        <v>36</v>
      </c>
      <c r="U754" s="20" t="s">
        <v>37</v>
      </c>
      <c r="V754" s="21" t="s">
        <v>106</v>
      </c>
      <c r="W754" s="22">
        <v>3</v>
      </c>
      <c r="X754" s="23"/>
    </row>
    <row r="755" spans="1:24" s="1" customFormat="1" ht="35" customHeight="1" x14ac:dyDescent="0.3">
      <c r="A755" s="11" t="s">
        <v>23</v>
      </c>
      <c r="B755" s="11" t="s">
        <v>865</v>
      </c>
      <c r="C755" s="12" t="s">
        <v>866</v>
      </c>
      <c r="D755" s="59"/>
      <c r="E755" s="41" t="str">
        <f>HYPERLINK("https://www.google.ru/search?q=1380870-001&amp;newwindow=1&amp;tbm=isch","Еще фото")</f>
        <v>Еще фото</v>
      </c>
      <c r="F755" s="13" t="s">
        <v>103</v>
      </c>
      <c r="G755" s="11" t="s">
        <v>855</v>
      </c>
      <c r="H755" s="11" t="s">
        <v>27</v>
      </c>
      <c r="I755" s="14" t="s">
        <v>850</v>
      </c>
      <c r="J755" s="14" t="s">
        <v>29</v>
      </c>
      <c r="K755" s="15" t="s">
        <v>30</v>
      </c>
      <c r="L755" s="57" t="s">
        <v>867</v>
      </c>
      <c r="M755" s="14" t="s">
        <v>32</v>
      </c>
      <c r="N755" s="14" t="s">
        <v>33</v>
      </c>
      <c r="O755" s="14"/>
      <c r="P755" s="15" t="s">
        <v>47</v>
      </c>
      <c r="Q755" s="16">
        <v>11199</v>
      </c>
      <c r="R755" s="17">
        <v>52.52</v>
      </c>
      <c r="S755" s="18">
        <v>6115.4354999999996</v>
      </c>
      <c r="T755" s="19" t="s">
        <v>36</v>
      </c>
      <c r="U755" s="20" t="s">
        <v>37</v>
      </c>
      <c r="V755" s="21" t="s">
        <v>38</v>
      </c>
      <c r="W755" s="22">
        <v>15</v>
      </c>
      <c r="X755" s="23"/>
    </row>
    <row r="756" spans="1:24" s="1" customFormat="1" ht="35" customHeight="1" x14ac:dyDescent="0.3">
      <c r="A756" s="24" t="s">
        <v>23</v>
      </c>
      <c r="B756" s="24" t="s">
        <v>865</v>
      </c>
      <c r="C756" s="12" t="s">
        <v>866</v>
      </c>
      <c r="D756" s="60"/>
      <c r="E756" s="41" t="str">
        <f>HYPERLINK("https://www.google.ru/search?q=1380870-001&amp;newwindow=1&amp;tbm=isch","Еще фото")</f>
        <v>Еще фото</v>
      </c>
      <c r="F756" s="13" t="s">
        <v>103</v>
      </c>
      <c r="G756" s="24" t="s">
        <v>855</v>
      </c>
      <c r="H756" s="24" t="s">
        <v>27</v>
      </c>
      <c r="I756" s="24" t="s">
        <v>850</v>
      </c>
      <c r="J756" s="14" t="s">
        <v>29</v>
      </c>
      <c r="K756" s="15" t="s">
        <v>30</v>
      </c>
      <c r="L756" s="62"/>
      <c r="M756" s="14" t="s">
        <v>32</v>
      </c>
      <c r="N756" s="14" t="s">
        <v>33</v>
      </c>
      <c r="O756" s="14"/>
      <c r="P756" s="15" t="s">
        <v>47</v>
      </c>
      <c r="Q756" s="16">
        <v>11199</v>
      </c>
      <c r="R756" s="17">
        <v>52.52</v>
      </c>
      <c r="S756" s="18">
        <v>6115.4354999999996</v>
      </c>
      <c r="T756" s="19" t="s">
        <v>36</v>
      </c>
      <c r="U756" s="20" t="s">
        <v>39</v>
      </c>
      <c r="V756" s="21" t="s">
        <v>40</v>
      </c>
      <c r="W756" s="22">
        <v>30</v>
      </c>
      <c r="X756" s="23"/>
    </row>
    <row r="757" spans="1:24" s="1" customFormat="1" ht="37.049999999999997" customHeight="1" x14ac:dyDescent="0.3">
      <c r="A757" s="24" t="s">
        <v>23</v>
      </c>
      <c r="B757" s="24" t="s">
        <v>865</v>
      </c>
      <c r="C757" s="12" t="s">
        <v>866</v>
      </c>
      <c r="D757" s="61"/>
      <c r="E757" s="41" t="str">
        <f>HYPERLINK("https://www.google.ru/search?q=1380870-001&amp;newwindow=1&amp;tbm=isch","Еще фото")</f>
        <v>Еще фото</v>
      </c>
      <c r="F757" s="13" t="s">
        <v>103</v>
      </c>
      <c r="G757" s="24" t="s">
        <v>855</v>
      </c>
      <c r="H757" s="24" t="s">
        <v>27</v>
      </c>
      <c r="I757" s="24" t="s">
        <v>850</v>
      </c>
      <c r="J757" s="14" t="s">
        <v>29</v>
      </c>
      <c r="K757" s="15" t="s">
        <v>30</v>
      </c>
      <c r="L757" s="58"/>
      <c r="M757" s="14" t="s">
        <v>32</v>
      </c>
      <c r="N757" s="14" t="s">
        <v>33</v>
      </c>
      <c r="O757" s="14"/>
      <c r="P757" s="15" t="s">
        <v>47</v>
      </c>
      <c r="Q757" s="16">
        <v>11199</v>
      </c>
      <c r="R757" s="17">
        <v>52.52</v>
      </c>
      <c r="S757" s="18">
        <v>6115.4354999999996</v>
      </c>
      <c r="T757" s="19" t="s">
        <v>36</v>
      </c>
      <c r="U757" s="20" t="s">
        <v>86</v>
      </c>
      <c r="V757" s="21" t="s">
        <v>87</v>
      </c>
      <c r="W757" s="22">
        <v>19</v>
      </c>
      <c r="X757" s="23"/>
    </row>
    <row r="758" spans="1:24" s="1" customFormat="1" ht="21" customHeight="1" x14ac:dyDescent="0.3">
      <c r="A758" s="11" t="s">
        <v>23</v>
      </c>
      <c r="B758" s="11" t="s">
        <v>868</v>
      </c>
      <c r="C758" s="26" t="s">
        <v>869</v>
      </c>
      <c r="D758" s="59"/>
      <c r="E758" s="41" t="str">
        <f>HYPERLINK("https://www.google.ru/search?q=1385837-390&amp;newwindow=1&amp;tbm=isch","Еще фото")</f>
        <v>Еще фото</v>
      </c>
      <c r="F758" s="28" t="s">
        <v>152</v>
      </c>
      <c r="G758" s="11" t="s">
        <v>859</v>
      </c>
      <c r="H758" s="11" t="s">
        <v>27</v>
      </c>
      <c r="I758" s="14" t="s">
        <v>850</v>
      </c>
      <c r="J758" s="14" t="s">
        <v>29</v>
      </c>
      <c r="K758" s="15" t="s">
        <v>30</v>
      </c>
      <c r="L758" s="57" t="s">
        <v>870</v>
      </c>
      <c r="M758" s="14"/>
      <c r="N758" s="14" t="s">
        <v>871</v>
      </c>
      <c r="O758" s="14"/>
      <c r="P758" s="15" t="s">
        <v>248</v>
      </c>
      <c r="Q758" s="16">
        <v>28099</v>
      </c>
      <c r="R758" s="17">
        <v>52.43</v>
      </c>
      <c r="S758" s="18">
        <v>15372.9355</v>
      </c>
      <c r="T758" s="19" t="s">
        <v>36</v>
      </c>
      <c r="U758" s="20" t="s">
        <v>37</v>
      </c>
      <c r="V758" s="21" t="s">
        <v>38</v>
      </c>
      <c r="W758" s="22">
        <v>9</v>
      </c>
      <c r="X758" s="23"/>
    </row>
    <row r="759" spans="1:24" s="1" customFormat="1" ht="21" customHeight="1" x14ac:dyDescent="0.3">
      <c r="A759" s="24" t="s">
        <v>23</v>
      </c>
      <c r="B759" s="24" t="s">
        <v>868</v>
      </c>
      <c r="C759" s="27" t="s">
        <v>869</v>
      </c>
      <c r="D759" s="60"/>
      <c r="E759" s="41" t="str">
        <f>HYPERLINK("https://www.google.ru/search?q=1385837-390&amp;newwindow=1&amp;tbm=isch","Еще фото")</f>
        <v>Еще фото</v>
      </c>
      <c r="F759" s="28" t="s">
        <v>152</v>
      </c>
      <c r="G759" s="24" t="s">
        <v>859</v>
      </c>
      <c r="H759" s="24" t="s">
        <v>27</v>
      </c>
      <c r="I759" s="24" t="s">
        <v>850</v>
      </c>
      <c r="J759" s="14" t="s">
        <v>29</v>
      </c>
      <c r="K759" s="15" t="s">
        <v>30</v>
      </c>
      <c r="L759" s="62"/>
      <c r="M759" s="14"/>
      <c r="N759" s="14" t="s">
        <v>871</v>
      </c>
      <c r="O759" s="14"/>
      <c r="P759" s="15" t="s">
        <v>248</v>
      </c>
      <c r="Q759" s="16">
        <v>28099</v>
      </c>
      <c r="R759" s="17">
        <v>52.43</v>
      </c>
      <c r="S759" s="18">
        <v>15372.9355</v>
      </c>
      <c r="T759" s="19" t="s">
        <v>36</v>
      </c>
      <c r="U759" s="20" t="s">
        <v>39</v>
      </c>
      <c r="V759" s="21" t="s">
        <v>40</v>
      </c>
      <c r="W759" s="22">
        <v>26</v>
      </c>
      <c r="X759" s="23"/>
    </row>
    <row r="760" spans="1:24" s="1" customFormat="1" ht="21" customHeight="1" x14ac:dyDescent="0.3">
      <c r="A760" s="24" t="s">
        <v>23</v>
      </c>
      <c r="B760" s="24" t="s">
        <v>868</v>
      </c>
      <c r="C760" s="27" t="s">
        <v>869</v>
      </c>
      <c r="D760" s="60"/>
      <c r="E760" s="41" t="str">
        <f>HYPERLINK("https://www.google.ru/search?q=1385837-390&amp;newwindow=1&amp;tbm=isch","Еще фото")</f>
        <v>Еще фото</v>
      </c>
      <c r="F760" s="28" t="s">
        <v>152</v>
      </c>
      <c r="G760" s="24" t="s">
        <v>859</v>
      </c>
      <c r="H760" s="24" t="s">
        <v>27</v>
      </c>
      <c r="I760" s="24" t="s">
        <v>850</v>
      </c>
      <c r="J760" s="14" t="s">
        <v>29</v>
      </c>
      <c r="K760" s="15" t="s">
        <v>30</v>
      </c>
      <c r="L760" s="62"/>
      <c r="M760" s="14"/>
      <c r="N760" s="14" t="s">
        <v>871</v>
      </c>
      <c r="O760" s="14"/>
      <c r="P760" s="15" t="s">
        <v>248</v>
      </c>
      <c r="Q760" s="16">
        <v>28099</v>
      </c>
      <c r="R760" s="17">
        <v>52.43</v>
      </c>
      <c r="S760" s="18">
        <v>15372.9355</v>
      </c>
      <c r="T760" s="19" t="s">
        <v>36</v>
      </c>
      <c r="U760" s="20" t="s">
        <v>86</v>
      </c>
      <c r="V760" s="21" t="s">
        <v>87</v>
      </c>
      <c r="W760" s="22">
        <v>34</v>
      </c>
      <c r="X760" s="23"/>
    </row>
    <row r="761" spans="1:24" s="1" customFormat="1" ht="21" customHeight="1" x14ac:dyDescent="0.3">
      <c r="A761" s="24" t="s">
        <v>23</v>
      </c>
      <c r="B761" s="24" t="s">
        <v>868</v>
      </c>
      <c r="C761" s="27" t="s">
        <v>869</v>
      </c>
      <c r="D761" s="60"/>
      <c r="E761" s="41" t="str">
        <f>HYPERLINK("https://www.google.ru/search?q=1385837-390&amp;newwindow=1&amp;tbm=isch","Еще фото")</f>
        <v>Еще фото</v>
      </c>
      <c r="F761" s="28" t="s">
        <v>152</v>
      </c>
      <c r="G761" s="24" t="s">
        <v>859</v>
      </c>
      <c r="H761" s="24" t="s">
        <v>27</v>
      </c>
      <c r="I761" s="24" t="s">
        <v>850</v>
      </c>
      <c r="J761" s="14" t="s">
        <v>29</v>
      </c>
      <c r="K761" s="15" t="s">
        <v>30</v>
      </c>
      <c r="L761" s="62"/>
      <c r="M761" s="14"/>
      <c r="N761" s="14" t="s">
        <v>871</v>
      </c>
      <c r="O761" s="14"/>
      <c r="P761" s="15" t="s">
        <v>248</v>
      </c>
      <c r="Q761" s="16">
        <v>28099</v>
      </c>
      <c r="R761" s="17">
        <v>52.43</v>
      </c>
      <c r="S761" s="18">
        <v>15372.9355</v>
      </c>
      <c r="T761" s="19" t="s">
        <v>36</v>
      </c>
      <c r="U761" s="20" t="s">
        <v>88</v>
      </c>
      <c r="V761" s="21" t="s">
        <v>89</v>
      </c>
      <c r="W761" s="22">
        <v>15</v>
      </c>
      <c r="X761" s="23"/>
    </row>
    <row r="762" spans="1:24" s="1" customFormat="1" ht="32" customHeight="1" x14ac:dyDescent="0.3">
      <c r="A762" s="24" t="s">
        <v>23</v>
      </c>
      <c r="B762" s="24" t="s">
        <v>868</v>
      </c>
      <c r="C762" s="27" t="s">
        <v>869</v>
      </c>
      <c r="D762" s="61"/>
      <c r="E762" s="41" t="str">
        <f>HYPERLINK("https://www.google.ru/search?q=1385837-390&amp;newwindow=1&amp;tbm=isch","Еще фото")</f>
        <v>Еще фото</v>
      </c>
      <c r="F762" s="28" t="s">
        <v>152</v>
      </c>
      <c r="G762" s="24" t="s">
        <v>859</v>
      </c>
      <c r="H762" s="24" t="s">
        <v>27</v>
      </c>
      <c r="I762" s="24" t="s">
        <v>850</v>
      </c>
      <c r="J762" s="14" t="s">
        <v>29</v>
      </c>
      <c r="K762" s="15" t="s">
        <v>30</v>
      </c>
      <c r="L762" s="58"/>
      <c r="M762" s="14"/>
      <c r="N762" s="14" t="s">
        <v>871</v>
      </c>
      <c r="O762" s="14"/>
      <c r="P762" s="15" t="s">
        <v>248</v>
      </c>
      <c r="Q762" s="16">
        <v>28099</v>
      </c>
      <c r="R762" s="17">
        <v>52.43</v>
      </c>
      <c r="S762" s="18">
        <v>15372.9355</v>
      </c>
      <c r="T762" s="19" t="s">
        <v>36</v>
      </c>
      <c r="U762" s="20" t="s">
        <v>90</v>
      </c>
      <c r="V762" s="21" t="s">
        <v>91</v>
      </c>
      <c r="W762" s="22">
        <v>1</v>
      </c>
      <c r="X762" s="23"/>
    </row>
    <row r="763" spans="1:24" s="1" customFormat="1" ht="52.05" customHeight="1" x14ac:dyDescent="0.3">
      <c r="A763" s="11" t="s">
        <v>23</v>
      </c>
      <c r="B763" s="11" t="s">
        <v>872</v>
      </c>
      <c r="C763" s="12" t="s">
        <v>873</v>
      </c>
      <c r="D763" s="55"/>
      <c r="E763" s="41" t="str">
        <f>HYPERLINK("https://www.google.ru/search?q=1378837-001&amp;newwindow=1&amp;tbm=isch","Еще фото")</f>
        <v>Еще фото</v>
      </c>
      <c r="F763" s="13" t="s">
        <v>103</v>
      </c>
      <c r="G763" s="11" t="s">
        <v>855</v>
      </c>
      <c r="H763" s="11" t="s">
        <v>27</v>
      </c>
      <c r="I763" s="14" t="s">
        <v>850</v>
      </c>
      <c r="J763" s="14" t="s">
        <v>29</v>
      </c>
      <c r="K763" s="15" t="s">
        <v>30</v>
      </c>
      <c r="L763" s="57" t="s">
        <v>874</v>
      </c>
      <c r="M763" s="14" t="s">
        <v>852</v>
      </c>
      <c r="N763" s="14" t="s">
        <v>33</v>
      </c>
      <c r="O763" s="14"/>
      <c r="P763" s="15" t="s">
        <v>248</v>
      </c>
      <c r="Q763" s="16">
        <v>33999</v>
      </c>
      <c r="R763" s="17">
        <v>52.42</v>
      </c>
      <c r="S763" s="18">
        <v>18604.4355</v>
      </c>
      <c r="T763" s="19" t="s">
        <v>36</v>
      </c>
      <c r="U763" s="20" t="s">
        <v>37</v>
      </c>
      <c r="V763" s="21" t="s">
        <v>38</v>
      </c>
      <c r="W763" s="22">
        <v>6</v>
      </c>
      <c r="X763" s="23"/>
    </row>
    <row r="764" spans="1:24" s="1" customFormat="1" ht="61.05" customHeight="1" x14ac:dyDescent="0.3">
      <c r="A764" s="24" t="s">
        <v>23</v>
      </c>
      <c r="B764" s="24" t="s">
        <v>872</v>
      </c>
      <c r="C764" s="12" t="s">
        <v>873</v>
      </c>
      <c r="D764" s="56"/>
      <c r="E764" s="41" t="str">
        <f>HYPERLINK("https://www.google.ru/search?q=1378837-001&amp;newwindow=1&amp;tbm=isch","Еще фото")</f>
        <v>Еще фото</v>
      </c>
      <c r="F764" s="13" t="s">
        <v>103</v>
      </c>
      <c r="G764" s="24" t="s">
        <v>855</v>
      </c>
      <c r="H764" s="24" t="s">
        <v>27</v>
      </c>
      <c r="I764" s="24" t="s">
        <v>850</v>
      </c>
      <c r="J764" s="14" t="s">
        <v>29</v>
      </c>
      <c r="K764" s="15" t="s">
        <v>30</v>
      </c>
      <c r="L764" s="58"/>
      <c r="M764" s="14" t="s">
        <v>852</v>
      </c>
      <c r="N764" s="14" t="s">
        <v>33</v>
      </c>
      <c r="O764" s="14"/>
      <c r="P764" s="15" t="s">
        <v>248</v>
      </c>
      <c r="Q764" s="16">
        <v>33999</v>
      </c>
      <c r="R764" s="17">
        <v>52.42</v>
      </c>
      <c r="S764" s="18">
        <v>18604.4355</v>
      </c>
      <c r="T764" s="19" t="s">
        <v>36</v>
      </c>
      <c r="U764" s="20" t="s">
        <v>39</v>
      </c>
      <c r="V764" s="21" t="s">
        <v>40</v>
      </c>
      <c r="W764" s="22">
        <v>13</v>
      </c>
      <c r="X764" s="23"/>
    </row>
    <row r="765" spans="1:24" s="1" customFormat="1" ht="26" customHeight="1" x14ac:dyDescent="0.3">
      <c r="A765" s="11" t="s">
        <v>23</v>
      </c>
      <c r="B765" s="11" t="s">
        <v>868</v>
      </c>
      <c r="C765" s="12" t="s">
        <v>875</v>
      </c>
      <c r="D765" s="59"/>
      <c r="E765" s="41" t="str">
        <f>HYPERLINK("https://www.google.ru/search?q=1385852-001&amp;newwindow=1&amp;tbm=isch","Еще фото")</f>
        <v>Еще фото</v>
      </c>
      <c r="F765" s="28" t="s">
        <v>152</v>
      </c>
      <c r="G765" s="11" t="s">
        <v>859</v>
      </c>
      <c r="H765" s="11" t="s">
        <v>27</v>
      </c>
      <c r="I765" s="14" t="s">
        <v>850</v>
      </c>
      <c r="J765" s="14" t="s">
        <v>29</v>
      </c>
      <c r="K765" s="15" t="s">
        <v>59</v>
      </c>
      <c r="L765" s="57" t="s">
        <v>870</v>
      </c>
      <c r="M765" s="14"/>
      <c r="N765" s="14" t="s">
        <v>33</v>
      </c>
      <c r="O765" s="14"/>
      <c r="P765" s="15" t="s">
        <v>248</v>
      </c>
      <c r="Q765" s="16">
        <v>27999</v>
      </c>
      <c r="R765" s="17">
        <v>49.76</v>
      </c>
      <c r="S765" s="18">
        <v>16177.9355</v>
      </c>
      <c r="T765" s="19" t="s">
        <v>36</v>
      </c>
      <c r="U765" s="20" t="s">
        <v>63</v>
      </c>
      <c r="V765" s="21" t="s">
        <v>64</v>
      </c>
      <c r="W765" s="22">
        <v>10</v>
      </c>
      <c r="X765" s="23"/>
    </row>
    <row r="766" spans="1:24" s="1" customFormat="1" ht="26" customHeight="1" x14ac:dyDescent="0.3">
      <c r="A766" s="24" t="s">
        <v>23</v>
      </c>
      <c r="B766" s="24" t="s">
        <v>868</v>
      </c>
      <c r="C766" s="12" t="s">
        <v>875</v>
      </c>
      <c r="D766" s="60"/>
      <c r="E766" s="41" t="str">
        <f>HYPERLINK("https://www.google.ru/search?q=1385852-001&amp;newwindow=1&amp;tbm=isch","Еще фото")</f>
        <v>Еще фото</v>
      </c>
      <c r="F766" s="28" t="s">
        <v>152</v>
      </c>
      <c r="G766" s="24" t="s">
        <v>859</v>
      </c>
      <c r="H766" s="24" t="s">
        <v>27</v>
      </c>
      <c r="I766" s="24" t="s">
        <v>850</v>
      </c>
      <c r="J766" s="14" t="s">
        <v>29</v>
      </c>
      <c r="K766" s="15" t="s">
        <v>59</v>
      </c>
      <c r="L766" s="62"/>
      <c r="M766" s="14"/>
      <c r="N766" s="14" t="s">
        <v>33</v>
      </c>
      <c r="O766" s="14"/>
      <c r="P766" s="15" t="s">
        <v>248</v>
      </c>
      <c r="Q766" s="16">
        <v>27999</v>
      </c>
      <c r="R766" s="17">
        <v>49.76</v>
      </c>
      <c r="S766" s="18">
        <v>16177.9355</v>
      </c>
      <c r="T766" s="19" t="s">
        <v>36</v>
      </c>
      <c r="U766" s="20" t="s">
        <v>37</v>
      </c>
      <c r="V766" s="21" t="s">
        <v>106</v>
      </c>
      <c r="W766" s="22">
        <v>21</v>
      </c>
      <c r="X766" s="23"/>
    </row>
    <row r="767" spans="1:24" s="1" customFormat="1" ht="26" customHeight="1" x14ac:dyDescent="0.3">
      <c r="A767" s="24" t="s">
        <v>23</v>
      </c>
      <c r="B767" s="24" t="s">
        <v>868</v>
      </c>
      <c r="C767" s="12" t="s">
        <v>875</v>
      </c>
      <c r="D767" s="60"/>
      <c r="E767" s="41" t="str">
        <f>HYPERLINK("https://www.google.ru/search?q=1385852-001&amp;newwindow=1&amp;tbm=isch","Еще фото")</f>
        <v>Еще фото</v>
      </c>
      <c r="F767" s="28" t="s">
        <v>152</v>
      </c>
      <c r="G767" s="24" t="s">
        <v>859</v>
      </c>
      <c r="H767" s="24" t="s">
        <v>27</v>
      </c>
      <c r="I767" s="24" t="s">
        <v>850</v>
      </c>
      <c r="J767" s="14" t="s">
        <v>29</v>
      </c>
      <c r="K767" s="15" t="s">
        <v>59</v>
      </c>
      <c r="L767" s="62"/>
      <c r="M767" s="14"/>
      <c r="N767" s="14" t="s">
        <v>33</v>
      </c>
      <c r="O767" s="14"/>
      <c r="P767" s="15" t="s">
        <v>248</v>
      </c>
      <c r="Q767" s="16">
        <v>27999</v>
      </c>
      <c r="R767" s="17">
        <v>49.76</v>
      </c>
      <c r="S767" s="18">
        <v>16177.9355</v>
      </c>
      <c r="T767" s="19" t="s">
        <v>36</v>
      </c>
      <c r="U767" s="20" t="s">
        <v>39</v>
      </c>
      <c r="V767" s="21" t="s">
        <v>85</v>
      </c>
      <c r="W767" s="22">
        <v>5</v>
      </c>
      <c r="X767" s="23"/>
    </row>
    <row r="768" spans="1:24" s="1" customFormat="1" ht="26" customHeight="1" x14ac:dyDescent="0.3">
      <c r="A768" s="24" t="s">
        <v>23</v>
      </c>
      <c r="B768" s="24" t="s">
        <v>868</v>
      </c>
      <c r="C768" s="12" t="s">
        <v>875</v>
      </c>
      <c r="D768" s="61"/>
      <c r="E768" s="41" t="str">
        <f>HYPERLINK("https://www.google.ru/search?q=1385852-001&amp;newwindow=1&amp;tbm=isch","Еще фото")</f>
        <v>Еще фото</v>
      </c>
      <c r="F768" s="28" t="s">
        <v>152</v>
      </c>
      <c r="G768" s="24" t="s">
        <v>859</v>
      </c>
      <c r="H768" s="24" t="s">
        <v>27</v>
      </c>
      <c r="I768" s="24" t="s">
        <v>850</v>
      </c>
      <c r="J768" s="14" t="s">
        <v>29</v>
      </c>
      <c r="K768" s="15" t="s">
        <v>59</v>
      </c>
      <c r="L768" s="58"/>
      <c r="M768" s="14"/>
      <c r="N768" s="14" t="s">
        <v>33</v>
      </c>
      <c r="O768" s="14"/>
      <c r="P768" s="15" t="s">
        <v>248</v>
      </c>
      <c r="Q768" s="16">
        <v>27999</v>
      </c>
      <c r="R768" s="17">
        <v>49.76</v>
      </c>
      <c r="S768" s="18">
        <v>16177.9355</v>
      </c>
      <c r="T768" s="19" t="s">
        <v>36</v>
      </c>
      <c r="U768" s="20" t="s">
        <v>86</v>
      </c>
      <c r="V768" s="21" t="s">
        <v>38</v>
      </c>
      <c r="W768" s="22">
        <v>5</v>
      </c>
      <c r="X768" s="23"/>
    </row>
    <row r="769" spans="1:24" s="1" customFormat="1" ht="52.05" customHeight="1" x14ac:dyDescent="0.3">
      <c r="A769" s="11" t="s">
        <v>23</v>
      </c>
      <c r="B769" s="11" t="s">
        <v>876</v>
      </c>
      <c r="C769" s="12" t="s">
        <v>877</v>
      </c>
      <c r="D769" s="55"/>
      <c r="E769" s="41" t="str">
        <f>HYPERLINK("https://www.google.ru/search?q=1321441-414&amp;newwindow=1&amp;tbm=isch","Еще фото")</f>
        <v>Еще фото</v>
      </c>
      <c r="F769" s="13"/>
      <c r="G769" s="11" t="s">
        <v>859</v>
      </c>
      <c r="H769" s="11" t="s">
        <v>27</v>
      </c>
      <c r="I769" s="14" t="s">
        <v>850</v>
      </c>
      <c r="J769" s="14" t="s">
        <v>29</v>
      </c>
      <c r="K769" s="15" t="s">
        <v>59</v>
      </c>
      <c r="L769" s="57" t="s">
        <v>878</v>
      </c>
      <c r="M769" s="14" t="s">
        <v>32</v>
      </c>
      <c r="N769" s="14" t="s">
        <v>115</v>
      </c>
      <c r="O769" s="14" t="s">
        <v>760</v>
      </c>
      <c r="P769" s="15" t="s">
        <v>879</v>
      </c>
      <c r="Q769" s="16">
        <v>11790</v>
      </c>
      <c r="R769" s="17">
        <v>49.72</v>
      </c>
      <c r="S769" s="18">
        <v>6816.9354999999996</v>
      </c>
      <c r="T769" s="19" t="s">
        <v>36</v>
      </c>
      <c r="U769" s="20" t="s">
        <v>63</v>
      </c>
      <c r="V769" s="21" t="s">
        <v>64</v>
      </c>
      <c r="W769" s="22">
        <v>3</v>
      </c>
      <c r="X769" s="23"/>
    </row>
    <row r="770" spans="1:24" s="1" customFormat="1" ht="61.05" customHeight="1" x14ac:dyDescent="0.3">
      <c r="A770" s="24" t="s">
        <v>23</v>
      </c>
      <c r="B770" s="24" t="s">
        <v>876</v>
      </c>
      <c r="C770" s="12" t="s">
        <v>877</v>
      </c>
      <c r="D770" s="56"/>
      <c r="E770" s="41" t="str">
        <f>HYPERLINK("https://www.google.ru/search?q=1321441-414&amp;newwindow=1&amp;tbm=isch","Еще фото")</f>
        <v>Еще фото</v>
      </c>
      <c r="F770" s="13"/>
      <c r="G770" s="24" t="s">
        <v>859</v>
      </c>
      <c r="H770" s="24" t="s">
        <v>27</v>
      </c>
      <c r="I770" s="24" t="s">
        <v>850</v>
      </c>
      <c r="J770" s="14" t="s">
        <v>29</v>
      </c>
      <c r="K770" s="15" t="s">
        <v>59</v>
      </c>
      <c r="L770" s="58"/>
      <c r="M770" s="14" t="s">
        <v>32</v>
      </c>
      <c r="N770" s="14" t="s">
        <v>115</v>
      </c>
      <c r="O770" s="14" t="s">
        <v>760</v>
      </c>
      <c r="P770" s="15" t="s">
        <v>879</v>
      </c>
      <c r="Q770" s="16">
        <v>11790</v>
      </c>
      <c r="R770" s="17">
        <v>49.72</v>
      </c>
      <c r="S770" s="18">
        <v>6816.9354999999996</v>
      </c>
      <c r="T770" s="19" t="s">
        <v>36</v>
      </c>
      <c r="U770" s="20" t="s">
        <v>37</v>
      </c>
      <c r="V770" s="21" t="s">
        <v>106</v>
      </c>
      <c r="W770" s="22">
        <v>5</v>
      </c>
      <c r="X770" s="23"/>
    </row>
    <row r="771" spans="1:24" s="1" customFormat="1" ht="26" customHeight="1" x14ac:dyDescent="0.3">
      <c r="A771" s="11" t="s">
        <v>23</v>
      </c>
      <c r="B771" s="11" t="s">
        <v>868</v>
      </c>
      <c r="C771" s="12" t="s">
        <v>880</v>
      </c>
      <c r="D771" s="59"/>
      <c r="E771" s="41" t="str">
        <f>HYPERLINK("https://www.google.ru/search?q=1385852-015&amp;newwindow=1&amp;tbm=isch","Еще фото")</f>
        <v>Еще фото</v>
      </c>
      <c r="F771" s="13" t="s">
        <v>152</v>
      </c>
      <c r="G771" s="11" t="s">
        <v>859</v>
      </c>
      <c r="H771" s="11" t="s">
        <v>27</v>
      </c>
      <c r="I771" s="14" t="s">
        <v>850</v>
      </c>
      <c r="J771" s="14" t="s">
        <v>29</v>
      </c>
      <c r="K771" s="15" t="s">
        <v>59</v>
      </c>
      <c r="L771" s="57" t="s">
        <v>870</v>
      </c>
      <c r="M771" s="14"/>
      <c r="N771" s="14" t="s">
        <v>62</v>
      </c>
      <c r="O771" s="14"/>
      <c r="P771" s="15" t="s">
        <v>248</v>
      </c>
      <c r="Q771" s="16">
        <v>21299</v>
      </c>
      <c r="R771" s="17">
        <v>48.88</v>
      </c>
      <c r="S771" s="18">
        <v>12520.9355</v>
      </c>
      <c r="T771" s="19" t="s">
        <v>36</v>
      </c>
      <c r="U771" s="20" t="s">
        <v>63</v>
      </c>
      <c r="V771" s="21" t="s">
        <v>64</v>
      </c>
      <c r="W771" s="22">
        <v>17</v>
      </c>
      <c r="X771" s="23"/>
    </row>
    <row r="772" spans="1:24" s="1" customFormat="1" ht="26" customHeight="1" x14ac:dyDescent="0.3">
      <c r="A772" s="24" t="s">
        <v>23</v>
      </c>
      <c r="B772" s="24" t="s">
        <v>868</v>
      </c>
      <c r="C772" s="12" t="s">
        <v>880</v>
      </c>
      <c r="D772" s="60"/>
      <c r="E772" s="41" t="str">
        <f>HYPERLINK("https://www.google.ru/search?q=1385852-015&amp;newwindow=1&amp;tbm=isch","Еще фото")</f>
        <v>Еще фото</v>
      </c>
      <c r="F772" s="13" t="s">
        <v>152</v>
      </c>
      <c r="G772" s="24" t="s">
        <v>859</v>
      </c>
      <c r="H772" s="24" t="s">
        <v>27</v>
      </c>
      <c r="I772" s="24" t="s">
        <v>850</v>
      </c>
      <c r="J772" s="14" t="s">
        <v>29</v>
      </c>
      <c r="K772" s="15" t="s">
        <v>59</v>
      </c>
      <c r="L772" s="62"/>
      <c r="M772" s="14"/>
      <c r="N772" s="14" t="s">
        <v>62</v>
      </c>
      <c r="O772" s="14"/>
      <c r="P772" s="15" t="s">
        <v>248</v>
      </c>
      <c r="Q772" s="16">
        <v>21299</v>
      </c>
      <c r="R772" s="17">
        <v>48.88</v>
      </c>
      <c r="S772" s="18">
        <v>12520.9355</v>
      </c>
      <c r="T772" s="19" t="s">
        <v>36</v>
      </c>
      <c r="U772" s="20" t="s">
        <v>37</v>
      </c>
      <c r="V772" s="21" t="s">
        <v>106</v>
      </c>
      <c r="W772" s="22">
        <v>19</v>
      </c>
      <c r="X772" s="23"/>
    </row>
    <row r="773" spans="1:24" s="1" customFormat="1" ht="26" customHeight="1" x14ac:dyDescent="0.3">
      <c r="A773" s="24" t="s">
        <v>23</v>
      </c>
      <c r="B773" s="24" t="s">
        <v>868</v>
      </c>
      <c r="C773" s="12" t="s">
        <v>880</v>
      </c>
      <c r="D773" s="60"/>
      <c r="E773" s="41" t="str">
        <f>HYPERLINK("https://www.google.ru/search?q=1385852-015&amp;newwindow=1&amp;tbm=isch","Еще фото")</f>
        <v>Еще фото</v>
      </c>
      <c r="F773" s="13" t="s">
        <v>152</v>
      </c>
      <c r="G773" s="24" t="s">
        <v>859</v>
      </c>
      <c r="H773" s="24" t="s">
        <v>27</v>
      </c>
      <c r="I773" s="24" t="s">
        <v>850</v>
      </c>
      <c r="J773" s="14" t="s">
        <v>29</v>
      </c>
      <c r="K773" s="15" t="s">
        <v>59</v>
      </c>
      <c r="L773" s="62"/>
      <c r="M773" s="14"/>
      <c r="N773" s="14" t="s">
        <v>62</v>
      </c>
      <c r="O773" s="14"/>
      <c r="P773" s="15" t="s">
        <v>248</v>
      </c>
      <c r="Q773" s="16">
        <v>21299</v>
      </c>
      <c r="R773" s="17">
        <v>48.88</v>
      </c>
      <c r="S773" s="18">
        <v>12520.9355</v>
      </c>
      <c r="T773" s="19" t="s">
        <v>36</v>
      </c>
      <c r="U773" s="20" t="s">
        <v>39</v>
      </c>
      <c r="V773" s="21" t="s">
        <v>85</v>
      </c>
      <c r="W773" s="22">
        <v>3</v>
      </c>
      <c r="X773" s="23"/>
    </row>
    <row r="774" spans="1:24" s="1" customFormat="1" ht="26" customHeight="1" x14ac:dyDescent="0.3">
      <c r="A774" s="24" t="s">
        <v>23</v>
      </c>
      <c r="B774" s="24" t="s">
        <v>868</v>
      </c>
      <c r="C774" s="12" t="s">
        <v>880</v>
      </c>
      <c r="D774" s="61"/>
      <c r="E774" s="41" t="str">
        <f>HYPERLINK("https://www.google.ru/search?q=1385852-015&amp;newwindow=1&amp;tbm=isch","Еще фото")</f>
        <v>Еще фото</v>
      </c>
      <c r="F774" s="13" t="s">
        <v>152</v>
      </c>
      <c r="G774" s="24" t="s">
        <v>859</v>
      </c>
      <c r="H774" s="24" t="s">
        <v>27</v>
      </c>
      <c r="I774" s="24" t="s">
        <v>850</v>
      </c>
      <c r="J774" s="14" t="s">
        <v>29</v>
      </c>
      <c r="K774" s="15" t="s">
        <v>59</v>
      </c>
      <c r="L774" s="58"/>
      <c r="M774" s="14"/>
      <c r="N774" s="14" t="s">
        <v>62</v>
      </c>
      <c r="O774" s="14"/>
      <c r="P774" s="15" t="s">
        <v>248</v>
      </c>
      <c r="Q774" s="16">
        <v>21299</v>
      </c>
      <c r="R774" s="17">
        <v>48.88</v>
      </c>
      <c r="S774" s="18">
        <v>12520.9355</v>
      </c>
      <c r="T774" s="19" t="s">
        <v>36</v>
      </c>
      <c r="U774" s="20" t="s">
        <v>86</v>
      </c>
      <c r="V774" s="21" t="s">
        <v>38</v>
      </c>
      <c r="W774" s="22">
        <v>3</v>
      </c>
      <c r="X774" s="23"/>
    </row>
    <row r="775" spans="1:24" s="1" customFormat="1" ht="21" customHeight="1" x14ac:dyDescent="0.3">
      <c r="A775" s="11" t="s">
        <v>23</v>
      </c>
      <c r="B775" s="11" t="s">
        <v>868</v>
      </c>
      <c r="C775" s="26" t="s">
        <v>881</v>
      </c>
      <c r="D775" s="59"/>
      <c r="E775" s="41" t="str">
        <f>HYPERLINK("https://www.google.ru/search?q=1385837-002&amp;newwindow=1&amp;tbm=isch","Еще фото")</f>
        <v>Еще фото</v>
      </c>
      <c r="F775" s="13" t="s">
        <v>103</v>
      </c>
      <c r="G775" s="11" t="s">
        <v>859</v>
      </c>
      <c r="H775" s="11" t="s">
        <v>27</v>
      </c>
      <c r="I775" s="14" t="s">
        <v>850</v>
      </c>
      <c r="J775" s="14" t="s">
        <v>29</v>
      </c>
      <c r="K775" s="15" t="s">
        <v>30</v>
      </c>
      <c r="L775" s="57" t="s">
        <v>870</v>
      </c>
      <c r="M775" s="14"/>
      <c r="N775" s="14" t="s">
        <v>882</v>
      </c>
      <c r="O775" s="14"/>
      <c r="P775" s="15" t="s">
        <v>248</v>
      </c>
      <c r="Q775" s="16">
        <v>31999</v>
      </c>
      <c r="R775" s="17">
        <v>48.85</v>
      </c>
      <c r="S775" s="18">
        <v>18822.9355</v>
      </c>
      <c r="T775" s="19" t="s">
        <v>36</v>
      </c>
      <c r="U775" s="20" t="s">
        <v>37</v>
      </c>
      <c r="V775" s="21" t="s">
        <v>38</v>
      </c>
      <c r="W775" s="22">
        <v>6</v>
      </c>
      <c r="X775" s="23"/>
    </row>
    <row r="776" spans="1:24" s="1" customFormat="1" ht="21" customHeight="1" x14ac:dyDescent="0.3">
      <c r="A776" s="24" t="s">
        <v>23</v>
      </c>
      <c r="B776" s="24" t="s">
        <v>868</v>
      </c>
      <c r="C776" s="27" t="s">
        <v>881</v>
      </c>
      <c r="D776" s="60"/>
      <c r="E776" s="41" t="str">
        <f>HYPERLINK("https://www.google.ru/search?q=1385837-002&amp;newwindow=1&amp;tbm=isch","Еще фото")</f>
        <v>Еще фото</v>
      </c>
      <c r="F776" s="13" t="s">
        <v>103</v>
      </c>
      <c r="G776" s="24" t="s">
        <v>859</v>
      </c>
      <c r="H776" s="24" t="s">
        <v>27</v>
      </c>
      <c r="I776" s="24" t="s">
        <v>850</v>
      </c>
      <c r="J776" s="14" t="s">
        <v>29</v>
      </c>
      <c r="K776" s="15" t="s">
        <v>30</v>
      </c>
      <c r="L776" s="62"/>
      <c r="M776" s="14"/>
      <c r="N776" s="14" t="s">
        <v>882</v>
      </c>
      <c r="O776" s="14"/>
      <c r="P776" s="15" t="s">
        <v>248</v>
      </c>
      <c r="Q776" s="16">
        <v>31999</v>
      </c>
      <c r="R776" s="17">
        <v>48.85</v>
      </c>
      <c r="S776" s="18">
        <v>18822.9355</v>
      </c>
      <c r="T776" s="19" t="s">
        <v>36</v>
      </c>
      <c r="U776" s="20" t="s">
        <v>39</v>
      </c>
      <c r="V776" s="21" t="s">
        <v>40</v>
      </c>
      <c r="W776" s="22">
        <v>23</v>
      </c>
      <c r="X776" s="23"/>
    </row>
    <row r="777" spans="1:24" s="1" customFormat="1" ht="21" customHeight="1" x14ac:dyDescent="0.3">
      <c r="A777" s="24" t="s">
        <v>23</v>
      </c>
      <c r="B777" s="24" t="s">
        <v>868</v>
      </c>
      <c r="C777" s="27" t="s">
        <v>881</v>
      </c>
      <c r="D777" s="60"/>
      <c r="E777" s="41" t="str">
        <f>HYPERLINK("https://www.google.ru/search?q=1385837-002&amp;newwindow=1&amp;tbm=isch","Еще фото")</f>
        <v>Еще фото</v>
      </c>
      <c r="F777" s="13" t="s">
        <v>103</v>
      </c>
      <c r="G777" s="24" t="s">
        <v>859</v>
      </c>
      <c r="H777" s="24" t="s">
        <v>27</v>
      </c>
      <c r="I777" s="24" t="s">
        <v>850</v>
      </c>
      <c r="J777" s="14" t="s">
        <v>29</v>
      </c>
      <c r="K777" s="15" t="s">
        <v>30</v>
      </c>
      <c r="L777" s="62"/>
      <c r="M777" s="14"/>
      <c r="N777" s="14" t="s">
        <v>882</v>
      </c>
      <c r="O777" s="14"/>
      <c r="P777" s="15" t="s">
        <v>248</v>
      </c>
      <c r="Q777" s="16">
        <v>31999</v>
      </c>
      <c r="R777" s="17">
        <v>48.85</v>
      </c>
      <c r="S777" s="18">
        <v>18822.9355</v>
      </c>
      <c r="T777" s="19" t="s">
        <v>36</v>
      </c>
      <c r="U777" s="20" t="s">
        <v>86</v>
      </c>
      <c r="V777" s="21" t="s">
        <v>87</v>
      </c>
      <c r="W777" s="22">
        <v>30</v>
      </c>
      <c r="X777" s="23"/>
    </row>
    <row r="778" spans="1:24" s="1" customFormat="1" ht="21" customHeight="1" x14ac:dyDescent="0.3">
      <c r="A778" s="24" t="s">
        <v>23</v>
      </c>
      <c r="B778" s="24" t="s">
        <v>868</v>
      </c>
      <c r="C778" s="27" t="s">
        <v>881</v>
      </c>
      <c r="D778" s="60"/>
      <c r="E778" s="41" t="str">
        <f>HYPERLINK("https://www.google.ru/search?q=1385837-002&amp;newwindow=1&amp;tbm=isch","Еще фото")</f>
        <v>Еще фото</v>
      </c>
      <c r="F778" s="13" t="s">
        <v>103</v>
      </c>
      <c r="G778" s="24" t="s">
        <v>859</v>
      </c>
      <c r="H778" s="24" t="s">
        <v>27</v>
      </c>
      <c r="I778" s="24" t="s">
        <v>850</v>
      </c>
      <c r="J778" s="14" t="s">
        <v>29</v>
      </c>
      <c r="K778" s="15" t="s">
        <v>30</v>
      </c>
      <c r="L778" s="62"/>
      <c r="M778" s="14"/>
      <c r="N778" s="14" t="s">
        <v>882</v>
      </c>
      <c r="O778" s="14"/>
      <c r="P778" s="15" t="s">
        <v>248</v>
      </c>
      <c r="Q778" s="16">
        <v>31999</v>
      </c>
      <c r="R778" s="17">
        <v>48.85</v>
      </c>
      <c r="S778" s="18">
        <v>18822.9355</v>
      </c>
      <c r="T778" s="19" t="s">
        <v>36</v>
      </c>
      <c r="U778" s="20" t="s">
        <v>88</v>
      </c>
      <c r="V778" s="21" t="s">
        <v>89</v>
      </c>
      <c r="W778" s="22">
        <v>14</v>
      </c>
      <c r="X778" s="23"/>
    </row>
    <row r="779" spans="1:24" s="1" customFormat="1" ht="32" customHeight="1" x14ac:dyDescent="0.3">
      <c r="A779" s="24" t="s">
        <v>23</v>
      </c>
      <c r="B779" s="24" t="s">
        <v>868</v>
      </c>
      <c r="C779" s="27" t="s">
        <v>881</v>
      </c>
      <c r="D779" s="61"/>
      <c r="E779" s="41" t="str">
        <f>HYPERLINK("https://www.google.ru/search?q=1385837-002&amp;newwindow=1&amp;tbm=isch","Еще фото")</f>
        <v>Еще фото</v>
      </c>
      <c r="F779" s="13" t="s">
        <v>103</v>
      </c>
      <c r="G779" s="24" t="s">
        <v>859</v>
      </c>
      <c r="H779" s="24" t="s">
        <v>27</v>
      </c>
      <c r="I779" s="24" t="s">
        <v>850</v>
      </c>
      <c r="J779" s="14" t="s">
        <v>29</v>
      </c>
      <c r="K779" s="15" t="s">
        <v>30</v>
      </c>
      <c r="L779" s="58"/>
      <c r="M779" s="14"/>
      <c r="N779" s="14" t="s">
        <v>882</v>
      </c>
      <c r="O779" s="14"/>
      <c r="P779" s="15" t="s">
        <v>248</v>
      </c>
      <c r="Q779" s="16">
        <v>31999</v>
      </c>
      <c r="R779" s="17">
        <v>48.85</v>
      </c>
      <c r="S779" s="18">
        <v>18822.9355</v>
      </c>
      <c r="T779" s="19" t="s">
        <v>36</v>
      </c>
      <c r="U779" s="20" t="s">
        <v>90</v>
      </c>
      <c r="V779" s="21" t="s">
        <v>91</v>
      </c>
      <c r="W779" s="22">
        <v>6</v>
      </c>
      <c r="X779" s="23"/>
    </row>
    <row r="780" spans="1:24" s="1" customFormat="1" ht="35" customHeight="1" x14ac:dyDescent="0.3">
      <c r="A780" s="11" t="s">
        <v>23</v>
      </c>
      <c r="B780" s="11" t="s">
        <v>883</v>
      </c>
      <c r="C780" s="12" t="s">
        <v>884</v>
      </c>
      <c r="D780" s="59"/>
      <c r="E780" s="41" t="str">
        <f>HYPERLINK("https://www.google.ru/search?q=1372649-001&amp;newwindow=1&amp;tbm=isch","Еще фото")</f>
        <v>Еще фото</v>
      </c>
      <c r="F780" s="13" t="s">
        <v>152</v>
      </c>
      <c r="G780" s="11" t="s">
        <v>849</v>
      </c>
      <c r="H780" s="11" t="s">
        <v>27</v>
      </c>
      <c r="I780" s="14" t="s">
        <v>850</v>
      </c>
      <c r="J780" s="14" t="s">
        <v>43</v>
      </c>
      <c r="K780" s="15" t="s">
        <v>59</v>
      </c>
      <c r="L780" s="57" t="s">
        <v>885</v>
      </c>
      <c r="M780" s="14"/>
      <c r="N780" s="14" t="s">
        <v>33</v>
      </c>
      <c r="O780" s="14"/>
      <c r="P780" s="15" t="s">
        <v>248</v>
      </c>
      <c r="Q780" s="16">
        <v>30999</v>
      </c>
      <c r="R780" s="17">
        <v>48.84</v>
      </c>
      <c r="S780" s="18">
        <v>18236.4355</v>
      </c>
      <c r="T780" s="19" t="s">
        <v>36</v>
      </c>
      <c r="U780" s="20" t="s">
        <v>63</v>
      </c>
      <c r="V780" s="21" t="s">
        <v>64</v>
      </c>
      <c r="W780" s="22">
        <v>10</v>
      </c>
      <c r="X780" s="23"/>
    </row>
    <row r="781" spans="1:24" s="1" customFormat="1" ht="35" customHeight="1" x14ac:dyDescent="0.3">
      <c r="A781" s="24" t="s">
        <v>23</v>
      </c>
      <c r="B781" s="24" t="s">
        <v>883</v>
      </c>
      <c r="C781" s="12" t="s">
        <v>884</v>
      </c>
      <c r="D781" s="60"/>
      <c r="E781" s="41" t="str">
        <f>HYPERLINK("https://www.google.ru/search?q=1372649-001&amp;newwindow=1&amp;tbm=isch","Еще фото")</f>
        <v>Еще фото</v>
      </c>
      <c r="F781" s="13" t="s">
        <v>152</v>
      </c>
      <c r="G781" s="24" t="s">
        <v>849</v>
      </c>
      <c r="H781" s="24" t="s">
        <v>27</v>
      </c>
      <c r="I781" s="24" t="s">
        <v>850</v>
      </c>
      <c r="J781" s="14" t="s">
        <v>43</v>
      </c>
      <c r="K781" s="15" t="s">
        <v>59</v>
      </c>
      <c r="L781" s="62"/>
      <c r="M781" s="14"/>
      <c r="N781" s="14" t="s">
        <v>33</v>
      </c>
      <c r="O781" s="14"/>
      <c r="P781" s="15" t="s">
        <v>248</v>
      </c>
      <c r="Q781" s="16">
        <v>30999</v>
      </c>
      <c r="R781" s="17">
        <v>48.84</v>
      </c>
      <c r="S781" s="18">
        <v>18236.4355</v>
      </c>
      <c r="T781" s="19" t="s">
        <v>36</v>
      </c>
      <c r="U781" s="20" t="s">
        <v>37</v>
      </c>
      <c r="V781" s="21" t="s">
        <v>106</v>
      </c>
      <c r="W781" s="22">
        <v>4</v>
      </c>
      <c r="X781" s="23"/>
    </row>
    <row r="782" spans="1:24" s="1" customFormat="1" ht="37.049999999999997" customHeight="1" x14ac:dyDescent="0.3">
      <c r="A782" s="24" t="s">
        <v>23</v>
      </c>
      <c r="B782" s="24" t="s">
        <v>883</v>
      </c>
      <c r="C782" s="12" t="s">
        <v>884</v>
      </c>
      <c r="D782" s="61"/>
      <c r="E782" s="41" t="str">
        <f>HYPERLINK("https://www.google.ru/search?q=1372649-001&amp;newwindow=1&amp;tbm=isch","Еще фото")</f>
        <v>Еще фото</v>
      </c>
      <c r="F782" s="13" t="s">
        <v>152</v>
      </c>
      <c r="G782" s="24" t="s">
        <v>849</v>
      </c>
      <c r="H782" s="24" t="s">
        <v>27</v>
      </c>
      <c r="I782" s="24" t="s">
        <v>850</v>
      </c>
      <c r="J782" s="14" t="s">
        <v>43</v>
      </c>
      <c r="K782" s="15" t="s">
        <v>59</v>
      </c>
      <c r="L782" s="58"/>
      <c r="M782" s="14"/>
      <c r="N782" s="14" t="s">
        <v>33</v>
      </c>
      <c r="O782" s="14"/>
      <c r="P782" s="15" t="s">
        <v>248</v>
      </c>
      <c r="Q782" s="16">
        <v>30999</v>
      </c>
      <c r="R782" s="17">
        <v>48.84</v>
      </c>
      <c r="S782" s="18">
        <v>18236.4355</v>
      </c>
      <c r="T782" s="19" t="s">
        <v>36</v>
      </c>
      <c r="U782" s="20" t="s">
        <v>39</v>
      </c>
      <c r="V782" s="21" t="s">
        <v>85</v>
      </c>
      <c r="W782" s="22">
        <v>7</v>
      </c>
      <c r="X782" s="23"/>
    </row>
    <row r="783" spans="1:24" s="1" customFormat="1" ht="21" customHeight="1" x14ac:dyDescent="0.3">
      <c r="A783" s="11" t="s">
        <v>23</v>
      </c>
      <c r="B783" s="11" t="s">
        <v>886</v>
      </c>
      <c r="C783" s="26" t="s">
        <v>887</v>
      </c>
      <c r="D783" s="59"/>
      <c r="E783" s="41" t="str">
        <f>HYPERLINK("https://www.google.ru/search?q=1385839-410&amp;newwindow=1&amp;tbm=isch","Еще фото")</f>
        <v>Еще фото</v>
      </c>
      <c r="F783" s="28" t="s">
        <v>138</v>
      </c>
      <c r="G783" s="11" t="s">
        <v>888</v>
      </c>
      <c r="H783" s="11" t="s">
        <v>27</v>
      </c>
      <c r="I783" s="14" t="s">
        <v>850</v>
      </c>
      <c r="J783" s="14" t="s">
        <v>29</v>
      </c>
      <c r="K783" s="15" t="s">
        <v>30</v>
      </c>
      <c r="L783" s="57" t="s">
        <v>889</v>
      </c>
      <c r="M783" s="14"/>
      <c r="N783" s="14" t="s">
        <v>115</v>
      </c>
      <c r="O783" s="14"/>
      <c r="P783" s="15" t="s">
        <v>248</v>
      </c>
      <c r="Q783" s="16">
        <v>38999</v>
      </c>
      <c r="R783" s="17">
        <v>46.98</v>
      </c>
      <c r="S783" s="18">
        <v>23779.4355</v>
      </c>
      <c r="T783" s="19" t="s">
        <v>36</v>
      </c>
      <c r="U783" s="20" t="s">
        <v>37</v>
      </c>
      <c r="V783" s="21" t="s">
        <v>38</v>
      </c>
      <c r="W783" s="22">
        <v>3</v>
      </c>
      <c r="X783" s="23"/>
    </row>
    <row r="784" spans="1:24" s="1" customFormat="1" ht="21" customHeight="1" x14ac:dyDescent="0.3">
      <c r="A784" s="24" t="s">
        <v>23</v>
      </c>
      <c r="B784" s="24" t="s">
        <v>886</v>
      </c>
      <c r="C784" s="27" t="s">
        <v>887</v>
      </c>
      <c r="D784" s="60"/>
      <c r="E784" s="41" t="str">
        <f>HYPERLINK("https://www.google.ru/search?q=1385839-410&amp;newwindow=1&amp;tbm=isch","Еще фото")</f>
        <v>Еще фото</v>
      </c>
      <c r="F784" s="28" t="s">
        <v>138</v>
      </c>
      <c r="G784" s="24" t="s">
        <v>888</v>
      </c>
      <c r="H784" s="24" t="s">
        <v>27</v>
      </c>
      <c r="I784" s="24" t="s">
        <v>850</v>
      </c>
      <c r="J784" s="14" t="s">
        <v>29</v>
      </c>
      <c r="K784" s="15" t="s">
        <v>30</v>
      </c>
      <c r="L784" s="62"/>
      <c r="M784" s="14"/>
      <c r="N784" s="14" t="s">
        <v>115</v>
      </c>
      <c r="O784" s="14"/>
      <c r="P784" s="15" t="s">
        <v>248</v>
      </c>
      <c r="Q784" s="16">
        <v>38999</v>
      </c>
      <c r="R784" s="17">
        <v>46.98</v>
      </c>
      <c r="S784" s="18">
        <v>23779.4355</v>
      </c>
      <c r="T784" s="19" t="s">
        <v>36</v>
      </c>
      <c r="U784" s="20" t="s">
        <v>39</v>
      </c>
      <c r="V784" s="21" t="s">
        <v>40</v>
      </c>
      <c r="W784" s="22">
        <v>17</v>
      </c>
      <c r="X784" s="23"/>
    </row>
    <row r="785" spans="1:24" s="1" customFormat="1" ht="21" customHeight="1" x14ac:dyDescent="0.3">
      <c r="A785" s="24" t="s">
        <v>23</v>
      </c>
      <c r="B785" s="24" t="s">
        <v>886</v>
      </c>
      <c r="C785" s="27" t="s">
        <v>887</v>
      </c>
      <c r="D785" s="60"/>
      <c r="E785" s="41" t="str">
        <f>HYPERLINK("https://www.google.ru/search?q=1385839-410&amp;newwindow=1&amp;tbm=isch","Еще фото")</f>
        <v>Еще фото</v>
      </c>
      <c r="F785" s="28" t="s">
        <v>138</v>
      </c>
      <c r="G785" s="24" t="s">
        <v>888</v>
      </c>
      <c r="H785" s="24" t="s">
        <v>27</v>
      </c>
      <c r="I785" s="24" t="s">
        <v>850</v>
      </c>
      <c r="J785" s="14" t="s">
        <v>29</v>
      </c>
      <c r="K785" s="15" t="s">
        <v>30</v>
      </c>
      <c r="L785" s="62"/>
      <c r="M785" s="14"/>
      <c r="N785" s="14" t="s">
        <v>115</v>
      </c>
      <c r="O785" s="14"/>
      <c r="P785" s="15" t="s">
        <v>248</v>
      </c>
      <c r="Q785" s="16">
        <v>38999</v>
      </c>
      <c r="R785" s="17">
        <v>46.98</v>
      </c>
      <c r="S785" s="18">
        <v>23779.4355</v>
      </c>
      <c r="T785" s="19" t="s">
        <v>36</v>
      </c>
      <c r="U785" s="20" t="s">
        <v>86</v>
      </c>
      <c r="V785" s="21" t="s">
        <v>87</v>
      </c>
      <c r="W785" s="22">
        <v>28</v>
      </c>
      <c r="X785" s="23"/>
    </row>
    <row r="786" spans="1:24" s="1" customFormat="1" ht="21" customHeight="1" x14ac:dyDescent="0.3">
      <c r="A786" s="24" t="s">
        <v>23</v>
      </c>
      <c r="B786" s="24" t="s">
        <v>886</v>
      </c>
      <c r="C786" s="27" t="s">
        <v>887</v>
      </c>
      <c r="D786" s="60"/>
      <c r="E786" s="41" t="str">
        <f>HYPERLINK("https://www.google.ru/search?q=1385839-410&amp;newwindow=1&amp;tbm=isch","Еще фото")</f>
        <v>Еще фото</v>
      </c>
      <c r="F786" s="28" t="s">
        <v>138</v>
      </c>
      <c r="G786" s="24" t="s">
        <v>888</v>
      </c>
      <c r="H786" s="24" t="s">
        <v>27</v>
      </c>
      <c r="I786" s="24" t="s">
        <v>850</v>
      </c>
      <c r="J786" s="14" t="s">
        <v>29</v>
      </c>
      <c r="K786" s="15" t="s">
        <v>30</v>
      </c>
      <c r="L786" s="62"/>
      <c r="M786" s="14"/>
      <c r="N786" s="14" t="s">
        <v>115</v>
      </c>
      <c r="O786" s="14"/>
      <c r="P786" s="15" t="s">
        <v>248</v>
      </c>
      <c r="Q786" s="16">
        <v>38999</v>
      </c>
      <c r="R786" s="17">
        <v>46.98</v>
      </c>
      <c r="S786" s="18">
        <v>23779.4355</v>
      </c>
      <c r="T786" s="19" t="s">
        <v>36</v>
      </c>
      <c r="U786" s="20" t="s">
        <v>88</v>
      </c>
      <c r="V786" s="21" t="s">
        <v>89</v>
      </c>
      <c r="W786" s="22">
        <v>5</v>
      </c>
      <c r="X786" s="23"/>
    </row>
    <row r="787" spans="1:24" s="1" customFormat="1" ht="32" customHeight="1" x14ac:dyDescent="0.3">
      <c r="A787" s="24" t="s">
        <v>23</v>
      </c>
      <c r="B787" s="24" t="s">
        <v>886</v>
      </c>
      <c r="C787" s="27" t="s">
        <v>887</v>
      </c>
      <c r="D787" s="61"/>
      <c r="E787" s="41" t="str">
        <f>HYPERLINK("https://www.google.ru/search?q=1385839-410&amp;newwindow=1&amp;tbm=isch","Еще фото")</f>
        <v>Еще фото</v>
      </c>
      <c r="F787" s="28" t="s">
        <v>138</v>
      </c>
      <c r="G787" s="24" t="s">
        <v>888</v>
      </c>
      <c r="H787" s="24" t="s">
        <v>27</v>
      </c>
      <c r="I787" s="24" t="s">
        <v>850</v>
      </c>
      <c r="J787" s="14" t="s">
        <v>29</v>
      </c>
      <c r="K787" s="15" t="s">
        <v>30</v>
      </c>
      <c r="L787" s="58"/>
      <c r="M787" s="14"/>
      <c r="N787" s="14" t="s">
        <v>115</v>
      </c>
      <c r="O787" s="14"/>
      <c r="P787" s="15" t="s">
        <v>248</v>
      </c>
      <c r="Q787" s="16">
        <v>38999</v>
      </c>
      <c r="R787" s="17">
        <v>46.98</v>
      </c>
      <c r="S787" s="18">
        <v>23779.4355</v>
      </c>
      <c r="T787" s="19" t="s">
        <v>36</v>
      </c>
      <c r="U787" s="20" t="s">
        <v>90</v>
      </c>
      <c r="V787" s="21" t="s">
        <v>91</v>
      </c>
      <c r="W787" s="22">
        <v>3</v>
      </c>
      <c r="X787" s="23"/>
    </row>
    <row r="788" spans="1:24" s="1" customFormat="1" ht="52.05" customHeight="1" x14ac:dyDescent="0.3">
      <c r="A788" s="11" t="s">
        <v>23</v>
      </c>
      <c r="B788" s="11" t="s">
        <v>890</v>
      </c>
      <c r="C788" s="12" t="s">
        <v>891</v>
      </c>
      <c r="D788" s="55"/>
      <c r="E788" s="41" t="str">
        <f>HYPERLINK("https://www.google.ru/search?q=1386904-707&amp;newwindow=1&amp;tbm=isch","Еще фото")</f>
        <v>Еще фото</v>
      </c>
      <c r="F788" s="13" t="s">
        <v>152</v>
      </c>
      <c r="G788" s="11" t="s">
        <v>859</v>
      </c>
      <c r="H788" s="11" t="s">
        <v>27</v>
      </c>
      <c r="I788" s="14" t="s">
        <v>850</v>
      </c>
      <c r="J788" s="14" t="s">
        <v>29</v>
      </c>
      <c r="K788" s="15" t="s">
        <v>30</v>
      </c>
      <c r="L788" s="57" t="s">
        <v>892</v>
      </c>
      <c r="M788" s="14"/>
      <c r="N788" s="14" t="s">
        <v>332</v>
      </c>
      <c r="O788" s="14"/>
      <c r="P788" s="15" t="s">
        <v>47</v>
      </c>
      <c r="Q788" s="16">
        <v>33599</v>
      </c>
      <c r="R788" s="17">
        <v>46.97</v>
      </c>
      <c r="S788" s="18">
        <v>20490.4355</v>
      </c>
      <c r="T788" s="19" t="s">
        <v>36</v>
      </c>
      <c r="U788" s="20" t="s">
        <v>37</v>
      </c>
      <c r="V788" s="21" t="s">
        <v>38</v>
      </c>
      <c r="W788" s="22">
        <v>1</v>
      </c>
      <c r="X788" s="23"/>
    </row>
    <row r="789" spans="1:24" s="1" customFormat="1" ht="61.05" customHeight="1" x14ac:dyDescent="0.3">
      <c r="A789" s="24" t="s">
        <v>23</v>
      </c>
      <c r="B789" s="24" t="s">
        <v>890</v>
      </c>
      <c r="C789" s="12" t="s">
        <v>891</v>
      </c>
      <c r="D789" s="56"/>
      <c r="E789" s="41" t="str">
        <f>HYPERLINK("https://www.google.ru/search?q=1386904-707&amp;newwindow=1&amp;tbm=isch","Еще фото")</f>
        <v>Еще фото</v>
      </c>
      <c r="F789" s="13" t="s">
        <v>152</v>
      </c>
      <c r="G789" s="24" t="s">
        <v>859</v>
      </c>
      <c r="H789" s="24" t="s">
        <v>27</v>
      </c>
      <c r="I789" s="24" t="s">
        <v>850</v>
      </c>
      <c r="J789" s="14" t="s">
        <v>29</v>
      </c>
      <c r="K789" s="15" t="s">
        <v>30</v>
      </c>
      <c r="L789" s="58"/>
      <c r="M789" s="14"/>
      <c r="N789" s="14" t="s">
        <v>332</v>
      </c>
      <c r="O789" s="14"/>
      <c r="P789" s="15" t="s">
        <v>47</v>
      </c>
      <c r="Q789" s="16">
        <v>33599</v>
      </c>
      <c r="R789" s="17">
        <v>46.97</v>
      </c>
      <c r="S789" s="18">
        <v>20490.4355</v>
      </c>
      <c r="T789" s="19" t="s">
        <v>36</v>
      </c>
      <c r="U789" s="20" t="s">
        <v>39</v>
      </c>
      <c r="V789" s="21" t="s">
        <v>40</v>
      </c>
      <c r="W789" s="22">
        <v>5</v>
      </c>
      <c r="X789" s="23"/>
    </row>
    <row r="790" spans="1:24" s="1" customFormat="1" ht="35" customHeight="1" x14ac:dyDescent="0.3">
      <c r="A790" s="11" t="s">
        <v>23</v>
      </c>
      <c r="B790" s="11" t="s">
        <v>893</v>
      </c>
      <c r="C790" s="12" t="s">
        <v>894</v>
      </c>
      <c r="D790" s="59"/>
      <c r="E790" s="41" t="str">
        <f>HYPERLINK("https://www.google.ru/search?q=1384641-308&amp;newwindow=1&amp;tbm=isch","Еще фото")</f>
        <v>Еще фото</v>
      </c>
      <c r="F790" s="13"/>
      <c r="G790" s="11" t="s">
        <v>859</v>
      </c>
      <c r="H790" s="11" t="s">
        <v>27</v>
      </c>
      <c r="I790" s="14" t="s">
        <v>850</v>
      </c>
      <c r="J790" s="14" t="s">
        <v>43</v>
      </c>
      <c r="K790" s="15" t="s">
        <v>30</v>
      </c>
      <c r="L790" s="57" t="s">
        <v>895</v>
      </c>
      <c r="M790" s="14"/>
      <c r="N790" s="14" t="s">
        <v>127</v>
      </c>
      <c r="O790" s="14"/>
      <c r="P790" s="15" t="s">
        <v>248</v>
      </c>
      <c r="Q790" s="16">
        <v>46999</v>
      </c>
      <c r="R790" s="17">
        <v>46</v>
      </c>
      <c r="S790" s="18">
        <v>29186.378999999997</v>
      </c>
      <c r="T790" s="19" t="s">
        <v>36</v>
      </c>
      <c r="U790" s="20" t="s">
        <v>37</v>
      </c>
      <c r="V790" s="21" t="s">
        <v>38</v>
      </c>
      <c r="W790" s="22">
        <v>3</v>
      </c>
      <c r="X790" s="23"/>
    </row>
    <row r="791" spans="1:24" s="1" customFormat="1" ht="35" customHeight="1" x14ac:dyDescent="0.3">
      <c r="A791" s="24" t="s">
        <v>23</v>
      </c>
      <c r="B791" s="24" t="s">
        <v>893</v>
      </c>
      <c r="C791" s="12" t="s">
        <v>894</v>
      </c>
      <c r="D791" s="60"/>
      <c r="E791" s="41" t="str">
        <f>HYPERLINK("https://www.google.ru/search?q=1384641-308&amp;newwindow=1&amp;tbm=isch","Еще фото")</f>
        <v>Еще фото</v>
      </c>
      <c r="F791" s="13"/>
      <c r="G791" s="24" t="s">
        <v>859</v>
      </c>
      <c r="H791" s="24" t="s">
        <v>27</v>
      </c>
      <c r="I791" s="24" t="s">
        <v>850</v>
      </c>
      <c r="J791" s="14" t="s">
        <v>43</v>
      </c>
      <c r="K791" s="15" t="s">
        <v>30</v>
      </c>
      <c r="L791" s="62"/>
      <c r="M791" s="14"/>
      <c r="N791" s="14" t="s">
        <v>127</v>
      </c>
      <c r="O791" s="14"/>
      <c r="P791" s="15" t="s">
        <v>248</v>
      </c>
      <c r="Q791" s="16">
        <v>46999</v>
      </c>
      <c r="R791" s="17">
        <v>46</v>
      </c>
      <c r="S791" s="18">
        <v>29186.378999999997</v>
      </c>
      <c r="T791" s="19" t="s">
        <v>36</v>
      </c>
      <c r="U791" s="20" t="s">
        <v>39</v>
      </c>
      <c r="V791" s="21" t="s">
        <v>40</v>
      </c>
      <c r="W791" s="22">
        <v>8</v>
      </c>
      <c r="X791" s="23"/>
    </row>
    <row r="792" spans="1:24" s="1" customFormat="1" ht="37.049999999999997" customHeight="1" x14ac:dyDescent="0.3">
      <c r="A792" s="24" t="s">
        <v>23</v>
      </c>
      <c r="B792" s="24" t="s">
        <v>893</v>
      </c>
      <c r="C792" s="12" t="s">
        <v>894</v>
      </c>
      <c r="D792" s="61"/>
      <c r="E792" s="41" t="str">
        <f>HYPERLINK("https://www.google.ru/search?q=1384641-308&amp;newwindow=1&amp;tbm=isch","Еще фото")</f>
        <v>Еще фото</v>
      </c>
      <c r="F792" s="13"/>
      <c r="G792" s="24" t="s">
        <v>859</v>
      </c>
      <c r="H792" s="24" t="s">
        <v>27</v>
      </c>
      <c r="I792" s="24" t="s">
        <v>850</v>
      </c>
      <c r="J792" s="14" t="s">
        <v>43</v>
      </c>
      <c r="K792" s="15" t="s">
        <v>30</v>
      </c>
      <c r="L792" s="58"/>
      <c r="M792" s="14"/>
      <c r="N792" s="14" t="s">
        <v>127</v>
      </c>
      <c r="O792" s="14"/>
      <c r="P792" s="15" t="s">
        <v>248</v>
      </c>
      <c r="Q792" s="16">
        <v>46999</v>
      </c>
      <c r="R792" s="17">
        <v>46</v>
      </c>
      <c r="S792" s="18">
        <v>29186.378999999997</v>
      </c>
      <c r="T792" s="19" t="s">
        <v>36</v>
      </c>
      <c r="U792" s="20" t="s">
        <v>88</v>
      </c>
      <c r="V792" s="21" t="s">
        <v>89</v>
      </c>
      <c r="W792" s="22">
        <v>6</v>
      </c>
      <c r="X792" s="23"/>
    </row>
    <row r="793" spans="1:24" s="1" customFormat="1" ht="26" customHeight="1" x14ac:dyDescent="0.3">
      <c r="A793" s="11" t="s">
        <v>23</v>
      </c>
      <c r="B793" s="11" t="s">
        <v>896</v>
      </c>
      <c r="C793" s="12" t="s">
        <v>897</v>
      </c>
      <c r="D793" s="59"/>
      <c r="E793" s="41" t="str">
        <f>HYPERLINK("https://www.google.ru/search?q=1384644-001&amp;newwindow=1&amp;tbm=isch","Еще фото")</f>
        <v>Еще фото</v>
      </c>
      <c r="F793" s="13"/>
      <c r="G793" s="11" t="s">
        <v>888</v>
      </c>
      <c r="H793" s="11" t="s">
        <v>27</v>
      </c>
      <c r="I793" s="14" t="s">
        <v>850</v>
      </c>
      <c r="J793" s="14" t="s">
        <v>43</v>
      </c>
      <c r="K793" s="15" t="s">
        <v>30</v>
      </c>
      <c r="L793" s="57" t="s">
        <v>898</v>
      </c>
      <c r="M793" s="14"/>
      <c r="N793" s="14" t="s">
        <v>33</v>
      </c>
      <c r="O793" s="14"/>
      <c r="P793" s="15" t="s">
        <v>248</v>
      </c>
      <c r="Q793" s="16">
        <v>60999</v>
      </c>
      <c r="R793" s="17">
        <v>46</v>
      </c>
      <c r="S793" s="18">
        <v>37880.378999999994</v>
      </c>
      <c r="T793" s="19" t="s">
        <v>36</v>
      </c>
      <c r="U793" s="20" t="s">
        <v>37</v>
      </c>
      <c r="V793" s="21" t="s">
        <v>38</v>
      </c>
      <c r="W793" s="22">
        <v>1</v>
      </c>
      <c r="X793" s="23"/>
    </row>
    <row r="794" spans="1:24" s="1" customFormat="1" ht="26" customHeight="1" x14ac:dyDescent="0.3">
      <c r="A794" s="24" t="s">
        <v>23</v>
      </c>
      <c r="B794" s="24" t="s">
        <v>896</v>
      </c>
      <c r="C794" s="12" t="s">
        <v>897</v>
      </c>
      <c r="D794" s="60"/>
      <c r="E794" s="41" t="str">
        <f>HYPERLINK("https://www.google.ru/search?q=1384644-001&amp;newwindow=1&amp;tbm=isch","Еще фото")</f>
        <v>Еще фото</v>
      </c>
      <c r="F794" s="13"/>
      <c r="G794" s="24" t="s">
        <v>888</v>
      </c>
      <c r="H794" s="24" t="s">
        <v>27</v>
      </c>
      <c r="I794" s="24" t="s">
        <v>850</v>
      </c>
      <c r="J794" s="14" t="s">
        <v>43</v>
      </c>
      <c r="K794" s="15" t="s">
        <v>30</v>
      </c>
      <c r="L794" s="62"/>
      <c r="M794" s="14"/>
      <c r="N794" s="14" t="s">
        <v>33</v>
      </c>
      <c r="O794" s="14"/>
      <c r="P794" s="15" t="s">
        <v>248</v>
      </c>
      <c r="Q794" s="16">
        <v>60999</v>
      </c>
      <c r="R794" s="17">
        <v>46</v>
      </c>
      <c r="S794" s="18">
        <v>37880.378999999994</v>
      </c>
      <c r="T794" s="19" t="s">
        <v>36</v>
      </c>
      <c r="U794" s="20" t="s">
        <v>39</v>
      </c>
      <c r="V794" s="21" t="s">
        <v>40</v>
      </c>
      <c r="W794" s="22">
        <v>8</v>
      </c>
      <c r="X794" s="23"/>
    </row>
    <row r="795" spans="1:24" s="1" customFormat="1" ht="26" customHeight="1" x14ac:dyDescent="0.3">
      <c r="A795" s="24" t="s">
        <v>23</v>
      </c>
      <c r="B795" s="24" t="s">
        <v>896</v>
      </c>
      <c r="C795" s="12" t="s">
        <v>897</v>
      </c>
      <c r="D795" s="60"/>
      <c r="E795" s="41" t="str">
        <f>HYPERLINK("https://www.google.ru/search?q=1384644-001&amp;newwindow=1&amp;tbm=isch","Еще фото")</f>
        <v>Еще фото</v>
      </c>
      <c r="F795" s="13"/>
      <c r="G795" s="24" t="s">
        <v>888</v>
      </c>
      <c r="H795" s="24" t="s">
        <v>27</v>
      </c>
      <c r="I795" s="24" t="s">
        <v>850</v>
      </c>
      <c r="J795" s="14" t="s">
        <v>43</v>
      </c>
      <c r="K795" s="15" t="s">
        <v>30</v>
      </c>
      <c r="L795" s="62"/>
      <c r="M795" s="14"/>
      <c r="N795" s="14" t="s">
        <v>33</v>
      </c>
      <c r="O795" s="14"/>
      <c r="P795" s="15" t="s">
        <v>248</v>
      </c>
      <c r="Q795" s="16">
        <v>60999</v>
      </c>
      <c r="R795" s="17">
        <v>46</v>
      </c>
      <c r="S795" s="18">
        <v>37880.378999999994</v>
      </c>
      <c r="T795" s="19" t="s">
        <v>36</v>
      </c>
      <c r="U795" s="20" t="s">
        <v>86</v>
      </c>
      <c r="V795" s="21" t="s">
        <v>87</v>
      </c>
      <c r="W795" s="22">
        <v>10</v>
      </c>
      <c r="X795" s="23"/>
    </row>
    <row r="796" spans="1:24" s="1" customFormat="1" ht="26" customHeight="1" x14ac:dyDescent="0.3">
      <c r="A796" s="24" t="s">
        <v>23</v>
      </c>
      <c r="B796" s="24" t="s">
        <v>896</v>
      </c>
      <c r="C796" s="12" t="s">
        <v>897</v>
      </c>
      <c r="D796" s="61"/>
      <c r="E796" s="41" t="str">
        <f>HYPERLINK("https://www.google.ru/search?q=1384644-001&amp;newwindow=1&amp;tbm=isch","Еще фото")</f>
        <v>Еще фото</v>
      </c>
      <c r="F796" s="13"/>
      <c r="G796" s="24" t="s">
        <v>888</v>
      </c>
      <c r="H796" s="24" t="s">
        <v>27</v>
      </c>
      <c r="I796" s="24" t="s">
        <v>850</v>
      </c>
      <c r="J796" s="14" t="s">
        <v>43</v>
      </c>
      <c r="K796" s="15" t="s">
        <v>30</v>
      </c>
      <c r="L796" s="58"/>
      <c r="M796" s="14"/>
      <c r="N796" s="14" t="s">
        <v>33</v>
      </c>
      <c r="O796" s="14"/>
      <c r="P796" s="15" t="s">
        <v>248</v>
      </c>
      <c r="Q796" s="16">
        <v>60999</v>
      </c>
      <c r="R796" s="17">
        <v>46</v>
      </c>
      <c r="S796" s="18">
        <v>37880.378999999994</v>
      </c>
      <c r="T796" s="19" t="s">
        <v>36</v>
      </c>
      <c r="U796" s="20" t="s">
        <v>88</v>
      </c>
      <c r="V796" s="21" t="s">
        <v>89</v>
      </c>
      <c r="W796" s="22">
        <v>5</v>
      </c>
      <c r="X796" s="23"/>
    </row>
    <row r="797" spans="1:24" s="1" customFormat="1" ht="108" customHeight="1" x14ac:dyDescent="0.3">
      <c r="A797" s="11" t="s">
        <v>23</v>
      </c>
      <c r="B797" s="11" t="s">
        <v>899</v>
      </c>
      <c r="C797" s="12" t="s">
        <v>900</v>
      </c>
      <c r="D797" s="25"/>
      <c r="E797" s="41" t="str">
        <f>HYPERLINK("https://www.google.ru/search?q=1321441-001&amp;newwindow=1&amp;tbm=isch","Еще фото")</f>
        <v>Еще фото</v>
      </c>
      <c r="F797" s="13"/>
      <c r="G797" s="11" t="s">
        <v>859</v>
      </c>
      <c r="H797" s="11" t="s">
        <v>27</v>
      </c>
      <c r="I797" s="14" t="s">
        <v>850</v>
      </c>
      <c r="J797" s="14" t="s">
        <v>29</v>
      </c>
      <c r="K797" s="15" t="s">
        <v>59</v>
      </c>
      <c r="L797" s="14" t="s">
        <v>878</v>
      </c>
      <c r="M797" s="14" t="s">
        <v>32</v>
      </c>
      <c r="N797" s="14" t="s">
        <v>33</v>
      </c>
      <c r="O797" s="14" t="s">
        <v>760</v>
      </c>
      <c r="P797" s="15" t="s">
        <v>879</v>
      </c>
      <c r="Q797" s="16">
        <v>11790</v>
      </c>
      <c r="R797" s="17">
        <v>45.72</v>
      </c>
      <c r="S797" s="18">
        <v>7359.9884999999995</v>
      </c>
      <c r="T797" s="19" t="s">
        <v>36</v>
      </c>
      <c r="U797" s="20" t="s">
        <v>63</v>
      </c>
      <c r="V797" s="21" t="s">
        <v>64</v>
      </c>
      <c r="W797" s="22">
        <v>1</v>
      </c>
      <c r="X797" s="23"/>
    </row>
    <row r="798" spans="1:24" s="1" customFormat="1" ht="108" customHeight="1" x14ac:dyDescent="0.3">
      <c r="A798" s="11" t="s">
        <v>23</v>
      </c>
      <c r="B798" s="11" t="s">
        <v>901</v>
      </c>
      <c r="C798" s="12" t="s">
        <v>902</v>
      </c>
      <c r="D798" s="25"/>
      <c r="E798" s="41" t="str">
        <f>HYPERLINK("https://www.google.ru/search?q=1373664-437&amp;newwindow=1&amp;tbm=isch","Еще фото")</f>
        <v>Еще фото</v>
      </c>
      <c r="F798" s="13"/>
      <c r="G798" s="11" t="s">
        <v>859</v>
      </c>
      <c r="H798" s="11" t="s">
        <v>27</v>
      </c>
      <c r="I798" s="14" t="s">
        <v>850</v>
      </c>
      <c r="J798" s="14" t="s">
        <v>43</v>
      </c>
      <c r="K798" s="15" t="s">
        <v>30</v>
      </c>
      <c r="L798" s="14" t="s">
        <v>903</v>
      </c>
      <c r="M798" s="14" t="s">
        <v>32</v>
      </c>
      <c r="N798" s="14" t="s">
        <v>115</v>
      </c>
      <c r="O798" s="14"/>
      <c r="P798" s="15" t="s">
        <v>248</v>
      </c>
      <c r="Q798" s="16">
        <v>12490</v>
      </c>
      <c r="R798" s="17">
        <v>45.56</v>
      </c>
      <c r="S798" s="18">
        <v>7819.9884999999995</v>
      </c>
      <c r="T798" s="19" t="s">
        <v>36</v>
      </c>
      <c r="U798" s="20" t="s">
        <v>37</v>
      </c>
      <c r="V798" s="21" t="s">
        <v>38</v>
      </c>
      <c r="W798" s="22">
        <v>1</v>
      </c>
      <c r="X798" s="23"/>
    </row>
    <row r="799" spans="1:24" s="1" customFormat="1" ht="108" customHeight="1" x14ac:dyDescent="0.3">
      <c r="A799" s="11" t="s">
        <v>23</v>
      </c>
      <c r="B799" s="11" t="s">
        <v>904</v>
      </c>
      <c r="C799" s="12" t="s">
        <v>905</v>
      </c>
      <c r="D799" s="25"/>
      <c r="E799" s="41" t="str">
        <f>HYPERLINK("https://www.google.ru/search?q=1316034-001&amp;newwindow=1&amp;tbm=isch","Еще фото")</f>
        <v>Еще фото</v>
      </c>
      <c r="F799" s="13"/>
      <c r="G799" s="11" t="s">
        <v>859</v>
      </c>
      <c r="H799" s="11" t="s">
        <v>27</v>
      </c>
      <c r="I799" s="14" t="s">
        <v>850</v>
      </c>
      <c r="J799" s="14" t="s">
        <v>29</v>
      </c>
      <c r="K799" s="15" t="s">
        <v>59</v>
      </c>
      <c r="L799" s="14" t="s">
        <v>864</v>
      </c>
      <c r="M799" s="14" t="s">
        <v>32</v>
      </c>
      <c r="N799" s="14" t="s">
        <v>33</v>
      </c>
      <c r="O799" s="14"/>
      <c r="P799" s="15" t="s">
        <v>248</v>
      </c>
      <c r="Q799" s="16">
        <v>17890</v>
      </c>
      <c r="R799" s="17">
        <v>45.22</v>
      </c>
      <c r="S799" s="18">
        <v>11269.988499999999</v>
      </c>
      <c r="T799" s="19" t="s">
        <v>36</v>
      </c>
      <c r="U799" s="20" t="s">
        <v>63</v>
      </c>
      <c r="V799" s="21" t="s">
        <v>64</v>
      </c>
      <c r="W799" s="22">
        <v>1</v>
      </c>
      <c r="X799" s="23"/>
    </row>
    <row r="800" spans="1:24" s="1" customFormat="1" ht="108" customHeight="1" x14ac:dyDescent="0.3">
      <c r="A800" s="11" t="s">
        <v>23</v>
      </c>
      <c r="B800" s="11" t="s">
        <v>906</v>
      </c>
      <c r="C800" s="12" t="s">
        <v>907</v>
      </c>
      <c r="D800" s="25"/>
      <c r="E800" s="41" t="str">
        <f>HYPERLINK("https://www.google.ru/search?q=1378057-001&amp;newwindow=1&amp;tbm=isch","Еще фото")</f>
        <v>Еще фото</v>
      </c>
      <c r="F800" s="13"/>
      <c r="G800" s="11" t="s">
        <v>859</v>
      </c>
      <c r="H800" s="11" t="s">
        <v>27</v>
      </c>
      <c r="I800" s="14" t="s">
        <v>850</v>
      </c>
      <c r="J800" s="14" t="s">
        <v>211</v>
      </c>
      <c r="K800" s="15" t="s">
        <v>30</v>
      </c>
      <c r="L800" s="14" t="s">
        <v>908</v>
      </c>
      <c r="M800" s="14" t="s">
        <v>32</v>
      </c>
      <c r="N800" s="14" t="s">
        <v>98</v>
      </c>
      <c r="O800" s="14"/>
      <c r="P800" s="15" t="s">
        <v>47</v>
      </c>
      <c r="Q800" s="16">
        <v>22999</v>
      </c>
      <c r="R800" s="17">
        <v>45.22</v>
      </c>
      <c r="S800" s="18">
        <v>14489.988499999999</v>
      </c>
      <c r="T800" s="19" t="s">
        <v>36</v>
      </c>
      <c r="U800" s="20" t="s">
        <v>37</v>
      </c>
      <c r="V800" s="21" t="s">
        <v>38</v>
      </c>
      <c r="W800" s="22">
        <v>1</v>
      </c>
      <c r="X800" s="23"/>
    </row>
    <row r="801" spans="1:24" s="1" customFormat="1" ht="108" customHeight="1" x14ac:dyDescent="0.3">
      <c r="A801" s="11" t="s">
        <v>23</v>
      </c>
      <c r="B801" s="11" t="s">
        <v>909</v>
      </c>
      <c r="C801" s="12" t="s">
        <v>910</v>
      </c>
      <c r="D801" s="25"/>
      <c r="E801" s="41" t="str">
        <f>HYPERLINK("https://www.google.ru/search?q=1364910-001&amp;newwindow=1&amp;tbm=isch","Еще фото")</f>
        <v>Еще фото</v>
      </c>
      <c r="F801" s="13"/>
      <c r="G801" s="11" t="s">
        <v>888</v>
      </c>
      <c r="H801" s="11" t="s">
        <v>27</v>
      </c>
      <c r="I801" s="14" t="s">
        <v>850</v>
      </c>
      <c r="J801" s="14" t="s">
        <v>43</v>
      </c>
      <c r="K801" s="15" t="s">
        <v>59</v>
      </c>
      <c r="L801" s="14" t="s">
        <v>911</v>
      </c>
      <c r="M801" s="14" t="s">
        <v>32</v>
      </c>
      <c r="N801" s="14" t="s">
        <v>33</v>
      </c>
      <c r="O801" s="14"/>
      <c r="P801" s="15" t="s">
        <v>47</v>
      </c>
      <c r="Q801" s="16">
        <v>26999</v>
      </c>
      <c r="R801" s="17">
        <v>45.18</v>
      </c>
      <c r="S801" s="18">
        <v>17019.988499999999</v>
      </c>
      <c r="T801" s="19" t="s">
        <v>36</v>
      </c>
      <c r="U801" s="20" t="s">
        <v>63</v>
      </c>
      <c r="V801" s="21" t="s">
        <v>64</v>
      </c>
      <c r="W801" s="22">
        <v>2</v>
      </c>
      <c r="X801" s="23"/>
    </row>
    <row r="802" spans="1:24" s="1" customFormat="1" ht="108" customHeight="1" x14ac:dyDescent="0.3">
      <c r="A802" s="11" t="s">
        <v>23</v>
      </c>
      <c r="B802" s="11" t="s">
        <v>912</v>
      </c>
      <c r="C802" s="12" t="s">
        <v>913</v>
      </c>
      <c r="D802" s="25"/>
      <c r="E802" s="41" t="str">
        <f>HYPERLINK("https://www.google.ru/search?q=1385838-025&amp;newwindow=1&amp;tbm=isch","Еще фото")</f>
        <v>Еще фото</v>
      </c>
      <c r="F802" s="13" t="s">
        <v>103</v>
      </c>
      <c r="G802" s="11" t="s">
        <v>855</v>
      </c>
      <c r="H802" s="11" t="s">
        <v>27</v>
      </c>
      <c r="I802" s="14" t="s">
        <v>850</v>
      </c>
      <c r="J802" s="14" t="s">
        <v>43</v>
      </c>
      <c r="K802" s="15" t="s">
        <v>30</v>
      </c>
      <c r="L802" s="14" t="s">
        <v>914</v>
      </c>
      <c r="M802" s="14"/>
      <c r="N802" s="14" t="s">
        <v>62</v>
      </c>
      <c r="O802" s="14"/>
      <c r="P802" s="15" t="s">
        <v>248</v>
      </c>
      <c r="Q802" s="16">
        <v>21699</v>
      </c>
      <c r="R802" s="17">
        <v>45.16</v>
      </c>
      <c r="S802" s="18">
        <v>13684.988499999999</v>
      </c>
      <c r="T802" s="19" t="s">
        <v>36</v>
      </c>
      <c r="U802" s="20" t="s">
        <v>378</v>
      </c>
      <c r="V802" s="21" t="s">
        <v>379</v>
      </c>
      <c r="W802" s="22">
        <v>1</v>
      </c>
      <c r="X802" s="23"/>
    </row>
    <row r="803" spans="1:24" s="1" customFormat="1" ht="108" customHeight="1" x14ac:dyDescent="0.3">
      <c r="A803" s="11" t="s">
        <v>23</v>
      </c>
      <c r="B803" s="11" t="s">
        <v>915</v>
      </c>
      <c r="C803" s="12" t="s">
        <v>916</v>
      </c>
      <c r="D803" s="25"/>
      <c r="E803" s="41" t="str">
        <f>HYPERLINK("https://www.google.ru/search?q=1372693-176&amp;newwindow=1&amp;tbm=isch","Еще фото")</f>
        <v>Еще фото</v>
      </c>
      <c r="F803" s="13" t="s">
        <v>103</v>
      </c>
      <c r="G803" s="11" t="s">
        <v>849</v>
      </c>
      <c r="H803" s="11" t="s">
        <v>27</v>
      </c>
      <c r="I803" s="14" t="s">
        <v>850</v>
      </c>
      <c r="J803" s="14" t="s">
        <v>29</v>
      </c>
      <c r="K803" s="15" t="s">
        <v>30</v>
      </c>
      <c r="L803" s="14" t="s">
        <v>851</v>
      </c>
      <c r="M803" s="14" t="s">
        <v>852</v>
      </c>
      <c r="N803" s="14" t="s">
        <v>332</v>
      </c>
      <c r="O803" s="14"/>
      <c r="P803" s="15" t="s">
        <v>248</v>
      </c>
      <c r="Q803" s="16">
        <v>42999</v>
      </c>
      <c r="R803" s="17">
        <v>45.12</v>
      </c>
      <c r="S803" s="18">
        <v>27139.988499999999</v>
      </c>
      <c r="T803" s="19" t="s">
        <v>36</v>
      </c>
      <c r="U803" s="20" t="s">
        <v>88</v>
      </c>
      <c r="V803" s="21" t="s">
        <v>89</v>
      </c>
      <c r="W803" s="22">
        <v>1</v>
      </c>
      <c r="X803" s="23"/>
    </row>
    <row r="804" spans="1:24" s="1" customFormat="1" ht="108" customHeight="1" x14ac:dyDescent="0.3">
      <c r="A804" s="11" t="s">
        <v>23</v>
      </c>
      <c r="B804" s="11" t="s">
        <v>912</v>
      </c>
      <c r="C804" s="12" t="s">
        <v>917</v>
      </c>
      <c r="D804" s="25"/>
      <c r="E804" s="41" t="str">
        <f>HYPERLINK("https://www.google.ru/search?q=1385838-001&amp;newwindow=1&amp;tbm=isch","Еще фото")</f>
        <v>Еще фото</v>
      </c>
      <c r="F804" s="13" t="s">
        <v>103</v>
      </c>
      <c r="G804" s="11" t="s">
        <v>855</v>
      </c>
      <c r="H804" s="11" t="s">
        <v>27</v>
      </c>
      <c r="I804" s="14" t="s">
        <v>850</v>
      </c>
      <c r="J804" s="14" t="s">
        <v>29</v>
      </c>
      <c r="K804" s="15" t="s">
        <v>30</v>
      </c>
      <c r="L804" s="14" t="s">
        <v>914</v>
      </c>
      <c r="M804" s="14"/>
      <c r="N804" s="14" t="s">
        <v>33</v>
      </c>
      <c r="O804" s="14"/>
      <c r="P804" s="15" t="s">
        <v>248</v>
      </c>
      <c r="Q804" s="16">
        <v>18399</v>
      </c>
      <c r="R804" s="17">
        <v>45.11</v>
      </c>
      <c r="S804" s="18">
        <v>11614.988499999999</v>
      </c>
      <c r="T804" s="19" t="s">
        <v>36</v>
      </c>
      <c r="U804" s="20" t="s">
        <v>37</v>
      </c>
      <c r="V804" s="21" t="s">
        <v>38</v>
      </c>
      <c r="W804" s="22">
        <v>1</v>
      </c>
      <c r="X804" s="23"/>
    </row>
    <row r="805" spans="1:24" s="1" customFormat="1" ht="108" customHeight="1" x14ac:dyDescent="0.3">
      <c r="A805" s="11" t="s">
        <v>23</v>
      </c>
      <c r="B805" s="11" t="s">
        <v>918</v>
      </c>
      <c r="C805" s="12" t="s">
        <v>919</v>
      </c>
      <c r="D805" s="25"/>
      <c r="E805" s="41" t="str">
        <f>HYPERLINK("https://www.google.ru/search?q=1365670-001&amp;newwindow=1&amp;tbm=isch","Еще фото")</f>
        <v>Еще фото</v>
      </c>
      <c r="F805" s="13"/>
      <c r="G805" s="11" t="s">
        <v>855</v>
      </c>
      <c r="H805" s="11" t="s">
        <v>27</v>
      </c>
      <c r="I805" s="14" t="s">
        <v>850</v>
      </c>
      <c r="J805" s="14" t="s">
        <v>29</v>
      </c>
      <c r="K805" s="15" t="s">
        <v>30</v>
      </c>
      <c r="L805" s="14" t="s">
        <v>920</v>
      </c>
      <c r="M805" s="14" t="s">
        <v>32</v>
      </c>
      <c r="N805" s="14" t="s">
        <v>33</v>
      </c>
      <c r="O805" s="14" t="s">
        <v>34</v>
      </c>
      <c r="P805" s="15" t="s">
        <v>921</v>
      </c>
      <c r="Q805" s="16">
        <v>13099</v>
      </c>
      <c r="R805" s="17">
        <v>45.03</v>
      </c>
      <c r="S805" s="18">
        <v>8279.9884999999995</v>
      </c>
      <c r="T805" s="19" t="s">
        <v>36</v>
      </c>
      <c r="U805" s="20" t="s">
        <v>37</v>
      </c>
      <c r="V805" s="21" t="s">
        <v>38</v>
      </c>
      <c r="W805" s="22">
        <v>1</v>
      </c>
      <c r="X805" s="23"/>
    </row>
    <row r="806" spans="1:24" s="1" customFormat="1" ht="26" customHeight="1" x14ac:dyDescent="0.3">
      <c r="A806" s="11" t="s">
        <v>23</v>
      </c>
      <c r="B806" s="11" t="s">
        <v>922</v>
      </c>
      <c r="C806" s="12" t="s">
        <v>923</v>
      </c>
      <c r="D806" s="59"/>
      <c r="E806" s="41" t="str">
        <f>HYPERLINK("https://www.google.ru/search?q=1378830-001&amp;newwindow=1&amp;tbm=isch","Еще фото")</f>
        <v>Еще фото</v>
      </c>
      <c r="F806" s="13" t="s">
        <v>152</v>
      </c>
      <c r="G806" s="11" t="s">
        <v>849</v>
      </c>
      <c r="H806" s="11" t="s">
        <v>27</v>
      </c>
      <c r="I806" s="14" t="s">
        <v>850</v>
      </c>
      <c r="J806" s="14" t="s">
        <v>29</v>
      </c>
      <c r="K806" s="15" t="s">
        <v>30</v>
      </c>
      <c r="L806" s="57" t="s">
        <v>924</v>
      </c>
      <c r="M806" s="14" t="s">
        <v>852</v>
      </c>
      <c r="N806" s="14" t="s">
        <v>33</v>
      </c>
      <c r="O806" s="14"/>
      <c r="P806" s="15" t="s">
        <v>248</v>
      </c>
      <c r="Q806" s="16">
        <v>49999</v>
      </c>
      <c r="R806" s="17">
        <v>45</v>
      </c>
      <c r="S806" s="18">
        <v>31622.4355</v>
      </c>
      <c r="T806" s="19" t="s">
        <v>36</v>
      </c>
      <c r="U806" s="20" t="s">
        <v>37</v>
      </c>
      <c r="V806" s="21" t="s">
        <v>38</v>
      </c>
      <c r="W806" s="22">
        <v>3</v>
      </c>
      <c r="X806" s="23"/>
    </row>
    <row r="807" spans="1:24" s="1" customFormat="1" ht="26" customHeight="1" x14ac:dyDescent="0.3">
      <c r="A807" s="24" t="s">
        <v>23</v>
      </c>
      <c r="B807" s="24" t="s">
        <v>922</v>
      </c>
      <c r="C807" s="12" t="s">
        <v>923</v>
      </c>
      <c r="D807" s="60"/>
      <c r="E807" s="41" t="str">
        <f>HYPERLINK("https://www.google.ru/search?q=1378830-001&amp;newwindow=1&amp;tbm=isch","Еще фото")</f>
        <v>Еще фото</v>
      </c>
      <c r="F807" s="13" t="s">
        <v>152</v>
      </c>
      <c r="G807" s="24" t="s">
        <v>849</v>
      </c>
      <c r="H807" s="24" t="s">
        <v>27</v>
      </c>
      <c r="I807" s="24" t="s">
        <v>850</v>
      </c>
      <c r="J807" s="14" t="s">
        <v>29</v>
      </c>
      <c r="K807" s="15" t="s">
        <v>30</v>
      </c>
      <c r="L807" s="62"/>
      <c r="M807" s="14" t="s">
        <v>852</v>
      </c>
      <c r="N807" s="14" t="s">
        <v>33</v>
      </c>
      <c r="O807" s="14"/>
      <c r="P807" s="15" t="s">
        <v>248</v>
      </c>
      <c r="Q807" s="16">
        <v>49999</v>
      </c>
      <c r="R807" s="17">
        <v>45</v>
      </c>
      <c r="S807" s="18">
        <v>31622.4355</v>
      </c>
      <c r="T807" s="19" t="s">
        <v>36</v>
      </c>
      <c r="U807" s="20" t="s">
        <v>39</v>
      </c>
      <c r="V807" s="21" t="s">
        <v>40</v>
      </c>
      <c r="W807" s="22">
        <v>4</v>
      </c>
      <c r="X807" s="23"/>
    </row>
    <row r="808" spans="1:24" s="1" customFormat="1" ht="26" customHeight="1" x14ac:dyDescent="0.3">
      <c r="A808" s="24" t="s">
        <v>23</v>
      </c>
      <c r="B808" s="24" t="s">
        <v>922</v>
      </c>
      <c r="C808" s="12" t="s">
        <v>923</v>
      </c>
      <c r="D808" s="60"/>
      <c r="E808" s="41" t="str">
        <f>HYPERLINK("https://www.google.ru/search?q=1378830-001&amp;newwindow=1&amp;tbm=isch","Еще фото")</f>
        <v>Еще фото</v>
      </c>
      <c r="F808" s="13" t="s">
        <v>152</v>
      </c>
      <c r="G808" s="24" t="s">
        <v>849</v>
      </c>
      <c r="H808" s="24" t="s">
        <v>27</v>
      </c>
      <c r="I808" s="24" t="s">
        <v>850</v>
      </c>
      <c r="J808" s="14" t="s">
        <v>29</v>
      </c>
      <c r="K808" s="15" t="s">
        <v>30</v>
      </c>
      <c r="L808" s="62"/>
      <c r="M808" s="14" t="s">
        <v>852</v>
      </c>
      <c r="N808" s="14" t="s">
        <v>33</v>
      </c>
      <c r="O808" s="14"/>
      <c r="P808" s="15" t="s">
        <v>248</v>
      </c>
      <c r="Q808" s="16">
        <v>49999</v>
      </c>
      <c r="R808" s="17">
        <v>45</v>
      </c>
      <c r="S808" s="18">
        <v>31622.4355</v>
      </c>
      <c r="T808" s="19" t="s">
        <v>36</v>
      </c>
      <c r="U808" s="20" t="s">
        <v>86</v>
      </c>
      <c r="V808" s="21" t="s">
        <v>87</v>
      </c>
      <c r="W808" s="22">
        <v>5</v>
      </c>
      <c r="X808" s="23"/>
    </row>
    <row r="809" spans="1:24" s="1" customFormat="1" ht="26" customHeight="1" x14ac:dyDescent="0.3">
      <c r="A809" s="24" t="s">
        <v>23</v>
      </c>
      <c r="B809" s="24" t="s">
        <v>922</v>
      </c>
      <c r="C809" s="12" t="s">
        <v>923</v>
      </c>
      <c r="D809" s="61"/>
      <c r="E809" s="41" t="str">
        <f>HYPERLINK("https://www.google.ru/search?q=1378830-001&amp;newwindow=1&amp;tbm=isch","Еще фото")</f>
        <v>Еще фото</v>
      </c>
      <c r="F809" s="13" t="s">
        <v>152</v>
      </c>
      <c r="G809" s="24" t="s">
        <v>849</v>
      </c>
      <c r="H809" s="24" t="s">
        <v>27</v>
      </c>
      <c r="I809" s="24" t="s">
        <v>850</v>
      </c>
      <c r="J809" s="14" t="s">
        <v>29</v>
      </c>
      <c r="K809" s="15" t="s">
        <v>30</v>
      </c>
      <c r="L809" s="58"/>
      <c r="M809" s="14" t="s">
        <v>852</v>
      </c>
      <c r="N809" s="14" t="s">
        <v>33</v>
      </c>
      <c r="O809" s="14"/>
      <c r="P809" s="15" t="s">
        <v>248</v>
      </c>
      <c r="Q809" s="16">
        <v>49999</v>
      </c>
      <c r="R809" s="17">
        <v>45</v>
      </c>
      <c r="S809" s="18">
        <v>31622.4355</v>
      </c>
      <c r="T809" s="19" t="s">
        <v>36</v>
      </c>
      <c r="U809" s="20" t="s">
        <v>88</v>
      </c>
      <c r="V809" s="21" t="s">
        <v>89</v>
      </c>
      <c r="W809" s="22">
        <v>2</v>
      </c>
      <c r="X809" s="23"/>
    </row>
    <row r="810" spans="1:24" s="1" customFormat="1" ht="108" customHeight="1" x14ac:dyDescent="0.3">
      <c r="A810" s="11" t="s">
        <v>23</v>
      </c>
      <c r="B810" s="11" t="s">
        <v>925</v>
      </c>
      <c r="C810" s="12" t="s">
        <v>926</v>
      </c>
      <c r="D810" s="25"/>
      <c r="E810" s="41" t="str">
        <f>HYPERLINK("https://www.google.ru/search?q=1314551-001&amp;newwindow=1&amp;tbm=isch","Еще фото")</f>
        <v>Еще фото</v>
      </c>
      <c r="F810" s="13"/>
      <c r="G810" s="11" t="s">
        <v>859</v>
      </c>
      <c r="H810" s="11" t="s">
        <v>27</v>
      </c>
      <c r="I810" s="14" t="s">
        <v>850</v>
      </c>
      <c r="J810" s="14" t="s">
        <v>29</v>
      </c>
      <c r="K810" s="15" t="s">
        <v>30</v>
      </c>
      <c r="L810" s="14" t="s">
        <v>927</v>
      </c>
      <c r="M810" s="14" t="s">
        <v>32</v>
      </c>
      <c r="N810" s="14" t="s">
        <v>33</v>
      </c>
      <c r="O810" s="14" t="s">
        <v>34</v>
      </c>
      <c r="P810" s="15" t="s">
        <v>248</v>
      </c>
      <c r="Q810" s="16">
        <v>16999</v>
      </c>
      <c r="R810" s="17">
        <v>40</v>
      </c>
      <c r="S810" s="18">
        <v>11729.31</v>
      </c>
      <c r="T810" s="19" t="s">
        <v>36</v>
      </c>
      <c r="U810" s="20" t="s">
        <v>39</v>
      </c>
      <c r="V810" s="21" t="s">
        <v>40</v>
      </c>
      <c r="W810" s="22">
        <v>1</v>
      </c>
      <c r="X810" s="23"/>
    </row>
    <row r="811" spans="1:24" s="1" customFormat="1" ht="52.05" customHeight="1" x14ac:dyDescent="0.3">
      <c r="A811" s="11" t="s">
        <v>23</v>
      </c>
      <c r="B811" s="11" t="s">
        <v>928</v>
      </c>
      <c r="C811" s="12" t="s">
        <v>929</v>
      </c>
      <c r="D811" s="55"/>
      <c r="E811" s="41" t="str">
        <f>HYPERLINK("https://www.google.ru/search?q=1316023-001&amp;newwindow=1&amp;tbm=isch","Еще фото")</f>
        <v>Еще фото</v>
      </c>
      <c r="F811" s="13"/>
      <c r="G811" s="11" t="s">
        <v>849</v>
      </c>
      <c r="H811" s="11" t="s">
        <v>27</v>
      </c>
      <c r="I811" s="14" t="s">
        <v>850</v>
      </c>
      <c r="J811" s="14" t="s">
        <v>29</v>
      </c>
      <c r="K811" s="15" t="s">
        <v>59</v>
      </c>
      <c r="L811" s="57" t="s">
        <v>930</v>
      </c>
      <c r="M811" s="14" t="s">
        <v>32</v>
      </c>
      <c r="N811" s="14" t="s">
        <v>33</v>
      </c>
      <c r="O811" s="14" t="s">
        <v>760</v>
      </c>
      <c r="P811" s="15" t="s">
        <v>931</v>
      </c>
      <c r="Q811" s="16">
        <v>22090</v>
      </c>
      <c r="R811" s="17">
        <v>40</v>
      </c>
      <c r="S811" s="18">
        <v>15242.099999999999</v>
      </c>
      <c r="T811" s="19" t="s">
        <v>36</v>
      </c>
      <c r="U811" s="20" t="s">
        <v>63</v>
      </c>
      <c r="V811" s="21" t="s">
        <v>64</v>
      </c>
      <c r="W811" s="22">
        <v>2</v>
      </c>
      <c r="X811" s="23"/>
    </row>
    <row r="812" spans="1:24" s="1" customFormat="1" ht="61.05" customHeight="1" x14ac:dyDescent="0.3">
      <c r="A812" s="24" t="s">
        <v>23</v>
      </c>
      <c r="B812" s="24" t="s">
        <v>928</v>
      </c>
      <c r="C812" s="12" t="s">
        <v>929</v>
      </c>
      <c r="D812" s="56"/>
      <c r="E812" s="41" t="str">
        <f>HYPERLINK("https://www.google.ru/search?q=1316023-001&amp;newwindow=1&amp;tbm=isch","Еще фото")</f>
        <v>Еще фото</v>
      </c>
      <c r="F812" s="13"/>
      <c r="G812" s="24" t="s">
        <v>849</v>
      </c>
      <c r="H812" s="24" t="s">
        <v>27</v>
      </c>
      <c r="I812" s="24" t="s">
        <v>850</v>
      </c>
      <c r="J812" s="14" t="s">
        <v>29</v>
      </c>
      <c r="K812" s="15" t="s">
        <v>59</v>
      </c>
      <c r="L812" s="58"/>
      <c r="M812" s="14" t="s">
        <v>32</v>
      </c>
      <c r="N812" s="14" t="s">
        <v>33</v>
      </c>
      <c r="O812" s="14" t="s">
        <v>760</v>
      </c>
      <c r="P812" s="15" t="s">
        <v>931</v>
      </c>
      <c r="Q812" s="16">
        <v>22090</v>
      </c>
      <c r="R812" s="17">
        <v>40</v>
      </c>
      <c r="S812" s="18">
        <v>15242.099999999999</v>
      </c>
      <c r="T812" s="19" t="s">
        <v>36</v>
      </c>
      <c r="U812" s="20" t="s">
        <v>37</v>
      </c>
      <c r="V812" s="21" t="s">
        <v>106</v>
      </c>
      <c r="W812" s="22">
        <v>1</v>
      </c>
      <c r="X812" s="23"/>
    </row>
    <row r="813" spans="1:24" s="1" customFormat="1" ht="52.05" customHeight="1" x14ac:dyDescent="0.3">
      <c r="A813" s="11" t="s">
        <v>23</v>
      </c>
      <c r="B813" s="11" t="s">
        <v>932</v>
      </c>
      <c r="C813" s="12" t="s">
        <v>933</v>
      </c>
      <c r="D813" s="55"/>
      <c r="E813" s="41" t="str">
        <f>HYPERLINK("https://www.google.ru/search?q=1323839-001&amp;newwindow=1&amp;tbm=isch","Еще фото")</f>
        <v>Еще фото</v>
      </c>
      <c r="F813" s="13"/>
      <c r="G813" s="11" t="s">
        <v>849</v>
      </c>
      <c r="H813" s="11" t="s">
        <v>27</v>
      </c>
      <c r="I813" s="14" t="s">
        <v>850</v>
      </c>
      <c r="J813" s="14" t="s">
        <v>29</v>
      </c>
      <c r="K813" s="15" t="s">
        <v>59</v>
      </c>
      <c r="L813" s="57" t="s">
        <v>934</v>
      </c>
      <c r="M813" s="14"/>
      <c r="N813" s="14" t="s">
        <v>33</v>
      </c>
      <c r="O813" s="14" t="s">
        <v>760</v>
      </c>
      <c r="P813" s="15" t="s">
        <v>935</v>
      </c>
      <c r="Q813" s="16">
        <v>22090</v>
      </c>
      <c r="R813" s="17">
        <v>40</v>
      </c>
      <c r="S813" s="18">
        <v>15242.099999999999</v>
      </c>
      <c r="T813" s="19" t="s">
        <v>36</v>
      </c>
      <c r="U813" s="20" t="s">
        <v>63</v>
      </c>
      <c r="V813" s="21" t="s">
        <v>64</v>
      </c>
      <c r="W813" s="22">
        <v>2</v>
      </c>
      <c r="X813" s="23"/>
    </row>
    <row r="814" spans="1:24" s="1" customFormat="1" ht="61.05" customHeight="1" x14ac:dyDescent="0.3">
      <c r="A814" s="24" t="s">
        <v>23</v>
      </c>
      <c r="B814" s="24" t="s">
        <v>932</v>
      </c>
      <c r="C814" s="12" t="s">
        <v>933</v>
      </c>
      <c r="D814" s="56"/>
      <c r="E814" s="41" t="str">
        <f>HYPERLINK("https://www.google.ru/search?q=1323839-001&amp;newwindow=1&amp;tbm=isch","Еще фото")</f>
        <v>Еще фото</v>
      </c>
      <c r="F814" s="13"/>
      <c r="G814" s="24" t="s">
        <v>849</v>
      </c>
      <c r="H814" s="24" t="s">
        <v>27</v>
      </c>
      <c r="I814" s="24" t="s">
        <v>850</v>
      </c>
      <c r="J814" s="14" t="s">
        <v>29</v>
      </c>
      <c r="K814" s="15" t="s">
        <v>59</v>
      </c>
      <c r="L814" s="58"/>
      <c r="M814" s="14"/>
      <c r="N814" s="14" t="s">
        <v>33</v>
      </c>
      <c r="O814" s="14" t="s">
        <v>760</v>
      </c>
      <c r="P814" s="15" t="s">
        <v>935</v>
      </c>
      <c r="Q814" s="16">
        <v>22090</v>
      </c>
      <c r="R814" s="17">
        <v>40</v>
      </c>
      <c r="S814" s="18">
        <v>15242.099999999999</v>
      </c>
      <c r="T814" s="19" t="s">
        <v>36</v>
      </c>
      <c r="U814" s="20" t="s">
        <v>37</v>
      </c>
      <c r="V814" s="21" t="s">
        <v>106</v>
      </c>
      <c r="W814" s="22">
        <v>7</v>
      </c>
      <c r="X814" s="23"/>
    </row>
    <row r="815" spans="1:24" s="1" customFormat="1" ht="35" customHeight="1" x14ac:dyDescent="0.3">
      <c r="A815" s="11" t="s">
        <v>23</v>
      </c>
      <c r="B815" s="11" t="s">
        <v>936</v>
      </c>
      <c r="C815" s="12" t="s">
        <v>937</v>
      </c>
      <c r="D815" s="59"/>
      <c r="E815" s="41" t="str">
        <f>HYPERLINK("https://www.google.ru/search?q=1342791-001&amp;newwindow=1&amp;tbm=isch","Еще фото")</f>
        <v>Еще фото</v>
      </c>
      <c r="F815" s="13"/>
      <c r="G815" s="11" t="s">
        <v>888</v>
      </c>
      <c r="H815" s="11" t="s">
        <v>27</v>
      </c>
      <c r="I815" s="14" t="s">
        <v>850</v>
      </c>
      <c r="J815" s="14" t="s">
        <v>29</v>
      </c>
      <c r="K815" s="15" t="s">
        <v>59</v>
      </c>
      <c r="L815" s="57" t="s">
        <v>938</v>
      </c>
      <c r="M815" s="14" t="s">
        <v>32</v>
      </c>
      <c r="N815" s="14" t="s">
        <v>33</v>
      </c>
      <c r="O815" s="14" t="s">
        <v>939</v>
      </c>
      <c r="P815" s="15" t="s">
        <v>940</v>
      </c>
      <c r="Q815" s="16">
        <v>20390</v>
      </c>
      <c r="R815" s="17">
        <v>40</v>
      </c>
      <c r="S815" s="18">
        <v>14069.099999999999</v>
      </c>
      <c r="T815" s="19" t="s">
        <v>36</v>
      </c>
      <c r="U815" s="20" t="s">
        <v>63</v>
      </c>
      <c r="V815" s="21" t="s">
        <v>64</v>
      </c>
      <c r="W815" s="22">
        <v>1</v>
      </c>
      <c r="X815" s="23"/>
    </row>
    <row r="816" spans="1:24" s="1" customFormat="1" ht="35" customHeight="1" x14ac:dyDescent="0.3">
      <c r="A816" s="24" t="s">
        <v>23</v>
      </c>
      <c r="B816" s="24" t="s">
        <v>936</v>
      </c>
      <c r="C816" s="12" t="s">
        <v>937</v>
      </c>
      <c r="D816" s="60"/>
      <c r="E816" s="41" t="str">
        <f>HYPERLINK("https://www.google.ru/search?q=1342791-001&amp;newwindow=1&amp;tbm=isch","Еще фото")</f>
        <v>Еще фото</v>
      </c>
      <c r="F816" s="13"/>
      <c r="G816" s="24" t="s">
        <v>888</v>
      </c>
      <c r="H816" s="24" t="s">
        <v>27</v>
      </c>
      <c r="I816" s="24" t="s">
        <v>850</v>
      </c>
      <c r="J816" s="14" t="s">
        <v>29</v>
      </c>
      <c r="K816" s="15" t="s">
        <v>59</v>
      </c>
      <c r="L816" s="62"/>
      <c r="M816" s="14" t="s">
        <v>32</v>
      </c>
      <c r="N816" s="14" t="s">
        <v>33</v>
      </c>
      <c r="O816" s="14" t="s">
        <v>939</v>
      </c>
      <c r="P816" s="15" t="s">
        <v>940</v>
      </c>
      <c r="Q816" s="16">
        <v>20390</v>
      </c>
      <c r="R816" s="17">
        <v>40</v>
      </c>
      <c r="S816" s="18">
        <v>14069.099999999999</v>
      </c>
      <c r="T816" s="19" t="s">
        <v>36</v>
      </c>
      <c r="U816" s="20" t="s">
        <v>37</v>
      </c>
      <c r="V816" s="21" t="s">
        <v>106</v>
      </c>
      <c r="W816" s="22">
        <v>2</v>
      </c>
      <c r="X816" s="23"/>
    </row>
    <row r="817" spans="1:24" s="1" customFormat="1" ht="37.049999999999997" customHeight="1" x14ac:dyDescent="0.3">
      <c r="A817" s="24" t="s">
        <v>23</v>
      </c>
      <c r="B817" s="24" t="s">
        <v>936</v>
      </c>
      <c r="C817" s="12" t="s">
        <v>937</v>
      </c>
      <c r="D817" s="61"/>
      <c r="E817" s="41" t="str">
        <f>HYPERLINK("https://www.google.ru/search?q=1342791-001&amp;newwindow=1&amp;tbm=isch","Еще фото")</f>
        <v>Еще фото</v>
      </c>
      <c r="F817" s="13"/>
      <c r="G817" s="24" t="s">
        <v>888</v>
      </c>
      <c r="H817" s="24" t="s">
        <v>27</v>
      </c>
      <c r="I817" s="24" t="s">
        <v>850</v>
      </c>
      <c r="J817" s="14" t="s">
        <v>29</v>
      </c>
      <c r="K817" s="15" t="s">
        <v>59</v>
      </c>
      <c r="L817" s="58"/>
      <c r="M817" s="14" t="s">
        <v>32</v>
      </c>
      <c r="N817" s="14" t="s">
        <v>33</v>
      </c>
      <c r="O817" s="14" t="s">
        <v>939</v>
      </c>
      <c r="P817" s="15" t="s">
        <v>940</v>
      </c>
      <c r="Q817" s="16">
        <v>20390</v>
      </c>
      <c r="R817" s="17">
        <v>40</v>
      </c>
      <c r="S817" s="18">
        <v>14069.099999999999</v>
      </c>
      <c r="T817" s="19" t="s">
        <v>36</v>
      </c>
      <c r="U817" s="20" t="s">
        <v>86</v>
      </c>
      <c r="V817" s="21" t="s">
        <v>38</v>
      </c>
      <c r="W817" s="22">
        <v>4</v>
      </c>
      <c r="X817" s="23"/>
    </row>
    <row r="818" spans="1:24" s="1" customFormat="1" ht="52.05" customHeight="1" x14ac:dyDescent="0.3">
      <c r="A818" s="11" t="s">
        <v>23</v>
      </c>
      <c r="B818" s="11" t="s">
        <v>941</v>
      </c>
      <c r="C818" s="12" t="s">
        <v>942</v>
      </c>
      <c r="D818" s="55"/>
      <c r="E818" s="41" t="str">
        <f>HYPERLINK("https://www.google.ru/search?q=1342792-626&amp;newwindow=1&amp;tbm=isch","Еще фото")</f>
        <v>Еще фото</v>
      </c>
      <c r="F818" s="13"/>
      <c r="G818" s="11" t="s">
        <v>859</v>
      </c>
      <c r="H818" s="11" t="s">
        <v>27</v>
      </c>
      <c r="I818" s="14" t="s">
        <v>850</v>
      </c>
      <c r="J818" s="14" t="s">
        <v>43</v>
      </c>
      <c r="K818" s="15" t="s">
        <v>59</v>
      </c>
      <c r="L818" s="57" t="s">
        <v>943</v>
      </c>
      <c r="M818" s="14" t="s">
        <v>944</v>
      </c>
      <c r="N818" s="14" t="s">
        <v>382</v>
      </c>
      <c r="O818" s="14" t="s">
        <v>945</v>
      </c>
      <c r="P818" s="15" t="s">
        <v>946</v>
      </c>
      <c r="Q818" s="16">
        <v>24199</v>
      </c>
      <c r="R818" s="17">
        <v>40</v>
      </c>
      <c r="S818" s="18">
        <v>16697.309999999998</v>
      </c>
      <c r="T818" s="19" t="s">
        <v>36</v>
      </c>
      <c r="U818" s="20" t="s">
        <v>63</v>
      </c>
      <c r="V818" s="21" t="s">
        <v>64</v>
      </c>
      <c r="W818" s="22">
        <v>2</v>
      </c>
      <c r="X818" s="23"/>
    </row>
    <row r="819" spans="1:24" s="1" customFormat="1" ht="61.05" customHeight="1" x14ac:dyDescent="0.3">
      <c r="A819" s="24" t="s">
        <v>23</v>
      </c>
      <c r="B819" s="24" t="s">
        <v>941</v>
      </c>
      <c r="C819" s="12" t="s">
        <v>942</v>
      </c>
      <c r="D819" s="56"/>
      <c r="E819" s="41" t="str">
        <f>HYPERLINK("https://www.google.ru/search?q=1342792-626&amp;newwindow=1&amp;tbm=isch","Еще фото")</f>
        <v>Еще фото</v>
      </c>
      <c r="F819" s="13"/>
      <c r="G819" s="24" t="s">
        <v>859</v>
      </c>
      <c r="H819" s="24" t="s">
        <v>27</v>
      </c>
      <c r="I819" s="24" t="s">
        <v>850</v>
      </c>
      <c r="J819" s="14" t="s">
        <v>43</v>
      </c>
      <c r="K819" s="15" t="s">
        <v>59</v>
      </c>
      <c r="L819" s="58"/>
      <c r="M819" s="14" t="s">
        <v>944</v>
      </c>
      <c r="N819" s="14" t="s">
        <v>382</v>
      </c>
      <c r="O819" s="14" t="s">
        <v>945</v>
      </c>
      <c r="P819" s="15" t="s">
        <v>946</v>
      </c>
      <c r="Q819" s="16">
        <v>24199</v>
      </c>
      <c r="R819" s="17">
        <v>40</v>
      </c>
      <c r="S819" s="18">
        <v>16697.309999999998</v>
      </c>
      <c r="T819" s="19" t="s">
        <v>36</v>
      </c>
      <c r="U819" s="20" t="s">
        <v>37</v>
      </c>
      <c r="V819" s="21" t="s">
        <v>106</v>
      </c>
      <c r="W819" s="22">
        <v>1</v>
      </c>
      <c r="X819" s="23"/>
    </row>
    <row r="820" spans="1:24" s="1" customFormat="1" ht="108" customHeight="1" x14ac:dyDescent="0.3">
      <c r="A820" s="11" t="s">
        <v>23</v>
      </c>
      <c r="B820" s="11" t="s">
        <v>947</v>
      </c>
      <c r="C820" s="12" t="s">
        <v>948</v>
      </c>
      <c r="D820" s="25"/>
      <c r="E820" s="41" t="str">
        <f>HYPERLINK("https://www.google.ru/search?q=1363671-001&amp;newwindow=1&amp;tbm=isch","Еще фото")</f>
        <v>Еще фото</v>
      </c>
      <c r="F820" s="13"/>
      <c r="G820" s="11" t="s">
        <v>859</v>
      </c>
      <c r="H820" s="11" t="s">
        <v>27</v>
      </c>
      <c r="I820" s="14" t="s">
        <v>850</v>
      </c>
      <c r="J820" s="14" t="s">
        <v>29</v>
      </c>
      <c r="K820" s="15" t="s">
        <v>50</v>
      </c>
      <c r="L820" s="14" t="s">
        <v>949</v>
      </c>
      <c r="M820" s="14" t="s">
        <v>45</v>
      </c>
      <c r="N820" s="14" t="s">
        <v>33</v>
      </c>
      <c r="O820" s="14" t="s">
        <v>34</v>
      </c>
      <c r="P820" s="15" t="s">
        <v>950</v>
      </c>
      <c r="Q820" s="16">
        <v>5790</v>
      </c>
      <c r="R820" s="17">
        <v>40</v>
      </c>
      <c r="S820" s="18">
        <v>3995.1</v>
      </c>
      <c r="T820" s="19" t="s">
        <v>36</v>
      </c>
      <c r="U820" s="20" t="s">
        <v>54</v>
      </c>
      <c r="V820" s="21" t="s">
        <v>55</v>
      </c>
      <c r="W820" s="22">
        <v>1</v>
      </c>
      <c r="X820" s="23"/>
    </row>
    <row r="821" spans="1:24" s="1" customFormat="1" ht="108" customHeight="1" x14ac:dyDescent="0.3">
      <c r="A821" s="11" t="s">
        <v>23</v>
      </c>
      <c r="B821" s="11" t="s">
        <v>951</v>
      </c>
      <c r="C821" s="12" t="s">
        <v>952</v>
      </c>
      <c r="D821" s="25"/>
      <c r="E821" s="41" t="str">
        <f>HYPERLINK("https://www.google.ru/search?q=1372650-390&amp;newwindow=1&amp;tbm=isch","Еще фото")</f>
        <v>Еще фото</v>
      </c>
      <c r="F821" s="13"/>
      <c r="G821" s="11" t="s">
        <v>855</v>
      </c>
      <c r="H821" s="11" t="s">
        <v>27</v>
      </c>
      <c r="I821" s="14" t="s">
        <v>850</v>
      </c>
      <c r="J821" s="14" t="s">
        <v>29</v>
      </c>
      <c r="K821" s="15" t="s">
        <v>30</v>
      </c>
      <c r="L821" s="14" t="s">
        <v>856</v>
      </c>
      <c r="M821" s="14"/>
      <c r="N821" s="14" t="s">
        <v>953</v>
      </c>
      <c r="O821" s="14"/>
      <c r="P821" s="15" t="s">
        <v>248</v>
      </c>
      <c r="Q821" s="16">
        <v>20999</v>
      </c>
      <c r="R821" s="17">
        <v>40</v>
      </c>
      <c r="S821" s="18">
        <v>14489.309999999998</v>
      </c>
      <c r="T821" s="19" t="s">
        <v>36</v>
      </c>
      <c r="U821" s="20" t="s">
        <v>39</v>
      </c>
      <c r="V821" s="21" t="s">
        <v>40</v>
      </c>
      <c r="W821" s="22">
        <v>1</v>
      </c>
      <c r="X821" s="23"/>
    </row>
    <row r="822" spans="1:24" s="1" customFormat="1" ht="52.05" customHeight="1" x14ac:dyDescent="0.3">
      <c r="A822" s="11" t="s">
        <v>23</v>
      </c>
      <c r="B822" s="11" t="s">
        <v>954</v>
      </c>
      <c r="C822" s="12" t="s">
        <v>955</v>
      </c>
      <c r="D822" s="55"/>
      <c r="E822" s="41" t="str">
        <f>HYPERLINK("https://www.google.ru/search?q=1372651-012&amp;newwindow=1&amp;tbm=isch","Еще фото")</f>
        <v>Еще фото</v>
      </c>
      <c r="F822" s="13"/>
      <c r="G822" s="11" t="s">
        <v>849</v>
      </c>
      <c r="H822" s="11" t="s">
        <v>27</v>
      </c>
      <c r="I822" s="14" t="s">
        <v>850</v>
      </c>
      <c r="J822" s="14" t="s">
        <v>29</v>
      </c>
      <c r="K822" s="15" t="s">
        <v>30</v>
      </c>
      <c r="L822" s="57" t="s">
        <v>956</v>
      </c>
      <c r="M822" s="14"/>
      <c r="N822" s="14" t="s">
        <v>284</v>
      </c>
      <c r="O822" s="14"/>
      <c r="P822" s="15" t="s">
        <v>248</v>
      </c>
      <c r="Q822" s="16">
        <v>26999</v>
      </c>
      <c r="R822" s="17">
        <v>40</v>
      </c>
      <c r="S822" s="18">
        <v>18629.309999999998</v>
      </c>
      <c r="T822" s="19" t="s">
        <v>36</v>
      </c>
      <c r="U822" s="20" t="s">
        <v>37</v>
      </c>
      <c r="V822" s="21" t="s">
        <v>38</v>
      </c>
      <c r="W822" s="22">
        <v>1</v>
      </c>
      <c r="X822" s="23"/>
    </row>
    <row r="823" spans="1:24" s="1" customFormat="1" ht="61.05" customHeight="1" x14ac:dyDescent="0.3">
      <c r="A823" s="24" t="s">
        <v>23</v>
      </c>
      <c r="B823" s="24" t="s">
        <v>954</v>
      </c>
      <c r="C823" s="12" t="s">
        <v>955</v>
      </c>
      <c r="D823" s="56"/>
      <c r="E823" s="41" t="str">
        <f>HYPERLINK("https://www.google.ru/search?q=1372651-012&amp;newwindow=1&amp;tbm=isch","Еще фото")</f>
        <v>Еще фото</v>
      </c>
      <c r="F823" s="13"/>
      <c r="G823" s="24" t="s">
        <v>849</v>
      </c>
      <c r="H823" s="24" t="s">
        <v>27</v>
      </c>
      <c r="I823" s="24" t="s">
        <v>850</v>
      </c>
      <c r="J823" s="14" t="s">
        <v>29</v>
      </c>
      <c r="K823" s="15" t="s">
        <v>30</v>
      </c>
      <c r="L823" s="58"/>
      <c r="M823" s="14"/>
      <c r="N823" s="14" t="s">
        <v>284</v>
      </c>
      <c r="O823" s="14"/>
      <c r="P823" s="15" t="s">
        <v>248</v>
      </c>
      <c r="Q823" s="16">
        <v>26999</v>
      </c>
      <c r="R823" s="17">
        <v>40</v>
      </c>
      <c r="S823" s="18">
        <v>18629.309999999998</v>
      </c>
      <c r="T823" s="19" t="s">
        <v>36</v>
      </c>
      <c r="U823" s="20" t="s">
        <v>39</v>
      </c>
      <c r="V823" s="21" t="s">
        <v>40</v>
      </c>
      <c r="W823" s="22">
        <v>1</v>
      </c>
      <c r="X823" s="23"/>
    </row>
    <row r="824" spans="1:24" s="1" customFormat="1" ht="108" customHeight="1" x14ac:dyDescent="0.3">
      <c r="A824" s="11" t="s">
        <v>23</v>
      </c>
      <c r="B824" s="11" t="s">
        <v>954</v>
      </c>
      <c r="C824" s="12" t="s">
        <v>957</v>
      </c>
      <c r="D824" s="25"/>
      <c r="E824" s="41" t="str">
        <f>HYPERLINK("https://www.google.ru/search?q=1372651-410&amp;newwindow=1&amp;tbm=isch","Еще фото")</f>
        <v>Еще фото</v>
      </c>
      <c r="F824" s="13"/>
      <c r="G824" s="11" t="s">
        <v>849</v>
      </c>
      <c r="H824" s="11" t="s">
        <v>27</v>
      </c>
      <c r="I824" s="14" t="s">
        <v>850</v>
      </c>
      <c r="J824" s="14" t="s">
        <v>29</v>
      </c>
      <c r="K824" s="15" t="s">
        <v>30</v>
      </c>
      <c r="L824" s="14" t="s">
        <v>956</v>
      </c>
      <c r="M824" s="14"/>
      <c r="N824" s="14" t="s">
        <v>958</v>
      </c>
      <c r="O824" s="14"/>
      <c r="P824" s="15" t="s">
        <v>248</v>
      </c>
      <c r="Q824" s="16">
        <v>24499</v>
      </c>
      <c r="R824" s="17">
        <v>40</v>
      </c>
      <c r="S824" s="18">
        <v>16904.309999999998</v>
      </c>
      <c r="T824" s="19" t="s">
        <v>36</v>
      </c>
      <c r="U824" s="20" t="s">
        <v>86</v>
      </c>
      <c r="V824" s="21" t="s">
        <v>87</v>
      </c>
      <c r="W824" s="22">
        <v>1</v>
      </c>
      <c r="X824" s="23"/>
    </row>
    <row r="825" spans="1:24" s="1" customFormat="1" ht="52.05" customHeight="1" x14ac:dyDescent="0.3">
      <c r="A825" s="11" t="s">
        <v>23</v>
      </c>
      <c r="B825" s="11" t="s">
        <v>915</v>
      </c>
      <c r="C825" s="12" t="s">
        <v>959</v>
      </c>
      <c r="D825" s="55"/>
      <c r="E825" s="41" t="str">
        <f>HYPERLINK("https://www.google.ru/search?q=1372693-410&amp;newwindow=1&amp;tbm=isch","Еще фото")</f>
        <v>Еще фото</v>
      </c>
      <c r="F825" s="13" t="s">
        <v>103</v>
      </c>
      <c r="G825" s="11" t="s">
        <v>849</v>
      </c>
      <c r="H825" s="11" t="s">
        <v>27</v>
      </c>
      <c r="I825" s="14" t="s">
        <v>850</v>
      </c>
      <c r="J825" s="14" t="s">
        <v>29</v>
      </c>
      <c r="K825" s="15" t="s">
        <v>30</v>
      </c>
      <c r="L825" s="57" t="s">
        <v>851</v>
      </c>
      <c r="M825" s="14" t="s">
        <v>852</v>
      </c>
      <c r="N825" s="14" t="s">
        <v>115</v>
      </c>
      <c r="O825" s="14"/>
      <c r="P825" s="15" t="s">
        <v>248</v>
      </c>
      <c r="Q825" s="16">
        <v>42399</v>
      </c>
      <c r="R825" s="17">
        <v>40</v>
      </c>
      <c r="S825" s="18">
        <v>29255.309999999998</v>
      </c>
      <c r="T825" s="19" t="s">
        <v>36</v>
      </c>
      <c r="U825" s="20" t="s">
        <v>39</v>
      </c>
      <c r="V825" s="21" t="s">
        <v>40</v>
      </c>
      <c r="W825" s="22">
        <v>3</v>
      </c>
      <c r="X825" s="23"/>
    </row>
    <row r="826" spans="1:24" s="1" customFormat="1" ht="61.05" customHeight="1" x14ac:dyDescent="0.3">
      <c r="A826" s="24" t="s">
        <v>23</v>
      </c>
      <c r="B826" s="24" t="s">
        <v>915</v>
      </c>
      <c r="C826" s="12" t="s">
        <v>959</v>
      </c>
      <c r="D826" s="56"/>
      <c r="E826" s="41" t="str">
        <f>HYPERLINK("https://www.google.ru/search?q=1372693-410&amp;newwindow=1&amp;tbm=isch","Еще фото")</f>
        <v>Еще фото</v>
      </c>
      <c r="F826" s="13" t="s">
        <v>103</v>
      </c>
      <c r="G826" s="24" t="s">
        <v>849</v>
      </c>
      <c r="H826" s="24" t="s">
        <v>27</v>
      </c>
      <c r="I826" s="24" t="s">
        <v>850</v>
      </c>
      <c r="J826" s="14" t="s">
        <v>29</v>
      </c>
      <c r="K826" s="15" t="s">
        <v>30</v>
      </c>
      <c r="L826" s="58"/>
      <c r="M826" s="14" t="s">
        <v>852</v>
      </c>
      <c r="N826" s="14" t="s">
        <v>115</v>
      </c>
      <c r="O826" s="14"/>
      <c r="P826" s="15" t="s">
        <v>248</v>
      </c>
      <c r="Q826" s="16">
        <v>42399</v>
      </c>
      <c r="R826" s="17">
        <v>40</v>
      </c>
      <c r="S826" s="18">
        <v>29255.309999999998</v>
      </c>
      <c r="T826" s="19" t="s">
        <v>36</v>
      </c>
      <c r="U826" s="20" t="s">
        <v>90</v>
      </c>
      <c r="V826" s="21" t="s">
        <v>91</v>
      </c>
      <c r="W826" s="22">
        <v>3</v>
      </c>
      <c r="X826" s="23"/>
    </row>
    <row r="827" spans="1:24" s="1" customFormat="1" ht="108" customHeight="1" x14ac:dyDescent="0.3">
      <c r="A827" s="11" t="s">
        <v>23</v>
      </c>
      <c r="B827" s="11" t="s">
        <v>960</v>
      </c>
      <c r="C827" s="12" t="s">
        <v>961</v>
      </c>
      <c r="D827" s="25"/>
      <c r="E827" s="41" t="str">
        <f>HYPERLINK("https://www.google.ru/search?q=1375456-001&amp;newwindow=1&amp;tbm=isch","Еще фото")</f>
        <v>Еще фото</v>
      </c>
      <c r="F827" s="13"/>
      <c r="G827" s="11" t="s">
        <v>855</v>
      </c>
      <c r="H827" s="11" t="s">
        <v>27</v>
      </c>
      <c r="I827" s="14" t="s">
        <v>850</v>
      </c>
      <c r="J827" s="14" t="s">
        <v>43</v>
      </c>
      <c r="K827" s="15" t="s">
        <v>59</v>
      </c>
      <c r="L827" s="14" t="s">
        <v>851</v>
      </c>
      <c r="M827" s="14" t="s">
        <v>852</v>
      </c>
      <c r="N827" s="14" t="s">
        <v>33</v>
      </c>
      <c r="O827" s="14"/>
      <c r="P827" s="15" t="s">
        <v>248</v>
      </c>
      <c r="Q827" s="16">
        <v>29999</v>
      </c>
      <c r="R827" s="17">
        <v>40</v>
      </c>
      <c r="S827" s="18">
        <v>20699.310000000001</v>
      </c>
      <c r="T827" s="19" t="s">
        <v>36</v>
      </c>
      <c r="U827" s="20" t="s">
        <v>37</v>
      </c>
      <c r="V827" s="21" t="s">
        <v>106</v>
      </c>
      <c r="W827" s="22">
        <v>3</v>
      </c>
      <c r="X827" s="23"/>
    </row>
    <row r="828" spans="1:24" s="1" customFormat="1" ht="52.05" customHeight="1" x14ac:dyDescent="0.3">
      <c r="A828" s="11" t="s">
        <v>23</v>
      </c>
      <c r="B828" s="11" t="s">
        <v>962</v>
      </c>
      <c r="C828" s="12" t="s">
        <v>963</v>
      </c>
      <c r="D828" s="55"/>
      <c r="E828" s="41" t="str">
        <f>HYPERLINK("https://www.google.ru/search?q=1378496-011&amp;newwindow=1&amp;tbm=isch","Еще фото")</f>
        <v>Еще фото</v>
      </c>
      <c r="F828" s="13"/>
      <c r="G828" s="11" t="s">
        <v>859</v>
      </c>
      <c r="H828" s="11" t="s">
        <v>27</v>
      </c>
      <c r="I828" s="14" t="s">
        <v>850</v>
      </c>
      <c r="J828" s="14" t="s">
        <v>29</v>
      </c>
      <c r="K828" s="15" t="s">
        <v>30</v>
      </c>
      <c r="L828" s="57" t="s">
        <v>964</v>
      </c>
      <c r="M828" s="14" t="s">
        <v>32</v>
      </c>
      <c r="N828" s="14" t="s">
        <v>965</v>
      </c>
      <c r="O828" s="14"/>
      <c r="P828" s="15" t="s">
        <v>966</v>
      </c>
      <c r="Q828" s="16">
        <v>18999</v>
      </c>
      <c r="R828" s="17">
        <v>40</v>
      </c>
      <c r="S828" s="18">
        <v>13109.309999999998</v>
      </c>
      <c r="T828" s="19" t="s">
        <v>36</v>
      </c>
      <c r="U828" s="20" t="s">
        <v>37</v>
      </c>
      <c r="V828" s="21" t="s">
        <v>38</v>
      </c>
      <c r="W828" s="22">
        <v>7</v>
      </c>
      <c r="X828" s="23"/>
    </row>
    <row r="829" spans="1:24" s="1" customFormat="1" ht="61.05" customHeight="1" x14ac:dyDescent="0.3">
      <c r="A829" s="24" t="s">
        <v>23</v>
      </c>
      <c r="B829" s="24" t="s">
        <v>962</v>
      </c>
      <c r="C829" s="12" t="s">
        <v>963</v>
      </c>
      <c r="D829" s="56"/>
      <c r="E829" s="41" t="str">
        <f>HYPERLINK("https://www.google.ru/search?q=1378496-011&amp;newwindow=1&amp;tbm=isch","Еще фото")</f>
        <v>Еще фото</v>
      </c>
      <c r="F829" s="13"/>
      <c r="G829" s="24" t="s">
        <v>859</v>
      </c>
      <c r="H829" s="24" t="s">
        <v>27</v>
      </c>
      <c r="I829" s="24" t="s">
        <v>850</v>
      </c>
      <c r="J829" s="14" t="s">
        <v>29</v>
      </c>
      <c r="K829" s="15" t="s">
        <v>30</v>
      </c>
      <c r="L829" s="58"/>
      <c r="M829" s="14" t="s">
        <v>32</v>
      </c>
      <c r="N829" s="14" t="s">
        <v>965</v>
      </c>
      <c r="O829" s="14"/>
      <c r="P829" s="15" t="s">
        <v>966</v>
      </c>
      <c r="Q829" s="16">
        <v>18999</v>
      </c>
      <c r="R829" s="17">
        <v>40</v>
      </c>
      <c r="S829" s="18">
        <v>13109.309999999998</v>
      </c>
      <c r="T829" s="19" t="s">
        <v>36</v>
      </c>
      <c r="U829" s="20" t="s">
        <v>39</v>
      </c>
      <c r="V829" s="21" t="s">
        <v>40</v>
      </c>
      <c r="W829" s="22">
        <v>6</v>
      </c>
      <c r="X829" s="23"/>
    </row>
    <row r="830" spans="1:24" s="1" customFormat="1" ht="21" customHeight="1" x14ac:dyDescent="0.3">
      <c r="A830" s="11" t="s">
        <v>23</v>
      </c>
      <c r="B830" s="11" t="s">
        <v>967</v>
      </c>
      <c r="C830" s="26" t="s">
        <v>968</v>
      </c>
      <c r="D830" s="59"/>
      <c r="E830" s="41" t="str">
        <f>HYPERLINK("https://www.google.ru/search?q=1378502-001&amp;newwindow=1&amp;tbm=isch","Еще фото")</f>
        <v>Еще фото</v>
      </c>
      <c r="F830" s="13" t="s">
        <v>103</v>
      </c>
      <c r="G830" s="11" t="s">
        <v>855</v>
      </c>
      <c r="H830" s="11" t="s">
        <v>27</v>
      </c>
      <c r="I830" s="14" t="s">
        <v>850</v>
      </c>
      <c r="J830" s="14" t="s">
        <v>29</v>
      </c>
      <c r="K830" s="15" t="s">
        <v>59</v>
      </c>
      <c r="L830" s="57" t="s">
        <v>969</v>
      </c>
      <c r="M830" s="14"/>
      <c r="N830" s="14" t="s">
        <v>33</v>
      </c>
      <c r="O830" s="14"/>
      <c r="P830" s="15" t="s">
        <v>47</v>
      </c>
      <c r="Q830" s="16">
        <v>9999</v>
      </c>
      <c r="R830" s="17">
        <v>40</v>
      </c>
      <c r="S830" s="18">
        <v>6899.3099999999995</v>
      </c>
      <c r="T830" s="19" t="s">
        <v>36</v>
      </c>
      <c r="U830" s="20" t="s">
        <v>63</v>
      </c>
      <c r="V830" s="21" t="s">
        <v>64</v>
      </c>
      <c r="W830" s="22">
        <v>26</v>
      </c>
      <c r="X830" s="23"/>
    </row>
    <row r="831" spans="1:24" s="1" customFormat="1" ht="21" customHeight="1" x14ac:dyDescent="0.3">
      <c r="A831" s="24" t="s">
        <v>23</v>
      </c>
      <c r="B831" s="24" t="s">
        <v>967</v>
      </c>
      <c r="C831" s="27" t="s">
        <v>968</v>
      </c>
      <c r="D831" s="60"/>
      <c r="E831" s="41" t="str">
        <f>HYPERLINK("https://www.google.ru/search?q=1378502-001&amp;newwindow=1&amp;tbm=isch","Еще фото")</f>
        <v>Еще фото</v>
      </c>
      <c r="F831" s="13" t="s">
        <v>103</v>
      </c>
      <c r="G831" s="24" t="s">
        <v>855</v>
      </c>
      <c r="H831" s="24" t="s">
        <v>27</v>
      </c>
      <c r="I831" s="24" t="s">
        <v>850</v>
      </c>
      <c r="J831" s="14" t="s">
        <v>29</v>
      </c>
      <c r="K831" s="15" t="s">
        <v>59</v>
      </c>
      <c r="L831" s="62"/>
      <c r="M831" s="14"/>
      <c r="N831" s="14" t="s">
        <v>33</v>
      </c>
      <c r="O831" s="14"/>
      <c r="P831" s="15" t="s">
        <v>47</v>
      </c>
      <c r="Q831" s="16">
        <v>9999</v>
      </c>
      <c r="R831" s="17">
        <v>40</v>
      </c>
      <c r="S831" s="18">
        <v>6899.3099999999995</v>
      </c>
      <c r="T831" s="19" t="s">
        <v>36</v>
      </c>
      <c r="U831" s="20" t="s">
        <v>37</v>
      </c>
      <c r="V831" s="21" t="s">
        <v>106</v>
      </c>
      <c r="W831" s="22">
        <v>37</v>
      </c>
      <c r="X831" s="23"/>
    </row>
    <row r="832" spans="1:24" s="1" customFormat="1" ht="21" customHeight="1" x14ac:dyDescent="0.3">
      <c r="A832" s="24" t="s">
        <v>23</v>
      </c>
      <c r="B832" s="24" t="s">
        <v>967</v>
      </c>
      <c r="C832" s="27" t="s">
        <v>968</v>
      </c>
      <c r="D832" s="60"/>
      <c r="E832" s="41" t="str">
        <f>HYPERLINK("https://www.google.ru/search?q=1378502-001&amp;newwindow=1&amp;tbm=isch","Еще фото")</f>
        <v>Еще фото</v>
      </c>
      <c r="F832" s="13" t="s">
        <v>103</v>
      </c>
      <c r="G832" s="24" t="s">
        <v>855</v>
      </c>
      <c r="H832" s="24" t="s">
        <v>27</v>
      </c>
      <c r="I832" s="24" t="s">
        <v>850</v>
      </c>
      <c r="J832" s="14" t="s">
        <v>29</v>
      </c>
      <c r="K832" s="15" t="s">
        <v>59</v>
      </c>
      <c r="L832" s="62"/>
      <c r="M832" s="14"/>
      <c r="N832" s="14" t="s">
        <v>33</v>
      </c>
      <c r="O832" s="14"/>
      <c r="P832" s="15" t="s">
        <v>47</v>
      </c>
      <c r="Q832" s="16">
        <v>9999</v>
      </c>
      <c r="R832" s="17">
        <v>40</v>
      </c>
      <c r="S832" s="18">
        <v>6899.3099999999995</v>
      </c>
      <c r="T832" s="19" t="s">
        <v>36</v>
      </c>
      <c r="U832" s="20" t="s">
        <v>39</v>
      </c>
      <c r="V832" s="21" t="s">
        <v>85</v>
      </c>
      <c r="W832" s="22">
        <v>31</v>
      </c>
      <c r="X832" s="23"/>
    </row>
    <row r="833" spans="1:24" s="1" customFormat="1" ht="21" customHeight="1" x14ac:dyDescent="0.3">
      <c r="A833" s="24" t="s">
        <v>23</v>
      </c>
      <c r="B833" s="24" t="s">
        <v>967</v>
      </c>
      <c r="C833" s="27" t="s">
        <v>968</v>
      </c>
      <c r="D833" s="60"/>
      <c r="E833" s="41" t="str">
        <f>HYPERLINK("https://www.google.ru/search?q=1378502-001&amp;newwindow=1&amp;tbm=isch","Еще фото")</f>
        <v>Еще фото</v>
      </c>
      <c r="F833" s="13" t="s">
        <v>103</v>
      </c>
      <c r="G833" s="24" t="s">
        <v>855</v>
      </c>
      <c r="H833" s="24" t="s">
        <v>27</v>
      </c>
      <c r="I833" s="24" t="s">
        <v>850</v>
      </c>
      <c r="J833" s="14" t="s">
        <v>29</v>
      </c>
      <c r="K833" s="15" t="s">
        <v>59</v>
      </c>
      <c r="L833" s="62"/>
      <c r="M833" s="14"/>
      <c r="N833" s="14" t="s">
        <v>33</v>
      </c>
      <c r="O833" s="14"/>
      <c r="P833" s="15" t="s">
        <v>47</v>
      </c>
      <c r="Q833" s="16">
        <v>9999</v>
      </c>
      <c r="R833" s="17">
        <v>40</v>
      </c>
      <c r="S833" s="18">
        <v>6899.3099999999995</v>
      </c>
      <c r="T833" s="19" t="s">
        <v>36</v>
      </c>
      <c r="U833" s="20" t="s">
        <v>86</v>
      </c>
      <c r="V833" s="21" t="s">
        <v>38</v>
      </c>
      <c r="W833" s="22">
        <v>22</v>
      </c>
      <c r="X833" s="23"/>
    </row>
    <row r="834" spans="1:24" s="1" customFormat="1" ht="32" customHeight="1" x14ac:dyDescent="0.3">
      <c r="A834" s="24" t="s">
        <v>23</v>
      </c>
      <c r="B834" s="24" t="s">
        <v>967</v>
      </c>
      <c r="C834" s="27" t="s">
        <v>968</v>
      </c>
      <c r="D834" s="61"/>
      <c r="E834" s="41" t="str">
        <f>HYPERLINK("https://www.google.ru/search?q=1378502-001&amp;newwindow=1&amp;tbm=isch","Еще фото")</f>
        <v>Еще фото</v>
      </c>
      <c r="F834" s="13" t="s">
        <v>103</v>
      </c>
      <c r="G834" s="24" t="s">
        <v>855</v>
      </c>
      <c r="H834" s="24" t="s">
        <v>27</v>
      </c>
      <c r="I834" s="24" t="s">
        <v>850</v>
      </c>
      <c r="J834" s="14" t="s">
        <v>29</v>
      </c>
      <c r="K834" s="15" t="s">
        <v>59</v>
      </c>
      <c r="L834" s="58"/>
      <c r="M834" s="14"/>
      <c r="N834" s="14" t="s">
        <v>33</v>
      </c>
      <c r="O834" s="14"/>
      <c r="P834" s="15" t="s">
        <v>47</v>
      </c>
      <c r="Q834" s="16">
        <v>9999</v>
      </c>
      <c r="R834" s="17">
        <v>40</v>
      </c>
      <c r="S834" s="18">
        <v>6899.3099999999995</v>
      </c>
      <c r="T834" s="19" t="s">
        <v>36</v>
      </c>
      <c r="U834" s="20" t="s">
        <v>88</v>
      </c>
      <c r="V834" s="21" t="s">
        <v>40</v>
      </c>
      <c r="W834" s="22">
        <v>11</v>
      </c>
      <c r="X834" s="23"/>
    </row>
    <row r="835" spans="1:24" s="1" customFormat="1" ht="21" customHeight="1" x14ac:dyDescent="0.3">
      <c r="A835" s="11" t="s">
        <v>23</v>
      </c>
      <c r="B835" s="11" t="s">
        <v>970</v>
      </c>
      <c r="C835" s="26" t="s">
        <v>971</v>
      </c>
      <c r="D835" s="59"/>
      <c r="E835" s="41" t="str">
        <f>HYPERLINK("https://www.google.ru/search?q=1378840-044&amp;newwindow=1&amp;tbm=isch","Еще фото")</f>
        <v>Еще фото</v>
      </c>
      <c r="F835" s="13" t="s">
        <v>103</v>
      </c>
      <c r="G835" s="11" t="s">
        <v>849</v>
      </c>
      <c r="H835" s="11" t="s">
        <v>27</v>
      </c>
      <c r="I835" s="14" t="s">
        <v>850</v>
      </c>
      <c r="J835" s="14" t="s">
        <v>29</v>
      </c>
      <c r="K835" s="15" t="s">
        <v>30</v>
      </c>
      <c r="L835" s="57" t="s">
        <v>972</v>
      </c>
      <c r="M835" s="14" t="s">
        <v>852</v>
      </c>
      <c r="N835" s="14" t="s">
        <v>973</v>
      </c>
      <c r="O835" s="14"/>
      <c r="P835" s="15" t="s">
        <v>47</v>
      </c>
      <c r="Q835" s="16">
        <v>42999</v>
      </c>
      <c r="R835" s="17">
        <v>40</v>
      </c>
      <c r="S835" s="18">
        <v>29669.309999999998</v>
      </c>
      <c r="T835" s="19" t="s">
        <v>36</v>
      </c>
      <c r="U835" s="20" t="s">
        <v>37</v>
      </c>
      <c r="V835" s="21" t="s">
        <v>38</v>
      </c>
      <c r="W835" s="22">
        <v>11</v>
      </c>
      <c r="X835" s="23"/>
    </row>
    <row r="836" spans="1:24" s="1" customFormat="1" ht="21" customHeight="1" x14ac:dyDescent="0.3">
      <c r="A836" s="24" t="s">
        <v>23</v>
      </c>
      <c r="B836" s="24" t="s">
        <v>970</v>
      </c>
      <c r="C836" s="27" t="s">
        <v>971</v>
      </c>
      <c r="D836" s="60"/>
      <c r="E836" s="41" t="str">
        <f>HYPERLINK("https://www.google.ru/search?q=1378840-044&amp;newwindow=1&amp;tbm=isch","Еще фото")</f>
        <v>Еще фото</v>
      </c>
      <c r="F836" s="13" t="s">
        <v>103</v>
      </c>
      <c r="G836" s="24" t="s">
        <v>849</v>
      </c>
      <c r="H836" s="24" t="s">
        <v>27</v>
      </c>
      <c r="I836" s="24" t="s">
        <v>850</v>
      </c>
      <c r="J836" s="14" t="s">
        <v>29</v>
      </c>
      <c r="K836" s="15" t="s">
        <v>30</v>
      </c>
      <c r="L836" s="62"/>
      <c r="M836" s="14" t="s">
        <v>852</v>
      </c>
      <c r="N836" s="14" t="s">
        <v>973</v>
      </c>
      <c r="O836" s="14"/>
      <c r="P836" s="15" t="s">
        <v>47</v>
      </c>
      <c r="Q836" s="16">
        <v>42999</v>
      </c>
      <c r="R836" s="17">
        <v>40</v>
      </c>
      <c r="S836" s="18">
        <v>29669.309999999998</v>
      </c>
      <c r="T836" s="19" t="s">
        <v>36</v>
      </c>
      <c r="U836" s="20" t="s">
        <v>39</v>
      </c>
      <c r="V836" s="21" t="s">
        <v>40</v>
      </c>
      <c r="W836" s="22">
        <v>14</v>
      </c>
      <c r="X836" s="23"/>
    </row>
    <row r="837" spans="1:24" s="1" customFormat="1" ht="21" customHeight="1" x14ac:dyDescent="0.3">
      <c r="A837" s="24" t="s">
        <v>23</v>
      </c>
      <c r="B837" s="24" t="s">
        <v>970</v>
      </c>
      <c r="C837" s="27" t="s">
        <v>971</v>
      </c>
      <c r="D837" s="60"/>
      <c r="E837" s="41" t="str">
        <f>HYPERLINK("https://www.google.ru/search?q=1378840-044&amp;newwindow=1&amp;tbm=isch","Еще фото")</f>
        <v>Еще фото</v>
      </c>
      <c r="F837" s="13" t="s">
        <v>103</v>
      </c>
      <c r="G837" s="24" t="s">
        <v>849</v>
      </c>
      <c r="H837" s="24" t="s">
        <v>27</v>
      </c>
      <c r="I837" s="24" t="s">
        <v>850</v>
      </c>
      <c r="J837" s="14" t="s">
        <v>29</v>
      </c>
      <c r="K837" s="15" t="s">
        <v>30</v>
      </c>
      <c r="L837" s="62"/>
      <c r="M837" s="14" t="s">
        <v>852</v>
      </c>
      <c r="N837" s="14" t="s">
        <v>973</v>
      </c>
      <c r="O837" s="14"/>
      <c r="P837" s="15" t="s">
        <v>47</v>
      </c>
      <c r="Q837" s="16">
        <v>42999</v>
      </c>
      <c r="R837" s="17">
        <v>40</v>
      </c>
      <c r="S837" s="18">
        <v>29669.309999999998</v>
      </c>
      <c r="T837" s="19" t="s">
        <v>36</v>
      </c>
      <c r="U837" s="20" t="s">
        <v>86</v>
      </c>
      <c r="V837" s="21" t="s">
        <v>87</v>
      </c>
      <c r="W837" s="22">
        <v>5</v>
      </c>
      <c r="X837" s="23"/>
    </row>
    <row r="838" spans="1:24" s="1" customFormat="1" ht="21" customHeight="1" x14ac:dyDescent="0.3">
      <c r="A838" s="24" t="s">
        <v>23</v>
      </c>
      <c r="B838" s="24" t="s">
        <v>970</v>
      </c>
      <c r="C838" s="27" t="s">
        <v>971</v>
      </c>
      <c r="D838" s="60"/>
      <c r="E838" s="41" t="str">
        <f>HYPERLINK("https://www.google.ru/search?q=1378840-044&amp;newwindow=1&amp;tbm=isch","Еще фото")</f>
        <v>Еще фото</v>
      </c>
      <c r="F838" s="13" t="s">
        <v>103</v>
      </c>
      <c r="G838" s="24" t="s">
        <v>849</v>
      </c>
      <c r="H838" s="24" t="s">
        <v>27</v>
      </c>
      <c r="I838" s="24" t="s">
        <v>850</v>
      </c>
      <c r="J838" s="14" t="s">
        <v>29</v>
      </c>
      <c r="K838" s="15" t="s">
        <v>30</v>
      </c>
      <c r="L838" s="62"/>
      <c r="M838" s="14" t="s">
        <v>852</v>
      </c>
      <c r="N838" s="14" t="s">
        <v>973</v>
      </c>
      <c r="O838" s="14"/>
      <c r="P838" s="15" t="s">
        <v>47</v>
      </c>
      <c r="Q838" s="16">
        <v>42999</v>
      </c>
      <c r="R838" s="17">
        <v>40</v>
      </c>
      <c r="S838" s="18">
        <v>29669.309999999998</v>
      </c>
      <c r="T838" s="19" t="s">
        <v>36</v>
      </c>
      <c r="U838" s="20" t="s">
        <v>88</v>
      </c>
      <c r="V838" s="21" t="s">
        <v>89</v>
      </c>
      <c r="W838" s="22">
        <v>5</v>
      </c>
      <c r="X838" s="23"/>
    </row>
    <row r="839" spans="1:24" s="1" customFormat="1" ht="32" customHeight="1" x14ac:dyDescent="0.3">
      <c r="A839" s="24" t="s">
        <v>23</v>
      </c>
      <c r="B839" s="24" t="s">
        <v>970</v>
      </c>
      <c r="C839" s="27" t="s">
        <v>971</v>
      </c>
      <c r="D839" s="61"/>
      <c r="E839" s="41" t="str">
        <f>HYPERLINK("https://www.google.ru/search?q=1378840-044&amp;newwindow=1&amp;tbm=isch","Еще фото")</f>
        <v>Еще фото</v>
      </c>
      <c r="F839" s="13" t="s">
        <v>103</v>
      </c>
      <c r="G839" s="24" t="s">
        <v>849</v>
      </c>
      <c r="H839" s="24" t="s">
        <v>27</v>
      </c>
      <c r="I839" s="24" t="s">
        <v>850</v>
      </c>
      <c r="J839" s="14" t="s">
        <v>29</v>
      </c>
      <c r="K839" s="15" t="s">
        <v>30</v>
      </c>
      <c r="L839" s="58"/>
      <c r="M839" s="14" t="s">
        <v>852</v>
      </c>
      <c r="N839" s="14" t="s">
        <v>973</v>
      </c>
      <c r="O839" s="14"/>
      <c r="P839" s="15" t="s">
        <v>47</v>
      </c>
      <c r="Q839" s="16">
        <v>42999</v>
      </c>
      <c r="R839" s="17">
        <v>40</v>
      </c>
      <c r="S839" s="18">
        <v>29669.309999999998</v>
      </c>
      <c r="T839" s="19" t="s">
        <v>36</v>
      </c>
      <c r="U839" s="20" t="s">
        <v>90</v>
      </c>
      <c r="V839" s="21" t="s">
        <v>91</v>
      </c>
      <c r="W839" s="22">
        <v>2</v>
      </c>
      <c r="X839" s="23"/>
    </row>
    <row r="840" spans="1:24" s="1" customFormat="1" ht="52.05" customHeight="1" x14ac:dyDescent="0.3">
      <c r="A840" s="11" t="s">
        <v>23</v>
      </c>
      <c r="B840" s="11" t="s">
        <v>974</v>
      </c>
      <c r="C840" s="12" t="s">
        <v>975</v>
      </c>
      <c r="D840" s="55"/>
      <c r="E840" s="41" t="str">
        <f>HYPERLINK("https://www.google.ru/search?q=1380868-001&amp;newwindow=1&amp;tbm=isch","Еще фото")</f>
        <v>Еще фото</v>
      </c>
      <c r="F840" s="13" t="s">
        <v>103</v>
      </c>
      <c r="G840" s="11" t="s">
        <v>859</v>
      </c>
      <c r="H840" s="11" t="s">
        <v>27</v>
      </c>
      <c r="I840" s="14" t="s">
        <v>850</v>
      </c>
      <c r="J840" s="14" t="s">
        <v>29</v>
      </c>
      <c r="K840" s="15" t="s">
        <v>30</v>
      </c>
      <c r="L840" s="57" t="s">
        <v>976</v>
      </c>
      <c r="M840" s="14" t="s">
        <v>32</v>
      </c>
      <c r="N840" s="14" t="s">
        <v>33</v>
      </c>
      <c r="O840" s="14"/>
      <c r="P840" s="15" t="s">
        <v>47</v>
      </c>
      <c r="Q840" s="16">
        <v>17199</v>
      </c>
      <c r="R840" s="17">
        <v>40</v>
      </c>
      <c r="S840" s="18">
        <v>11867.31</v>
      </c>
      <c r="T840" s="19" t="s">
        <v>36</v>
      </c>
      <c r="U840" s="20" t="s">
        <v>37</v>
      </c>
      <c r="V840" s="21" t="s">
        <v>38</v>
      </c>
      <c r="W840" s="22">
        <v>3</v>
      </c>
      <c r="X840" s="23"/>
    </row>
    <row r="841" spans="1:24" s="1" customFormat="1" ht="61.05" customHeight="1" x14ac:dyDescent="0.3">
      <c r="A841" s="24" t="s">
        <v>23</v>
      </c>
      <c r="B841" s="24" t="s">
        <v>974</v>
      </c>
      <c r="C841" s="12" t="s">
        <v>975</v>
      </c>
      <c r="D841" s="56"/>
      <c r="E841" s="41" t="str">
        <f>HYPERLINK("https://www.google.ru/search?q=1380868-001&amp;newwindow=1&amp;tbm=isch","Еще фото")</f>
        <v>Еще фото</v>
      </c>
      <c r="F841" s="13" t="s">
        <v>103</v>
      </c>
      <c r="G841" s="24" t="s">
        <v>859</v>
      </c>
      <c r="H841" s="24" t="s">
        <v>27</v>
      </c>
      <c r="I841" s="24" t="s">
        <v>850</v>
      </c>
      <c r="J841" s="14" t="s">
        <v>29</v>
      </c>
      <c r="K841" s="15" t="s">
        <v>30</v>
      </c>
      <c r="L841" s="58"/>
      <c r="M841" s="14" t="s">
        <v>32</v>
      </c>
      <c r="N841" s="14" t="s">
        <v>33</v>
      </c>
      <c r="O841" s="14"/>
      <c r="P841" s="15" t="s">
        <v>47</v>
      </c>
      <c r="Q841" s="16">
        <v>17199</v>
      </c>
      <c r="R841" s="17">
        <v>40</v>
      </c>
      <c r="S841" s="18">
        <v>11867.31</v>
      </c>
      <c r="T841" s="19" t="s">
        <v>36</v>
      </c>
      <c r="U841" s="20" t="s">
        <v>39</v>
      </c>
      <c r="V841" s="21" t="s">
        <v>40</v>
      </c>
      <c r="W841" s="22">
        <v>1</v>
      </c>
      <c r="X841" s="23"/>
    </row>
    <row r="842" spans="1:24" s="1" customFormat="1" ht="35" customHeight="1" x14ac:dyDescent="0.3">
      <c r="A842" s="11" t="s">
        <v>23</v>
      </c>
      <c r="B842" s="11" t="s">
        <v>977</v>
      </c>
      <c r="C842" s="12" t="s">
        <v>978</v>
      </c>
      <c r="D842" s="59"/>
      <c r="E842" s="41" t="str">
        <f>HYPERLINK("https://www.google.ru/search?q=1380868-587&amp;newwindow=1&amp;tbm=isch","Еще фото")</f>
        <v>Еще фото</v>
      </c>
      <c r="F842" s="13"/>
      <c r="G842" s="11" t="s">
        <v>859</v>
      </c>
      <c r="H842" s="11" t="s">
        <v>27</v>
      </c>
      <c r="I842" s="14" t="s">
        <v>850</v>
      </c>
      <c r="J842" s="14" t="s">
        <v>29</v>
      </c>
      <c r="K842" s="15" t="s">
        <v>30</v>
      </c>
      <c r="L842" s="57" t="s">
        <v>979</v>
      </c>
      <c r="M842" s="14" t="s">
        <v>32</v>
      </c>
      <c r="N842" s="14" t="s">
        <v>115</v>
      </c>
      <c r="O842" s="14"/>
      <c r="P842" s="15" t="s">
        <v>47</v>
      </c>
      <c r="Q842" s="16">
        <v>18799</v>
      </c>
      <c r="R842" s="17">
        <v>40</v>
      </c>
      <c r="S842" s="18">
        <v>12971.309999999998</v>
      </c>
      <c r="T842" s="19" t="s">
        <v>36</v>
      </c>
      <c r="U842" s="20" t="s">
        <v>37</v>
      </c>
      <c r="V842" s="21" t="s">
        <v>38</v>
      </c>
      <c r="W842" s="22">
        <v>1</v>
      </c>
      <c r="X842" s="23"/>
    </row>
    <row r="843" spans="1:24" s="1" customFormat="1" ht="35" customHeight="1" x14ac:dyDescent="0.3">
      <c r="A843" s="24" t="s">
        <v>23</v>
      </c>
      <c r="B843" s="24" t="s">
        <v>977</v>
      </c>
      <c r="C843" s="12" t="s">
        <v>978</v>
      </c>
      <c r="D843" s="60"/>
      <c r="E843" s="41" t="str">
        <f>HYPERLINK("https://www.google.ru/search?q=1380868-587&amp;newwindow=1&amp;tbm=isch","Еще фото")</f>
        <v>Еще фото</v>
      </c>
      <c r="F843" s="13"/>
      <c r="G843" s="24" t="s">
        <v>859</v>
      </c>
      <c r="H843" s="24" t="s">
        <v>27</v>
      </c>
      <c r="I843" s="24" t="s">
        <v>850</v>
      </c>
      <c r="J843" s="14" t="s">
        <v>29</v>
      </c>
      <c r="K843" s="15" t="s">
        <v>30</v>
      </c>
      <c r="L843" s="62"/>
      <c r="M843" s="14" t="s">
        <v>32</v>
      </c>
      <c r="N843" s="14" t="s">
        <v>115</v>
      </c>
      <c r="O843" s="14"/>
      <c r="P843" s="15" t="s">
        <v>47</v>
      </c>
      <c r="Q843" s="16">
        <v>18799</v>
      </c>
      <c r="R843" s="17">
        <v>40</v>
      </c>
      <c r="S843" s="18">
        <v>12971.309999999998</v>
      </c>
      <c r="T843" s="19" t="s">
        <v>36</v>
      </c>
      <c r="U843" s="20" t="s">
        <v>86</v>
      </c>
      <c r="V843" s="21" t="s">
        <v>87</v>
      </c>
      <c r="W843" s="22">
        <v>3</v>
      </c>
      <c r="X843" s="23"/>
    </row>
    <row r="844" spans="1:24" s="1" customFormat="1" ht="37.049999999999997" customHeight="1" x14ac:dyDescent="0.3">
      <c r="A844" s="24" t="s">
        <v>23</v>
      </c>
      <c r="B844" s="24" t="s">
        <v>977</v>
      </c>
      <c r="C844" s="12" t="s">
        <v>978</v>
      </c>
      <c r="D844" s="61"/>
      <c r="E844" s="41" t="str">
        <f>HYPERLINK("https://www.google.ru/search?q=1380868-587&amp;newwindow=1&amp;tbm=isch","Еще фото")</f>
        <v>Еще фото</v>
      </c>
      <c r="F844" s="13"/>
      <c r="G844" s="24" t="s">
        <v>859</v>
      </c>
      <c r="H844" s="24" t="s">
        <v>27</v>
      </c>
      <c r="I844" s="24" t="s">
        <v>850</v>
      </c>
      <c r="J844" s="14" t="s">
        <v>29</v>
      </c>
      <c r="K844" s="15" t="s">
        <v>30</v>
      </c>
      <c r="L844" s="58"/>
      <c r="M844" s="14" t="s">
        <v>32</v>
      </c>
      <c r="N844" s="14" t="s">
        <v>115</v>
      </c>
      <c r="O844" s="14"/>
      <c r="P844" s="15" t="s">
        <v>47</v>
      </c>
      <c r="Q844" s="16">
        <v>18799</v>
      </c>
      <c r="R844" s="17">
        <v>40</v>
      </c>
      <c r="S844" s="18">
        <v>12971.309999999998</v>
      </c>
      <c r="T844" s="19" t="s">
        <v>36</v>
      </c>
      <c r="U844" s="20" t="s">
        <v>88</v>
      </c>
      <c r="V844" s="21" t="s">
        <v>89</v>
      </c>
      <c r="W844" s="22">
        <v>1</v>
      </c>
      <c r="X844" s="23"/>
    </row>
    <row r="845" spans="1:24" s="1" customFormat="1" ht="26" customHeight="1" x14ac:dyDescent="0.3">
      <c r="A845" s="11" t="s">
        <v>23</v>
      </c>
      <c r="B845" s="11" t="s">
        <v>893</v>
      </c>
      <c r="C845" s="12" t="s">
        <v>980</v>
      </c>
      <c r="D845" s="59"/>
      <c r="E845" s="41" t="str">
        <f>HYPERLINK("https://www.google.ru/search?q=1384641-001&amp;newwindow=1&amp;tbm=isch","Еще фото")</f>
        <v>Еще фото</v>
      </c>
      <c r="F845" s="13" t="s">
        <v>152</v>
      </c>
      <c r="G845" s="11" t="s">
        <v>859</v>
      </c>
      <c r="H845" s="11" t="s">
        <v>27</v>
      </c>
      <c r="I845" s="14" t="s">
        <v>850</v>
      </c>
      <c r="J845" s="14" t="s">
        <v>43</v>
      </c>
      <c r="K845" s="15" t="s">
        <v>30</v>
      </c>
      <c r="L845" s="57" t="s">
        <v>895</v>
      </c>
      <c r="M845" s="14"/>
      <c r="N845" s="14" t="s">
        <v>33</v>
      </c>
      <c r="O845" s="14"/>
      <c r="P845" s="15" t="s">
        <v>248</v>
      </c>
      <c r="Q845" s="16">
        <v>46999</v>
      </c>
      <c r="R845" s="17">
        <v>40</v>
      </c>
      <c r="S845" s="18">
        <v>32429.309999999998</v>
      </c>
      <c r="T845" s="19" t="s">
        <v>36</v>
      </c>
      <c r="U845" s="20" t="s">
        <v>37</v>
      </c>
      <c r="V845" s="21" t="s">
        <v>38</v>
      </c>
      <c r="W845" s="22">
        <v>3</v>
      </c>
      <c r="X845" s="23"/>
    </row>
    <row r="846" spans="1:24" s="1" customFormat="1" ht="26" customHeight="1" x14ac:dyDescent="0.3">
      <c r="A846" s="24" t="s">
        <v>23</v>
      </c>
      <c r="B846" s="24" t="s">
        <v>893</v>
      </c>
      <c r="C846" s="12" t="s">
        <v>980</v>
      </c>
      <c r="D846" s="60"/>
      <c r="E846" s="41" t="str">
        <f>HYPERLINK("https://www.google.ru/search?q=1384641-001&amp;newwindow=1&amp;tbm=isch","Еще фото")</f>
        <v>Еще фото</v>
      </c>
      <c r="F846" s="13" t="s">
        <v>152</v>
      </c>
      <c r="G846" s="24" t="s">
        <v>859</v>
      </c>
      <c r="H846" s="24" t="s">
        <v>27</v>
      </c>
      <c r="I846" s="24" t="s">
        <v>850</v>
      </c>
      <c r="J846" s="14" t="s">
        <v>43</v>
      </c>
      <c r="K846" s="15" t="s">
        <v>30</v>
      </c>
      <c r="L846" s="62"/>
      <c r="M846" s="14"/>
      <c r="N846" s="14" t="s">
        <v>33</v>
      </c>
      <c r="O846" s="14"/>
      <c r="P846" s="15" t="s">
        <v>248</v>
      </c>
      <c r="Q846" s="16">
        <v>46999</v>
      </c>
      <c r="R846" s="17">
        <v>40</v>
      </c>
      <c r="S846" s="18">
        <v>32429.309999999998</v>
      </c>
      <c r="T846" s="19" t="s">
        <v>36</v>
      </c>
      <c r="U846" s="20" t="s">
        <v>39</v>
      </c>
      <c r="V846" s="21" t="s">
        <v>40</v>
      </c>
      <c r="W846" s="22">
        <v>7</v>
      </c>
      <c r="X846" s="23"/>
    </row>
    <row r="847" spans="1:24" s="1" customFormat="1" ht="26" customHeight="1" x14ac:dyDescent="0.3">
      <c r="A847" s="24" t="s">
        <v>23</v>
      </c>
      <c r="B847" s="24" t="s">
        <v>893</v>
      </c>
      <c r="C847" s="12" t="s">
        <v>980</v>
      </c>
      <c r="D847" s="60"/>
      <c r="E847" s="41" t="str">
        <f>HYPERLINK("https://www.google.ru/search?q=1384641-001&amp;newwindow=1&amp;tbm=isch","Еще фото")</f>
        <v>Еще фото</v>
      </c>
      <c r="F847" s="13" t="s">
        <v>152</v>
      </c>
      <c r="G847" s="24" t="s">
        <v>859</v>
      </c>
      <c r="H847" s="24" t="s">
        <v>27</v>
      </c>
      <c r="I847" s="24" t="s">
        <v>850</v>
      </c>
      <c r="J847" s="14" t="s">
        <v>43</v>
      </c>
      <c r="K847" s="15" t="s">
        <v>30</v>
      </c>
      <c r="L847" s="62"/>
      <c r="M847" s="14"/>
      <c r="N847" s="14" t="s">
        <v>33</v>
      </c>
      <c r="O847" s="14"/>
      <c r="P847" s="15" t="s">
        <v>248</v>
      </c>
      <c r="Q847" s="16">
        <v>46999</v>
      </c>
      <c r="R847" s="17">
        <v>40</v>
      </c>
      <c r="S847" s="18">
        <v>32429.309999999998</v>
      </c>
      <c r="T847" s="19" t="s">
        <v>36</v>
      </c>
      <c r="U847" s="20" t="s">
        <v>86</v>
      </c>
      <c r="V847" s="21" t="s">
        <v>87</v>
      </c>
      <c r="W847" s="22">
        <v>11</v>
      </c>
      <c r="X847" s="23"/>
    </row>
    <row r="848" spans="1:24" s="1" customFormat="1" ht="26" customHeight="1" x14ac:dyDescent="0.3">
      <c r="A848" s="24" t="s">
        <v>23</v>
      </c>
      <c r="B848" s="24" t="s">
        <v>893</v>
      </c>
      <c r="C848" s="12" t="s">
        <v>980</v>
      </c>
      <c r="D848" s="61"/>
      <c r="E848" s="41" t="str">
        <f>HYPERLINK("https://www.google.ru/search?q=1384641-001&amp;newwindow=1&amp;tbm=isch","Еще фото")</f>
        <v>Еще фото</v>
      </c>
      <c r="F848" s="13" t="s">
        <v>152</v>
      </c>
      <c r="G848" s="24" t="s">
        <v>859</v>
      </c>
      <c r="H848" s="24" t="s">
        <v>27</v>
      </c>
      <c r="I848" s="24" t="s">
        <v>850</v>
      </c>
      <c r="J848" s="14" t="s">
        <v>43</v>
      </c>
      <c r="K848" s="15" t="s">
        <v>30</v>
      </c>
      <c r="L848" s="58"/>
      <c r="M848" s="14"/>
      <c r="N848" s="14" t="s">
        <v>33</v>
      </c>
      <c r="O848" s="14"/>
      <c r="P848" s="15" t="s">
        <v>248</v>
      </c>
      <c r="Q848" s="16">
        <v>46999</v>
      </c>
      <c r="R848" s="17">
        <v>40</v>
      </c>
      <c r="S848" s="18">
        <v>32429.309999999998</v>
      </c>
      <c r="T848" s="19" t="s">
        <v>36</v>
      </c>
      <c r="U848" s="20" t="s">
        <v>88</v>
      </c>
      <c r="V848" s="21" t="s">
        <v>89</v>
      </c>
      <c r="W848" s="22">
        <v>6</v>
      </c>
      <c r="X848" s="23"/>
    </row>
    <row r="849" spans="1:24" s="1" customFormat="1" ht="52.05" customHeight="1" x14ac:dyDescent="0.3">
      <c r="A849" s="11" t="s">
        <v>23</v>
      </c>
      <c r="B849" s="11" t="s">
        <v>981</v>
      </c>
      <c r="C849" s="12" t="s">
        <v>982</v>
      </c>
      <c r="D849" s="55"/>
      <c r="E849" s="41" t="str">
        <f>HYPERLINK("https://www.google.ru/search?q=1384642-110&amp;newwindow=1&amp;tbm=isch","Еще фото")</f>
        <v>Еще фото</v>
      </c>
      <c r="F849" s="13"/>
      <c r="G849" s="11" t="s">
        <v>855</v>
      </c>
      <c r="H849" s="11" t="s">
        <v>27</v>
      </c>
      <c r="I849" s="14" t="s">
        <v>850</v>
      </c>
      <c r="J849" s="14" t="s">
        <v>43</v>
      </c>
      <c r="K849" s="15" t="s">
        <v>30</v>
      </c>
      <c r="L849" s="57" t="s">
        <v>983</v>
      </c>
      <c r="M849" s="14"/>
      <c r="N849" s="14" t="s">
        <v>84</v>
      </c>
      <c r="O849" s="14"/>
      <c r="P849" s="15" t="s">
        <v>248</v>
      </c>
      <c r="Q849" s="16">
        <v>27999</v>
      </c>
      <c r="R849" s="17">
        <v>40</v>
      </c>
      <c r="S849" s="18">
        <v>19319.310000000001</v>
      </c>
      <c r="T849" s="19" t="s">
        <v>36</v>
      </c>
      <c r="U849" s="20" t="s">
        <v>39</v>
      </c>
      <c r="V849" s="21" t="s">
        <v>40</v>
      </c>
      <c r="W849" s="22">
        <v>5</v>
      </c>
      <c r="X849" s="23"/>
    </row>
    <row r="850" spans="1:24" s="1" customFormat="1" ht="61.05" customHeight="1" x14ac:dyDescent="0.3">
      <c r="A850" s="24" t="s">
        <v>23</v>
      </c>
      <c r="B850" s="24" t="s">
        <v>981</v>
      </c>
      <c r="C850" s="12" t="s">
        <v>982</v>
      </c>
      <c r="D850" s="56"/>
      <c r="E850" s="41" t="str">
        <f>HYPERLINK("https://www.google.ru/search?q=1384642-110&amp;newwindow=1&amp;tbm=isch","Еще фото")</f>
        <v>Еще фото</v>
      </c>
      <c r="F850" s="13"/>
      <c r="G850" s="24" t="s">
        <v>855</v>
      </c>
      <c r="H850" s="24" t="s">
        <v>27</v>
      </c>
      <c r="I850" s="24" t="s">
        <v>850</v>
      </c>
      <c r="J850" s="14" t="s">
        <v>43</v>
      </c>
      <c r="K850" s="15" t="s">
        <v>30</v>
      </c>
      <c r="L850" s="58"/>
      <c r="M850" s="14"/>
      <c r="N850" s="14" t="s">
        <v>84</v>
      </c>
      <c r="O850" s="14"/>
      <c r="P850" s="15" t="s">
        <v>248</v>
      </c>
      <c r="Q850" s="16">
        <v>27999</v>
      </c>
      <c r="R850" s="17">
        <v>40</v>
      </c>
      <c r="S850" s="18">
        <v>19319.310000000001</v>
      </c>
      <c r="T850" s="19" t="s">
        <v>36</v>
      </c>
      <c r="U850" s="20" t="s">
        <v>86</v>
      </c>
      <c r="V850" s="21" t="s">
        <v>87</v>
      </c>
      <c r="W850" s="22">
        <v>1</v>
      </c>
      <c r="X850" s="23"/>
    </row>
    <row r="851" spans="1:24" s="1" customFormat="1" ht="21" customHeight="1" x14ac:dyDescent="0.3">
      <c r="A851" s="11" t="s">
        <v>23</v>
      </c>
      <c r="B851" s="11" t="s">
        <v>868</v>
      </c>
      <c r="C851" s="26" t="s">
        <v>984</v>
      </c>
      <c r="D851" s="59"/>
      <c r="E851" s="41" t="str">
        <f>HYPERLINK("https://www.google.ru/search?q=1385837-001&amp;newwindow=1&amp;tbm=isch","Еще фото")</f>
        <v>Еще фото</v>
      </c>
      <c r="F851" s="28" t="s">
        <v>152</v>
      </c>
      <c r="G851" s="11" t="s">
        <v>859</v>
      </c>
      <c r="H851" s="11" t="s">
        <v>27</v>
      </c>
      <c r="I851" s="14" t="s">
        <v>850</v>
      </c>
      <c r="J851" s="14" t="s">
        <v>29</v>
      </c>
      <c r="K851" s="15" t="s">
        <v>30</v>
      </c>
      <c r="L851" s="57" t="s">
        <v>870</v>
      </c>
      <c r="M851" s="14"/>
      <c r="N851" s="14" t="s">
        <v>33</v>
      </c>
      <c r="O851" s="14"/>
      <c r="P851" s="15" t="s">
        <v>248</v>
      </c>
      <c r="Q851" s="16">
        <v>25699</v>
      </c>
      <c r="R851" s="17">
        <v>40</v>
      </c>
      <c r="S851" s="18">
        <v>17732.309999999998</v>
      </c>
      <c r="T851" s="19" t="s">
        <v>36</v>
      </c>
      <c r="U851" s="20" t="s">
        <v>37</v>
      </c>
      <c r="V851" s="21" t="s">
        <v>38</v>
      </c>
      <c r="W851" s="22">
        <v>29</v>
      </c>
      <c r="X851" s="23"/>
    </row>
    <row r="852" spans="1:24" s="1" customFormat="1" ht="21" customHeight="1" x14ac:dyDescent="0.3">
      <c r="A852" s="24" t="s">
        <v>23</v>
      </c>
      <c r="B852" s="24" t="s">
        <v>868</v>
      </c>
      <c r="C852" s="27" t="s">
        <v>984</v>
      </c>
      <c r="D852" s="60"/>
      <c r="E852" s="41" t="str">
        <f>HYPERLINK("https://www.google.ru/search?q=1385837-001&amp;newwindow=1&amp;tbm=isch","Еще фото")</f>
        <v>Еще фото</v>
      </c>
      <c r="F852" s="28" t="s">
        <v>152</v>
      </c>
      <c r="G852" s="24" t="s">
        <v>859</v>
      </c>
      <c r="H852" s="24" t="s">
        <v>27</v>
      </c>
      <c r="I852" s="24" t="s">
        <v>850</v>
      </c>
      <c r="J852" s="14" t="s">
        <v>29</v>
      </c>
      <c r="K852" s="15" t="s">
        <v>30</v>
      </c>
      <c r="L852" s="62"/>
      <c r="M852" s="14"/>
      <c r="N852" s="14" t="s">
        <v>33</v>
      </c>
      <c r="O852" s="14"/>
      <c r="P852" s="15" t="s">
        <v>248</v>
      </c>
      <c r="Q852" s="16">
        <v>25699</v>
      </c>
      <c r="R852" s="17">
        <v>40</v>
      </c>
      <c r="S852" s="18">
        <v>17732.309999999998</v>
      </c>
      <c r="T852" s="19" t="s">
        <v>36</v>
      </c>
      <c r="U852" s="20" t="s">
        <v>39</v>
      </c>
      <c r="V852" s="21" t="s">
        <v>40</v>
      </c>
      <c r="W852" s="22">
        <v>54</v>
      </c>
      <c r="X852" s="23"/>
    </row>
    <row r="853" spans="1:24" s="1" customFormat="1" ht="21" customHeight="1" x14ac:dyDescent="0.3">
      <c r="A853" s="24" t="s">
        <v>23</v>
      </c>
      <c r="B853" s="24" t="s">
        <v>868</v>
      </c>
      <c r="C853" s="27" t="s">
        <v>984</v>
      </c>
      <c r="D853" s="60"/>
      <c r="E853" s="41" t="str">
        <f>HYPERLINK("https://www.google.ru/search?q=1385837-001&amp;newwindow=1&amp;tbm=isch","Еще фото")</f>
        <v>Еще фото</v>
      </c>
      <c r="F853" s="28" t="s">
        <v>152</v>
      </c>
      <c r="G853" s="24" t="s">
        <v>859</v>
      </c>
      <c r="H853" s="24" t="s">
        <v>27</v>
      </c>
      <c r="I853" s="24" t="s">
        <v>850</v>
      </c>
      <c r="J853" s="14" t="s">
        <v>29</v>
      </c>
      <c r="K853" s="15" t="s">
        <v>30</v>
      </c>
      <c r="L853" s="62"/>
      <c r="M853" s="14"/>
      <c r="N853" s="14" t="s">
        <v>33</v>
      </c>
      <c r="O853" s="14"/>
      <c r="P853" s="15" t="s">
        <v>248</v>
      </c>
      <c r="Q853" s="16">
        <v>25699</v>
      </c>
      <c r="R853" s="17">
        <v>40</v>
      </c>
      <c r="S853" s="18">
        <v>17732.309999999998</v>
      </c>
      <c r="T853" s="19" t="s">
        <v>36</v>
      </c>
      <c r="U853" s="20" t="s">
        <v>86</v>
      </c>
      <c r="V853" s="21" t="s">
        <v>87</v>
      </c>
      <c r="W853" s="22">
        <v>65</v>
      </c>
      <c r="X853" s="23"/>
    </row>
    <row r="854" spans="1:24" s="1" customFormat="1" ht="21" customHeight="1" x14ac:dyDescent="0.3">
      <c r="A854" s="24" t="s">
        <v>23</v>
      </c>
      <c r="B854" s="24" t="s">
        <v>868</v>
      </c>
      <c r="C854" s="27" t="s">
        <v>984</v>
      </c>
      <c r="D854" s="60"/>
      <c r="E854" s="41" t="str">
        <f>HYPERLINK("https://www.google.ru/search?q=1385837-001&amp;newwindow=1&amp;tbm=isch","Еще фото")</f>
        <v>Еще фото</v>
      </c>
      <c r="F854" s="28" t="s">
        <v>152</v>
      </c>
      <c r="G854" s="24" t="s">
        <v>859</v>
      </c>
      <c r="H854" s="24" t="s">
        <v>27</v>
      </c>
      <c r="I854" s="24" t="s">
        <v>850</v>
      </c>
      <c r="J854" s="14" t="s">
        <v>29</v>
      </c>
      <c r="K854" s="15" t="s">
        <v>30</v>
      </c>
      <c r="L854" s="62"/>
      <c r="M854" s="14"/>
      <c r="N854" s="14" t="s">
        <v>33</v>
      </c>
      <c r="O854" s="14"/>
      <c r="P854" s="15" t="s">
        <v>248</v>
      </c>
      <c r="Q854" s="16">
        <v>25699</v>
      </c>
      <c r="R854" s="17">
        <v>40</v>
      </c>
      <c r="S854" s="18">
        <v>17732.309999999998</v>
      </c>
      <c r="T854" s="19" t="s">
        <v>36</v>
      </c>
      <c r="U854" s="20" t="s">
        <v>88</v>
      </c>
      <c r="V854" s="21" t="s">
        <v>89</v>
      </c>
      <c r="W854" s="22">
        <v>26</v>
      </c>
      <c r="X854" s="23"/>
    </row>
    <row r="855" spans="1:24" s="1" customFormat="1" ht="32" customHeight="1" x14ac:dyDescent="0.3">
      <c r="A855" s="24" t="s">
        <v>23</v>
      </c>
      <c r="B855" s="24" t="s">
        <v>868</v>
      </c>
      <c r="C855" s="27" t="s">
        <v>984</v>
      </c>
      <c r="D855" s="61"/>
      <c r="E855" s="41" t="str">
        <f>HYPERLINK("https://www.google.ru/search?q=1385837-001&amp;newwindow=1&amp;tbm=isch","Еще фото")</f>
        <v>Еще фото</v>
      </c>
      <c r="F855" s="28" t="s">
        <v>152</v>
      </c>
      <c r="G855" s="24" t="s">
        <v>859</v>
      </c>
      <c r="H855" s="24" t="s">
        <v>27</v>
      </c>
      <c r="I855" s="24" t="s">
        <v>850</v>
      </c>
      <c r="J855" s="14" t="s">
        <v>29</v>
      </c>
      <c r="K855" s="15" t="s">
        <v>30</v>
      </c>
      <c r="L855" s="58"/>
      <c r="M855" s="14"/>
      <c r="N855" s="14" t="s">
        <v>33</v>
      </c>
      <c r="O855" s="14"/>
      <c r="P855" s="15" t="s">
        <v>248</v>
      </c>
      <c r="Q855" s="16">
        <v>25699</v>
      </c>
      <c r="R855" s="17">
        <v>40</v>
      </c>
      <c r="S855" s="18">
        <v>17732.309999999998</v>
      </c>
      <c r="T855" s="19" t="s">
        <v>36</v>
      </c>
      <c r="U855" s="20" t="s">
        <v>90</v>
      </c>
      <c r="V855" s="21" t="s">
        <v>91</v>
      </c>
      <c r="W855" s="22">
        <v>11</v>
      </c>
      <c r="X855" s="23"/>
    </row>
    <row r="856" spans="1:24" s="1" customFormat="1" ht="52.05" customHeight="1" x14ac:dyDescent="0.3">
      <c r="A856" s="11" t="s">
        <v>23</v>
      </c>
      <c r="B856" s="11" t="s">
        <v>868</v>
      </c>
      <c r="C856" s="12" t="s">
        <v>985</v>
      </c>
      <c r="D856" s="55"/>
      <c r="E856" s="41" t="str">
        <f>HYPERLINK("https://www.google.ru/search?q=1385837-299&amp;newwindow=1&amp;tbm=isch","Еще фото")</f>
        <v>Еще фото</v>
      </c>
      <c r="F856" s="13" t="s">
        <v>103</v>
      </c>
      <c r="G856" s="11" t="s">
        <v>859</v>
      </c>
      <c r="H856" s="11" t="s">
        <v>27</v>
      </c>
      <c r="I856" s="14" t="s">
        <v>850</v>
      </c>
      <c r="J856" s="14" t="s">
        <v>29</v>
      </c>
      <c r="K856" s="15" t="s">
        <v>30</v>
      </c>
      <c r="L856" s="57" t="s">
        <v>870</v>
      </c>
      <c r="M856" s="14"/>
      <c r="N856" s="14" t="s">
        <v>229</v>
      </c>
      <c r="O856" s="14"/>
      <c r="P856" s="15" t="s">
        <v>248</v>
      </c>
      <c r="Q856" s="16">
        <v>31999</v>
      </c>
      <c r="R856" s="17">
        <v>40</v>
      </c>
      <c r="S856" s="18">
        <v>22079.31</v>
      </c>
      <c r="T856" s="19" t="s">
        <v>36</v>
      </c>
      <c r="U856" s="20" t="s">
        <v>39</v>
      </c>
      <c r="V856" s="21" t="s">
        <v>40</v>
      </c>
      <c r="W856" s="22">
        <v>5</v>
      </c>
      <c r="X856" s="23"/>
    </row>
    <row r="857" spans="1:24" s="1" customFormat="1" ht="61.05" customHeight="1" x14ac:dyDescent="0.3">
      <c r="A857" s="24" t="s">
        <v>23</v>
      </c>
      <c r="B857" s="24" t="s">
        <v>868</v>
      </c>
      <c r="C857" s="12" t="s">
        <v>985</v>
      </c>
      <c r="D857" s="56"/>
      <c r="E857" s="41" t="str">
        <f>HYPERLINK("https://www.google.ru/search?q=1385837-299&amp;newwindow=1&amp;tbm=isch","Еще фото")</f>
        <v>Еще фото</v>
      </c>
      <c r="F857" s="13" t="s">
        <v>103</v>
      </c>
      <c r="G857" s="24" t="s">
        <v>859</v>
      </c>
      <c r="H857" s="24" t="s">
        <v>27</v>
      </c>
      <c r="I857" s="24" t="s">
        <v>850</v>
      </c>
      <c r="J857" s="14" t="s">
        <v>29</v>
      </c>
      <c r="K857" s="15" t="s">
        <v>30</v>
      </c>
      <c r="L857" s="58"/>
      <c r="M857" s="14"/>
      <c r="N857" s="14" t="s">
        <v>229</v>
      </c>
      <c r="O857" s="14"/>
      <c r="P857" s="15" t="s">
        <v>248</v>
      </c>
      <c r="Q857" s="16">
        <v>31999</v>
      </c>
      <c r="R857" s="17">
        <v>40</v>
      </c>
      <c r="S857" s="18">
        <v>22079.31</v>
      </c>
      <c r="T857" s="19" t="s">
        <v>36</v>
      </c>
      <c r="U857" s="20" t="s">
        <v>86</v>
      </c>
      <c r="V857" s="21" t="s">
        <v>87</v>
      </c>
      <c r="W857" s="22">
        <v>3</v>
      </c>
      <c r="X857" s="23"/>
    </row>
    <row r="858" spans="1:24" s="1" customFormat="1" ht="52.05" customHeight="1" x14ac:dyDescent="0.3">
      <c r="A858" s="11" t="s">
        <v>23</v>
      </c>
      <c r="B858" s="11" t="s">
        <v>912</v>
      </c>
      <c r="C858" s="12" t="s">
        <v>986</v>
      </c>
      <c r="D858" s="55"/>
      <c r="E858" s="41" t="str">
        <f>HYPERLINK("https://www.google.ru/search?q=1385838-299&amp;newwindow=1&amp;tbm=isch","Еще фото")</f>
        <v>Еще фото</v>
      </c>
      <c r="F858" s="13" t="s">
        <v>152</v>
      </c>
      <c r="G858" s="11" t="s">
        <v>855</v>
      </c>
      <c r="H858" s="11" t="s">
        <v>27</v>
      </c>
      <c r="I858" s="14" t="s">
        <v>850</v>
      </c>
      <c r="J858" s="14" t="s">
        <v>29</v>
      </c>
      <c r="K858" s="15" t="s">
        <v>30</v>
      </c>
      <c r="L858" s="57" t="s">
        <v>914</v>
      </c>
      <c r="M858" s="14"/>
      <c r="N858" s="14" t="s">
        <v>229</v>
      </c>
      <c r="O858" s="14"/>
      <c r="P858" s="15" t="s">
        <v>248</v>
      </c>
      <c r="Q858" s="16">
        <v>18299</v>
      </c>
      <c r="R858" s="17">
        <v>40</v>
      </c>
      <c r="S858" s="18">
        <v>12626.31</v>
      </c>
      <c r="T858" s="19" t="s">
        <v>36</v>
      </c>
      <c r="U858" s="20" t="s">
        <v>37</v>
      </c>
      <c r="V858" s="21" t="s">
        <v>38</v>
      </c>
      <c r="W858" s="22">
        <v>5</v>
      </c>
      <c r="X858" s="23"/>
    </row>
    <row r="859" spans="1:24" s="1" customFormat="1" ht="61.05" customHeight="1" x14ac:dyDescent="0.3">
      <c r="A859" s="24" t="s">
        <v>23</v>
      </c>
      <c r="B859" s="24" t="s">
        <v>912</v>
      </c>
      <c r="C859" s="12" t="s">
        <v>986</v>
      </c>
      <c r="D859" s="56"/>
      <c r="E859" s="41" t="str">
        <f>HYPERLINK("https://www.google.ru/search?q=1385838-299&amp;newwindow=1&amp;tbm=isch","Еще фото")</f>
        <v>Еще фото</v>
      </c>
      <c r="F859" s="13" t="s">
        <v>152</v>
      </c>
      <c r="G859" s="24" t="s">
        <v>855</v>
      </c>
      <c r="H859" s="24" t="s">
        <v>27</v>
      </c>
      <c r="I859" s="24" t="s">
        <v>850</v>
      </c>
      <c r="J859" s="14" t="s">
        <v>29</v>
      </c>
      <c r="K859" s="15" t="s">
        <v>30</v>
      </c>
      <c r="L859" s="58"/>
      <c r="M859" s="14"/>
      <c r="N859" s="14" t="s">
        <v>229</v>
      </c>
      <c r="O859" s="14"/>
      <c r="P859" s="15" t="s">
        <v>248</v>
      </c>
      <c r="Q859" s="16">
        <v>18299</v>
      </c>
      <c r="R859" s="17">
        <v>40</v>
      </c>
      <c r="S859" s="18">
        <v>12626.31</v>
      </c>
      <c r="T859" s="19" t="s">
        <v>36</v>
      </c>
      <c r="U859" s="20" t="s">
        <v>39</v>
      </c>
      <c r="V859" s="21" t="s">
        <v>40</v>
      </c>
      <c r="W859" s="22">
        <v>3</v>
      </c>
      <c r="X859" s="23"/>
    </row>
    <row r="860" spans="1:24" s="1" customFormat="1" ht="17" customHeight="1" x14ac:dyDescent="0.3">
      <c r="A860" s="11" t="s">
        <v>23</v>
      </c>
      <c r="B860" s="11" t="s">
        <v>886</v>
      </c>
      <c r="C860" s="12" t="s">
        <v>987</v>
      </c>
      <c r="D860" s="59"/>
      <c r="E860" s="41" t="str">
        <f t="shared" ref="E860:E865" si="19">HYPERLINK("https://www.google.ru/search?q=1385839-001&amp;newwindow=1&amp;tbm=isch","Еще фото")</f>
        <v>Еще фото</v>
      </c>
      <c r="F860" s="28" t="s">
        <v>152</v>
      </c>
      <c r="G860" s="11" t="s">
        <v>888</v>
      </c>
      <c r="H860" s="11" t="s">
        <v>27</v>
      </c>
      <c r="I860" s="14" t="s">
        <v>850</v>
      </c>
      <c r="J860" s="14" t="s">
        <v>29</v>
      </c>
      <c r="K860" s="15" t="s">
        <v>30</v>
      </c>
      <c r="L860" s="57" t="s">
        <v>889</v>
      </c>
      <c r="M860" s="14"/>
      <c r="N860" s="14" t="s">
        <v>33</v>
      </c>
      <c r="O860" s="14"/>
      <c r="P860" s="15" t="s">
        <v>248</v>
      </c>
      <c r="Q860" s="16">
        <v>32599</v>
      </c>
      <c r="R860" s="17">
        <v>40</v>
      </c>
      <c r="S860" s="18">
        <v>22493.31</v>
      </c>
      <c r="T860" s="19" t="s">
        <v>36</v>
      </c>
      <c r="U860" s="20" t="s">
        <v>37</v>
      </c>
      <c r="V860" s="21" t="s">
        <v>38</v>
      </c>
      <c r="W860" s="22">
        <v>4</v>
      </c>
      <c r="X860" s="23"/>
    </row>
    <row r="861" spans="1:24" s="1" customFormat="1" ht="17" customHeight="1" x14ac:dyDescent="0.3">
      <c r="A861" s="24" t="s">
        <v>23</v>
      </c>
      <c r="B861" s="24" t="s">
        <v>886</v>
      </c>
      <c r="C861" s="12" t="s">
        <v>987</v>
      </c>
      <c r="D861" s="60"/>
      <c r="E861" s="41" t="str">
        <f t="shared" si="19"/>
        <v>Еще фото</v>
      </c>
      <c r="F861" s="28" t="s">
        <v>152</v>
      </c>
      <c r="G861" s="24" t="s">
        <v>888</v>
      </c>
      <c r="H861" s="24" t="s">
        <v>27</v>
      </c>
      <c r="I861" s="24" t="s">
        <v>850</v>
      </c>
      <c r="J861" s="14" t="s">
        <v>29</v>
      </c>
      <c r="K861" s="15" t="s">
        <v>30</v>
      </c>
      <c r="L861" s="62"/>
      <c r="M861" s="14"/>
      <c r="N861" s="14" t="s">
        <v>33</v>
      </c>
      <c r="O861" s="14"/>
      <c r="P861" s="15" t="s">
        <v>248</v>
      </c>
      <c r="Q861" s="16">
        <v>32599</v>
      </c>
      <c r="R861" s="17">
        <v>40</v>
      </c>
      <c r="S861" s="18">
        <v>22493.31</v>
      </c>
      <c r="T861" s="19" t="s">
        <v>36</v>
      </c>
      <c r="U861" s="20" t="s">
        <v>39</v>
      </c>
      <c r="V861" s="21" t="s">
        <v>40</v>
      </c>
      <c r="W861" s="22">
        <v>20</v>
      </c>
      <c r="X861" s="23"/>
    </row>
    <row r="862" spans="1:24" s="1" customFormat="1" ht="17" customHeight="1" x14ac:dyDescent="0.3">
      <c r="A862" s="24" t="s">
        <v>23</v>
      </c>
      <c r="B862" s="24" t="s">
        <v>886</v>
      </c>
      <c r="C862" s="12" t="s">
        <v>987</v>
      </c>
      <c r="D862" s="60"/>
      <c r="E862" s="41" t="str">
        <f t="shared" si="19"/>
        <v>Еще фото</v>
      </c>
      <c r="F862" s="28" t="s">
        <v>152</v>
      </c>
      <c r="G862" s="24" t="s">
        <v>888</v>
      </c>
      <c r="H862" s="24" t="s">
        <v>27</v>
      </c>
      <c r="I862" s="24" t="s">
        <v>850</v>
      </c>
      <c r="J862" s="14" t="s">
        <v>29</v>
      </c>
      <c r="K862" s="15" t="s">
        <v>30</v>
      </c>
      <c r="L862" s="62"/>
      <c r="M862" s="14"/>
      <c r="N862" s="14" t="s">
        <v>33</v>
      </c>
      <c r="O862" s="14"/>
      <c r="P862" s="15" t="s">
        <v>248</v>
      </c>
      <c r="Q862" s="16">
        <v>32599</v>
      </c>
      <c r="R862" s="17">
        <v>40</v>
      </c>
      <c r="S862" s="18">
        <v>22493.31</v>
      </c>
      <c r="T862" s="19" t="s">
        <v>36</v>
      </c>
      <c r="U862" s="20" t="s">
        <v>86</v>
      </c>
      <c r="V862" s="21" t="s">
        <v>87</v>
      </c>
      <c r="W862" s="22">
        <v>33</v>
      </c>
      <c r="X862" s="23"/>
    </row>
    <row r="863" spans="1:24" s="1" customFormat="1" ht="17" customHeight="1" x14ac:dyDescent="0.3">
      <c r="A863" s="24" t="s">
        <v>23</v>
      </c>
      <c r="B863" s="24" t="s">
        <v>886</v>
      </c>
      <c r="C863" s="12" t="s">
        <v>987</v>
      </c>
      <c r="D863" s="60"/>
      <c r="E863" s="41" t="str">
        <f t="shared" si="19"/>
        <v>Еще фото</v>
      </c>
      <c r="F863" s="28" t="s">
        <v>152</v>
      </c>
      <c r="G863" s="24" t="s">
        <v>888</v>
      </c>
      <c r="H863" s="24" t="s">
        <v>27</v>
      </c>
      <c r="I863" s="24" t="s">
        <v>850</v>
      </c>
      <c r="J863" s="14" t="s">
        <v>29</v>
      </c>
      <c r="K863" s="15" t="s">
        <v>30</v>
      </c>
      <c r="L863" s="62"/>
      <c r="M863" s="14"/>
      <c r="N863" s="14" t="s">
        <v>33</v>
      </c>
      <c r="O863" s="14"/>
      <c r="P863" s="15" t="s">
        <v>248</v>
      </c>
      <c r="Q863" s="16">
        <v>32599</v>
      </c>
      <c r="R863" s="17">
        <v>40</v>
      </c>
      <c r="S863" s="18">
        <v>22493.31</v>
      </c>
      <c r="T863" s="19" t="s">
        <v>36</v>
      </c>
      <c r="U863" s="20" t="s">
        <v>88</v>
      </c>
      <c r="V863" s="21" t="s">
        <v>89</v>
      </c>
      <c r="W863" s="22">
        <v>16</v>
      </c>
      <c r="X863" s="23"/>
    </row>
    <row r="864" spans="1:24" s="1" customFormat="1" ht="17" customHeight="1" x14ac:dyDescent="0.3">
      <c r="A864" s="24" t="s">
        <v>23</v>
      </c>
      <c r="B864" s="24" t="s">
        <v>886</v>
      </c>
      <c r="C864" s="12" t="s">
        <v>987</v>
      </c>
      <c r="D864" s="60"/>
      <c r="E864" s="41" t="str">
        <f t="shared" si="19"/>
        <v>Еще фото</v>
      </c>
      <c r="F864" s="28" t="s">
        <v>152</v>
      </c>
      <c r="G864" s="24" t="s">
        <v>888</v>
      </c>
      <c r="H864" s="24" t="s">
        <v>27</v>
      </c>
      <c r="I864" s="24" t="s">
        <v>850</v>
      </c>
      <c r="J864" s="14" t="s">
        <v>29</v>
      </c>
      <c r="K864" s="15" t="s">
        <v>30</v>
      </c>
      <c r="L864" s="62"/>
      <c r="M864" s="14"/>
      <c r="N864" s="14" t="s">
        <v>33</v>
      </c>
      <c r="O864" s="14"/>
      <c r="P864" s="15" t="s">
        <v>248</v>
      </c>
      <c r="Q864" s="16">
        <v>32599</v>
      </c>
      <c r="R864" s="17">
        <v>40</v>
      </c>
      <c r="S864" s="18">
        <v>22493.31</v>
      </c>
      <c r="T864" s="19" t="s">
        <v>36</v>
      </c>
      <c r="U864" s="20" t="s">
        <v>90</v>
      </c>
      <c r="V864" s="21" t="s">
        <v>91</v>
      </c>
      <c r="W864" s="22">
        <v>2</v>
      </c>
      <c r="X864" s="23"/>
    </row>
    <row r="865" spans="1:24" s="1" customFormat="1" ht="22.05" customHeight="1" x14ac:dyDescent="0.3">
      <c r="A865" s="24" t="s">
        <v>23</v>
      </c>
      <c r="B865" s="24" t="s">
        <v>886</v>
      </c>
      <c r="C865" s="12" t="s">
        <v>987</v>
      </c>
      <c r="D865" s="61"/>
      <c r="E865" s="41" t="str">
        <f t="shared" si="19"/>
        <v>Еще фото</v>
      </c>
      <c r="F865" s="28" t="s">
        <v>152</v>
      </c>
      <c r="G865" s="24" t="s">
        <v>888</v>
      </c>
      <c r="H865" s="24" t="s">
        <v>27</v>
      </c>
      <c r="I865" s="24" t="s">
        <v>850</v>
      </c>
      <c r="J865" s="14" t="s">
        <v>29</v>
      </c>
      <c r="K865" s="15" t="s">
        <v>30</v>
      </c>
      <c r="L865" s="58"/>
      <c r="M865" s="14"/>
      <c r="N865" s="14" t="s">
        <v>33</v>
      </c>
      <c r="O865" s="14"/>
      <c r="P865" s="15" t="s">
        <v>248</v>
      </c>
      <c r="Q865" s="16">
        <v>32599</v>
      </c>
      <c r="R865" s="17">
        <v>40</v>
      </c>
      <c r="S865" s="18">
        <v>22493.31</v>
      </c>
      <c r="T865" s="19" t="s">
        <v>36</v>
      </c>
      <c r="U865" s="20" t="s">
        <v>143</v>
      </c>
      <c r="V865" s="21" t="s">
        <v>144</v>
      </c>
      <c r="W865" s="22">
        <v>2</v>
      </c>
      <c r="X865" s="23"/>
    </row>
    <row r="866" spans="1:24" s="1" customFormat="1" ht="108" customHeight="1" x14ac:dyDescent="0.3">
      <c r="A866" s="11" t="s">
        <v>23</v>
      </c>
      <c r="B866" s="11" t="s">
        <v>988</v>
      </c>
      <c r="C866" s="12" t="s">
        <v>989</v>
      </c>
      <c r="D866" s="25"/>
      <c r="E866" s="41" t="str">
        <f>HYPERLINK("https://www.google.ru/search?q=1387891-001&amp;newwindow=1&amp;tbm=isch","Еще фото")</f>
        <v>Еще фото</v>
      </c>
      <c r="F866" s="13" t="s">
        <v>103</v>
      </c>
      <c r="G866" s="11" t="s">
        <v>990</v>
      </c>
      <c r="H866" s="11" t="s">
        <v>27</v>
      </c>
      <c r="I866" s="14" t="s">
        <v>850</v>
      </c>
      <c r="J866" s="14" t="s">
        <v>43</v>
      </c>
      <c r="K866" s="15" t="s">
        <v>30</v>
      </c>
      <c r="L866" s="14" t="s">
        <v>991</v>
      </c>
      <c r="M866" s="14" t="s">
        <v>32</v>
      </c>
      <c r="N866" s="14" t="s">
        <v>33</v>
      </c>
      <c r="O866" s="14"/>
      <c r="P866" s="15" t="s">
        <v>213</v>
      </c>
      <c r="Q866" s="16">
        <v>13299</v>
      </c>
      <c r="R866" s="17">
        <v>40</v>
      </c>
      <c r="S866" s="18">
        <v>9176.31</v>
      </c>
      <c r="T866" s="19" t="s">
        <v>36</v>
      </c>
      <c r="U866" s="20" t="s">
        <v>39</v>
      </c>
      <c r="V866" s="21" t="s">
        <v>40</v>
      </c>
      <c r="W866" s="22">
        <v>2</v>
      </c>
      <c r="X866" s="23"/>
    </row>
    <row r="867" spans="1:24" s="1" customFormat="1" ht="21" customHeight="1" x14ac:dyDescent="0.3">
      <c r="A867" s="11" t="s">
        <v>23</v>
      </c>
      <c r="B867" s="11" t="s">
        <v>992</v>
      </c>
      <c r="C867" s="26" t="s">
        <v>993</v>
      </c>
      <c r="D867" s="59"/>
      <c r="E867" s="41" t="str">
        <f>HYPERLINK("https://www.google.ru/search?q=6004051-001&amp;newwindow=1&amp;tbm=isch","Еще фото")</f>
        <v>Еще фото</v>
      </c>
      <c r="F867" s="13" t="s">
        <v>103</v>
      </c>
      <c r="G867" s="11" t="s">
        <v>859</v>
      </c>
      <c r="H867" s="11" t="s">
        <v>27</v>
      </c>
      <c r="I867" s="14" t="s">
        <v>850</v>
      </c>
      <c r="J867" s="14" t="s">
        <v>311</v>
      </c>
      <c r="K867" s="15" t="s">
        <v>30</v>
      </c>
      <c r="L867" s="57" t="s">
        <v>994</v>
      </c>
      <c r="M867" s="14"/>
      <c r="N867" s="14" t="s">
        <v>33</v>
      </c>
      <c r="O867" s="14"/>
      <c r="P867" s="15" t="s">
        <v>995</v>
      </c>
      <c r="Q867" s="16">
        <v>15399</v>
      </c>
      <c r="R867" s="17">
        <v>40</v>
      </c>
      <c r="S867" s="18">
        <v>10625.31</v>
      </c>
      <c r="T867" s="19" t="s">
        <v>36</v>
      </c>
      <c r="U867" s="20" t="s">
        <v>37</v>
      </c>
      <c r="V867" s="21" t="s">
        <v>38</v>
      </c>
      <c r="W867" s="22">
        <v>14</v>
      </c>
      <c r="X867" s="23"/>
    </row>
    <row r="868" spans="1:24" s="1" customFormat="1" ht="21" customHeight="1" x14ac:dyDescent="0.3">
      <c r="A868" s="24" t="s">
        <v>23</v>
      </c>
      <c r="B868" s="24" t="s">
        <v>992</v>
      </c>
      <c r="C868" s="27" t="s">
        <v>993</v>
      </c>
      <c r="D868" s="60"/>
      <c r="E868" s="41" t="str">
        <f>HYPERLINK("https://www.google.ru/search?q=6004051-001&amp;newwindow=1&amp;tbm=isch","Еще фото")</f>
        <v>Еще фото</v>
      </c>
      <c r="F868" s="13" t="s">
        <v>103</v>
      </c>
      <c r="G868" s="24" t="s">
        <v>859</v>
      </c>
      <c r="H868" s="24" t="s">
        <v>27</v>
      </c>
      <c r="I868" s="24" t="s">
        <v>850</v>
      </c>
      <c r="J868" s="14" t="s">
        <v>311</v>
      </c>
      <c r="K868" s="15" t="s">
        <v>30</v>
      </c>
      <c r="L868" s="62"/>
      <c r="M868" s="14"/>
      <c r="N868" s="14" t="s">
        <v>33</v>
      </c>
      <c r="O868" s="14"/>
      <c r="P868" s="15" t="s">
        <v>995</v>
      </c>
      <c r="Q868" s="16">
        <v>15399</v>
      </c>
      <c r="R868" s="17">
        <v>40</v>
      </c>
      <c r="S868" s="18">
        <v>10625.31</v>
      </c>
      <c r="T868" s="19" t="s">
        <v>36</v>
      </c>
      <c r="U868" s="20" t="s">
        <v>39</v>
      </c>
      <c r="V868" s="21" t="s">
        <v>40</v>
      </c>
      <c r="W868" s="22">
        <v>28</v>
      </c>
      <c r="X868" s="23"/>
    </row>
    <row r="869" spans="1:24" s="1" customFormat="1" ht="21" customHeight="1" x14ac:dyDescent="0.3">
      <c r="A869" s="24" t="s">
        <v>23</v>
      </c>
      <c r="B869" s="24" t="s">
        <v>992</v>
      </c>
      <c r="C869" s="27" t="s">
        <v>993</v>
      </c>
      <c r="D869" s="60"/>
      <c r="E869" s="41" t="str">
        <f>HYPERLINK("https://www.google.ru/search?q=6004051-001&amp;newwindow=1&amp;tbm=isch","Еще фото")</f>
        <v>Еще фото</v>
      </c>
      <c r="F869" s="13" t="s">
        <v>103</v>
      </c>
      <c r="G869" s="24" t="s">
        <v>859</v>
      </c>
      <c r="H869" s="24" t="s">
        <v>27</v>
      </c>
      <c r="I869" s="24" t="s">
        <v>850</v>
      </c>
      <c r="J869" s="14" t="s">
        <v>311</v>
      </c>
      <c r="K869" s="15" t="s">
        <v>30</v>
      </c>
      <c r="L869" s="62"/>
      <c r="M869" s="14"/>
      <c r="N869" s="14" t="s">
        <v>33</v>
      </c>
      <c r="O869" s="14"/>
      <c r="P869" s="15" t="s">
        <v>995</v>
      </c>
      <c r="Q869" s="16">
        <v>15399</v>
      </c>
      <c r="R869" s="17">
        <v>40</v>
      </c>
      <c r="S869" s="18">
        <v>10625.31</v>
      </c>
      <c r="T869" s="19" t="s">
        <v>36</v>
      </c>
      <c r="U869" s="20" t="s">
        <v>86</v>
      </c>
      <c r="V869" s="21" t="s">
        <v>87</v>
      </c>
      <c r="W869" s="22">
        <v>31</v>
      </c>
      <c r="X869" s="23"/>
    </row>
    <row r="870" spans="1:24" s="1" customFormat="1" ht="21" customHeight="1" x14ac:dyDescent="0.3">
      <c r="A870" s="24" t="s">
        <v>23</v>
      </c>
      <c r="B870" s="24" t="s">
        <v>992</v>
      </c>
      <c r="C870" s="27" t="s">
        <v>993</v>
      </c>
      <c r="D870" s="60"/>
      <c r="E870" s="41" t="str">
        <f>HYPERLINK("https://www.google.ru/search?q=6004051-001&amp;newwindow=1&amp;tbm=isch","Еще фото")</f>
        <v>Еще фото</v>
      </c>
      <c r="F870" s="13" t="s">
        <v>103</v>
      </c>
      <c r="G870" s="24" t="s">
        <v>859</v>
      </c>
      <c r="H870" s="24" t="s">
        <v>27</v>
      </c>
      <c r="I870" s="24" t="s">
        <v>850</v>
      </c>
      <c r="J870" s="14" t="s">
        <v>311</v>
      </c>
      <c r="K870" s="15" t="s">
        <v>30</v>
      </c>
      <c r="L870" s="62"/>
      <c r="M870" s="14"/>
      <c r="N870" s="14" t="s">
        <v>33</v>
      </c>
      <c r="O870" s="14"/>
      <c r="P870" s="15" t="s">
        <v>995</v>
      </c>
      <c r="Q870" s="16">
        <v>15399</v>
      </c>
      <c r="R870" s="17">
        <v>40</v>
      </c>
      <c r="S870" s="18">
        <v>10625.31</v>
      </c>
      <c r="T870" s="19" t="s">
        <v>36</v>
      </c>
      <c r="U870" s="20" t="s">
        <v>88</v>
      </c>
      <c r="V870" s="21" t="s">
        <v>89</v>
      </c>
      <c r="W870" s="22">
        <v>22</v>
      </c>
      <c r="X870" s="23"/>
    </row>
    <row r="871" spans="1:24" s="1" customFormat="1" ht="32" customHeight="1" x14ac:dyDescent="0.3">
      <c r="A871" s="24" t="s">
        <v>23</v>
      </c>
      <c r="B871" s="24" t="s">
        <v>992</v>
      </c>
      <c r="C871" s="27" t="s">
        <v>993</v>
      </c>
      <c r="D871" s="61"/>
      <c r="E871" s="41" t="str">
        <f>HYPERLINK("https://www.google.ru/search?q=6004051-001&amp;newwindow=1&amp;tbm=isch","Еще фото")</f>
        <v>Еще фото</v>
      </c>
      <c r="F871" s="13" t="s">
        <v>103</v>
      </c>
      <c r="G871" s="24" t="s">
        <v>859</v>
      </c>
      <c r="H871" s="24" t="s">
        <v>27</v>
      </c>
      <c r="I871" s="24" t="s">
        <v>850</v>
      </c>
      <c r="J871" s="14" t="s">
        <v>311</v>
      </c>
      <c r="K871" s="15" t="s">
        <v>30</v>
      </c>
      <c r="L871" s="58"/>
      <c r="M871" s="14"/>
      <c r="N871" s="14" t="s">
        <v>33</v>
      </c>
      <c r="O871" s="14"/>
      <c r="P871" s="15" t="s">
        <v>995</v>
      </c>
      <c r="Q871" s="16">
        <v>15399</v>
      </c>
      <c r="R871" s="17">
        <v>40</v>
      </c>
      <c r="S871" s="18">
        <v>10625.31</v>
      </c>
      <c r="T871" s="19" t="s">
        <v>36</v>
      </c>
      <c r="U871" s="20" t="s">
        <v>90</v>
      </c>
      <c r="V871" s="21" t="s">
        <v>91</v>
      </c>
      <c r="W871" s="22">
        <v>9</v>
      </c>
      <c r="X871" s="23"/>
    </row>
    <row r="872" spans="1:24" s="1" customFormat="1" ht="21" customHeight="1" x14ac:dyDescent="0.3">
      <c r="A872" s="11" t="s">
        <v>23</v>
      </c>
      <c r="B872" s="11" t="s">
        <v>996</v>
      </c>
      <c r="C872" s="26" t="s">
        <v>997</v>
      </c>
      <c r="D872" s="59"/>
      <c r="E872" s="41" t="str">
        <f>HYPERLINK("https://www.google.ru/search?q=6006363-001&amp;newwindow=1&amp;tbm=isch","Еще фото")</f>
        <v>Еще фото</v>
      </c>
      <c r="F872" s="13" t="s">
        <v>103</v>
      </c>
      <c r="G872" s="11" t="s">
        <v>859</v>
      </c>
      <c r="H872" s="11" t="s">
        <v>27</v>
      </c>
      <c r="I872" s="14" t="s">
        <v>850</v>
      </c>
      <c r="J872" s="14" t="s">
        <v>43</v>
      </c>
      <c r="K872" s="15" t="s">
        <v>30</v>
      </c>
      <c r="L872" s="57" t="s">
        <v>998</v>
      </c>
      <c r="M872" s="14"/>
      <c r="N872" s="14" t="s">
        <v>33</v>
      </c>
      <c r="O872" s="14"/>
      <c r="P872" s="15" t="s">
        <v>248</v>
      </c>
      <c r="Q872" s="16">
        <v>19699</v>
      </c>
      <c r="R872" s="17">
        <v>40</v>
      </c>
      <c r="S872" s="18">
        <v>13592.309999999998</v>
      </c>
      <c r="T872" s="19" t="s">
        <v>36</v>
      </c>
      <c r="U872" s="20" t="s">
        <v>37</v>
      </c>
      <c r="V872" s="21" t="s">
        <v>38</v>
      </c>
      <c r="W872" s="22">
        <v>16</v>
      </c>
      <c r="X872" s="23"/>
    </row>
    <row r="873" spans="1:24" s="1" customFormat="1" ht="21" customHeight="1" x14ac:dyDescent="0.3">
      <c r="A873" s="24" t="s">
        <v>23</v>
      </c>
      <c r="B873" s="24" t="s">
        <v>996</v>
      </c>
      <c r="C873" s="27" t="s">
        <v>997</v>
      </c>
      <c r="D873" s="60"/>
      <c r="E873" s="41" t="str">
        <f>HYPERLINK("https://www.google.ru/search?q=6006363-001&amp;newwindow=1&amp;tbm=isch","Еще фото")</f>
        <v>Еще фото</v>
      </c>
      <c r="F873" s="13" t="s">
        <v>103</v>
      </c>
      <c r="G873" s="24" t="s">
        <v>859</v>
      </c>
      <c r="H873" s="24" t="s">
        <v>27</v>
      </c>
      <c r="I873" s="24" t="s">
        <v>850</v>
      </c>
      <c r="J873" s="14" t="s">
        <v>43</v>
      </c>
      <c r="K873" s="15" t="s">
        <v>30</v>
      </c>
      <c r="L873" s="62"/>
      <c r="M873" s="14"/>
      <c r="N873" s="14" t="s">
        <v>33</v>
      </c>
      <c r="O873" s="14"/>
      <c r="P873" s="15" t="s">
        <v>248</v>
      </c>
      <c r="Q873" s="16">
        <v>19699</v>
      </c>
      <c r="R873" s="17">
        <v>40</v>
      </c>
      <c r="S873" s="18">
        <v>13592.309999999998</v>
      </c>
      <c r="T873" s="19" t="s">
        <v>36</v>
      </c>
      <c r="U873" s="20" t="s">
        <v>39</v>
      </c>
      <c r="V873" s="21" t="s">
        <v>40</v>
      </c>
      <c r="W873" s="22">
        <v>27</v>
      </c>
      <c r="X873" s="23"/>
    </row>
    <row r="874" spans="1:24" s="1" customFormat="1" ht="21" customHeight="1" x14ac:dyDescent="0.3">
      <c r="A874" s="24" t="s">
        <v>23</v>
      </c>
      <c r="B874" s="24" t="s">
        <v>996</v>
      </c>
      <c r="C874" s="27" t="s">
        <v>997</v>
      </c>
      <c r="D874" s="60"/>
      <c r="E874" s="41" t="str">
        <f>HYPERLINK("https://www.google.ru/search?q=6006363-001&amp;newwindow=1&amp;tbm=isch","Еще фото")</f>
        <v>Еще фото</v>
      </c>
      <c r="F874" s="13" t="s">
        <v>103</v>
      </c>
      <c r="G874" s="24" t="s">
        <v>859</v>
      </c>
      <c r="H874" s="24" t="s">
        <v>27</v>
      </c>
      <c r="I874" s="24" t="s">
        <v>850</v>
      </c>
      <c r="J874" s="14" t="s">
        <v>43</v>
      </c>
      <c r="K874" s="15" t="s">
        <v>30</v>
      </c>
      <c r="L874" s="62"/>
      <c r="M874" s="14"/>
      <c r="N874" s="14" t="s">
        <v>33</v>
      </c>
      <c r="O874" s="14"/>
      <c r="P874" s="15" t="s">
        <v>248</v>
      </c>
      <c r="Q874" s="16">
        <v>19699</v>
      </c>
      <c r="R874" s="17">
        <v>40</v>
      </c>
      <c r="S874" s="18">
        <v>13592.309999999998</v>
      </c>
      <c r="T874" s="19" t="s">
        <v>36</v>
      </c>
      <c r="U874" s="20" t="s">
        <v>86</v>
      </c>
      <c r="V874" s="21" t="s">
        <v>87</v>
      </c>
      <c r="W874" s="22">
        <v>33</v>
      </c>
      <c r="X874" s="23"/>
    </row>
    <row r="875" spans="1:24" s="1" customFormat="1" ht="21" customHeight="1" x14ac:dyDescent="0.3">
      <c r="A875" s="24" t="s">
        <v>23</v>
      </c>
      <c r="B875" s="24" t="s">
        <v>996</v>
      </c>
      <c r="C875" s="27" t="s">
        <v>997</v>
      </c>
      <c r="D875" s="60"/>
      <c r="E875" s="41" t="str">
        <f>HYPERLINK("https://www.google.ru/search?q=6006363-001&amp;newwindow=1&amp;tbm=isch","Еще фото")</f>
        <v>Еще фото</v>
      </c>
      <c r="F875" s="13" t="s">
        <v>103</v>
      </c>
      <c r="G875" s="24" t="s">
        <v>859</v>
      </c>
      <c r="H875" s="24" t="s">
        <v>27</v>
      </c>
      <c r="I875" s="24" t="s">
        <v>850</v>
      </c>
      <c r="J875" s="14" t="s">
        <v>43</v>
      </c>
      <c r="K875" s="15" t="s">
        <v>30</v>
      </c>
      <c r="L875" s="62"/>
      <c r="M875" s="14"/>
      <c r="N875" s="14" t="s">
        <v>33</v>
      </c>
      <c r="O875" s="14"/>
      <c r="P875" s="15" t="s">
        <v>248</v>
      </c>
      <c r="Q875" s="16">
        <v>19699</v>
      </c>
      <c r="R875" s="17">
        <v>40</v>
      </c>
      <c r="S875" s="18">
        <v>13592.309999999998</v>
      </c>
      <c r="T875" s="19" t="s">
        <v>36</v>
      </c>
      <c r="U875" s="20" t="s">
        <v>88</v>
      </c>
      <c r="V875" s="21" t="s">
        <v>89</v>
      </c>
      <c r="W875" s="22">
        <v>20</v>
      </c>
      <c r="X875" s="23"/>
    </row>
    <row r="876" spans="1:24" s="1" customFormat="1" ht="32" customHeight="1" x14ac:dyDescent="0.3">
      <c r="A876" s="24" t="s">
        <v>23</v>
      </c>
      <c r="B876" s="24" t="s">
        <v>996</v>
      </c>
      <c r="C876" s="27" t="s">
        <v>997</v>
      </c>
      <c r="D876" s="61"/>
      <c r="E876" s="41" t="str">
        <f>HYPERLINK("https://www.google.ru/search?q=6006363-001&amp;newwindow=1&amp;tbm=isch","Еще фото")</f>
        <v>Еще фото</v>
      </c>
      <c r="F876" s="13" t="s">
        <v>103</v>
      </c>
      <c r="G876" s="24" t="s">
        <v>859</v>
      </c>
      <c r="H876" s="24" t="s">
        <v>27</v>
      </c>
      <c r="I876" s="24" t="s">
        <v>850</v>
      </c>
      <c r="J876" s="14" t="s">
        <v>43</v>
      </c>
      <c r="K876" s="15" t="s">
        <v>30</v>
      </c>
      <c r="L876" s="58"/>
      <c r="M876" s="14"/>
      <c r="N876" s="14" t="s">
        <v>33</v>
      </c>
      <c r="O876" s="14"/>
      <c r="P876" s="15" t="s">
        <v>248</v>
      </c>
      <c r="Q876" s="16">
        <v>19699</v>
      </c>
      <c r="R876" s="17">
        <v>40</v>
      </c>
      <c r="S876" s="18">
        <v>13592.309999999998</v>
      </c>
      <c r="T876" s="19" t="s">
        <v>36</v>
      </c>
      <c r="U876" s="20" t="s">
        <v>90</v>
      </c>
      <c r="V876" s="21" t="s">
        <v>91</v>
      </c>
      <c r="W876" s="22">
        <v>9</v>
      </c>
      <c r="X876" s="23"/>
    </row>
    <row r="877" spans="1:24" s="1" customFormat="1" ht="21" customHeight="1" x14ac:dyDescent="0.3">
      <c r="A877" s="11" t="s">
        <v>23</v>
      </c>
      <c r="B877" s="11" t="s">
        <v>999</v>
      </c>
      <c r="C877" s="26" t="s">
        <v>1000</v>
      </c>
      <c r="D877" s="59"/>
      <c r="E877" s="41" t="str">
        <f>HYPERLINK("https://www.google.ru/search?q=6006364-001&amp;newwindow=1&amp;tbm=isch","Еще фото")</f>
        <v>Еще фото</v>
      </c>
      <c r="F877" s="13" t="s">
        <v>103</v>
      </c>
      <c r="G877" s="11" t="s">
        <v>855</v>
      </c>
      <c r="H877" s="11" t="s">
        <v>27</v>
      </c>
      <c r="I877" s="14" t="s">
        <v>850</v>
      </c>
      <c r="J877" s="14" t="s">
        <v>43</v>
      </c>
      <c r="K877" s="15" t="s">
        <v>30</v>
      </c>
      <c r="L877" s="57" t="s">
        <v>1001</v>
      </c>
      <c r="M877" s="14"/>
      <c r="N877" s="14" t="s">
        <v>33</v>
      </c>
      <c r="O877" s="14"/>
      <c r="P877" s="15" t="s">
        <v>248</v>
      </c>
      <c r="Q877" s="16">
        <v>13199</v>
      </c>
      <c r="R877" s="17">
        <v>40</v>
      </c>
      <c r="S877" s="18">
        <v>9107.31</v>
      </c>
      <c r="T877" s="19" t="s">
        <v>36</v>
      </c>
      <c r="U877" s="20" t="s">
        <v>37</v>
      </c>
      <c r="V877" s="21" t="s">
        <v>38</v>
      </c>
      <c r="W877" s="22">
        <v>15</v>
      </c>
      <c r="X877" s="23"/>
    </row>
    <row r="878" spans="1:24" s="1" customFormat="1" ht="21" customHeight="1" x14ac:dyDescent="0.3">
      <c r="A878" s="24" t="s">
        <v>23</v>
      </c>
      <c r="B878" s="24" t="s">
        <v>999</v>
      </c>
      <c r="C878" s="27" t="s">
        <v>1000</v>
      </c>
      <c r="D878" s="60"/>
      <c r="E878" s="41" t="str">
        <f>HYPERLINK("https://www.google.ru/search?q=6006364-001&amp;newwindow=1&amp;tbm=isch","Еще фото")</f>
        <v>Еще фото</v>
      </c>
      <c r="F878" s="13" t="s">
        <v>103</v>
      </c>
      <c r="G878" s="24" t="s">
        <v>855</v>
      </c>
      <c r="H878" s="24" t="s">
        <v>27</v>
      </c>
      <c r="I878" s="24" t="s">
        <v>850</v>
      </c>
      <c r="J878" s="14" t="s">
        <v>43</v>
      </c>
      <c r="K878" s="15" t="s">
        <v>30</v>
      </c>
      <c r="L878" s="62"/>
      <c r="M878" s="14"/>
      <c r="N878" s="14" t="s">
        <v>33</v>
      </c>
      <c r="O878" s="14"/>
      <c r="P878" s="15" t="s">
        <v>248</v>
      </c>
      <c r="Q878" s="16">
        <v>13199</v>
      </c>
      <c r="R878" s="17">
        <v>40</v>
      </c>
      <c r="S878" s="18">
        <v>9107.31</v>
      </c>
      <c r="T878" s="19" t="s">
        <v>36</v>
      </c>
      <c r="U878" s="20" t="s">
        <v>39</v>
      </c>
      <c r="V878" s="21" t="s">
        <v>40</v>
      </c>
      <c r="W878" s="22">
        <v>27</v>
      </c>
      <c r="X878" s="23"/>
    </row>
    <row r="879" spans="1:24" s="1" customFormat="1" ht="21" customHeight="1" x14ac:dyDescent="0.3">
      <c r="A879" s="24" t="s">
        <v>23</v>
      </c>
      <c r="B879" s="24" t="s">
        <v>999</v>
      </c>
      <c r="C879" s="27" t="s">
        <v>1000</v>
      </c>
      <c r="D879" s="60"/>
      <c r="E879" s="41" t="str">
        <f>HYPERLINK("https://www.google.ru/search?q=6006364-001&amp;newwindow=1&amp;tbm=isch","Еще фото")</f>
        <v>Еще фото</v>
      </c>
      <c r="F879" s="13" t="s">
        <v>103</v>
      </c>
      <c r="G879" s="24" t="s">
        <v>855</v>
      </c>
      <c r="H879" s="24" t="s">
        <v>27</v>
      </c>
      <c r="I879" s="24" t="s">
        <v>850</v>
      </c>
      <c r="J879" s="14" t="s">
        <v>43</v>
      </c>
      <c r="K879" s="15" t="s">
        <v>30</v>
      </c>
      <c r="L879" s="62"/>
      <c r="M879" s="14"/>
      <c r="N879" s="14" t="s">
        <v>33</v>
      </c>
      <c r="O879" s="14"/>
      <c r="P879" s="15" t="s">
        <v>248</v>
      </c>
      <c r="Q879" s="16">
        <v>13199</v>
      </c>
      <c r="R879" s="17">
        <v>40</v>
      </c>
      <c r="S879" s="18">
        <v>9107.31</v>
      </c>
      <c r="T879" s="19" t="s">
        <v>36</v>
      </c>
      <c r="U879" s="20" t="s">
        <v>86</v>
      </c>
      <c r="V879" s="21" t="s">
        <v>87</v>
      </c>
      <c r="W879" s="22">
        <v>40</v>
      </c>
      <c r="X879" s="23"/>
    </row>
    <row r="880" spans="1:24" s="1" customFormat="1" ht="21" customHeight="1" x14ac:dyDescent="0.3">
      <c r="A880" s="24" t="s">
        <v>23</v>
      </c>
      <c r="B880" s="24" t="s">
        <v>999</v>
      </c>
      <c r="C880" s="27" t="s">
        <v>1000</v>
      </c>
      <c r="D880" s="60"/>
      <c r="E880" s="41" t="str">
        <f>HYPERLINK("https://www.google.ru/search?q=6006364-001&amp;newwindow=1&amp;tbm=isch","Еще фото")</f>
        <v>Еще фото</v>
      </c>
      <c r="F880" s="13" t="s">
        <v>103</v>
      </c>
      <c r="G880" s="24" t="s">
        <v>855</v>
      </c>
      <c r="H880" s="24" t="s">
        <v>27</v>
      </c>
      <c r="I880" s="24" t="s">
        <v>850</v>
      </c>
      <c r="J880" s="14" t="s">
        <v>43</v>
      </c>
      <c r="K880" s="15" t="s">
        <v>30</v>
      </c>
      <c r="L880" s="62"/>
      <c r="M880" s="14"/>
      <c r="N880" s="14" t="s">
        <v>33</v>
      </c>
      <c r="O880" s="14"/>
      <c r="P880" s="15" t="s">
        <v>248</v>
      </c>
      <c r="Q880" s="16">
        <v>13199</v>
      </c>
      <c r="R880" s="17">
        <v>40</v>
      </c>
      <c r="S880" s="18">
        <v>9107.31</v>
      </c>
      <c r="T880" s="19" t="s">
        <v>36</v>
      </c>
      <c r="U880" s="20" t="s">
        <v>88</v>
      </c>
      <c r="V880" s="21" t="s">
        <v>89</v>
      </c>
      <c r="W880" s="22">
        <v>26</v>
      </c>
      <c r="X880" s="23"/>
    </row>
    <row r="881" spans="1:24" s="1" customFormat="1" ht="32" customHeight="1" x14ac:dyDescent="0.3">
      <c r="A881" s="24" t="s">
        <v>23</v>
      </c>
      <c r="B881" s="24" t="s">
        <v>999</v>
      </c>
      <c r="C881" s="27" t="s">
        <v>1000</v>
      </c>
      <c r="D881" s="61"/>
      <c r="E881" s="41" t="str">
        <f>HYPERLINK("https://www.google.ru/search?q=6006364-001&amp;newwindow=1&amp;tbm=isch","Еще фото")</f>
        <v>Еще фото</v>
      </c>
      <c r="F881" s="13" t="s">
        <v>103</v>
      </c>
      <c r="G881" s="24" t="s">
        <v>855</v>
      </c>
      <c r="H881" s="24" t="s">
        <v>27</v>
      </c>
      <c r="I881" s="24" t="s">
        <v>850</v>
      </c>
      <c r="J881" s="14" t="s">
        <v>43</v>
      </c>
      <c r="K881" s="15" t="s">
        <v>30</v>
      </c>
      <c r="L881" s="58"/>
      <c r="M881" s="14"/>
      <c r="N881" s="14" t="s">
        <v>33</v>
      </c>
      <c r="O881" s="14"/>
      <c r="P881" s="15" t="s">
        <v>248</v>
      </c>
      <c r="Q881" s="16">
        <v>13199</v>
      </c>
      <c r="R881" s="17">
        <v>40</v>
      </c>
      <c r="S881" s="18">
        <v>9107.31</v>
      </c>
      <c r="T881" s="19" t="s">
        <v>36</v>
      </c>
      <c r="U881" s="20" t="s">
        <v>90</v>
      </c>
      <c r="V881" s="21" t="s">
        <v>91</v>
      </c>
      <c r="W881" s="22">
        <v>8</v>
      </c>
      <c r="X881" s="23"/>
    </row>
    <row r="882" spans="1:24" s="1" customFormat="1" ht="108" customHeight="1" x14ac:dyDescent="0.3">
      <c r="A882" s="11" t="s">
        <v>23</v>
      </c>
      <c r="B882" s="11" t="s">
        <v>1002</v>
      </c>
      <c r="C882" s="12" t="s">
        <v>1003</v>
      </c>
      <c r="D882" s="25"/>
      <c r="E882" s="41" t="str">
        <f>HYPERLINK("https://www.google.ru/search?q=6011483-361&amp;newwindow=1&amp;tbm=isch","Еще фото")</f>
        <v>Еще фото</v>
      </c>
      <c r="F882" s="13"/>
      <c r="G882" s="11" t="s">
        <v>1004</v>
      </c>
      <c r="H882" s="11" t="s">
        <v>27</v>
      </c>
      <c r="I882" s="14" t="s">
        <v>1005</v>
      </c>
      <c r="J882" s="14" t="s">
        <v>43</v>
      </c>
      <c r="K882" s="15" t="s">
        <v>30</v>
      </c>
      <c r="L882" s="14" t="s">
        <v>1006</v>
      </c>
      <c r="M882" s="14"/>
      <c r="N882" s="14" t="s">
        <v>1007</v>
      </c>
      <c r="O882" s="14"/>
      <c r="P882" s="15" t="s">
        <v>1008</v>
      </c>
      <c r="Q882" s="16">
        <v>5799</v>
      </c>
      <c r="R882" s="17">
        <v>46.54</v>
      </c>
      <c r="S882" s="18">
        <v>3564.9884999999995</v>
      </c>
      <c r="T882" s="19" t="s">
        <v>36</v>
      </c>
      <c r="U882" s="20" t="s">
        <v>37</v>
      </c>
      <c r="V882" s="21" t="s">
        <v>38</v>
      </c>
      <c r="W882" s="22">
        <v>7</v>
      </c>
      <c r="X882" s="23"/>
    </row>
    <row r="883" spans="1:24" s="1" customFormat="1" ht="26" customHeight="1" x14ac:dyDescent="0.3">
      <c r="A883" s="11" t="s">
        <v>23</v>
      </c>
      <c r="B883" s="11" t="s">
        <v>1009</v>
      </c>
      <c r="C883" s="12" t="s">
        <v>1010</v>
      </c>
      <c r="D883" s="59"/>
      <c r="E883" s="41" t="str">
        <f>HYPERLINK("https://www.google.ru/search?q=1390498-400&amp;newwindow=1&amp;tbm=isch","Еще фото")</f>
        <v>Еще фото</v>
      </c>
      <c r="F883" s="13"/>
      <c r="G883" s="11" t="s">
        <v>1004</v>
      </c>
      <c r="H883" s="11" t="s">
        <v>27</v>
      </c>
      <c r="I883" s="14" t="s">
        <v>1005</v>
      </c>
      <c r="J883" s="14" t="s">
        <v>43</v>
      </c>
      <c r="K883" s="15" t="s">
        <v>30</v>
      </c>
      <c r="L883" s="57" t="s">
        <v>1011</v>
      </c>
      <c r="M883" s="14"/>
      <c r="N883" s="14" t="s">
        <v>485</v>
      </c>
      <c r="O883" s="14"/>
      <c r="P883" s="15" t="s">
        <v>1008</v>
      </c>
      <c r="Q883" s="16">
        <v>7399</v>
      </c>
      <c r="R883" s="17">
        <v>46</v>
      </c>
      <c r="S883" s="18">
        <v>4594.7789999999995</v>
      </c>
      <c r="T883" s="19" t="s">
        <v>36</v>
      </c>
      <c r="U883" s="20" t="s">
        <v>37</v>
      </c>
      <c r="V883" s="21" t="s">
        <v>38</v>
      </c>
      <c r="W883" s="22">
        <v>10</v>
      </c>
      <c r="X883" s="23"/>
    </row>
    <row r="884" spans="1:24" s="1" customFormat="1" ht="26" customHeight="1" x14ac:dyDescent="0.3">
      <c r="A884" s="24" t="s">
        <v>23</v>
      </c>
      <c r="B884" s="24" t="s">
        <v>1009</v>
      </c>
      <c r="C884" s="12" t="s">
        <v>1010</v>
      </c>
      <c r="D884" s="60"/>
      <c r="E884" s="41" t="str">
        <f>HYPERLINK("https://www.google.ru/search?q=1390498-400&amp;newwindow=1&amp;tbm=isch","Еще фото")</f>
        <v>Еще фото</v>
      </c>
      <c r="F884" s="13"/>
      <c r="G884" s="24" t="s">
        <v>1004</v>
      </c>
      <c r="H884" s="24" t="s">
        <v>27</v>
      </c>
      <c r="I884" s="24" t="s">
        <v>1005</v>
      </c>
      <c r="J884" s="14" t="s">
        <v>43</v>
      </c>
      <c r="K884" s="15" t="s">
        <v>30</v>
      </c>
      <c r="L884" s="62"/>
      <c r="M884" s="14"/>
      <c r="N884" s="14" t="s">
        <v>485</v>
      </c>
      <c r="O884" s="14"/>
      <c r="P884" s="15" t="s">
        <v>1008</v>
      </c>
      <c r="Q884" s="16">
        <v>7399</v>
      </c>
      <c r="R884" s="17">
        <v>46</v>
      </c>
      <c r="S884" s="18">
        <v>4594.7789999999995</v>
      </c>
      <c r="T884" s="19" t="s">
        <v>36</v>
      </c>
      <c r="U884" s="20" t="s">
        <v>39</v>
      </c>
      <c r="V884" s="21" t="s">
        <v>40</v>
      </c>
      <c r="W884" s="22">
        <v>12</v>
      </c>
      <c r="X884" s="23"/>
    </row>
    <row r="885" spans="1:24" s="1" customFormat="1" ht="26" customHeight="1" x14ac:dyDescent="0.3">
      <c r="A885" s="24" t="s">
        <v>23</v>
      </c>
      <c r="B885" s="24" t="s">
        <v>1009</v>
      </c>
      <c r="C885" s="12" t="s">
        <v>1010</v>
      </c>
      <c r="D885" s="60"/>
      <c r="E885" s="41" t="str">
        <f>HYPERLINK("https://www.google.ru/search?q=1390498-400&amp;newwindow=1&amp;tbm=isch","Еще фото")</f>
        <v>Еще фото</v>
      </c>
      <c r="F885" s="13"/>
      <c r="G885" s="24" t="s">
        <v>1004</v>
      </c>
      <c r="H885" s="24" t="s">
        <v>27</v>
      </c>
      <c r="I885" s="24" t="s">
        <v>1005</v>
      </c>
      <c r="J885" s="14" t="s">
        <v>43</v>
      </c>
      <c r="K885" s="15" t="s">
        <v>30</v>
      </c>
      <c r="L885" s="62"/>
      <c r="M885" s="14"/>
      <c r="N885" s="14" t="s">
        <v>485</v>
      </c>
      <c r="O885" s="14"/>
      <c r="P885" s="15" t="s">
        <v>1008</v>
      </c>
      <c r="Q885" s="16">
        <v>7399</v>
      </c>
      <c r="R885" s="17">
        <v>46</v>
      </c>
      <c r="S885" s="18">
        <v>4594.7789999999995</v>
      </c>
      <c r="T885" s="19" t="s">
        <v>36</v>
      </c>
      <c r="U885" s="20" t="s">
        <v>86</v>
      </c>
      <c r="V885" s="21" t="s">
        <v>87</v>
      </c>
      <c r="W885" s="22">
        <v>16</v>
      </c>
      <c r="X885" s="23"/>
    </row>
    <row r="886" spans="1:24" s="1" customFormat="1" ht="26" customHeight="1" x14ac:dyDescent="0.3">
      <c r="A886" s="24" t="s">
        <v>23</v>
      </c>
      <c r="B886" s="24" t="s">
        <v>1009</v>
      </c>
      <c r="C886" s="12" t="s">
        <v>1010</v>
      </c>
      <c r="D886" s="61"/>
      <c r="E886" s="41" t="str">
        <f>HYPERLINK("https://www.google.ru/search?q=1390498-400&amp;newwindow=1&amp;tbm=isch","Еще фото")</f>
        <v>Еще фото</v>
      </c>
      <c r="F886" s="13"/>
      <c r="G886" s="24" t="s">
        <v>1004</v>
      </c>
      <c r="H886" s="24" t="s">
        <v>27</v>
      </c>
      <c r="I886" s="24" t="s">
        <v>1005</v>
      </c>
      <c r="J886" s="14" t="s">
        <v>43</v>
      </c>
      <c r="K886" s="15" t="s">
        <v>30</v>
      </c>
      <c r="L886" s="58"/>
      <c r="M886" s="14"/>
      <c r="N886" s="14" t="s">
        <v>485</v>
      </c>
      <c r="O886" s="14"/>
      <c r="P886" s="15" t="s">
        <v>1008</v>
      </c>
      <c r="Q886" s="16">
        <v>7399</v>
      </c>
      <c r="R886" s="17">
        <v>46</v>
      </c>
      <c r="S886" s="18">
        <v>4594.7789999999995</v>
      </c>
      <c r="T886" s="19" t="s">
        <v>36</v>
      </c>
      <c r="U886" s="20" t="s">
        <v>88</v>
      </c>
      <c r="V886" s="21" t="s">
        <v>89</v>
      </c>
      <c r="W886" s="22">
        <v>6</v>
      </c>
      <c r="X886" s="23"/>
    </row>
    <row r="887" spans="1:24" s="1" customFormat="1" ht="21" customHeight="1" x14ac:dyDescent="0.3">
      <c r="A887" s="11" t="s">
        <v>23</v>
      </c>
      <c r="B887" s="11" t="s">
        <v>1012</v>
      </c>
      <c r="C887" s="26" t="s">
        <v>1013</v>
      </c>
      <c r="D887" s="59"/>
      <c r="E887" s="41" t="str">
        <f>HYPERLINK("https://www.google.ru/search?q=6011475-110&amp;newwindow=1&amp;tbm=isch","Еще фото")</f>
        <v>Еще фото</v>
      </c>
      <c r="F887" s="13"/>
      <c r="G887" s="11" t="s">
        <v>1004</v>
      </c>
      <c r="H887" s="11" t="s">
        <v>27</v>
      </c>
      <c r="I887" s="14" t="s">
        <v>1005</v>
      </c>
      <c r="J887" s="14" t="s">
        <v>43</v>
      </c>
      <c r="K887" s="15" t="s">
        <v>30</v>
      </c>
      <c r="L887" s="57" t="s">
        <v>1014</v>
      </c>
      <c r="M887" s="14"/>
      <c r="N887" s="14" t="s">
        <v>1015</v>
      </c>
      <c r="O887" s="14"/>
      <c r="P887" s="15" t="s">
        <v>213</v>
      </c>
      <c r="Q887" s="16">
        <v>5599</v>
      </c>
      <c r="R887" s="17">
        <v>46</v>
      </c>
      <c r="S887" s="18">
        <v>3476.9789999999998</v>
      </c>
      <c r="T887" s="19" t="s">
        <v>36</v>
      </c>
      <c r="U887" s="20" t="s">
        <v>37</v>
      </c>
      <c r="V887" s="21" t="s">
        <v>38</v>
      </c>
      <c r="W887" s="22">
        <v>12</v>
      </c>
      <c r="X887" s="23"/>
    </row>
    <row r="888" spans="1:24" s="1" customFormat="1" ht="21" customHeight="1" x14ac:dyDescent="0.3">
      <c r="A888" s="24" t="s">
        <v>23</v>
      </c>
      <c r="B888" s="24" t="s">
        <v>1012</v>
      </c>
      <c r="C888" s="27" t="s">
        <v>1013</v>
      </c>
      <c r="D888" s="60"/>
      <c r="E888" s="41" t="str">
        <f>HYPERLINK("https://www.google.ru/search?q=6011475-110&amp;newwindow=1&amp;tbm=isch","Еще фото")</f>
        <v>Еще фото</v>
      </c>
      <c r="F888" s="13"/>
      <c r="G888" s="24" t="s">
        <v>1004</v>
      </c>
      <c r="H888" s="24" t="s">
        <v>27</v>
      </c>
      <c r="I888" s="24" t="s">
        <v>1005</v>
      </c>
      <c r="J888" s="14" t="s">
        <v>43</v>
      </c>
      <c r="K888" s="15" t="s">
        <v>30</v>
      </c>
      <c r="L888" s="62"/>
      <c r="M888" s="14"/>
      <c r="N888" s="14" t="s">
        <v>1015</v>
      </c>
      <c r="O888" s="14"/>
      <c r="P888" s="15" t="s">
        <v>213</v>
      </c>
      <c r="Q888" s="16">
        <v>5599</v>
      </c>
      <c r="R888" s="17">
        <v>46</v>
      </c>
      <c r="S888" s="18">
        <v>3476.9789999999998</v>
      </c>
      <c r="T888" s="19" t="s">
        <v>36</v>
      </c>
      <c r="U888" s="20" t="s">
        <v>39</v>
      </c>
      <c r="V888" s="21" t="s">
        <v>40</v>
      </c>
      <c r="W888" s="22">
        <v>20</v>
      </c>
      <c r="X888" s="23"/>
    </row>
    <row r="889" spans="1:24" s="1" customFormat="1" ht="21" customHeight="1" x14ac:dyDescent="0.3">
      <c r="A889" s="24" t="s">
        <v>23</v>
      </c>
      <c r="B889" s="24" t="s">
        <v>1012</v>
      </c>
      <c r="C889" s="27" t="s">
        <v>1013</v>
      </c>
      <c r="D889" s="60"/>
      <c r="E889" s="41" t="str">
        <f>HYPERLINK("https://www.google.ru/search?q=6011475-110&amp;newwindow=1&amp;tbm=isch","Еще фото")</f>
        <v>Еще фото</v>
      </c>
      <c r="F889" s="13"/>
      <c r="G889" s="24" t="s">
        <v>1004</v>
      </c>
      <c r="H889" s="24" t="s">
        <v>27</v>
      </c>
      <c r="I889" s="24" t="s">
        <v>1005</v>
      </c>
      <c r="J889" s="14" t="s">
        <v>43</v>
      </c>
      <c r="K889" s="15" t="s">
        <v>30</v>
      </c>
      <c r="L889" s="62"/>
      <c r="M889" s="14"/>
      <c r="N889" s="14" t="s">
        <v>1015</v>
      </c>
      <c r="O889" s="14"/>
      <c r="P889" s="15" t="s">
        <v>213</v>
      </c>
      <c r="Q889" s="16">
        <v>5599</v>
      </c>
      <c r="R889" s="17">
        <v>46</v>
      </c>
      <c r="S889" s="18">
        <v>3476.9789999999998</v>
      </c>
      <c r="T889" s="19" t="s">
        <v>36</v>
      </c>
      <c r="U889" s="20" t="s">
        <v>86</v>
      </c>
      <c r="V889" s="21" t="s">
        <v>87</v>
      </c>
      <c r="W889" s="22">
        <v>32</v>
      </c>
      <c r="X889" s="23"/>
    </row>
    <row r="890" spans="1:24" s="1" customFormat="1" ht="21" customHeight="1" x14ac:dyDescent="0.3">
      <c r="A890" s="24" t="s">
        <v>23</v>
      </c>
      <c r="B890" s="24" t="s">
        <v>1012</v>
      </c>
      <c r="C890" s="27" t="s">
        <v>1013</v>
      </c>
      <c r="D890" s="60"/>
      <c r="E890" s="41" t="str">
        <f>HYPERLINK("https://www.google.ru/search?q=6011475-110&amp;newwindow=1&amp;tbm=isch","Еще фото")</f>
        <v>Еще фото</v>
      </c>
      <c r="F890" s="13"/>
      <c r="G890" s="24" t="s">
        <v>1004</v>
      </c>
      <c r="H890" s="24" t="s">
        <v>27</v>
      </c>
      <c r="I890" s="24" t="s">
        <v>1005</v>
      </c>
      <c r="J890" s="14" t="s">
        <v>43</v>
      </c>
      <c r="K890" s="15" t="s">
        <v>30</v>
      </c>
      <c r="L890" s="62"/>
      <c r="M890" s="14"/>
      <c r="N890" s="14" t="s">
        <v>1015</v>
      </c>
      <c r="O890" s="14"/>
      <c r="P890" s="15" t="s">
        <v>213</v>
      </c>
      <c r="Q890" s="16">
        <v>5599</v>
      </c>
      <c r="R890" s="17">
        <v>46</v>
      </c>
      <c r="S890" s="18">
        <v>3476.9789999999998</v>
      </c>
      <c r="T890" s="19" t="s">
        <v>36</v>
      </c>
      <c r="U890" s="20" t="s">
        <v>88</v>
      </c>
      <c r="V890" s="21" t="s">
        <v>89</v>
      </c>
      <c r="W890" s="22">
        <v>17</v>
      </c>
      <c r="X890" s="23"/>
    </row>
    <row r="891" spans="1:24" s="1" customFormat="1" ht="32" customHeight="1" x14ac:dyDescent="0.3">
      <c r="A891" s="24" t="s">
        <v>23</v>
      </c>
      <c r="B891" s="24" t="s">
        <v>1012</v>
      </c>
      <c r="C891" s="27" t="s">
        <v>1013</v>
      </c>
      <c r="D891" s="61"/>
      <c r="E891" s="41" t="str">
        <f>HYPERLINK("https://www.google.ru/search?q=6011475-110&amp;newwindow=1&amp;tbm=isch","Еще фото")</f>
        <v>Еще фото</v>
      </c>
      <c r="F891" s="13"/>
      <c r="G891" s="24" t="s">
        <v>1004</v>
      </c>
      <c r="H891" s="24" t="s">
        <v>27</v>
      </c>
      <c r="I891" s="24" t="s">
        <v>1005</v>
      </c>
      <c r="J891" s="14" t="s">
        <v>43</v>
      </c>
      <c r="K891" s="15" t="s">
        <v>30</v>
      </c>
      <c r="L891" s="58"/>
      <c r="M891" s="14"/>
      <c r="N891" s="14" t="s">
        <v>1015</v>
      </c>
      <c r="O891" s="14"/>
      <c r="P891" s="15" t="s">
        <v>213</v>
      </c>
      <c r="Q891" s="16">
        <v>5599</v>
      </c>
      <c r="R891" s="17">
        <v>46</v>
      </c>
      <c r="S891" s="18">
        <v>3476.9789999999998</v>
      </c>
      <c r="T891" s="19" t="s">
        <v>36</v>
      </c>
      <c r="U891" s="20" t="s">
        <v>90</v>
      </c>
      <c r="V891" s="21" t="s">
        <v>91</v>
      </c>
      <c r="W891" s="22">
        <v>10</v>
      </c>
      <c r="X891" s="23"/>
    </row>
    <row r="892" spans="1:24" s="1" customFormat="1" ht="26" customHeight="1" x14ac:dyDescent="0.3">
      <c r="A892" s="11" t="s">
        <v>23</v>
      </c>
      <c r="B892" s="11" t="s">
        <v>1016</v>
      </c>
      <c r="C892" s="12" t="s">
        <v>1017</v>
      </c>
      <c r="D892" s="59"/>
      <c r="E892" s="41" t="str">
        <f>HYPERLINK("https://www.google.ru/search?q=1383878-006&amp;newwindow=1&amp;tbm=isch","Еще фото")</f>
        <v>Еще фото</v>
      </c>
      <c r="F892" s="28" t="s">
        <v>138</v>
      </c>
      <c r="G892" s="11" t="s">
        <v>1004</v>
      </c>
      <c r="H892" s="11" t="s">
        <v>27</v>
      </c>
      <c r="I892" s="14" t="s">
        <v>1005</v>
      </c>
      <c r="J892" s="14" t="s">
        <v>29</v>
      </c>
      <c r="K892" s="15" t="s">
        <v>30</v>
      </c>
      <c r="L892" s="57"/>
      <c r="M892" s="14"/>
      <c r="N892" s="14" t="s">
        <v>33</v>
      </c>
      <c r="O892" s="14"/>
      <c r="P892" s="15" t="s">
        <v>213</v>
      </c>
      <c r="Q892" s="16">
        <v>5599</v>
      </c>
      <c r="R892" s="17">
        <v>43</v>
      </c>
      <c r="S892" s="18">
        <v>3670.1444999999994</v>
      </c>
      <c r="T892" s="19" t="s">
        <v>36</v>
      </c>
      <c r="U892" s="20" t="s">
        <v>37</v>
      </c>
      <c r="V892" s="21" t="s">
        <v>38</v>
      </c>
      <c r="W892" s="22">
        <v>12</v>
      </c>
      <c r="X892" s="23"/>
    </row>
    <row r="893" spans="1:24" s="1" customFormat="1" ht="26" customHeight="1" x14ac:dyDescent="0.3">
      <c r="A893" s="24" t="s">
        <v>23</v>
      </c>
      <c r="B893" s="24" t="s">
        <v>1016</v>
      </c>
      <c r="C893" s="12" t="s">
        <v>1017</v>
      </c>
      <c r="D893" s="60"/>
      <c r="E893" s="41" t="str">
        <f>HYPERLINK("https://www.google.ru/search?q=1383878-006&amp;newwindow=1&amp;tbm=isch","Еще фото")</f>
        <v>Еще фото</v>
      </c>
      <c r="F893" s="28" t="s">
        <v>138</v>
      </c>
      <c r="G893" s="24" t="s">
        <v>1004</v>
      </c>
      <c r="H893" s="24" t="s">
        <v>27</v>
      </c>
      <c r="I893" s="24" t="s">
        <v>1005</v>
      </c>
      <c r="J893" s="14" t="s">
        <v>29</v>
      </c>
      <c r="K893" s="15" t="s">
        <v>30</v>
      </c>
      <c r="L893" s="62"/>
      <c r="M893" s="14"/>
      <c r="N893" s="14" t="s">
        <v>33</v>
      </c>
      <c r="O893" s="14"/>
      <c r="P893" s="15" t="s">
        <v>213</v>
      </c>
      <c r="Q893" s="16">
        <v>5599</v>
      </c>
      <c r="R893" s="17">
        <v>43</v>
      </c>
      <c r="S893" s="18">
        <v>3670.1444999999994</v>
      </c>
      <c r="T893" s="19" t="s">
        <v>36</v>
      </c>
      <c r="U893" s="20" t="s">
        <v>39</v>
      </c>
      <c r="V893" s="21" t="s">
        <v>40</v>
      </c>
      <c r="W893" s="22">
        <v>24</v>
      </c>
      <c r="X893" s="23"/>
    </row>
    <row r="894" spans="1:24" s="1" customFormat="1" ht="26" customHeight="1" x14ac:dyDescent="0.3">
      <c r="A894" s="24" t="s">
        <v>23</v>
      </c>
      <c r="B894" s="24" t="s">
        <v>1016</v>
      </c>
      <c r="C894" s="12" t="s">
        <v>1017</v>
      </c>
      <c r="D894" s="60"/>
      <c r="E894" s="41" t="str">
        <f>HYPERLINK("https://www.google.ru/search?q=1383878-006&amp;newwindow=1&amp;tbm=isch","Еще фото")</f>
        <v>Еще фото</v>
      </c>
      <c r="F894" s="28" t="s">
        <v>138</v>
      </c>
      <c r="G894" s="24" t="s">
        <v>1004</v>
      </c>
      <c r="H894" s="24" t="s">
        <v>27</v>
      </c>
      <c r="I894" s="24" t="s">
        <v>1005</v>
      </c>
      <c r="J894" s="14" t="s">
        <v>29</v>
      </c>
      <c r="K894" s="15" t="s">
        <v>30</v>
      </c>
      <c r="L894" s="62"/>
      <c r="M894" s="14"/>
      <c r="N894" s="14" t="s">
        <v>33</v>
      </c>
      <c r="O894" s="14"/>
      <c r="P894" s="15" t="s">
        <v>213</v>
      </c>
      <c r="Q894" s="16">
        <v>5599</v>
      </c>
      <c r="R894" s="17">
        <v>43</v>
      </c>
      <c r="S894" s="18">
        <v>3670.1444999999994</v>
      </c>
      <c r="T894" s="19" t="s">
        <v>36</v>
      </c>
      <c r="U894" s="20" t="s">
        <v>86</v>
      </c>
      <c r="V894" s="21" t="s">
        <v>87</v>
      </c>
      <c r="W894" s="22">
        <v>36</v>
      </c>
      <c r="X894" s="23"/>
    </row>
    <row r="895" spans="1:24" s="1" customFormat="1" ht="26" customHeight="1" x14ac:dyDescent="0.3">
      <c r="A895" s="24" t="s">
        <v>23</v>
      </c>
      <c r="B895" s="24" t="s">
        <v>1016</v>
      </c>
      <c r="C895" s="12" t="s">
        <v>1017</v>
      </c>
      <c r="D895" s="61"/>
      <c r="E895" s="41" t="str">
        <f>HYPERLINK("https://www.google.ru/search?q=1383878-006&amp;newwindow=1&amp;tbm=isch","Еще фото")</f>
        <v>Еще фото</v>
      </c>
      <c r="F895" s="28" t="s">
        <v>138</v>
      </c>
      <c r="G895" s="24" t="s">
        <v>1004</v>
      </c>
      <c r="H895" s="24" t="s">
        <v>27</v>
      </c>
      <c r="I895" s="24" t="s">
        <v>1005</v>
      </c>
      <c r="J895" s="14" t="s">
        <v>29</v>
      </c>
      <c r="K895" s="15" t="s">
        <v>30</v>
      </c>
      <c r="L895" s="58"/>
      <c r="M895" s="14"/>
      <c r="N895" s="14" t="s">
        <v>33</v>
      </c>
      <c r="O895" s="14"/>
      <c r="P895" s="15" t="s">
        <v>213</v>
      </c>
      <c r="Q895" s="16">
        <v>5599</v>
      </c>
      <c r="R895" s="17">
        <v>43</v>
      </c>
      <c r="S895" s="18">
        <v>3670.1444999999994</v>
      </c>
      <c r="T895" s="19" t="s">
        <v>36</v>
      </c>
      <c r="U895" s="20" t="s">
        <v>88</v>
      </c>
      <c r="V895" s="21" t="s">
        <v>89</v>
      </c>
      <c r="W895" s="22">
        <v>24</v>
      </c>
      <c r="X895" s="23"/>
    </row>
    <row r="896" spans="1:24" s="1" customFormat="1" ht="21" customHeight="1" x14ac:dyDescent="0.3">
      <c r="A896" s="11" t="s">
        <v>23</v>
      </c>
      <c r="B896" s="11" t="s">
        <v>1016</v>
      </c>
      <c r="C896" s="26" t="s">
        <v>1018</v>
      </c>
      <c r="D896" s="59"/>
      <c r="E896" s="41" t="str">
        <f>HYPERLINK("https://www.google.ru/search?q=1383878-477&amp;newwindow=1&amp;tbm=isch","Еще фото")</f>
        <v>Еще фото</v>
      </c>
      <c r="F896" s="28" t="s">
        <v>138</v>
      </c>
      <c r="G896" s="11" t="s">
        <v>1004</v>
      </c>
      <c r="H896" s="11" t="s">
        <v>27</v>
      </c>
      <c r="I896" s="14" t="s">
        <v>1005</v>
      </c>
      <c r="J896" s="14" t="s">
        <v>29</v>
      </c>
      <c r="K896" s="15" t="s">
        <v>30</v>
      </c>
      <c r="L896" s="57"/>
      <c r="M896" s="14"/>
      <c r="N896" s="14" t="s">
        <v>973</v>
      </c>
      <c r="O896" s="14"/>
      <c r="P896" s="15" t="s">
        <v>213</v>
      </c>
      <c r="Q896" s="16">
        <v>5599</v>
      </c>
      <c r="R896" s="17">
        <v>43</v>
      </c>
      <c r="S896" s="18">
        <v>3670.1444999999994</v>
      </c>
      <c r="T896" s="19" t="s">
        <v>36</v>
      </c>
      <c r="U896" s="20" t="s">
        <v>37</v>
      </c>
      <c r="V896" s="21" t="s">
        <v>38</v>
      </c>
      <c r="W896" s="22">
        <v>12</v>
      </c>
      <c r="X896" s="23"/>
    </row>
    <row r="897" spans="1:24" s="1" customFormat="1" ht="21" customHeight="1" x14ac:dyDescent="0.3">
      <c r="A897" s="24" t="s">
        <v>23</v>
      </c>
      <c r="B897" s="24" t="s">
        <v>1016</v>
      </c>
      <c r="C897" s="27" t="s">
        <v>1018</v>
      </c>
      <c r="D897" s="60"/>
      <c r="E897" s="41" t="str">
        <f>HYPERLINK("https://www.google.ru/search?q=1383878-477&amp;newwindow=1&amp;tbm=isch","Еще фото")</f>
        <v>Еще фото</v>
      </c>
      <c r="F897" s="28" t="s">
        <v>138</v>
      </c>
      <c r="G897" s="24" t="s">
        <v>1004</v>
      </c>
      <c r="H897" s="24" t="s">
        <v>27</v>
      </c>
      <c r="I897" s="24" t="s">
        <v>1005</v>
      </c>
      <c r="J897" s="14" t="s">
        <v>29</v>
      </c>
      <c r="K897" s="15" t="s">
        <v>30</v>
      </c>
      <c r="L897" s="62"/>
      <c r="M897" s="14"/>
      <c r="N897" s="14" t="s">
        <v>973</v>
      </c>
      <c r="O897" s="14"/>
      <c r="P897" s="15" t="s">
        <v>213</v>
      </c>
      <c r="Q897" s="16">
        <v>5599</v>
      </c>
      <c r="R897" s="17">
        <v>43</v>
      </c>
      <c r="S897" s="18">
        <v>3670.1444999999994</v>
      </c>
      <c r="T897" s="19" t="s">
        <v>36</v>
      </c>
      <c r="U897" s="20" t="s">
        <v>39</v>
      </c>
      <c r="V897" s="21" t="s">
        <v>40</v>
      </c>
      <c r="W897" s="22">
        <v>24</v>
      </c>
      <c r="X897" s="23"/>
    </row>
    <row r="898" spans="1:24" s="1" customFormat="1" ht="21" customHeight="1" x14ac:dyDescent="0.3">
      <c r="A898" s="24" t="s">
        <v>23</v>
      </c>
      <c r="B898" s="24" t="s">
        <v>1016</v>
      </c>
      <c r="C898" s="27" t="s">
        <v>1018</v>
      </c>
      <c r="D898" s="60"/>
      <c r="E898" s="41" t="str">
        <f>HYPERLINK("https://www.google.ru/search?q=1383878-477&amp;newwindow=1&amp;tbm=isch","Еще фото")</f>
        <v>Еще фото</v>
      </c>
      <c r="F898" s="28" t="s">
        <v>138</v>
      </c>
      <c r="G898" s="24" t="s">
        <v>1004</v>
      </c>
      <c r="H898" s="24" t="s">
        <v>27</v>
      </c>
      <c r="I898" s="24" t="s">
        <v>1005</v>
      </c>
      <c r="J898" s="14" t="s">
        <v>29</v>
      </c>
      <c r="K898" s="15" t="s">
        <v>30</v>
      </c>
      <c r="L898" s="62"/>
      <c r="M898" s="14"/>
      <c r="N898" s="14" t="s">
        <v>973</v>
      </c>
      <c r="O898" s="14"/>
      <c r="P898" s="15" t="s">
        <v>213</v>
      </c>
      <c r="Q898" s="16">
        <v>5599</v>
      </c>
      <c r="R898" s="17">
        <v>43</v>
      </c>
      <c r="S898" s="18">
        <v>3670.1444999999994</v>
      </c>
      <c r="T898" s="19" t="s">
        <v>36</v>
      </c>
      <c r="U898" s="20" t="s">
        <v>86</v>
      </c>
      <c r="V898" s="21" t="s">
        <v>87</v>
      </c>
      <c r="W898" s="22">
        <v>36</v>
      </c>
      <c r="X898" s="23"/>
    </row>
    <row r="899" spans="1:24" s="1" customFormat="1" ht="21" customHeight="1" x14ac:dyDescent="0.3">
      <c r="A899" s="24" t="s">
        <v>23</v>
      </c>
      <c r="B899" s="24" t="s">
        <v>1016</v>
      </c>
      <c r="C899" s="27" t="s">
        <v>1018</v>
      </c>
      <c r="D899" s="60"/>
      <c r="E899" s="41" t="str">
        <f>HYPERLINK("https://www.google.ru/search?q=1383878-477&amp;newwindow=1&amp;tbm=isch","Еще фото")</f>
        <v>Еще фото</v>
      </c>
      <c r="F899" s="28" t="s">
        <v>138</v>
      </c>
      <c r="G899" s="24" t="s">
        <v>1004</v>
      </c>
      <c r="H899" s="24" t="s">
        <v>27</v>
      </c>
      <c r="I899" s="24" t="s">
        <v>1005</v>
      </c>
      <c r="J899" s="14" t="s">
        <v>29</v>
      </c>
      <c r="K899" s="15" t="s">
        <v>30</v>
      </c>
      <c r="L899" s="62"/>
      <c r="M899" s="14"/>
      <c r="N899" s="14" t="s">
        <v>973</v>
      </c>
      <c r="O899" s="14"/>
      <c r="P899" s="15" t="s">
        <v>213</v>
      </c>
      <c r="Q899" s="16">
        <v>5599</v>
      </c>
      <c r="R899" s="17">
        <v>43</v>
      </c>
      <c r="S899" s="18">
        <v>3670.1444999999994</v>
      </c>
      <c r="T899" s="19" t="s">
        <v>36</v>
      </c>
      <c r="U899" s="20" t="s">
        <v>88</v>
      </c>
      <c r="V899" s="21" t="s">
        <v>89</v>
      </c>
      <c r="W899" s="22">
        <v>24</v>
      </c>
      <c r="X899" s="23"/>
    </row>
    <row r="900" spans="1:24" s="1" customFormat="1" ht="32" customHeight="1" x14ac:dyDescent="0.3">
      <c r="A900" s="24" t="s">
        <v>23</v>
      </c>
      <c r="B900" s="24" t="s">
        <v>1016</v>
      </c>
      <c r="C900" s="27" t="s">
        <v>1018</v>
      </c>
      <c r="D900" s="61"/>
      <c r="E900" s="41" t="str">
        <f>HYPERLINK("https://www.google.ru/search?q=1383878-477&amp;newwindow=1&amp;tbm=isch","Еще фото")</f>
        <v>Еще фото</v>
      </c>
      <c r="F900" s="28" t="s">
        <v>138</v>
      </c>
      <c r="G900" s="24" t="s">
        <v>1004</v>
      </c>
      <c r="H900" s="24" t="s">
        <v>27</v>
      </c>
      <c r="I900" s="24" t="s">
        <v>1005</v>
      </c>
      <c r="J900" s="14" t="s">
        <v>29</v>
      </c>
      <c r="K900" s="15" t="s">
        <v>30</v>
      </c>
      <c r="L900" s="58"/>
      <c r="M900" s="14"/>
      <c r="N900" s="14" t="s">
        <v>973</v>
      </c>
      <c r="O900" s="14"/>
      <c r="P900" s="15" t="s">
        <v>213</v>
      </c>
      <c r="Q900" s="16">
        <v>5599</v>
      </c>
      <c r="R900" s="17">
        <v>43</v>
      </c>
      <c r="S900" s="18">
        <v>3670.1444999999994</v>
      </c>
      <c r="T900" s="19" t="s">
        <v>36</v>
      </c>
      <c r="U900" s="20" t="s">
        <v>90</v>
      </c>
      <c r="V900" s="21" t="s">
        <v>91</v>
      </c>
      <c r="W900" s="22">
        <v>12</v>
      </c>
      <c r="X900" s="23"/>
    </row>
    <row r="901" spans="1:24" s="1" customFormat="1" ht="21" customHeight="1" x14ac:dyDescent="0.3">
      <c r="A901" s="11" t="s">
        <v>23</v>
      </c>
      <c r="B901" s="11" t="s">
        <v>1019</v>
      </c>
      <c r="C901" s="26" t="s">
        <v>1020</v>
      </c>
      <c r="D901" s="59"/>
      <c r="E901" s="41" t="str">
        <f>HYPERLINK("https://www.google.ru/search?q=1383885-024&amp;newwindow=1&amp;tbm=isch","Еще фото")</f>
        <v>Еще фото</v>
      </c>
      <c r="F901" s="13"/>
      <c r="G901" s="11" t="s">
        <v>1004</v>
      </c>
      <c r="H901" s="11" t="s">
        <v>27</v>
      </c>
      <c r="I901" s="14" t="s">
        <v>1005</v>
      </c>
      <c r="J901" s="14" t="s">
        <v>43</v>
      </c>
      <c r="K901" s="15" t="s">
        <v>30</v>
      </c>
      <c r="L901" s="57" t="s">
        <v>1021</v>
      </c>
      <c r="M901" s="14"/>
      <c r="N901" s="14" t="s">
        <v>98</v>
      </c>
      <c r="O901" s="14"/>
      <c r="P901" s="15" t="s">
        <v>1008</v>
      </c>
      <c r="Q901" s="16">
        <v>6299</v>
      </c>
      <c r="R901" s="17">
        <v>43</v>
      </c>
      <c r="S901" s="18">
        <v>4128.9944999999998</v>
      </c>
      <c r="T901" s="19" t="s">
        <v>36</v>
      </c>
      <c r="U901" s="20" t="s">
        <v>37</v>
      </c>
      <c r="V901" s="21" t="s">
        <v>38</v>
      </c>
      <c r="W901" s="22">
        <v>12</v>
      </c>
      <c r="X901" s="23"/>
    </row>
    <row r="902" spans="1:24" s="1" customFormat="1" ht="21" customHeight="1" x14ac:dyDescent="0.3">
      <c r="A902" s="24" t="s">
        <v>23</v>
      </c>
      <c r="B902" s="24" t="s">
        <v>1019</v>
      </c>
      <c r="C902" s="27" t="s">
        <v>1020</v>
      </c>
      <c r="D902" s="60"/>
      <c r="E902" s="41" t="str">
        <f>HYPERLINK("https://www.google.ru/search?q=1383885-024&amp;newwindow=1&amp;tbm=isch","Еще фото")</f>
        <v>Еще фото</v>
      </c>
      <c r="F902" s="13"/>
      <c r="G902" s="24" t="s">
        <v>1004</v>
      </c>
      <c r="H902" s="24" t="s">
        <v>27</v>
      </c>
      <c r="I902" s="24" t="s">
        <v>1005</v>
      </c>
      <c r="J902" s="14" t="s">
        <v>43</v>
      </c>
      <c r="K902" s="15" t="s">
        <v>30</v>
      </c>
      <c r="L902" s="62"/>
      <c r="M902" s="14"/>
      <c r="N902" s="14" t="s">
        <v>98</v>
      </c>
      <c r="O902" s="14"/>
      <c r="P902" s="15" t="s">
        <v>1008</v>
      </c>
      <c r="Q902" s="16">
        <v>6299</v>
      </c>
      <c r="R902" s="17">
        <v>43</v>
      </c>
      <c r="S902" s="18">
        <v>4128.9944999999998</v>
      </c>
      <c r="T902" s="19" t="s">
        <v>36</v>
      </c>
      <c r="U902" s="20" t="s">
        <v>39</v>
      </c>
      <c r="V902" s="21" t="s">
        <v>40</v>
      </c>
      <c r="W902" s="22">
        <v>18</v>
      </c>
      <c r="X902" s="23"/>
    </row>
    <row r="903" spans="1:24" s="1" customFormat="1" ht="21" customHeight="1" x14ac:dyDescent="0.3">
      <c r="A903" s="24" t="s">
        <v>23</v>
      </c>
      <c r="B903" s="24" t="s">
        <v>1019</v>
      </c>
      <c r="C903" s="27" t="s">
        <v>1020</v>
      </c>
      <c r="D903" s="60"/>
      <c r="E903" s="41" t="str">
        <f>HYPERLINK("https://www.google.ru/search?q=1383885-024&amp;newwindow=1&amp;tbm=isch","Еще фото")</f>
        <v>Еще фото</v>
      </c>
      <c r="F903" s="13"/>
      <c r="G903" s="24" t="s">
        <v>1004</v>
      </c>
      <c r="H903" s="24" t="s">
        <v>27</v>
      </c>
      <c r="I903" s="24" t="s">
        <v>1005</v>
      </c>
      <c r="J903" s="14" t="s">
        <v>43</v>
      </c>
      <c r="K903" s="15" t="s">
        <v>30</v>
      </c>
      <c r="L903" s="62"/>
      <c r="M903" s="14"/>
      <c r="N903" s="14" t="s">
        <v>98</v>
      </c>
      <c r="O903" s="14"/>
      <c r="P903" s="15" t="s">
        <v>1008</v>
      </c>
      <c r="Q903" s="16">
        <v>6299</v>
      </c>
      <c r="R903" s="17">
        <v>43</v>
      </c>
      <c r="S903" s="18">
        <v>4128.9944999999998</v>
      </c>
      <c r="T903" s="19" t="s">
        <v>36</v>
      </c>
      <c r="U903" s="20" t="s">
        <v>86</v>
      </c>
      <c r="V903" s="21" t="s">
        <v>87</v>
      </c>
      <c r="W903" s="22">
        <v>25</v>
      </c>
      <c r="X903" s="23"/>
    </row>
    <row r="904" spans="1:24" s="1" customFormat="1" ht="21" customHeight="1" x14ac:dyDescent="0.3">
      <c r="A904" s="24" t="s">
        <v>23</v>
      </c>
      <c r="B904" s="24" t="s">
        <v>1019</v>
      </c>
      <c r="C904" s="27" t="s">
        <v>1020</v>
      </c>
      <c r="D904" s="60"/>
      <c r="E904" s="41" t="str">
        <f>HYPERLINK("https://www.google.ru/search?q=1383885-024&amp;newwindow=1&amp;tbm=isch","Еще фото")</f>
        <v>Еще фото</v>
      </c>
      <c r="F904" s="13"/>
      <c r="G904" s="24" t="s">
        <v>1004</v>
      </c>
      <c r="H904" s="24" t="s">
        <v>27</v>
      </c>
      <c r="I904" s="24" t="s">
        <v>1005</v>
      </c>
      <c r="J904" s="14" t="s">
        <v>43</v>
      </c>
      <c r="K904" s="15" t="s">
        <v>30</v>
      </c>
      <c r="L904" s="62"/>
      <c r="M904" s="14"/>
      <c r="N904" s="14" t="s">
        <v>98</v>
      </c>
      <c r="O904" s="14"/>
      <c r="P904" s="15" t="s">
        <v>1008</v>
      </c>
      <c r="Q904" s="16">
        <v>6299</v>
      </c>
      <c r="R904" s="17">
        <v>43</v>
      </c>
      <c r="S904" s="18">
        <v>4128.9944999999998</v>
      </c>
      <c r="T904" s="19" t="s">
        <v>36</v>
      </c>
      <c r="U904" s="20" t="s">
        <v>88</v>
      </c>
      <c r="V904" s="21" t="s">
        <v>89</v>
      </c>
      <c r="W904" s="22">
        <v>16</v>
      </c>
      <c r="X904" s="23"/>
    </row>
    <row r="905" spans="1:24" s="1" customFormat="1" ht="32" customHeight="1" x14ac:dyDescent="0.3">
      <c r="A905" s="24" t="s">
        <v>23</v>
      </c>
      <c r="B905" s="24" t="s">
        <v>1019</v>
      </c>
      <c r="C905" s="27" t="s">
        <v>1020</v>
      </c>
      <c r="D905" s="61"/>
      <c r="E905" s="41" t="str">
        <f>HYPERLINK("https://www.google.ru/search?q=1383885-024&amp;newwindow=1&amp;tbm=isch","Еще фото")</f>
        <v>Еще фото</v>
      </c>
      <c r="F905" s="13"/>
      <c r="G905" s="24" t="s">
        <v>1004</v>
      </c>
      <c r="H905" s="24" t="s">
        <v>27</v>
      </c>
      <c r="I905" s="24" t="s">
        <v>1005</v>
      </c>
      <c r="J905" s="14" t="s">
        <v>43</v>
      </c>
      <c r="K905" s="15" t="s">
        <v>30</v>
      </c>
      <c r="L905" s="58"/>
      <c r="M905" s="14"/>
      <c r="N905" s="14" t="s">
        <v>98</v>
      </c>
      <c r="O905" s="14"/>
      <c r="P905" s="15" t="s">
        <v>1008</v>
      </c>
      <c r="Q905" s="16">
        <v>6299</v>
      </c>
      <c r="R905" s="17">
        <v>43</v>
      </c>
      <c r="S905" s="18">
        <v>4128.9944999999998</v>
      </c>
      <c r="T905" s="19" t="s">
        <v>36</v>
      </c>
      <c r="U905" s="20" t="s">
        <v>90</v>
      </c>
      <c r="V905" s="21" t="s">
        <v>91</v>
      </c>
      <c r="W905" s="22">
        <v>6</v>
      </c>
      <c r="X905" s="23"/>
    </row>
    <row r="906" spans="1:24" s="1" customFormat="1" ht="26" customHeight="1" x14ac:dyDescent="0.3">
      <c r="A906" s="11" t="s">
        <v>23</v>
      </c>
      <c r="B906" s="11" t="s">
        <v>1022</v>
      </c>
      <c r="C906" s="12" t="s">
        <v>1023</v>
      </c>
      <c r="D906" s="59"/>
      <c r="E906" s="41" t="str">
        <f>HYPERLINK("https://www.google.ru/search?q=1383894-466&amp;newwindow=1&amp;tbm=isch","Еще фото")</f>
        <v>Еще фото</v>
      </c>
      <c r="F906" s="13"/>
      <c r="G906" s="11" t="s">
        <v>1004</v>
      </c>
      <c r="H906" s="11" t="s">
        <v>27</v>
      </c>
      <c r="I906" s="14" t="s">
        <v>1005</v>
      </c>
      <c r="J906" s="14" t="s">
        <v>43</v>
      </c>
      <c r="K906" s="15" t="s">
        <v>59</v>
      </c>
      <c r="L906" s="57" t="s">
        <v>1024</v>
      </c>
      <c r="M906" s="14"/>
      <c r="N906" s="14" t="s">
        <v>1025</v>
      </c>
      <c r="O906" s="14"/>
      <c r="P906" s="15" t="s">
        <v>1026</v>
      </c>
      <c r="Q906" s="16">
        <v>3099</v>
      </c>
      <c r="R906" s="17">
        <v>43</v>
      </c>
      <c r="S906" s="18">
        <v>2031.3944999999999</v>
      </c>
      <c r="T906" s="19" t="s">
        <v>36</v>
      </c>
      <c r="U906" s="20" t="s">
        <v>63</v>
      </c>
      <c r="V906" s="21" t="s">
        <v>64</v>
      </c>
      <c r="W906" s="22">
        <v>16</v>
      </c>
      <c r="X906" s="23"/>
    </row>
    <row r="907" spans="1:24" s="1" customFormat="1" ht="26" customHeight="1" x14ac:dyDescent="0.3">
      <c r="A907" s="24" t="s">
        <v>23</v>
      </c>
      <c r="B907" s="24" t="s">
        <v>1022</v>
      </c>
      <c r="C907" s="12" t="s">
        <v>1023</v>
      </c>
      <c r="D907" s="60"/>
      <c r="E907" s="41" t="str">
        <f>HYPERLINK("https://www.google.ru/search?q=1383894-466&amp;newwindow=1&amp;tbm=isch","Еще фото")</f>
        <v>Еще фото</v>
      </c>
      <c r="F907" s="13"/>
      <c r="G907" s="24" t="s">
        <v>1004</v>
      </c>
      <c r="H907" s="24" t="s">
        <v>27</v>
      </c>
      <c r="I907" s="24" t="s">
        <v>1005</v>
      </c>
      <c r="J907" s="14" t="s">
        <v>43</v>
      </c>
      <c r="K907" s="15" t="s">
        <v>59</v>
      </c>
      <c r="L907" s="62"/>
      <c r="M907" s="14"/>
      <c r="N907" s="14" t="s">
        <v>1025</v>
      </c>
      <c r="O907" s="14"/>
      <c r="P907" s="15" t="s">
        <v>1026</v>
      </c>
      <c r="Q907" s="16">
        <v>3099</v>
      </c>
      <c r="R907" s="17">
        <v>43</v>
      </c>
      <c r="S907" s="18">
        <v>2031.3944999999999</v>
      </c>
      <c r="T907" s="19" t="s">
        <v>36</v>
      </c>
      <c r="U907" s="20" t="s">
        <v>37</v>
      </c>
      <c r="V907" s="21" t="s">
        <v>106</v>
      </c>
      <c r="W907" s="22">
        <v>4</v>
      </c>
      <c r="X907" s="23"/>
    </row>
    <row r="908" spans="1:24" s="1" customFormat="1" ht="26" customHeight="1" x14ac:dyDescent="0.3">
      <c r="A908" s="24" t="s">
        <v>23</v>
      </c>
      <c r="B908" s="24" t="s">
        <v>1022</v>
      </c>
      <c r="C908" s="12" t="s">
        <v>1023</v>
      </c>
      <c r="D908" s="60"/>
      <c r="E908" s="41" t="str">
        <f>HYPERLINK("https://www.google.ru/search?q=1383894-466&amp;newwindow=1&amp;tbm=isch","Еще фото")</f>
        <v>Еще фото</v>
      </c>
      <c r="F908" s="13"/>
      <c r="G908" s="24" t="s">
        <v>1004</v>
      </c>
      <c r="H908" s="24" t="s">
        <v>27</v>
      </c>
      <c r="I908" s="24" t="s">
        <v>1005</v>
      </c>
      <c r="J908" s="14" t="s">
        <v>43</v>
      </c>
      <c r="K908" s="15" t="s">
        <v>59</v>
      </c>
      <c r="L908" s="62"/>
      <c r="M908" s="14"/>
      <c r="N908" s="14" t="s">
        <v>1025</v>
      </c>
      <c r="O908" s="14"/>
      <c r="P908" s="15" t="s">
        <v>1026</v>
      </c>
      <c r="Q908" s="16">
        <v>3099</v>
      </c>
      <c r="R908" s="17">
        <v>43</v>
      </c>
      <c r="S908" s="18">
        <v>2031.3944999999999</v>
      </c>
      <c r="T908" s="19" t="s">
        <v>36</v>
      </c>
      <c r="U908" s="20" t="s">
        <v>39</v>
      </c>
      <c r="V908" s="21" t="s">
        <v>85</v>
      </c>
      <c r="W908" s="22">
        <v>23</v>
      </c>
      <c r="X908" s="23"/>
    </row>
    <row r="909" spans="1:24" s="1" customFormat="1" ht="26" customHeight="1" x14ac:dyDescent="0.3">
      <c r="A909" s="24" t="s">
        <v>23</v>
      </c>
      <c r="B909" s="24" t="s">
        <v>1022</v>
      </c>
      <c r="C909" s="12" t="s">
        <v>1023</v>
      </c>
      <c r="D909" s="61"/>
      <c r="E909" s="41" t="str">
        <f>HYPERLINK("https://www.google.ru/search?q=1383894-466&amp;newwindow=1&amp;tbm=isch","Еще фото")</f>
        <v>Еще фото</v>
      </c>
      <c r="F909" s="13"/>
      <c r="G909" s="24" t="s">
        <v>1004</v>
      </c>
      <c r="H909" s="24" t="s">
        <v>27</v>
      </c>
      <c r="I909" s="24" t="s">
        <v>1005</v>
      </c>
      <c r="J909" s="14" t="s">
        <v>43</v>
      </c>
      <c r="K909" s="15" t="s">
        <v>59</v>
      </c>
      <c r="L909" s="58"/>
      <c r="M909" s="14"/>
      <c r="N909" s="14" t="s">
        <v>1025</v>
      </c>
      <c r="O909" s="14"/>
      <c r="P909" s="15" t="s">
        <v>1026</v>
      </c>
      <c r="Q909" s="16">
        <v>3099</v>
      </c>
      <c r="R909" s="17">
        <v>43</v>
      </c>
      <c r="S909" s="18">
        <v>2031.3944999999999</v>
      </c>
      <c r="T909" s="19" t="s">
        <v>36</v>
      </c>
      <c r="U909" s="20" t="s">
        <v>86</v>
      </c>
      <c r="V909" s="21" t="s">
        <v>38</v>
      </c>
      <c r="W909" s="22">
        <v>15</v>
      </c>
      <c r="X909" s="23"/>
    </row>
    <row r="910" spans="1:24" s="1" customFormat="1" ht="52.05" customHeight="1" x14ac:dyDescent="0.3">
      <c r="A910" s="11" t="s">
        <v>23</v>
      </c>
      <c r="B910" s="11" t="s">
        <v>1027</v>
      </c>
      <c r="C910" s="12" t="s">
        <v>1028</v>
      </c>
      <c r="D910" s="55"/>
      <c r="E910" s="41" t="str">
        <f>HYPERLINK("https://www.google.ru/search?q=1325616-001&amp;newwindow=1&amp;tbm=isch","Еще фото")</f>
        <v>Еще фото</v>
      </c>
      <c r="F910" s="13"/>
      <c r="G910" s="11" t="s">
        <v>1029</v>
      </c>
      <c r="H910" s="11" t="s">
        <v>27</v>
      </c>
      <c r="I910" s="14" t="s">
        <v>1005</v>
      </c>
      <c r="J910" s="14" t="s">
        <v>29</v>
      </c>
      <c r="K910" s="15" t="s">
        <v>59</v>
      </c>
      <c r="L910" s="57" t="s">
        <v>1030</v>
      </c>
      <c r="M910" s="14"/>
      <c r="N910" s="14" t="s">
        <v>33</v>
      </c>
      <c r="O910" s="14" t="s">
        <v>306</v>
      </c>
      <c r="P910" s="15" t="s">
        <v>1031</v>
      </c>
      <c r="Q910" s="16">
        <v>2999</v>
      </c>
      <c r="R910" s="17">
        <v>40</v>
      </c>
      <c r="S910" s="18">
        <v>2069.31</v>
      </c>
      <c r="T910" s="19" t="s">
        <v>36</v>
      </c>
      <c r="U910" s="20" t="s">
        <v>63</v>
      </c>
      <c r="V910" s="21" t="s">
        <v>64</v>
      </c>
      <c r="W910" s="22">
        <v>1</v>
      </c>
      <c r="X910" s="23"/>
    </row>
    <row r="911" spans="1:24" s="1" customFormat="1" ht="61.05" customHeight="1" x14ac:dyDescent="0.3">
      <c r="A911" s="24" t="s">
        <v>23</v>
      </c>
      <c r="B911" s="24" t="s">
        <v>1027</v>
      </c>
      <c r="C911" s="12" t="s">
        <v>1028</v>
      </c>
      <c r="D911" s="56"/>
      <c r="E911" s="41" t="str">
        <f>HYPERLINK("https://www.google.ru/search?q=1325616-001&amp;newwindow=1&amp;tbm=isch","Еще фото")</f>
        <v>Еще фото</v>
      </c>
      <c r="F911" s="13"/>
      <c r="G911" s="24" t="s">
        <v>1029</v>
      </c>
      <c r="H911" s="24" t="s">
        <v>27</v>
      </c>
      <c r="I911" s="24" t="s">
        <v>1005</v>
      </c>
      <c r="J911" s="14" t="s">
        <v>29</v>
      </c>
      <c r="K911" s="15" t="s">
        <v>59</v>
      </c>
      <c r="L911" s="58"/>
      <c r="M911" s="14"/>
      <c r="N911" s="14" t="s">
        <v>33</v>
      </c>
      <c r="O911" s="14" t="s">
        <v>306</v>
      </c>
      <c r="P911" s="15" t="s">
        <v>1031</v>
      </c>
      <c r="Q911" s="16">
        <v>2999</v>
      </c>
      <c r="R911" s="17">
        <v>40</v>
      </c>
      <c r="S911" s="18">
        <v>2069.31</v>
      </c>
      <c r="T911" s="19" t="s">
        <v>36</v>
      </c>
      <c r="U911" s="20" t="s">
        <v>88</v>
      </c>
      <c r="V911" s="21" t="s">
        <v>40</v>
      </c>
      <c r="W911" s="22">
        <v>1</v>
      </c>
      <c r="X911" s="23"/>
    </row>
    <row r="912" spans="1:24" s="1" customFormat="1" ht="26" customHeight="1" x14ac:dyDescent="0.3">
      <c r="A912" s="11" t="s">
        <v>23</v>
      </c>
      <c r="B912" s="11" t="s">
        <v>1032</v>
      </c>
      <c r="C912" s="12" t="s">
        <v>1033</v>
      </c>
      <c r="D912" s="59"/>
      <c r="E912" s="41" t="str">
        <f>HYPERLINK("https://www.google.ru/search?q=1383849-001&amp;newwindow=1&amp;tbm=isch","Еще фото")</f>
        <v>Еще фото</v>
      </c>
      <c r="F912" s="28" t="s">
        <v>138</v>
      </c>
      <c r="G912" s="11" t="s">
        <v>1029</v>
      </c>
      <c r="H912" s="11" t="s">
        <v>27</v>
      </c>
      <c r="I912" s="14" t="s">
        <v>1005</v>
      </c>
      <c r="J912" s="14" t="s">
        <v>43</v>
      </c>
      <c r="K912" s="15" t="s">
        <v>30</v>
      </c>
      <c r="L912" s="57"/>
      <c r="M912" s="14"/>
      <c r="N912" s="14" t="s">
        <v>33</v>
      </c>
      <c r="O912" s="14"/>
      <c r="P912" s="15" t="s">
        <v>213</v>
      </c>
      <c r="Q912" s="16">
        <v>2199</v>
      </c>
      <c r="R912" s="17">
        <v>40</v>
      </c>
      <c r="S912" s="18">
        <v>1517.31</v>
      </c>
      <c r="T912" s="19" t="s">
        <v>36</v>
      </c>
      <c r="U912" s="20" t="s">
        <v>37</v>
      </c>
      <c r="V912" s="21" t="s">
        <v>38</v>
      </c>
      <c r="W912" s="22">
        <v>20</v>
      </c>
      <c r="X912" s="23"/>
    </row>
    <row r="913" spans="1:24" s="1" customFormat="1" ht="26" customHeight="1" x14ac:dyDescent="0.3">
      <c r="A913" s="24" t="s">
        <v>23</v>
      </c>
      <c r="B913" s="24" t="s">
        <v>1032</v>
      </c>
      <c r="C913" s="12" t="s">
        <v>1033</v>
      </c>
      <c r="D913" s="60"/>
      <c r="E913" s="41" t="str">
        <f>HYPERLINK("https://www.google.ru/search?q=1383849-001&amp;newwindow=1&amp;tbm=isch","Еще фото")</f>
        <v>Еще фото</v>
      </c>
      <c r="F913" s="28" t="s">
        <v>138</v>
      </c>
      <c r="G913" s="24" t="s">
        <v>1029</v>
      </c>
      <c r="H913" s="24" t="s">
        <v>27</v>
      </c>
      <c r="I913" s="24" t="s">
        <v>1005</v>
      </c>
      <c r="J913" s="14" t="s">
        <v>43</v>
      </c>
      <c r="K913" s="15" t="s">
        <v>30</v>
      </c>
      <c r="L913" s="62"/>
      <c r="M913" s="14"/>
      <c r="N913" s="14" t="s">
        <v>33</v>
      </c>
      <c r="O913" s="14"/>
      <c r="P913" s="15" t="s">
        <v>213</v>
      </c>
      <c r="Q913" s="16">
        <v>2199</v>
      </c>
      <c r="R913" s="17">
        <v>40</v>
      </c>
      <c r="S913" s="18">
        <v>1517.31</v>
      </c>
      <c r="T913" s="19" t="s">
        <v>36</v>
      </c>
      <c r="U913" s="20" t="s">
        <v>39</v>
      </c>
      <c r="V913" s="21" t="s">
        <v>40</v>
      </c>
      <c r="W913" s="22">
        <v>10</v>
      </c>
      <c r="X913" s="23"/>
    </row>
    <row r="914" spans="1:24" s="1" customFormat="1" ht="26" customHeight="1" x14ac:dyDescent="0.3">
      <c r="A914" s="24" t="s">
        <v>23</v>
      </c>
      <c r="B914" s="24" t="s">
        <v>1032</v>
      </c>
      <c r="C914" s="12" t="s">
        <v>1033</v>
      </c>
      <c r="D914" s="60"/>
      <c r="E914" s="41" t="str">
        <f>HYPERLINK("https://www.google.ru/search?q=1383849-001&amp;newwindow=1&amp;tbm=isch","Еще фото")</f>
        <v>Еще фото</v>
      </c>
      <c r="F914" s="28" t="s">
        <v>138</v>
      </c>
      <c r="G914" s="24" t="s">
        <v>1029</v>
      </c>
      <c r="H914" s="24" t="s">
        <v>27</v>
      </c>
      <c r="I914" s="24" t="s">
        <v>1005</v>
      </c>
      <c r="J914" s="14" t="s">
        <v>43</v>
      </c>
      <c r="K914" s="15" t="s">
        <v>30</v>
      </c>
      <c r="L914" s="62"/>
      <c r="M914" s="14"/>
      <c r="N914" s="14" t="s">
        <v>33</v>
      </c>
      <c r="O914" s="14"/>
      <c r="P914" s="15" t="s">
        <v>213</v>
      </c>
      <c r="Q914" s="16">
        <v>2199</v>
      </c>
      <c r="R914" s="17">
        <v>40</v>
      </c>
      <c r="S914" s="18">
        <v>1517.31</v>
      </c>
      <c r="T914" s="19" t="s">
        <v>36</v>
      </c>
      <c r="U914" s="20" t="s">
        <v>86</v>
      </c>
      <c r="V914" s="21" t="s">
        <v>87</v>
      </c>
      <c r="W914" s="22">
        <v>29</v>
      </c>
      <c r="X914" s="23"/>
    </row>
    <row r="915" spans="1:24" s="1" customFormat="1" ht="26" customHeight="1" x14ac:dyDescent="0.3">
      <c r="A915" s="24" t="s">
        <v>23</v>
      </c>
      <c r="B915" s="24" t="s">
        <v>1032</v>
      </c>
      <c r="C915" s="12" t="s">
        <v>1033</v>
      </c>
      <c r="D915" s="61"/>
      <c r="E915" s="41" t="str">
        <f>HYPERLINK("https://www.google.ru/search?q=1383849-001&amp;newwindow=1&amp;tbm=isch","Еще фото")</f>
        <v>Еще фото</v>
      </c>
      <c r="F915" s="28" t="s">
        <v>138</v>
      </c>
      <c r="G915" s="24" t="s">
        <v>1029</v>
      </c>
      <c r="H915" s="24" t="s">
        <v>27</v>
      </c>
      <c r="I915" s="24" t="s">
        <v>1005</v>
      </c>
      <c r="J915" s="14" t="s">
        <v>43</v>
      </c>
      <c r="K915" s="15" t="s">
        <v>30</v>
      </c>
      <c r="L915" s="58"/>
      <c r="M915" s="14"/>
      <c r="N915" s="14" t="s">
        <v>33</v>
      </c>
      <c r="O915" s="14"/>
      <c r="P915" s="15" t="s">
        <v>213</v>
      </c>
      <c r="Q915" s="16">
        <v>2199</v>
      </c>
      <c r="R915" s="17">
        <v>40</v>
      </c>
      <c r="S915" s="18">
        <v>1517.31</v>
      </c>
      <c r="T915" s="19" t="s">
        <v>36</v>
      </c>
      <c r="U915" s="20" t="s">
        <v>88</v>
      </c>
      <c r="V915" s="21" t="s">
        <v>89</v>
      </c>
      <c r="W915" s="22">
        <v>16</v>
      </c>
      <c r="X915" s="23"/>
    </row>
    <row r="916" spans="1:24" s="1" customFormat="1" ht="17" customHeight="1" x14ac:dyDescent="0.3">
      <c r="A916" s="11" t="s">
        <v>23</v>
      </c>
      <c r="B916" s="11" t="s">
        <v>1034</v>
      </c>
      <c r="C916" s="12" t="s">
        <v>1035</v>
      </c>
      <c r="D916" s="59"/>
      <c r="E916" s="41" t="str">
        <f t="shared" ref="E916:E921" si="20">HYPERLINK("https://www.google.ru/search?q=1383878-001&amp;newwindow=1&amp;tbm=isch","Еще фото")</f>
        <v>Еще фото</v>
      </c>
      <c r="F916" s="28" t="s">
        <v>152</v>
      </c>
      <c r="G916" s="11" t="s">
        <v>1004</v>
      </c>
      <c r="H916" s="11" t="s">
        <v>27</v>
      </c>
      <c r="I916" s="14" t="s">
        <v>1005</v>
      </c>
      <c r="J916" s="14" t="s">
        <v>29</v>
      </c>
      <c r="K916" s="15" t="s">
        <v>30</v>
      </c>
      <c r="L916" s="57" t="s">
        <v>1014</v>
      </c>
      <c r="M916" s="14"/>
      <c r="N916" s="14" t="s">
        <v>33</v>
      </c>
      <c r="O916" s="14"/>
      <c r="P916" s="15" t="s">
        <v>213</v>
      </c>
      <c r="Q916" s="16">
        <v>5599</v>
      </c>
      <c r="R916" s="17">
        <v>40</v>
      </c>
      <c r="S916" s="18">
        <v>3863.31</v>
      </c>
      <c r="T916" s="19" t="s">
        <v>36</v>
      </c>
      <c r="U916" s="20" t="s">
        <v>37</v>
      </c>
      <c r="V916" s="21" t="s">
        <v>38</v>
      </c>
      <c r="W916" s="22">
        <v>20</v>
      </c>
      <c r="X916" s="23"/>
    </row>
    <row r="917" spans="1:24" s="1" customFormat="1" ht="17" customHeight="1" x14ac:dyDescent="0.3">
      <c r="A917" s="24" t="s">
        <v>23</v>
      </c>
      <c r="B917" s="24" t="s">
        <v>1034</v>
      </c>
      <c r="C917" s="12" t="s">
        <v>1035</v>
      </c>
      <c r="D917" s="60"/>
      <c r="E917" s="41" t="str">
        <f t="shared" si="20"/>
        <v>Еще фото</v>
      </c>
      <c r="F917" s="28" t="s">
        <v>152</v>
      </c>
      <c r="G917" s="24" t="s">
        <v>1004</v>
      </c>
      <c r="H917" s="24" t="s">
        <v>27</v>
      </c>
      <c r="I917" s="24" t="s">
        <v>1005</v>
      </c>
      <c r="J917" s="14" t="s">
        <v>29</v>
      </c>
      <c r="K917" s="15" t="s">
        <v>30</v>
      </c>
      <c r="L917" s="62"/>
      <c r="M917" s="14"/>
      <c r="N917" s="14" t="s">
        <v>33</v>
      </c>
      <c r="O917" s="14"/>
      <c r="P917" s="15" t="s">
        <v>213</v>
      </c>
      <c r="Q917" s="16">
        <v>5599</v>
      </c>
      <c r="R917" s="17">
        <v>40</v>
      </c>
      <c r="S917" s="18">
        <v>3863.31</v>
      </c>
      <c r="T917" s="19" t="s">
        <v>36</v>
      </c>
      <c r="U917" s="20" t="s">
        <v>39</v>
      </c>
      <c r="V917" s="21" t="s">
        <v>40</v>
      </c>
      <c r="W917" s="22">
        <v>19</v>
      </c>
      <c r="X917" s="23"/>
    </row>
    <row r="918" spans="1:24" s="1" customFormat="1" ht="17" customHeight="1" x14ac:dyDescent="0.3">
      <c r="A918" s="24" t="s">
        <v>23</v>
      </c>
      <c r="B918" s="24" t="s">
        <v>1034</v>
      </c>
      <c r="C918" s="12" t="s">
        <v>1035</v>
      </c>
      <c r="D918" s="60"/>
      <c r="E918" s="41" t="str">
        <f t="shared" si="20"/>
        <v>Еще фото</v>
      </c>
      <c r="F918" s="28" t="s">
        <v>152</v>
      </c>
      <c r="G918" s="24" t="s">
        <v>1004</v>
      </c>
      <c r="H918" s="24" t="s">
        <v>27</v>
      </c>
      <c r="I918" s="24" t="s">
        <v>1005</v>
      </c>
      <c r="J918" s="14" t="s">
        <v>29</v>
      </c>
      <c r="K918" s="15" t="s">
        <v>30</v>
      </c>
      <c r="L918" s="62"/>
      <c r="M918" s="14"/>
      <c r="N918" s="14" t="s">
        <v>33</v>
      </c>
      <c r="O918" s="14"/>
      <c r="P918" s="15" t="s">
        <v>213</v>
      </c>
      <c r="Q918" s="16">
        <v>5599</v>
      </c>
      <c r="R918" s="17">
        <v>40</v>
      </c>
      <c r="S918" s="18">
        <v>3863.31</v>
      </c>
      <c r="T918" s="19" t="s">
        <v>36</v>
      </c>
      <c r="U918" s="20" t="s">
        <v>86</v>
      </c>
      <c r="V918" s="21" t="s">
        <v>87</v>
      </c>
      <c r="W918" s="22">
        <v>26</v>
      </c>
      <c r="X918" s="23"/>
    </row>
    <row r="919" spans="1:24" s="1" customFormat="1" ht="17" customHeight="1" x14ac:dyDescent="0.3">
      <c r="A919" s="24" t="s">
        <v>23</v>
      </c>
      <c r="B919" s="24" t="s">
        <v>1034</v>
      </c>
      <c r="C919" s="12" t="s">
        <v>1035</v>
      </c>
      <c r="D919" s="60"/>
      <c r="E919" s="41" t="str">
        <f t="shared" si="20"/>
        <v>Еще фото</v>
      </c>
      <c r="F919" s="28" t="s">
        <v>152</v>
      </c>
      <c r="G919" s="24" t="s">
        <v>1004</v>
      </c>
      <c r="H919" s="24" t="s">
        <v>27</v>
      </c>
      <c r="I919" s="24" t="s">
        <v>1005</v>
      </c>
      <c r="J919" s="14" t="s">
        <v>29</v>
      </c>
      <c r="K919" s="15" t="s">
        <v>30</v>
      </c>
      <c r="L919" s="62"/>
      <c r="M919" s="14"/>
      <c r="N919" s="14" t="s">
        <v>33</v>
      </c>
      <c r="O919" s="14"/>
      <c r="P919" s="15" t="s">
        <v>213</v>
      </c>
      <c r="Q919" s="16">
        <v>5599</v>
      </c>
      <c r="R919" s="17">
        <v>40</v>
      </c>
      <c r="S919" s="18">
        <v>3863.31</v>
      </c>
      <c r="T919" s="19" t="s">
        <v>36</v>
      </c>
      <c r="U919" s="20" t="s">
        <v>88</v>
      </c>
      <c r="V919" s="21" t="s">
        <v>89</v>
      </c>
      <c r="W919" s="22">
        <v>23</v>
      </c>
      <c r="X919" s="23"/>
    </row>
    <row r="920" spans="1:24" s="1" customFormat="1" ht="17" customHeight="1" x14ac:dyDescent="0.3">
      <c r="A920" s="24" t="s">
        <v>23</v>
      </c>
      <c r="B920" s="24" t="s">
        <v>1034</v>
      </c>
      <c r="C920" s="12" t="s">
        <v>1035</v>
      </c>
      <c r="D920" s="60"/>
      <c r="E920" s="41" t="str">
        <f t="shared" si="20"/>
        <v>Еще фото</v>
      </c>
      <c r="F920" s="28" t="s">
        <v>152</v>
      </c>
      <c r="G920" s="24" t="s">
        <v>1004</v>
      </c>
      <c r="H920" s="24" t="s">
        <v>27</v>
      </c>
      <c r="I920" s="24" t="s">
        <v>1005</v>
      </c>
      <c r="J920" s="14" t="s">
        <v>29</v>
      </c>
      <c r="K920" s="15" t="s">
        <v>30</v>
      </c>
      <c r="L920" s="62"/>
      <c r="M920" s="14"/>
      <c r="N920" s="14" t="s">
        <v>33</v>
      </c>
      <c r="O920" s="14"/>
      <c r="P920" s="15" t="s">
        <v>213</v>
      </c>
      <c r="Q920" s="16">
        <v>5599</v>
      </c>
      <c r="R920" s="17">
        <v>40</v>
      </c>
      <c r="S920" s="18">
        <v>3863.31</v>
      </c>
      <c r="T920" s="19" t="s">
        <v>36</v>
      </c>
      <c r="U920" s="20" t="s">
        <v>90</v>
      </c>
      <c r="V920" s="21" t="s">
        <v>91</v>
      </c>
      <c r="W920" s="22">
        <v>3</v>
      </c>
      <c r="X920" s="23"/>
    </row>
    <row r="921" spans="1:24" s="1" customFormat="1" ht="22.05" customHeight="1" x14ac:dyDescent="0.3">
      <c r="A921" s="24" t="s">
        <v>23</v>
      </c>
      <c r="B921" s="24" t="s">
        <v>1034</v>
      </c>
      <c r="C921" s="12" t="s">
        <v>1035</v>
      </c>
      <c r="D921" s="61"/>
      <c r="E921" s="41" t="str">
        <f t="shared" si="20"/>
        <v>Еще фото</v>
      </c>
      <c r="F921" s="28" t="s">
        <v>152</v>
      </c>
      <c r="G921" s="24" t="s">
        <v>1004</v>
      </c>
      <c r="H921" s="24" t="s">
        <v>27</v>
      </c>
      <c r="I921" s="24" t="s">
        <v>1005</v>
      </c>
      <c r="J921" s="14" t="s">
        <v>29</v>
      </c>
      <c r="K921" s="15" t="s">
        <v>30</v>
      </c>
      <c r="L921" s="58"/>
      <c r="M921" s="14"/>
      <c r="N921" s="14" t="s">
        <v>33</v>
      </c>
      <c r="O921" s="14"/>
      <c r="P921" s="15" t="s">
        <v>213</v>
      </c>
      <c r="Q921" s="16">
        <v>5599</v>
      </c>
      <c r="R921" s="17">
        <v>40</v>
      </c>
      <c r="S921" s="18">
        <v>3863.31</v>
      </c>
      <c r="T921" s="19" t="s">
        <v>36</v>
      </c>
      <c r="U921" s="20" t="s">
        <v>408</v>
      </c>
      <c r="V921" s="21" t="s">
        <v>409</v>
      </c>
      <c r="W921" s="22">
        <v>10</v>
      </c>
      <c r="X921" s="23"/>
    </row>
    <row r="922" spans="1:24" s="1" customFormat="1" ht="21" customHeight="1" x14ac:dyDescent="0.3">
      <c r="A922" s="11" t="s">
        <v>23</v>
      </c>
      <c r="B922" s="11" t="s">
        <v>1016</v>
      </c>
      <c r="C922" s="26" t="s">
        <v>1036</v>
      </c>
      <c r="D922" s="59"/>
      <c r="E922" s="41" t="str">
        <f>HYPERLINK("https://www.google.ru/search?q=1383878-003&amp;newwindow=1&amp;tbm=isch","Еще фото")</f>
        <v>Еще фото</v>
      </c>
      <c r="F922" s="28" t="s">
        <v>138</v>
      </c>
      <c r="G922" s="11" t="s">
        <v>1004</v>
      </c>
      <c r="H922" s="11" t="s">
        <v>27</v>
      </c>
      <c r="I922" s="14" t="s">
        <v>1005</v>
      </c>
      <c r="J922" s="14" t="s">
        <v>29</v>
      </c>
      <c r="K922" s="15" t="s">
        <v>30</v>
      </c>
      <c r="L922" s="57"/>
      <c r="M922" s="14"/>
      <c r="N922" s="14" t="s">
        <v>33</v>
      </c>
      <c r="O922" s="14"/>
      <c r="P922" s="15" t="s">
        <v>213</v>
      </c>
      <c r="Q922" s="16">
        <v>5599</v>
      </c>
      <c r="R922" s="17">
        <v>40</v>
      </c>
      <c r="S922" s="18">
        <v>3863.31</v>
      </c>
      <c r="T922" s="19" t="s">
        <v>36</v>
      </c>
      <c r="U922" s="20" t="s">
        <v>37</v>
      </c>
      <c r="V922" s="21" t="s">
        <v>38</v>
      </c>
      <c r="W922" s="22">
        <v>12</v>
      </c>
      <c r="X922" s="23"/>
    </row>
    <row r="923" spans="1:24" s="1" customFormat="1" ht="21" customHeight="1" x14ac:dyDescent="0.3">
      <c r="A923" s="24" t="s">
        <v>23</v>
      </c>
      <c r="B923" s="24" t="s">
        <v>1016</v>
      </c>
      <c r="C923" s="27" t="s">
        <v>1036</v>
      </c>
      <c r="D923" s="60"/>
      <c r="E923" s="41" t="str">
        <f>HYPERLINK("https://www.google.ru/search?q=1383878-003&amp;newwindow=1&amp;tbm=isch","Еще фото")</f>
        <v>Еще фото</v>
      </c>
      <c r="F923" s="28" t="s">
        <v>138</v>
      </c>
      <c r="G923" s="24" t="s">
        <v>1004</v>
      </c>
      <c r="H923" s="24" t="s">
        <v>27</v>
      </c>
      <c r="I923" s="24" t="s">
        <v>1005</v>
      </c>
      <c r="J923" s="14" t="s">
        <v>29</v>
      </c>
      <c r="K923" s="15" t="s">
        <v>30</v>
      </c>
      <c r="L923" s="62"/>
      <c r="M923" s="14"/>
      <c r="N923" s="14" t="s">
        <v>33</v>
      </c>
      <c r="O923" s="14"/>
      <c r="P923" s="15" t="s">
        <v>213</v>
      </c>
      <c r="Q923" s="16">
        <v>5599</v>
      </c>
      <c r="R923" s="17">
        <v>40</v>
      </c>
      <c r="S923" s="18">
        <v>3863.31</v>
      </c>
      <c r="T923" s="19" t="s">
        <v>36</v>
      </c>
      <c r="U923" s="20" t="s">
        <v>39</v>
      </c>
      <c r="V923" s="21" t="s">
        <v>40</v>
      </c>
      <c r="W923" s="22">
        <v>22</v>
      </c>
      <c r="X923" s="23"/>
    </row>
    <row r="924" spans="1:24" s="1" customFormat="1" ht="21" customHeight="1" x14ac:dyDescent="0.3">
      <c r="A924" s="24" t="s">
        <v>23</v>
      </c>
      <c r="B924" s="24" t="s">
        <v>1016</v>
      </c>
      <c r="C924" s="27" t="s">
        <v>1036</v>
      </c>
      <c r="D924" s="60"/>
      <c r="E924" s="41" t="str">
        <f>HYPERLINK("https://www.google.ru/search?q=1383878-003&amp;newwindow=1&amp;tbm=isch","Еще фото")</f>
        <v>Еще фото</v>
      </c>
      <c r="F924" s="28" t="s">
        <v>138</v>
      </c>
      <c r="G924" s="24" t="s">
        <v>1004</v>
      </c>
      <c r="H924" s="24" t="s">
        <v>27</v>
      </c>
      <c r="I924" s="24" t="s">
        <v>1005</v>
      </c>
      <c r="J924" s="14" t="s">
        <v>29</v>
      </c>
      <c r="K924" s="15" t="s">
        <v>30</v>
      </c>
      <c r="L924" s="62"/>
      <c r="M924" s="14"/>
      <c r="N924" s="14" t="s">
        <v>33</v>
      </c>
      <c r="O924" s="14"/>
      <c r="P924" s="15" t="s">
        <v>213</v>
      </c>
      <c r="Q924" s="16">
        <v>5599</v>
      </c>
      <c r="R924" s="17">
        <v>40</v>
      </c>
      <c r="S924" s="18">
        <v>3863.31</v>
      </c>
      <c r="T924" s="19" t="s">
        <v>36</v>
      </c>
      <c r="U924" s="20" t="s">
        <v>86</v>
      </c>
      <c r="V924" s="21" t="s">
        <v>87</v>
      </c>
      <c r="W924" s="22">
        <v>34</v>
      </c>
      <c r="X924" s="23"/>
    </row>
    <row r="925" spans="1:24" s="1" customFormat="1" ht="21" customHeight="1" x14ac:dyDescent="0.3">
      <c r="A925" s="24" t="s">
        <v>23</v>
      </c>
      <c r="B925" s="24" t="s">
        <v>1016</v>
      </c>
      <c r="C925" s="27" t="s">
        <v>1036</v>
      </c>
      <c r="D925" s="60"/>
      <c r="E925" s="41" t="str">
        <f>HYPERLINK("https://www.google.ru/search?q=1383878-003&amp;newwindow=1&amp;tbm=isch","Еще фото")</f>
        <v>Еще фото</v>
      </c>
      <c r="F925" s="28" t="s">
        <v>138</v>
      </c>
      <c r="G925" s="24" t="s">
        <v>1004</v>
      </c>
      <c r="H925" s="24" t="s">
        <v>27</v>
      </c>
      <c r="I925" s="24" t="s">
        <v>1005</v>
      </c>
      <c r="J925" s="14" t="s">
        <v>29</v>
      </c>
      <c r="K925" s="15" t="s">
        <v>30</v>
      </c>
      <c r="L925" s="62"/>
      <c r="M925" s="14"/>
      <c r="N925" s="14" t="s">
        <v>33</v>
      </c>
      <c r="O925" s="14"/>
      <c r="P925" s="15" t="s">
        <v>213</v>
      </c>
      <c r="Q925" s="16">
        <v>5599</v>
      </c>
      <c r="R925" s="17">
        <v>40</v>
      </c>
      <c r="S925" s="18">
        <v>3863.31</v>
      </c>
      <c r="T925" s="19" t="s">
        <v>36</v>
      </c>
      <c r="U925" s="20" t="s">
        <v>88</v>
      </c>
      <c r="V925" s="21" t="s">
        <v>89</v>
      </c>
      <c r="W925" s="22">
        <v>22</v>
      </c>
      <c r="X925" s="23"/>
    </row>
    <row r="926" spans="1:24" s="1" customFormat="1" ht="32" customHeight="1" x14ac:dyDescent="0.3">
      <c r="A926" s="24" t="s">
        <v>23</v>
      </c>
      <c r="B926" s="24" t="s">
        <v>1016</v>
      </c>
      <c r="C926" s="27" t="s">
        <v>1036</v>
      </c>
      <c r="D926" s="61"/>
      <c r="E926" s="41" t="str">
        <f>HYPERLINK("https://www.google.ru/search?q=1383878-003&amp;newwindow=1&amp;tbm=isch","Еще фото")</f>
        <v>Еще фото</v>
      </c>
      <c r="F926" s="28" t="s">
        <v>138</v>
      </c>
      <c r="G926" s="24" t="s">
        <v>1004</v>
      </c>
      <c r="H926" s="24" t="s">
        <v>27</v>
      </c>
      <c r="I926" s="24" t="s">
        <v>1005</v>
      </c>
      <c r="J926" s="14" t="s">
        <v>29</v>
      </c>
      <c r="K926" s="15" t="s">
        <v>30</v>
      </c>
      <c r="L926" s="58"/>
      <c r="M926" s="14"/>
      <c r="N926" s="14" t="s">
        <v>33</v>
      </c>
      <c r="O926" s="14"/>
      <c r="P926" s="15" t="s">
        <v>213</v>
      </c>
      <c r="Q926" s="16">
        <v>5599</v>
      </c>
      <c r="R926" s="17">
        <v>40</v>
      </c>
      <c r="S926" s="18">
        <v>3863.31</v>
      </c>
      <c r="T926" s="19" t="s">
        <v>36</v>
      </c>
      <c r="U926" s="20" t="s">
        <v>90</v>
      </c>
      <c r="V926" s="21" t="s">
        <v>91</v>
      </c>
      <c r="W926" s="22">
        <v>10</v>
      </c>
      <c r="X926" s="23"/>
    </row>
    <row r="927" spans="1:24" s="1" customFormat="1" ht="21" customHeight="1" x14ac:dyDescent="0.3">
      <c r="A927" s="11" t="s">
        <v>23</v>
      </c>
      <c r="B927" s="11" t="s">
        <v>1034</v>
      </c>
      <c r="C927" s="26" t="s">
        <v>1037</v>
      </c>
      <c r="D927" s="59"/>
      <c r="E927" s="41" t="str">
        <f>HYPERLINK("https://www.google.ru/search?q=1383878-035&amp;newwindow=1&amp;tbm=isch","Еще фото")</f>
        <v>Еще фото</v>
      </c>
      <c r="F927" s="28" t="s">
        <v>152</v>
      </c>
      <c r="G927" s="11" t="s">
        <v>1004</v>
      </c>
      <c r="H927" s="11" t="s">
        <v>27</v>
      </c>
      <c r="I927" s="14" t="s">
        <v>1005</v>
      </c>
      <c r="J927" s="14" t="s">
        <v>29</v>
      </c>
      <c r="K927" s="15" t="s">
        <v>30</v>
      </c>
      <c r="L927" s="57" t="s">
        <v>1014</v>
      </c>
      <c r="M927" s="14"/>
      <c r="N927" s="14" t="s">
        <v>284</v>
      </c>
      <c r="O927" s="14"/>
      <c r="P927" s="15" t="s">
        <v>213</v>
      </c>
      <c r="Q927" s="16">
        <v>5599</v>
      </c>
      <c r="R927" s="17">
        <v>40</v>
      </c>
      <c r="S927" s="18">
        <v>3863.31</v>
      </c>
      <c r="T927" s="19" t="s">
        <v>36</v>
      </c>
      <c r="U927" s="20" t="s">
        <v>37</v>
      </c>
      <c r="V927" s="21" t="s">
        <v>38</v>
      </c>
      <c r="W927" s="22">
        <v>14</v>
      </c>
      <c r="X927" s="23"/>
    </row>
    <row r="928" spans="1:24" s="1" customFormat="1" ht="21" customHeight="1" x14ac:dyDescent="0.3">
      <c r="A928" s="24" t="s">
        <v>23</v>
      </c>
      <c r="B928" s="24" t="s">
        <v>1034</v>
      </c>
      <c r="C928" s="27" t="s">
        <v>1037</v>
      </c>
      <c r="D928" s="60"/>
      <c r="E928" s="41" t="str">
        <f>HYPERLINK("https://www.google.ru/search?q=1383878-035&amp;newwindow=1&amp;tbm=isch","Еще фото")</f>
        <v>Еще фото</v>
      </c>
      <c r="F928" s="28" t="s">
        <v>152</v>
      </c>
      <c r="G928" s="24" t="s">
        <v>1004</v>
      </c>
      <c r="H928" s="24" t="s">
        <v>27</v>
      </c>
      <c r="I928" s="24" t="s">
        <v>1005</v>
      </c>
      <c r="J928" s="14" t="s">
        <v>29</v>
      </c>
      <c r="K928" s="15" t="s">
        <v>30</v>
      </c>
      <c r="L928" s="62"/>
      <c r="M928" s="14"/>
      <c r="N928" s="14" t="s">
        <v>284</v>
      </c>
      <c r="O928" s="14"/>
      <c r="P928" s="15" t="s">
        <v>213</v>
      </c>
      <c r="Q928" s="16">
        <v>5599</v>
      </c>
      <c r="R928" s="17">
        <v>40</v>
      </c>
      <c r="S928" s="18">
        <v>3863.31</v>
      </c>
      <c r="T928" s="19" t="s">
        <v>36</v>
      </c>
      <c r="U928" s="20" t="s">
        <v>39</v>
      </c>
      <c r="V928" s="21" t="s">
        <v>40</v>
      </c>
      <c r="W928" s="22">
        <v>22</v>
      </c>
      <c r="X928" s="23"/>
    </row>
    <row r="929" spans="1:24" s="1" customFormat="1" ht="21" customHeight="1" x14ac:dyDescent="0.3">
      <c r="A929" s="24" t="s">
        <v>23</v>
      </c>
      <c r="B929" s="24" t="s">
        <v>1034</v>
      </c>
      <c r="C929" s="27" t="s">
        <v>1037</v>
      </c>
      <c r="D929" s="60"/>
      <c r="E929" s="41" t="str">
        <f>HYPERLINK("https://www.google.ru/search?q=1383878-035&amp;newwindow=1&amp;tbm=isch","Еще фото")</f>
        <v>Еще фото</v>
      </c>
      <c r="F929" s="28" t="s">
        <v>152</v>
      </c>
      <c r="G929" s="24" t="s">
        <v>1004</v>
      </c>
      <c r="H929" s="24" t="s">
        <v>27</v>
      </c>
      <c r="I929" s="24" t="s">
        <v>1005</v>
      </c>
      <c r="J929" s="14" t="s">
        <v>29</v>
      </c>
      <c r="K929" s="15" t="s">
        <v>30</v>
      </c>
      <c r="L929" s="62"/>
      <c r="M929" s="14"/>
      <c r="N929" s="14" t="s">
        <v>284</v>
      </c>
      <c r="O929" s="14"/>
      <c r="P929" s="15" t="s">
        <v>213</v>
      </c>
      <c r="Q929" s="16">
        <v>5599</v>
      </c>
      <c r="R929" s="17">
        <v>40</v>
      </c>
      <c r="S929" s="18">
        <v>3863.31</v>
      </c>
      <c r="T929" s="19" t="s">
        <v>36</v>
      </c>
      <c r="U929" s="20" t="s">
        <v>86</v>
      </c>
      <c r="V929" s="21" t="s">
        <v>87</v>
      </c>
      <c r="W929" s="22">
        <v>28</v>
      </c>
      <c r="X929" s="23"/>
    </row>
    <row r="930" spans="1:24" s="1" customFormat="1" ht="21" customHeight="1" x14ac:dyDescent="0.3">
      <c r="A930" s="24" t="s">
        <v>23</v>
      </c>
      <c r="B930" s="24" t="s">
        <v>1034</v>
      </c>
      <c r="C930" s="27" t="s">
        <v>1037</v>
      </c>
      <c r="D930" s="60"/>
      <c r="E930" s="41" t="str">
        <f>HYPERLINK("https://www.google.ru/search?q=1383878-035&amp;newwindow=1&amp;tbm=isch","Еще фото")</f>
        <v>Еще фото</v>
      </c>
      <c r="F930" s="28" t="s">
        <v>152</v>
      </c>
      <c r="G930" s="24" t="s">
        <v>1004</v>
      </c>
      <c r="H930" s="24" t="s">
        <v>27</v>
      </c>
      <c r="I930" s="24" t="s">
        <v>1005</v>
      </c>
      <c r="J930" s="14" t="s">
        <v>29</v>
      </c>
      <c r="K930" s="15" t="s">
        <v>30</v>
      </c>
      <c r="L930" s="62"/>
      <c r="M930" s="14"/>
      <c r="N930" s="14" t="s">
        <v>284</v>
      </c>
      <c r="O930" s="14"/>
      <c r="P930" s="15" t="s">
        <v>213</v>
      </c>
      <c r="Q930" s="16">
        <v>5599</v>
      </c>
      <c r="R930" s="17">
        <v>40</v>
      </c>
      <c r="S930" s="18">
        <v>3863.31</v>
      </c>
      <c r="T930" s="19" t="s">
        <v>36</v>
      </c>
      <c r="U930" s="20" t="s">
        <v>88</v>
      </c>
      <c r="V930" s="21" t="s">
        <v>89</v>
      </c>
      <c r="W930" s="22">
        <v>17</v>
      </c>
      <c r="X930" s="23"/>
    </row>
    <row r="931" spans="1:24" s="1" customFormat="1" ht="32" customHeight="1" x14ac:dyDescent="0.3">
      <c r="A931" s="24" t="s">
        <v>23</v>
      </c>
      <c r="B931" s="24" t="s">
        <v>1034</v>
      </c>
      <c r="C931" s="27" t="s">
        <v>1037</v>
      </c>
      <c r="D931" s="61"/>
      <c r="E931" s="41" t="str">
        <f>HYPERLINK("https://www.google.ru/search?q=1383878-035&amp;newwindow=1&amp;tbm=isch","Еще фото")</f>
        <v>Еще фото</v>
      </c>
      <c r="F931" s="28" t="s">
        <v>152</v>
      </c>
      <c r="G931" s="24" t="s">
        <v>1004</v>
      </c>
      <c r="H931" s="24" t="s">
        <v>27</v>
      </c>
      <c r="I931" s="24" t="s">
        <v>1005</v>
      </c>
      <c r="J931" s="14" t="s">
        <v>29</v>
      </c>
      <c r="K931" s="15" t="s">
        <v>30</v>
      </c>
      <c r="L931" s="58"/>
      <c r="M931" s="14"/>
      <c r="N931" s="14" t="s">
        <v>284</v>
      </c>
      <c r="O931" s="14"/>
      <c r="P931" s="15" t="s">
        <v>213</v>
      </c>
      <c r="Q931" s="16">
        <v>5599</v>
      </c>
      <c r="R931" s="17">
        <v>40</v>
      </c>
      <c r="S931" s="18">
        <v>3863.31</v>
      </c>
      <c r="T931" s="19" t="s">
        <v>36</v>
      </c>
      <c r="U931" s="20" t="s">
        <v>90</v>
      </c>
      <c r="V931" s="21" t="s">
        <v>91</v>
      </c>
      <c r="W931" s="22">
        <v>6</v>
      </c>
      <c r="X931" s="23"/>
    </row>
    <row r="932" spans="1:24" s="1" customFormat="1" ht="21" customHeight="1" x14ac:dyDescent="0.3">
      <c r="A932" s="11" t="s">
        <v>23</v>
      </c>
      <c r="B932" s="11" t="s">
        <v>1016</v>
      </c>
      <c r="C932" s="26" t="s">
        <v>1038</v>
      </c>
      <c r="D932" s="59"/>
      <c r="E932" s="41" t="str">
        <f>HYPERLINK("https://www.google.ru/search?q=1383878-044&amp;newwindow=1&amp;tbm=isch","Еще фото")</f>
        <v>Еще фото</v>
      </c>
      <c r="F932" s="28" t="s">
        <v>138</v>
      </c>
      <c r="G932" s="11" t="s">
        <v>1004</v>
      </c>
      <c r="H932" s="11" t="s">
        <v>27</v>
      </c>
      <c r="I932" s="14" t="s">
        <v>1005</v>
      </c>
      <c r="J932" s="14" t="s">
        <v>29</v>
      </c>
      <c r="K932" s="15" t="s">
        <v>30</v>
      </c>
      <c r="L932" s="57"/>
      <c r="M932" s="14"/>
      <c r="N932" s="14" t="s">
        <v>1039</v>
      </c>
      <c r="O932" s="14"/>
      <c r="P932" s="15" t="s">
        <v>213</v>
      </c>
      <c r="Q932" s="16">
        <v>5599</v>
      </c>
      <c r="R932" s="17">
        <v>40</v>
      </c>
      <c r="S932" s="18">
        <v>3863.31</v>
      </c>
      <c r="T932" s="19" t="s">
        <v>36</v>
      </c>
      <c r="U932" s="20" t="s">
        <v>37</v>
      </c>
      <c r="V932" s="21" t="s">
        <v>38</v>
      </c>
      <c r="W932" s="22">
        <v>12</v>
      </c>
      <c r="X932" s="23"/>
    </row>
    <row r="933" spans="1:24" s="1" customFormat="1" ht="21" customHeight="1" x14ac:dyDescent="0.3">
      <c r="A933" s="24" t="s">
        <v>23</v>
      </c>
      <c r="B933" s="24" t="s">
        <v>1016</v>
      </c>
      <c r="C933" s="27" t="s">
        <v>1038</v>
      </c>
      <c r="D933" s="60"/>
      <c r="E933" s="41" t="str">
        <f>HYPERLINK("https://www.google.ru/search?q=1383878-044&amp;newwindow=1&amp;tbm=isch","Еще фото")</f>
        <v>Еще фото</v>
      </c>
      <c r="F933" s="28" t="s">
        <v>138</v>
      </c>
      <c r="G933" s="24" t="s">
        <v>1004</v>
      </c>
      <c r="H933" s="24" t="s">
        <v>27</v>
      </c>
      <c r="I933" s="24" t="s">
        <v>1005</v>
      </c>
      <c r="J933" s="14" t="s">
        <v>29</v>
      </c>
      <c r="K933" s="15" t="s">
        <v>30</v>
      </c>
      <c r="L933" s="62"/>
      <c r="M933" s="14"/>
      <c r="N933" s="14" t="s">
        <v>1039</v>
      </c>
      <c r="O933" s="14"/>
      <c r="P933" s="15" t="s">
        <v>213</v>
      </c>
      <c r="Q933" s="16">
        <v>5599</v>
      </c>
      <c r="R933" s="17">
        <v>40</v>
      </c>
      <c r="S933" s="18">
        <v>3863.31</v>
      </c>
      <c r="T933" s="19" t="s">
        <v>36</v>
      </c>
      <c r="U933" s="20" t="s">
        <v>39</v>
      </c>
      <c r="V933" s="21" t="s">
        <v>40</v>
      </c>
      <c r="W933" s="22">
        <v>24</v>
      </c>
      <c r="X933" s="23"/>
    </row>
    <row r="934" spans="1:24" s="1" customFormat="1" ht="21" customHeight="1" x14ac:dyDescent="0.3">
      <c r="A934" s="24" t="s">
        <v>23</v>
      </c>
      <c r="B934" s="24" t="s">
        <v>1016</v>
      </c>
      <c r="C934" s="27" t="s">
        <v>1038</v>
      </c>
      <c r="D934" s="60"/>
      <c r="E934" s="41" t="str">
        <f>HYPERLINK("https://www.google.ru/search?q=1383878-044&amp;newwindow=1&amp;tbm=isch","Еще фото")</f>
        <v>Еще фото</v>
      </c>
      <c r="F934" s="28" t="s">
        <v>138</v>
      </c>
      <c r="G934" s="24" t="s">
        <v>1004</v>
      </c>
      <c r="H934" s="24" t="s">
        <v>27</v>
      </c>
      <c r="I934" s="24" t="s">
        <v>1005</v>
      </c>
      <c r="J934" s="14" t="s">
        <v>29</v>
      </c>
      <c r="K934" s="15" t="s">
        <v>30</v>
      </c>
      <c r="L934" s="62"/>
      <c r="M934" s="14"/>
      <c r="N934" s="14" t="s">
        <v>1039</v>
      </c>
      <c r="O934" s="14"/>
      <c r="P934" s="15" t="s">
        <v>213</v>
      </c>
      <c r="Q934" s="16">
        <v>5599</v>
      </c>
      <c r="R934" s="17">
        <v>40</v>
      </c>
      <c r="S934" s="18">
        <v>3863.31</v>
      </c>
      <c r="T934" s="19" t="s">
        <v>36</v>
      </c>
      <c r="U934" s="20" t="s">
        <v>86</v>
      </c>
      <c r="V934" s="21" t="s">
        <v>87</v>
      </c>
      <c r="W934" s="22">
        <v>36</v>
      </c>
      <c r="X934" s="23"/>
    </row>
    <row r="935" spans="1:24" s="1" customFormat="1" ht="21" customHeight="1" x14ac:dyDescent="0.3">
      <c r="A935" s="24" t="s">
        <v>23</v>
      </c>
      <c r="B935" s="24" t="s">
        <v>1016</v>
      </c>
      <c r="C935" s="27" t="s">
        <v>1038</v>
      </c>
      <c r="D935" s="60"/>
      <c r="E935" s="41" t="str">
        <f>HYPERLINK("https://www.google.ru/search?q=1383878-044&amp;newwindow=1&amp;tbm=isch","Еще фото")</f>
        <v>Еще фото</v>
      </c>
      <c r="F935" s="28" t="s">
        <v>138</v>
      </c>
      <c r="G935" s="24" t="s">
        <v>1004</v>
      </c>
      <c r="H935" s="24" t="s">
        <v>27</v>
      </c>
      <c r="I935" s="24" t="s">
        <v>1005</v>
      </c>
      <c r="J935" s="14" t="s">
        <v>29</v>
      </c>
      <c r="K935" s="15" t="s">
        <v>30</v>
      </c>
      <c r="L935" s="62"/>
      <c r="M935" s="14"/>
      <c r="N935" s="14" t="s">
        <v>1039</v>
      </c>
      <c r="O935" s="14"/>
      <c r="P935" s="15" t="s">
        <v>213</v>
      </c>
      <c r="Q935" s="16">
        <v>5599</v>
      </c>
      <c r="R935" s="17">
        <v>40</v>
      </c>
      <c r="S935" s="18">
        <v>3863.31</v>
      </c>
      <c r="T935" s="19" t="s">
        <v>36</v>
      </c>
      <c r="U935" s="20" t="s">
        <v>88</v>
      </c>
      <c r="V935" s="21" t="s">
        <v>89</v>
      </c>
      <c r="W935" s="22">
        <v>24</v>
      </c>
      <c r="X935" s="23"/>
    </row>
    <row r="936" spans="1:24" s="1" customFormat="1" ht="32" customHeight="1" x14ac:dyDescent="0.3">
      <c r="A936" s="24" t="s">
        <v>23</v>
      </c>
      <c r="B936" s="24" t="s">
        <v>1016</v>
      </c>
      <c r="C936" s="27" t="s">
        <v>1038</v>
      </c>
      <c r="D936" s="61"/>
      <c r="E936" s="41" t="str">
        <f>HYPERLINK("https://www.google.ru/search?q=1383878-044&amp;newwindow=1&amp;tbm=isch","Еще фото")</f>
        <v>Еще фото</v>
      </c>
      <c r="F936" s="28" t="s">
        <v>138</v>
      </c>
      <c r="G936" s="24" t="s">
        <v>1004</v>
      </c>
      <c r="H936" s="24" t="s">
        <v>27</v>
      </c>
      <c r="I936" s="24" t="s">
        <v>1005</v>
      </c>
      <c r="J936" s="14" t="s">
        <v>29</v>
      </c>
      <c r="K936" s="15" t="s">
        <v>30</v>
      </c>
      <c r="L936" s="58"/>
      <c r="M936" s="14"/>
      <c r="N936" s="14" t="s">
        <v>1039</v>
      </c>
      <c r="O936" s="14"/>
      <c r="P936" s="15" t="s">
        <v>213</v>
      </c>
      <c r="Q936" s="16">
        <v>5599</v>
      </c>
      <c r="R936" s="17">
        <v>40</v>
      </c>
      <c r="S936" s="18">
        <v>3863.31</v>
      </c>
      <c r="T936" s="19" t="s">
        <v>36</v>
      </c>
      <c r="U936" s="20" t="s">
        <v>90</v>
      </c>
      <c r="V936" s="21" t="s">
        <v>91</v>
      </c>
      <c r="W936" s="22">
        <v>12</v>
      </c>
      <c r="X936" s="23"/>
    </row>
    <row r="937" spans="1:24" s="1" customFormat="1" ht="21" customHeight="1" x14ac:dyDescent="0.3">
      <c r="A937" s="11" t="s">
        <v>23</v>
      </c>
      <c r="B937" s="11" t="s">
        <v>1034</v>
      </c>
      <c r="C937" s="26" t="s">
        <v>1040</v>
      </c>
      <c r="D937" s="59"/>
      <c r="E937" s="41" t="str">
        <f>HYPERLINK("https://www.google.ru/search?q=1383878-400&amp;newwindow=1&amp;tbm=isch","Еще фото")</f>
        <v>Еще фото</v>
      </c>
      <c r="F937" s="28" t="s">
        <v>138</v>
      </c>
      <c r="G937" s="11" t="s">
        <v>1004</v>
      </c>
      <c r="H937" s="11" t="s">
        <v>27</v>
      </c>
      <c r="I937" s="14" t="s">
        <v>1005</v>
      </c>
      <c r="J937" s="14" t="s">
        <v>29</v>
      </c>
      <c r="K937" s="15" t="s">
        <v>30</v>
      </c>
      <c r="L937" s="57" t="s">
        <v>1041</v>
      </c>
      <c r="M937" s="14"/>
      <c r="N937" s="14" t="s">
        <v>958</v>
      </c>
      <c r="O937" s="14"/>
      <c r="P937" s="15" t="s">
        <v>213</v>
      </c>
      <c r="Q937" s="16">
        <v>5599</v>
      </c>
      <c r="R937" s="17">
        <v>40</v>
      </c>
      <c r="S937" s="18">
        <v>3863.31</v>
      </c>
      <c r="T937" s="19" t="s">
        <v>36</v>
      </c>
      <c r="U937" s="20" t="s">
        <v>37</v>
      </c>
      <c r="V937" s="21" t="s">
        <v>38</v>
      </c>
      <c r="W937" s="22">
        <v>12</v>
      </c>
      <c r="X937" s="23"/>
    </row>
    <row r="938" spans="1:24" s="1" customFormat="1" ht="21" customHeight="1" x14ac:dyDescent="0.3">
      <c r="A938" s="24" t="s">
        <v>23</v>
      </c>
      <c r="B938" s="24" t="s">
        <v>1034</v>
      </c>
      <c r="C938" s="27" t="s">
        <v>1040</v>
      </c>
      <c r="D938" s="60"/>
      <c r="E938" s="41" t="str">
        <f>HYPERLINK("https://www.google.ru/search?q=1383878-400&amp;newwindow=1&amp;tbm=isch","Еще фото")</f>
        <v>Еще фото</v>
      </c>
      <c r="F938" s="28" t="s">
        <v>138</v>
      </c>
      <c r="G938" s="24" t="s">
        <v>1004</v>
      </c>
      <c r="H938" s="24" t="s">
        <v>27</v>
      </c>
      <c r="I938" s="24" t="s">
        <v>1005</v>
      </c>
      <c r="J938" s="14" t="s">
        <v>29</v>
      </c>
      <c r="K938" s="15" t="s">
        <v>30</v>
      </c>
      <c r="L938" s="62"/>
      <c r="M938" s="14"/>
      <c r="N938" s="14" t="s">
        <v>958</v>
      </c>
      <c r="O938" s="14"/>
      <c r="P938" s="15" t="s">
        <v>213</v>
      </c>
      <c r="Q938" s="16">
        <v>5599</v>
      </c>
      <c r="R938" s="17">
        <v>40</v>
      </c>
      <c r="S938" s="18">
        <v>3863.31</v>
      </c>
      <c r="T938" s="19" t="s">
        <v>36</v>
      </c>
      <c r="U938" s="20" t="s">
        <v>39</v>
      </c>
      <c r="V938" s="21" t="s">
        <v>40</v>
      </c>
      <c r="W938" s="22">
        <v>24</v>
      </c>
      <c r="X938" s="23"/>
    </row>
    <row r="939" spans="1:24" s="1" customFormat="1" ht="21" customHeight="1" x14ac:dyDescent="0.3">
      <c r="A939" s="24" t="s">
        <v>23</v>
      </c>
      <c r="B939" s="24" t="s">
        <v>1034</v>
      </c>
      <c r="C939" s="27" t="s">
        <v>1040</v>
      </c>
      <c r="D939" s="60"/>
      <c r="E939" s="41" t="str">
        <f>HYPERLINK("https://www.google.ru/search?q=1383878-400&amp;newwindow=1&amp;tbm=isch","Еще фото")</f>
        <v>Еще фото</v>
      </c>
      <c r="F939" s="28" t="s">
        <v>138</v>
      </c>
      <c r="G939" s="24" t="s">
        <v>1004</v>
      </c>
      <c r="H939" s="24" t="s">
        <v>27</v>
      </c>
      <c r="I939" s="24" t="s">
        <v>1005</v>
      </c>
      <c r="J939" s="14" t="s">
        <v>29</v>
      </c>
      <c r="K939" s="15" t="s">
        <v>30</v>
      </c>
      <c r="L939" s="62"/>
      <c r="M939" s="14"/>
      <c r="N939" s="14" t="s">
        <v>958</v>
      </c>
      <c r="O939" s="14"/>
      <c r="P939" s="15" t="s">
        <v>213</v>
      </c>
      <c r="Q939" s="16">
        <v>5599</v>
      </c>
      <c r="R939" s="17">
        <v>40</v>
      </c>
      <c r="S939" s="18">
        <v>3863.31</v>
      </c>
      <c r="T939" s="19" t="s">
        <v>36</v>
      </c>
      <c r="U939" s="20" t="s">
        <v>86</v>
      </c>
      <c r="V939" s="21" t="s">
        <v>87</v>
      </c>
      <c r="W939" s="22">
        <v>34</v>
      </c>
      <c r="X939" s="23"/>
    </row>
    <row r="940" spans="1:24" s="1" customFormat="1" ht="21" customHeight="1" x14ac:dyDescent="0.3">
      <c r="A940" s="24" t="s">
        <v>23</v>
      </c>
      <c r="B940" s="24" t="s">
        <v>1034</v>
      </c>
      <c r="C940" s="27" t="s">
        <v>1040</v>
      </c>
      <c r="D940" s="60"/>
      <c r="E940" s="41" t="str">
        <f>HYPERLINK("https://www.google.ru/search?q=1383878-400&amp;newwindow=1&amp;tbm=isch","Еще фото")</f>
        <v>Еще фото</v>
      </c>
      <c r="F940" s="28" t="s">
        <v>138</v>
      </c>
      <c r="G940" s="24" t="s">
        <v>1004</v>
      </c>
      <c r="H940" s="24" t="s">
        <v>27</v>
      </c>
      <c r="I940" s="24" t="s">
        <v>1005</v>
      </c>
      <c r="J940" s="14" t="s">
        <v>29</v>
      </c>
      <c r="K940" s="15" t="s">
        <v>30</v>
      </c>
      <c r="L940" s="62"/>
      <c r="M940" s="14"/>
      <c r="N940" s="14" t="s">
        <v>958</v>
      </c>
      <c r="O940" s="14"/>
      <c r="P940" s="15" t="s">
        <v>213</v>
      </c>
      <c r="Q940" s="16">
        <v>5599</v>
      </c>
      <c r="R940" s="17">
        <v>40</v>
      </c>
      <c r="S940" s="18">
        <v>3863.31</v>
      </c>
      <c r="T940" s="19" t="s">
        <v>36</v>
      </c>
      <c r="U940" s="20" t="s">
        <v>88</v>
      </c>
      <c r="V940" s="21" t="s">
        <v>89</v>
      </c>
      <c r="W940" s="22">
        <v>22</v>
      </c>
      <c r="X940" s="23"/>
    </row>
    <row r="941" spans="1:24" s="1" customFormat="1" ht="32" customHeight="1" x14ac:dyDescent="0.3">
      <c r="A941" s="24" t="s">
        <v>23</v>
      </c>
      <c r="B941" s="24" t="s">
        <v>1034</v>
      </c>
      <c r="C941" s="27" t="s">
        <v>1040</v>
      </c>
      <c r="D941" s="61"/>
      <c r="E941" s="41" t="str">
        <f>HYPERLINK("https://www.google.ru/search?q=1383878-400&amp;newwindow=1&amp;tbm=isch","Еще фото")</f>
        <v>Еще фото</v>
      </c>
      <c r="F941" s="28" t="s">
        <v>138</v>
      </c>
      <c r="G941" s="24" t="s">
        <v>1004</v>
      </c>
      <c r="H941" s="24" t="s">
        <v>27</v>
      </c>
      <c r="I941" s="24" t="s">
        <v>1005</v>
      </c>
      <c r="J941" s="14" t="s">
        <v>29</v>
      </c>
      <c r="K941" s="15" t="s">
        <v>30</v>
      </c>
      <c r="L941" s="58"/>
      <c r="M941" s="14"/>
      <c r="N941" s="14" t="s">
        <v>958</v>
      </c>
      <c r="O941" s="14"/>
      <c r="P941" s="15" t="s">
        <v>213</v>
      </c>
      <c r="Q941" s="16">
        <v>5599</v>
      </c>
      <c r="R941" s="17">
        <v>40</v>
      </c>
      <c r="S941" s="18">
        <v>3863.31</v>
      </c>
      <c r="T941" s="19" t="s">
        <v>36</v>
      </c>
      <c r="U941" s="20" t="s">
        <v>90</v>
      </c>
      <c r="V941" s="21" t="s">
        <v>91</v>
      </c>
      <c r="W941" s="22">
        <v>12</v>
      </c>
      <c r="X941" s="23"/>
    </row>
    <row r="942" spans="1:24" s="1" customFormat="1" ht="17" customHeight="1" x14ac:dyDescent="0.3">
      <c r="A942" s="11" t="s">
        <v>23</v>
      </c>
      <c r="B942" s="11" t="s">
        <v>1042</v>
      </c>
      <c r="C942" s="12" t="s">
        <v>1043</v>
      </c>
      <c r="D942" s="59"/>
      <c r="E942" s="41" t="str">
        <f t="shared" ref="E942:E947" si="21">HYPERLINK("https://www.google.ru/search?q=1383879-001&amp;newwindow=1&amp;tbm=isch","Еще фото")</f>
        <v>Еще фото</v>
      </c>
      <c r="F942" s="28" t="s">
        <v>138</v>
      </c>
      <c r="G942" s="11" t="s">
        <v>1004</v>
      </c>
      <c r="H942" s="11" t="s">
        <v>27</v>
      </c>
      <c r="I942" s="14" t="s">
        <v>1005</v>
      </c>
      <c r="J942" s="14" t="s">
        <v>29</v>
      </c>
      <c r="K942" s="15" t="s">
        <v>30</v>
      </c>
      <c r="L942" s="57" t="s">
        <v>1044</v>
      </c>
      <c r="M942" s="14"/>
      <c r="N942" s="14" t="s">
        <v>98</v>
      </c>
      <c r="O942" s="14"/>
      <c r="P942" s="15" t="s">
        <v>213</v>
      </c>
      <c r="Q942" s="16">
        <v>5999</v>
      </c>
      <c r="R942" s="17">
        <v>40</v>
      </c>
      <c r="S942" s="18">
        <v>4139.3099999999995</v>
      </c>
      <c r="T942" s="19" t="s">
        <v>36</v>
      </c>
      <c r="U942" s="20" t="s">
        <v>37</v>
      </c>
      <c r="V942" s="21" t="s">
        <v>38</v>
      </c>
      <c r="W942" s="22">
        <v>12</v>
      </c>
      <c r="X942" s="23"/>
    </row>
    <row r="943" spans="1:24" s="1" customFormat="1" ht="17" customHeight="1" x14ac:dyDescent="0.3">
      <c r="A943" s="24" t="s">
        <v>23</v>
      </c>
      <c r="B943" s="24" t="s">
        <v>1042</v>
      </c>
      <c r="C943" s="12" t="s">
        <v>1043</v>
      </c>
      <c r="D943" s="60"/>
      <c r="E943" s="41" t="str">
        <f t="shared" si="21"/>
        <v>Еще фото</v>
      </c>
      <c r="F943" s="28" t="s">
        <v>138</v>
      </c>
      <c r="G943" s="24" t="s">
        <v>1004</v>
      </c>
      <c r="H943" s="24" t="s">
        <v>27</v>
      </c>
      <c r="I943" s="24" t="s">
        <v>1005</v>
      </c>
      <c r="J943" s="14" t="s">
        <v>29</v>
      </c>
      <c r="K943" s="15" t="s">
        <v>30</v>
      </c>
      <c r="L943" s="62"/>
      <c r="M943" s="14"/>
      <c r="N943" s="14" t="s">
        <v>98</v>
      </c>
      <c r="O943" s="14"/>
      <c r="P943" s="15" t="s">
        <v>213</v>
      </c>
      <c r="Q943" s="16">
        <v>5999</v>
      </c>
      <c r="R943" s="17">
        <v>40</v>
      </c>
      <c r="S943" s="18">
        <v>4139.3099999999995</v>
      </c>
      <c r="T943" s="19" t="s">
        <v>36</v>
      </c>
      <c r="U943" s="20" t="s">
        <v>39</v>
      </c>
      <c r="V943" s="21" t="s">
        <v>40</v>
      </c>
      <c r="W943" s="22">
        <v>22</v>
      </c>
      <c r="X943" s="23"/>
    </row>
    <row r="944" spans="1:24" s="1" customFormat="1" ht="17" customHeight="1" x14ac:dyDescent="0.3">
      <c r="A944" s="24" t="s">
        <v>23</v>
      </c>
      <c r="B944" s="24" t="s">
        <v>1042</v>
      </c>
      <c r="C944" s="12" t="s">
        <v>1043</v>
      </c>
      <c r="D944" s="60"/>
      <c r="E944" s="41" t="str">
        <f t="shared" si="21"/>
        <v>Еще фото</v>
      </c>
      <c r="F944" s="28" t="s">
        <v>138</v>
      </c>
      <c r="G944" s="24" t="s">
        <v>1004</v>
      </c>
      <c r="H944" s="24" t="s">
        <v>27</v>
      </c>
      <c r="I944" s="24" t="s">
        <v>1005</v>
      </c>
      <c r="J944" s="14" t="s">
        <v>29</v>
      </c>
      <c r="K944" s="15" t="s">
        <v>30</v>
      </c>
      <c r="L944" s="62"/>
      <c r="M944" s="14"/>
      <c r="N944" s="14" t="s">
        <v>98</v>
      </c>
      <c r="O944" s="14"/>
      <c r="P944" s="15" t="s">
        <v>213</v>
      </c>
      <c r="Q944" s="16">
        <v>5999</v>
      </c>
      <c r="R944" s="17">
        <v>40</v>
      </c>
      <c r="S944" s="18">
        <v>4139.3099999999995</v>
      </c>
      <c r="T944" s="19" t="s">
        <v>36</v>
      </c>
      <c r="U944" s="20" t="s">
        <v>86</v>
      </c>
      <c r="V944" s="21" t="s">
        <v>87</v>
      </c>
      <c r="W944" s="22">
        <v>26</v>
      </c>
      <c r="X944" s="23"/>
    </row>
    <row r="945" spans="1:24" s="1" customFormat="1" ht="17" customHeight="1" x14ac:dyDescent="0.3">
      <c r="A945" s="24" t="s">
        <v>23</v>
      </c>
      <c r="B945" s="24" t="s">
        <v>1042</v>
      </c>
      <c r="C945" s="12" t="s">
        <v>1043</v>
      </c>
      <c r="D945" s="60"/>
      <c r="E945" s="41" t="str">
        <f t="shared" si="21"/>
        <v>Еще фото</v>
      </c>
      <c r="F945" s="28" t="s">
        <v>138</v>
      </c>
      <c r="G945" s="24" t="s">
        <v>1004</v>
      </c>
      <c r="H945" s="24" t="s">
        <v>27</v>
      </c>
      <c r="I945" s="24" t="s">
        <v>1005</v>
      </c>
      <c r="J945" s="14" t="s">
        <v>29</v>
      </c>
      <c r="K945" s="15" t="s">
        <v>30</v>
      </c>
      <c r="L945" s="62"/>
      <c r="M945" s="14"/>
      <c r="N945" s="14" t="s">
        <v>98</v>
      </c>
      <c r="O945" s="14"/>
      <c r="P945" s="15" t="s">
        <v>213</v>
      </c>
      <c r="Q945" s="16">
        <v>5999</v>
      </c>
      <c r="R945" s="17">
        <v>40</v>
      </c>
      <c r="S945" s="18">
        <v>4139.3099999999995</v>
      </c>
      <c r="T945" s="19" t="s">
        <v>36</v>
      </c>
      <c r="U945" s="20" t="s">
        <v>88</v>
      </c>
      <c r="V945" s="21" t="s">
        <v>89</v>
      </c>
      <c r="W945" s="22">
        <v>18</v>
      </c>
      <c r="X945" s="23"/>
    </row>
    <row r="946" spans="1:24" s="1" customFormat="1" ht="17" customHeight="1" x14ac:dyDescent="0.3">
      <c r="A946" s="24" t="s">
        <v>23</v>
      </c>
      <c r="B946" s="24" t="s">
        <v>1042</v>
      </c>
      <c r="C946" s="12" t="s">
        <v>1043</v>
      </c>
      <c r="D946" s="60"/>
      <c r="E946" s="41" t="str">
        <f t="shared" si="21"/>
        <v>Еще фото</v>
      </c>
      <c r="F946" s="28" t="s">
        <v>138</v>
      </c>
      <c r="G946" s="24" t="s">
        <v>1004</v>
      </c>
      <c r="H946" s="24" t="s">
        <v>27</v>
      </c>
      <c r="I946" s="24" t="s">
        <v>1005</v>
      </c>
      <c r="J946" s="14" t="s">
        <v>29</v>
      </c>
      <c r="K946" s="15" t="s">
        <v>30</v>
      </c>
      <c r="L946" s="62"/>
      <c r="M946" s="14"/>
      <c r="N946" s="14" t="s">
        <v>98</v>
      </c>
      <c r="O946" s="14"/>
      <c r="P946" s="15" t="s">
        <v>213</v>
      </c>
      <c r="Q946" s="16">
        <v>5999</v>
      </c>
      <c r="R946" s="17">
        <v>40</v>
      </c>
      <c r="S946" s="18">
        <v>4139.3099999999995</v>
      </c>
      <c r="T946" s="19" t="s">
        <v>36</v>
      </c>
      <c r="U946" s="20" t="s">
        <v>90</v>
      </c>
      <c r="V946" s="21" t="s">
        <v>91</v>
      </c>
      <c r="W946" s="22">
        <v>9</v>
      </c>
      <c r="X946" s="23"/>
    </row>
    <row r="947" spans="1:24" s="1" customFormat="1" ht="22.05" customHeight="1" x14ac:dyDescent="0.3">
      <c r="A947" s="24" t="s">
        <v>23</v>
      </c>
      <c r="B947" s="24" t="s">
        <v>1042</v>
      </c>
      <c r="C947" s="12" t="s">
        <v>1043</v>
      </c>
      <c r="D947" s="61"/>
      <c r="E947" s="41" t="str">
        <f t="shared" si="21"/>
        <v>Еще фото</v>
      </c>
      <c r="F947" s="28" t="s">
        <v>138</v>
      </c>
      <c r="G947" s="24" t="s">
        <v>1004</v>
      </c>
      <c r="H947" s="24" t="s">
        <v>27</v>
      </c>
      <c r="I947" s="24" t="s">
        <v>1005</v>
      </c>
      <c r="J947" s="14" t="s">
        <v>29</v>
      </c>
      <c r="K947" s="15" t="s">
        <v>30</v>
      </c>
      <c r="L947" s="58"/>
      <c r="M947" s="14"/>
      <c r="N947" s="14" t="s">
        <v>98</v>
      </c>
      <c r="O947" s="14"/>
      <c r="P947" s="15" t="s">
        <v>213</v>
      </c>
      <c r="Q947" s="16">
        <v>5999</v>
      </c>
      <c r="R947" s="17">
        <v>40</v>
      </c>
      <c r="S947" s="18">
        <v>4139.3099999999995</v>
      </c>
      <c r="T947" s="19" t="s">
        <v>36</v>
      </c>
      <c r="U947" s="20" t="s">
        <v>408</v>
      </c>
      <c r="V947" s="21" t="s">
        <v>409</v>
      </c>
      <c r="W947" s="22">
        <v>12</v>
      </c>
      <c r="X947" s="23"/>
    </row>
    <row r="948" spans="1:24" s="1" customFormat="1" ht="52.05" customHeight="1" x14ac:dyDescent="0.3">
      <c r="A948" s="11" t="s">
        <v>23</v>
      </c>
      <c r="B948" s="11" t="s">
        <v>1045</v>
      </c>
      <c r="C948" s="12" t="s">
        <v>1046</v>
      </c>
      <c r="D948" s="55"/>
      <c r="E948" s="41" t="str">
        <f>HYPERLINK("https://www.google.ru/search?q=1383879-392&amp;newwindow=1&amp;tbm=isch","Еще фото")</f>
        <v>Еще фото</v>
      </c>
      <c r="F948" s="13"/>
      <c r="G948" s="11" t="s">
        <v>1004</v>
      </c>
      <c r="H948" s="11" t="s">
        <v>27</v>
      </c>
      <c r="I948" s="14" t="s">
        <v>1005</v>
      </c>
      <c r="J948" s="14" t="s">
        <v>29</v>
      </c>
      <c r="K948" s="15" t="s">
        <v>30</v>
      </c>
      <c r="L948" s="57" t="s">
        <v>1044</v>
      </c>
      <c r="M948" s="14"/>
      <c r="N948" s="14" t="s">
        <v>127</v>
      </c>
      <c r="O948" s="14"/>
      <c r="P948" s="15" t="s">
        <v>213</v>
      </c>
      <c r="Q948" s="16">
        <v>5999</v>
      </c>
      <c r="R948" s="17">
        <v>40</v>
      </c>
      <c r="S948" s="18">
        <v>4139.3099999999995</v>
      </c>
      <c r="T948" s="19" t="s">
        <v>36</v>
      </c>
      <c r="U948" s="20" t="s">
        <v>37</v>
      </c>
      <c r="V948" s="21" t="s">
        <v>38</v>
      </c>
      <c r="W948" s="22">
        <v>11</v>
      </c>
      <c r="X948" s="23"/>
    </row>
    <row r="949" spans="1:24" s="1" customFormat="1" ht="61.05" customHeight="1" x14ac:dyDescent="0.3">
      <c r="A949" s="24" t="s">
        <v>23</v>
      </c>
      <c r="B949" s="24" t="s">
        <v>1045</v>
      </c>
      <c r="C949" s="12" t="s">
        <v>1046</v>
      </c>
      <c r="D949" s="56"/>
      <c r="E949" s="41" t="str">
        <f>HYPERLINK("https://www.google.ru/search?q=1383879-392&amp;newwindow=1&amp;tbm=isch","Еще фото")</f>
        <v>Еще фото</v>
      </c>
      <c r="F949" s="13"/>
      <c r="G949" s="24" t="s">
        <v>1004</v>
      </c>
      <c r="H949" s="24" t="s">
        <v>27</v>
      </c>
      <c r="I949" s="24" t="s">
        <v>1005</v>
      </c>
      <c r="J949" s="14" t="s">
        <v>29</v>
      </c>
      <c r="K949" s="15" t="s">
        <v>30</v>
      </c>
      <c r="L949" s="58"/>
      <c r="M949" s="14"/>
      <c r="N949" s="14" t="s">
        <v>127</v>
      </c>
      <c r="O949" s="14"/>
      <c r="P949" s="15" t="s">
        <v>213</v>
      </c>
      <c r="Q949" s="16">
        <v>5999</v>
      </c>
      <c r="R949" s="17">
        <v>40</v>
      </c>
      <c r="S949" s="18">
        <v>4139.3099999999995</v>
      </c>
      <c r="T949" s="19" t="s">
        <v>36</v>
      </c>
      <c r="U949" s="20" t="s">
        <v>39</v>
      </c>
      <c r="V949" s="21" t="s">
        <v>40</v>
      </c>
      <c r="W949" s="22">
        <v>10</v>
      </c>
      <c r="X949" s="23"/>
    </row>
    <row r="950" spans="1:24" s="1" customFormat="1" ht="26" customHeight="1" x14ac:dyDescent="0.3">
      <c r="A950" s="11" t="s">
        <v>23</v>
      </c>
      <c r="B950" s="11" t="s">
        <v>1047</v>
      </c>
      <c r="C950" s="12" t="s">
        <v>1048</v>
      </c>
      <c r="D950" s="59"/>
      <c r="E950" s="41" t="str">
        <f>HYPERLINK("https://www.google.ru/search?q=1383879-498&amp;newwindow=1&amp;tbm=isch","Еще фото")</f>
        <v>Еще фото</v>
      </c>
      <c r="F950" s="13"/>
      <c r="G950" s="11" t="s">
        <v>1004</v>
      </c>
      <c r="H950" s="11" t="s">
        <v>27</v>
      </c>
      <c r="I950" s="14" t="s">
        <v>1005</v>
      </c>
      <c r="J950" s="14" t="s">
        <v>29</v>
      </c>
      <c r="K950" s="15" t="s">
        <v>30</v>
      </c>
      <c r="L950" s="57" t="s">
        <v>1044</v>
      </c>
      <c r="M950" s="14"/>
      <c r="N950" s="14" t="s">
        <v>1049</v>
      </c>
      <c r="O950" s="14"/>
      <c r="P950" s="15" t="s">
        <v>213</v>
      </c>
      <c r="Q950" s="16">
        <v>5999</v>
      </c>
      <c r="R950" s="17">
        <v>40</v>
      </c>
      <c r="S950" s="18">
        <v>4139.3099999999995</v>
      </c>
      <c r="T950" s="19" t="s">
        <v>36</v>
      </c>
      <c r="U950" s="20" t="s">
        <v>37</v>
      </c>
      <c r="V950" s="21" t="s">
        <v>38</v>
      </c>
      <c r="W950" s="22">
        <v>11</v>
      </c>
      <c r="X950" s="23"/>
    </row>
    <row r="951" spans="1:24" s="1" customFormat="1" ht="26" customHeight="1" x14ac:dyDescent="0.3">
      <c r="A951" s="24" t="s">
        <v>23</v>
      </c>
      <c r="B951" s="24" t="s">
        <v>1047</v>
      </c>
      <c r="C951" s="12" t="s">
        <v>1048</v>
      </c>
      <c r="D951" s="60"/>
      <c r="E951" s="41" t="str">
        <f>HYPERLINK("https://www.google.ru/search?q=1383879-498&amp;newwindow=1&amp;tbm=isch","Еще фото")</f>
        <v>Еще фото</v>
      </c>
      <c r="F951" s="13"/>
      <c r="G951" s="24" t="s">
        <v>1004</v>
      </c>
      <c r="H951" s="24" t="s">
        <v>27</v>
      </c>
      <c r="I951" s="24" t="s">
        <v>1005</v>
      </c>
      <c r="J951" s="14" t="s">
        <v>29</v>
      </c>
      <c r="K951" s="15" t="s">
        <v>30</v>
      </c>
      <c r="L951" s="62"/>
      <c r="M951" s="14"/>
      <c r="N951" s="14" t="s">
        <v>1049</v>
      </c>
      <c r="O951" s="14"/>
      <c r="P951" s="15" t="s">
        <v>213</v>
      </c>
      <c r="Q951" s="16">
        <v>5999</v>
      </c>
      <c r="R951" s="17">
        <v>40</v>
      </c>
      <c r="S951" s="18">
        <v>4139.3099999999995</v>
      </c>
      <c r="T951" s="19" t="s">
        <v>36</v>
      </c>
      <c r="U951" s="20" t="s">
        <v>39</v>
      </c>
      <c r="V951" s="21" t="s">
        <v>40</v>
      </c>
      <c r="W951" s="22">
        <v>5</v>
      </c>
      <c r="X951" s="23"/>
    </row>
    <row r="952" spans="1:24" s="1" customFormat="1" ht="26" customHeight="1" x14ac:dyDescent="0.3">
      <c r="A952" s="24" t="s">
        <v>23</v>
      </c>
      <c r="B952" s="24" t="s">
        <v>1047</v>
      </c>
      <c r="C952" s="12" t="s">
        <v>1048</v>
      </c>
      <c r="D952" s="60"/>
      <c r="E952" s="41" t="str">
        <f>HYPERLINK("https://www.google.ru/search?q=1383879-498&amp;newwindow=1&amp;tbm=isch","Еще фото")</f>
        <v>Еще фото</v>
      </c>
      <c r="F952" s="13"/>
      <c r="G952" s="24" t="s">
        <v>1004</v>
      </c>
      <c r="H952" s="24" t="s">
        <v>27</v>
      </c>
      <c r="I952" s="24" t="s">
        <v>1005</v>
      </c>
      <c r="J952" s="14" t="s">
        <v>29</v>
      </c>
      <c r="K952" s="15" t="s">
        <v>30</v>
      </c>
      <c r="L952" s="62"/>
      <c r="M952" s="14"/>
      <c r="N952" s="14" t="s">
        <v>1049</v>
      </c>
      <c r="O952" s="14"/>
      <c r="P952" s="15" t="s">
        <v>213</v>
      </c>
      <c r="Q952" s="16">
        <v>5999</v>
      </c>
      <c r="R952" s="17">
        <v>40</v>
      </c>
      <c r="S952" s="18">
        <v>4139.3099999999995</v>
      </c>
      <c r="T952" s="19" t="s">
        <v>36</v>
      </c>
      <c r="U952" s="20" t="s">
        <v>86</v>
      </c>
      <c r="V952" s="21" t="s">
        <v>87</v>
      </c>
      <c r="W952" s="22">
        <v>2</v>
      </c>
      <c r="X952" s="23"/>
    </row>
    <row r="953" spans="1:24" s="1" customFormat="1" ht="26" customHeight="1" x14ac:dyDescent="0.3">
      <c r="A953" s="24" t="s">
        <v>23</v>
      </c>
      <c r="B953" s="24" t="s">
        <v>1047</v>
      </c>
      <c r="C953" s="12" t="s">
        <v>1048</v>
      </c>
      <c r="D953" s="61"/>
      <c r="E953" s="41" t="str">
        <f>HYPERLINK("https://www.google.ru/search?q=1383879-498&amp;newwindow=1&amp;tbm=isch","Еще фото")</f>
        <v>Еще фото</v>
      </c>
      <c r="F953" s="13"/>
      <c r="G953" s="24" t="s">
        <v>1004</v>
      </c>
      <c r="H953" s="24" t="s">
        <v>27</v>
      </c>
      <c r="I953" s="24" t="s">
        <v>1005</v>
      </c>
      <c r="J953" s="14" t="s">
        <v>29</v>
      </c>
      <c r="K953" s="15" t="s">
        <v>30</v>
      </c>
      <c r="L953" s="58"/>
      <c r="M953" s="14"/>
      <c r="N953" s="14" t="s">
        <v>1049</v>
      </c>
      <c r="O953" s="14"/>
      <c r="P953" s="15" t="s">
        <v>213</v>
      </c>
      <c r="Q953" s="16">
        <v>5999</v>
      </c>
      <c r="R953" s="17">
        <v>40</v>
      </c>
      <c r="S953" s="18">
        <v>4139.3099999999995</v>
      </c>
      <c r="T953" s="19" t="s">
        <v>36</v>
      </c>
      <c r="U953" s="20" t="s">
        <v>88</v>
      </c>
      <c r="V953" s="21" t="s">
        <v>89</v>
      </c>
      <c r="W953" s="22">
        <v>4</v>
      </c>
      <c r="X953" s="23"/>
    </row>
    <row r="954" spans="1:24" s="1" customFormat="1" ht="21" customHeight="1" x14ac:dyDescent="0.3">
      <c r="A954" s="11" t="s">
        <v>23</v>
      </c>
      <c r="B954" s="11" t="s">
        <v>1050</v>
      </c>
      <c r="C954" s="26" t="s">
        <v>1051</v>
      </c>
      <c r="D954" s="59"/>
      <c r="E954" s="41" t="str">
        <f>HYPERLINK("https://www.google.ru/search?q=1383882-001&amp;newwindow=1&amp;tbm=isch","Еще фото")</f>
        <v>Еще фото</v>
      </c>
      <c r="F954" s="28" t="s">
        <v>152</v>
      </c>
      <c r="G954" s="11" t="s">
        <v>1004</v>
      </c>
      <c r="H954" s="11" t="s">
        <v>27</v>
      </c>
      <c r="I954" s="14" t="s">
        <v>1005</v>
      </c>
      <c r="J954" s="14" t="s">
        <v>29</v>
      </c>
      <c r="K954" s="15" t="s">
        <v>30</v>
      </c>
      <c r="L954" s="57" t="s">
        <v>1052</v>
      </c>
      <c r="M954" s="14"/>
      <c r="N954" s="14" t="s">
        <v>33</v>
      </c>
      <c r="O954" s="14"/>
      <c r="P954" s="15" t="s">
        <v>213</v>
      </c>
      <c r="Q954" s="16">
        <v>5399</v>
      </c>
      <c r="R954" s="17">
        <v>40</v>
      </c>
      <c r="S954" s="18">
        <v>3725.31</v>
      </c>
      <c r="T954" s="19" t="s">
        <v>36</v>
      </c>
      <c r="U954" s="20" t="s">
        <v>37</v>
      </c>
      <c r="V954" s="21" t="s">
        <v>38</v>
      </c>
      <c r="W954" s="22">
        <v>21</v>
      </c>
      <c r="X954" s="23"/>
    </row>
    <row r="955" spans="1:24" s="1" customFormat="1" ht="21" customHeight="1" x14ac:dyDescent="0.3">
      <c r="A955" s="24" t="s">
        <v>23</v>
      </c>
      <c r="B955" s="24" t="s">
        <v>1050</v>
      </c>
      <c r="C955" s="27" t="s">
        <v>1051</v>
      </c>
      <c r="D955" s="60"/>
      <c r="E955" s="41" t="str">
        <f>HYPERLINK("https://www.google.ru/search?q=1383882-001&amp;newwindow=1&amp;tbm=isch","Еще фото")</f>
        <v>Еще фото</v>
      </c>
      <c r="F955" s="28" t="s">
        <v>152</v>
      </c>
      <c r="G955" s="24" t="s">
        <v>1004</v>
      </c>
      <c r="H955" s="24" t="s">
        <v>27</v>
      </c>
      <c r="I955" s="24" t="s">
        <v>1005</v>
      </c>
      <c r="J955" s="14" t="s">
        <v>29</v>
      </c>
      <c r="K955" s="15" t="s">
        <v>30</v>
      </c>
      <c r="L955" s="62"/>
      <c r="M955" s="14"/>
      <c r="N955" s="14" t="s">
        <v>33</v>
      </c>
      <c r="O955" s="14"/>
      <c r="P955" s="15" t="s">
        <v>213</v>
      </c>
      <c r="Q955" s="16">
        <v>5399</v>
      </c>
      <c r="R955" s="17">
        <v>40</v>
      </c>
      <c r="S955" s="18">
        <v>3725.31</v>
      </c>
      <c r="T955" s="19" t="s">
        <v>36</v>
      </c>
      <c r="U955" s="20" t="s">
        <v>39</v>
      </c>
      <c r="V955" s="21" t="s">
        <v>40</v>
      </c>
      <c r="W955" s="22">
        <v>17</v>
      </c>
      <c r="X955" s="23"/>
    </row>
    <row r="956" spans="1:24" s="1" customFormat="1" ht="21" customHeight="1" x14ac:dyDescent="0.3">
      <c r="A956" s="24" t="s">
        <v>23</v>
      </c>
      <c r="B956" s="24" t="s">
        <v>1050</v>
      </c>
      <c r="C956" s="27" t="s">
        <v>1051</v>
      </c>
      <c r="D956" s="60"/>
      <c r="E956" s="41" t="str">
        <f>HYPERLINK("https://www.google.ru/search?q=1383882-001&amp;newwindow=1&amp;tbm=isch","Еще фото")</f>
        <v>Еще фото</v>
      </c>
      <c r="F956" s="28" t="s">
        <v>152</v>
      </c>
      <c r="G956" s="24" t="s">
        <v>1004</v>
      </c>
      <c r="H956" s="24" t="s">
        <v>27</v>
      </c>
      <c r="I956" s="24" t="s">
        <v>1005</v>
      </c>
      <c r="J956" s="14" t="s">
        <v>29</v>
      </c>
      <c r="K956" s="15" t="s">
        <v>30</v>
      </c>
      <c r="L956" s="62"/>
      <c r="M956" s="14"/>
      <c r="N956" s="14" t="s">
        <v>33</v>
      </c>
      <c r="O956" s="14"/>
      <c r="P956" s="15" t="s">
        <v>213</v>
      </c>
      <c r="Q956" s="16">
        <v>5399</v>
      </c>
      <c r="R956" s="17">
        <v>40</v>
      </c>
      <c r="S956" s="18">
        <v>3725.31</v>
      </c>
      <c r="T956" s="19" t="s">
        <v>36</v>
      </c>
      <c r="U956" s="20" t="s">
        <v>86</v>
      </c>
      <c r="V956" s="21" t="s">
        <v>87</v>
      </c>
      <c r="W956" s="22">
        <v>25</v>
      </c>
      <c r="X956" s="23"/>
    </row>
    <row r="957" spans="1:24" s="1" customFormat="1" ht="21" customHeight="1" x14ac:dyDescent="0.3">
      <c r="A957" s="24" t="s">
        <v>23</v>
      </c>
      <c r="B957" s="24" t="s">
        <v>1050</v>
      </c>
      <c r="C957" s="27" t="s">
        <v>1051</v>
      </c>
      <c r="D957" s="60"/>
      <c r="E957" s="41" t="str">
        <f>HYPERLINK("https://www.google.ru/search?q=1383882-001&amp;newwindow=1&amp;tbm=isch","Еще фото")</f>
        <v>Еще фото</v>
      </c>
      <c r="F957" s="28" t="s">
        <v>152</v>
      </c>
      <c r="G957" s="24" t="s">
        <v>1004</v>
      </c>
      <c r="H957" s="24" t="s">
        <v>27</v>
      </c>
      <c r="I957" s="24" t="s">
        <v>1005</v>
      </c>
      <c r="J957" s="14" t="s">
        <v>29</v>
      </c>
      <c r="K957" s="15" t="s">
        <v>30</v>
      </c>
      <c r="L957" s="62"/>
      <c r="M957" s="14"/>
      <c r="N957" s="14" t="s">
        <v>33</v>
      </c>
      <c r="O957" s="14"/>
      <c r="P957" s="15" t="s">
        <v>213</v>
      </c>
      <c r="Q957" s="16">
        <v>5399</v>
      </c>
      <c r="R957" s="17">
        <v>40</v>
      </c>
      <c r="S957" s="18">
        <v>3725.31</v>
      </c>
      <c r="T957" s="19" t="s">
        <v>36</v>
      </c>
      <c r="U957" s="20" t="s">
        <v>88</v>
      </c>
      <c r="V957" s="21" t="s">
        <v>89</v>
      </c>
      <c r="W957" s="22">
        <v>11</v>
      </c>
      <c r="X957" s="23"/>
    </row>
    <row r="958" spans="1:24" s="1" customFormat="1" ht="32" customHeight="1" x14ac:dyDescent="0.3">
      <c r="A958" s="24" t="s">
        <v>23</v>
      </c>
      <c r="B958" s="24" t="s">
        <v>1050</v>
      </c>
      <c r="C958" s="27" t="s">
        <v>1051</v>
      </c>
      <c r="D958" s="61"/>
      <c r="E958" s="41" t="str">
        <f>HYPERLINK("https://www.google.ru/search?q=1383882-001&amp;newwindow=1&amp;tbm=isch","Еще фото")</f>
        <v>Еще фото</v>
      </c>
      <c r="F958" s="28" t="s">
        <v>152</v>
      </c>
      <c r="G958" s="24" t="s">
        <v>1004</v>
      </c>
      <c r="H958" s="24" t="s">
        <v>27</v>
      </c>
      <c r="I958" s="24" t="s">
        <v>1005</v>
      </c>
      <c r="J958" s="14" t="s">
        <v>29</v>
      </c>
      <c r="K958" s="15" t="s">
        <v>30</v>
      </c>
      <c r="L958" s="58"/>
      <c r="M958" s="14"/>
      <c r="N958" s="14" t="s">
        <v>33</v>
      </c>
      <c r="O958" s="14"/>
      <c r="P958" s="15" t="s">
        <v>213</v>
      </c>
      <c r="Q958" s="16">
        <v>5399</v>
      </c>
      <c r="R958" s="17">
        <v>40</v>
      </c>
      <c r="S958" s="18">
        <v>3725.31</v>
      </c>
      <c r="T958" s="19" t="s">
        <v>36</v>
      </c>
      <c r="U958" s="20" t="s">
        <v>408</v>
      </c>
      <c r="V958" s="21" t="s">
        <v>409</v>
      </c>
      <c r="W958" s="22">
        <v>1</v>
      </c>
      <c r="X958" s="23"/>
    </row>
    <row r="959" spans="1:24" s="1" customFormat="1" ht="17" customHeight="1" x14ac:dyDescent="0.3">
      <c r="A959" s="11" t="s">
        <v>23</v>
      </c>
      <c r="B959" s="11" t="s">
        <v>1050</v>
      </c>
      <c r="C959" s="12" t="s">
        <v>1053</v>
      </c>
      <c r="D959" s="59"/>
      <c r="E959" s="41" t="str">
        <f t="shared" ref="E959:E964" si="22">HYPERLINK("https://www.google.ru/search?q=1383882-035&amp;newwindow=1&amp;tbm=isch","Еще фото")</f>
        <v>Еще фото</v>
      </c>
      <c r="F959" s="28" t="s">
        <v>138</v>
      </c>
      <c r="G959" s="11" t="s">
        <v>1004</v>
      </c>
      <c r="H959" s="11" t="s">
        <v>27</v>
      </c>
      <c r="I959" s="14" t="s">
        <v>1005</v>
      </c>
      <c r="J959" s="14" t="s">
        <v>29</v>
      </c>
      <c r="K959" s="15" t="s">
        <v>30</v>
      </c>
      <c r="L959" s="57" t="s">
        <v>1052</v>
      </c>
      <c r="M959" s="14"/>
      <c r="N959" s="14" t="s">
        <v>284</v>
      </c>
      <c r="O959" s="14"/>
      <c r="P959" s="15" t="s">
        <v>213</v>
      </c>
      <c r="Q959" s="16">
        <v>5399</v>
      </c>
      <c r="R959" s="17">
        <v>40</v>
      </c>
      <c r="S959" s="18">
        <v>3725.31</v>
      </c>
      <c r="T959" s="19" t="s">
        <v>36</v>
      </c>
      <c r="U959" s="20" t="s">
        <v>37</v>
      </c>
      <c r="V959" s="21" t="s">
        <v>38</v>
      </c>
      <c r="W959" s="22">
        <v>12</v>
      </c>
      <c r="X959" s="23"/>
    </row>
    <row r="960" spans="1:24" s="1" customFormat="1" ht="17" customHeight="1" x14ac:dyDescent="0.3">
      <c r="A960" s="24" t="s">
        <v>23</v>
      </c>
      <c r="B960" s="24" t="s">
        <v>1050</v>
      </c>
      <c r="C960" s="12" t="s">
        <v>1053</v>
      </c>
      <c r="D960" s="60"/>
      <c r="E960" s="41" t="str">
        <f t="shared" si="22"/>
        <v>Еще фото</v>
      </c>
      <c r="F960" s="28" t="s">
        <v>138</v>
      </c>
      <c r="G960" s="24" t="s">
        <v>1004</v>
      </c>
      <c r="H960" s="24" t="s">
        <v>27</v>
      </c>
      <c r="I960" s="24" t="s">
        <v>1005</v>
      </c>
      <c r="J960" s="14" t="s">
        <v>29</v>
      </c>
      <c r="K960" s="15" t="s">
        <v>30</v>
      </c>
      <c r="L960" s="62"/>
      <c r="M960" s="14"/>
      <c r="N960" s="14" t="s">
        <v>284</v>
      </c>
      <c r="O960" s="14"/>
      <c r="P960" s="15" t="s">
        <v>213</v>
      </c>
      <c r="Q960" s="16">
        <v>5399</v>
      </c>
      <c r="R960" s="17">
        <v>40</v>
      </c>
      <c r="S960" s="18">
        <v>3725.31</v>
      </c>
      <c r="T960" s="19" t="s">
        <v>36</v>
      </c>
      <c r="U960" s="20" t="s">
        <v>39</v>
      </c>
      <c r="V960" s="21" t="s">
        <v>40</v>
      </c>
      <c r="W960" s="22">
        <v>22</v>
      </c>
      <c r="X960" s="23"/>
    </row>
    <row r="961" spans="1:24" s="1" customFormat="1" ht="17" customHeight="1" x14ac:dyDescent="0.3">
      <c r="A961" s="24" t="s">
        <v>23</v>
      </c>
      <c r="B961" s="24" t="s">
        <v>1050</v>
      </c>
      <c r="C961" s="12" t="s">
        <v>1053</v>
      </c>
      <c r="D961" s="60"/>
      <c r="E961" s="41" t="str">
        <f t="shared" si="22"/>
        <v>Еще фото</v>
      </c>
      <c r="F961" s="28" t="s">
        <v>138</v>
      </c>
      <c r="G961" s="24" t="s">
        <v>1004</v>
      </c>
      <c r="H961" s="24" t="s">
        <v>27</v>
      </c>
      <c r="I961" s="24" t="s">
        <v>1005</v>
      </c>
      <c r="J961" s="14" t="s">
        <v>29</v>
      </c>
      <c r="K961" s="15" t="s">
        <v>30</v>
      </c>
      <c r="L961" s="62"/>
      <c r="M961" s="14"/>
      <c r="N961" s="14" t="s">
        <v>284</v>
      </c>
      <c r="O961" s="14"/>
      <c r="P961" s="15" t="s">
        <v>213</v>
      </c>
      <c r="Q961" s="16">
        <v>5399</v>
      </c>
      <c r="R961" s="17">
        <v>40</v>
      </c>
      <c r="S961" s="18">
        <v>3725.31</v>
      </c>
      <c r="T961" s="19" t="s">
        <v>36</v>
      </c>
      <c r="U961" s="20" t="s">
        <v>86</v>
      </c>
      <c r="V961" s="21" t="s">
        <v>87</v>
      </c>
      <c r="W961" s="22">
        <v>33</v>
      </c>
      <c r="X961" s="23"/>
    </row>
    <row r="962" spans="1:24" s="1" customFormat="1" ht="17" customHeight="1" x14ac:dyDescent="0.3">
      <c r="A962" s="24" t="s">
        <v>23</v>
      </c>
      <c r="B962" s="24" t="s">
        <v>1050</v>
      </c>
      <c r="C962" s="12" t="s">
        <v>1053</v>
      </c>
      <c r="D962" s="60"/>
      <c r="E962" s="41" t="str">
        <f t="shared" si="22"/>
        <v>Еще фото</v>
      </c>
      <c r="F962" s="28" t="s">
        <v>138</v>
      </c>
      <c r="G962" s="24" t="s">
        <v>1004</v>
      </c>
      <c r="H962" s="24" t="s">
        <v>27</v>
      </c>
      <c r="I962" s="24" t="s">
        <v>1005</v>
      </c>
      <c r="J962" s="14" t="s">
        <v>29</v>
      </c>
      <c r="K962" s="15" t="s">
        <v>30</v>
      </c>
      <c r="L962" s="62"/>
      <c r="M962" s="14"/>
      <c r="N962" s="14" t="s">
        <v>284</v>
      </c>
      <c r="O962" s="14"/>
      <c r="P962" s="15" t="s">
        <v>213</v>
      </c>
      <c r="Q962" s="16">
        <v>5399</v>
      </c>
      <c r="R962" s="17">
        <v>40</v>
      </c>
      <c r="S962" s="18">
        <v>3725.31</v>
      </c>
      <c r="T962" s="19" t="s">
        <v>36</v>
      </c>
      <c r="U962" s="20" t="s">
        <v>88</v>
      </c>
      <c r="V962" s="21" t="s">
        <v>89</v>
      </c>
      <c r="W962" s="22">
        <v>21</v>
      </c>
      <c r="X962" s="23"/>
    </row>
    <row r="963" spans="1:24" s="1" customFormat="1" ht="17" customHeight="1" x14ac:dyDescent="0.3">
      <c r="A963" s="24" t="s">
        <v>23</v>
      </c>
      <c r="B963" s="24" t="s">
        <v>1050</v>
      </c>
      <c r="C963" s="12" t="s">
        <v>1053</v>
      </c>
      <c r="D963" s="60"/>
      <c r="E963" s="41" t="str">
        <f t="shared" si="22"/>
        <v>Еще фото</v>
      </c>
      <c r="F963" s="28" t="s">
        <v>138</v>
      </c>
      <c r="G963" s="24" t="s">
        <v>1004</v>
      </c>
      <c r="H963" s="24" t="s">
        <v>27</v>
      </c>
      <c r="I963" s="24" t="s">
        <v>1005</v>
      </c>
      <c r="J963" s="14" t="s">
        <v>29</v>
      </c>
      <c r="K963" s="15" t="s">
        <v>30</v>
      </c>
      <c r="L963" s="62"/>
      <c r="M963" s="14"/>
      <c r="N963" s="14" t="s">
        <v>284</v>
      </c>
      <c r="O963" s="14"/>
      <c r="P963" s="15" t="s">
        <v>213</v>
      </c>
      <c r="Q963" s="16">
        <v>5399</v>
      </c>
      <c r="R963" s="17">
        <v>40</v>
      </c>
      <c r="S963" s="18">
        <v>3725.31</v>
      </c>
      <c r="T963" s="19" t="s">
        <v>36</v>
      </c>
      <c r="U963" s="20" t="s">
        <v>90</v>
      </c>
      <c r="V963" s="21" t="s">
        <v>91</v>
      </c>
      <c r="W963" s="22">
        <v>10</v>
      </c>
      <c r="X963" s="23"/>
    </row>
    <row r="964" spans="1:24" s="1" customFormat="1" ht="22.05" customHeight="1" x14ac:dyDescent="0.3">
      <c r="A964" s="24" t="s">
        <v>23</v>
      </c>
      <c r="B964" s="24" t="s">
        <v>1050</v>
      </c>
      <c r="C964" s="12" t="s">
        <v>1053</v>
      </c>
      <c r="D964" s="61"/>
      <c r="E964" s="41" t="str">
        <f t="shared" si="22"/>
        <v>Еще фото</v>
      </c>
      <c r="F964" s="28" t="s">
        <v>138</v>
      </c>
      <c r="G964" s="24" t="s">
        <v>1004</v>
      </c>
      <c r="H964" s="24" t="s">
        <v>27</v>
      </c>
      <c r="I964" s="24" t="s">
        <v>1005</v>
      </c>
      <c r="J964" s="14" t="s">
        <v>29</v>
      </c>
      <c r="K964" s="15" t="s">
        <v>30</v>
      </c>
      <c r="L964" s="58"/>
      <c r="M964" s="14"/>
      <c r="N964" s="14" t="s">
        <v>284</v>
      </c>
      <c r="O964" s="14"/>
      <c r="P964" s="15" t="s">
        <v>213</v>
      </c>
      <c r="Q964" s="16">
        <v>5399</v>
      </c>
      <c r="R964" s="17">
        <v>40</v>
      </c>
      <c r="S964" s="18">
        <v>3725.31</v>
      </c>
      <c r="T964" s="19" t="s">
        <v>36</v>
      </c>
      <c r="U964" s="20" t="s">
        <v>408</v>
      </c>
      <c r="V964" s="21" t="s">
        <v>409</v>
      </c>
      <c r="W964" s="22">
        <v>10</v>
      </c>
      <c r="X964" s="23"/>
    </row>
    <row r="965" spans="1:24" s="1" customFormat="1" ht="17" customHeight="1" x14ac:dyDescent="0.3">
      <c r="A965" s="11" t="s">
        <v>23</v>
      </c>
      <c r="B965" s="11" t="s">
        <v>1054</v>
      </c>
      <c r="C965" s="12" t="s">
        <v>1055</v>
      </c>
      <c r="D965" s="59"/>
      <c r="E965" s="41" t="str">
        <f t="shared" ref="E965:E970" si="23">HYPERLINK("https://www.google.ru/search?q=1383883-001&amp;newwindow=1&amp;tbm=isch","Еще фото")</f>
        <v>Еще фото</v>
      </c>
      <c r="F965" s="28" t="s">
        <v>152</v>
      </c>
      <c r="G965" s="11" t="s">
        <v>1004</v>
      </c>
      <c r="H965" s="11" t="s">
        <v>27</v>
      </c>
      <c r="I965" s="14" t="s">
        <v>1005</v>
      </c>
      <c r="J965" s="14" t="s">
        <v>29</v>
      </c>
      <c r="K965" s="15" t="s">
        <v>30</v>
      </c>
      <c r="L965" s="57" t="s">
        <v>1056</v>
      </c>
      <c r="M965" s="14"/>
      <c r="N965" s="14" t="s">
        <v>98</v>
      </c>
      <c r="O965" s="14"/>
      <c r="P965" s="15" t="s">
        <v>213</v>
      </c>
      <c r="Q965" s="16">
        <v>5699</v>
      </c>
      <c r="R965" s="17">
        <v>40</v>
      </c>
      <c r="S965" s="18">
        <v>3932.31</v>
      </c>
      <c r="T965" s="19" t="s">
        <v>36</v>
      </c>
      <c r="U965" s="20" t="s">
        <v>37</v>
      </c>
      <c r="V965" s="21" t="s">
        <v>38</v>
      </c>
      <c r="W965" s="22">
        <v>12</v>
      </c>
      <c r="X965" s="23"/>
    </row>
    <row r="966" spans="1:24" s="1" customFormat="1" ht="17" customHeight="1" x14ac:dyDescent="0.3">
      <c r="A966" s="24" t="s">
        <v>23</v>
      </c>
      <c r="B966" s="24" t="s">
        <v>1054</v>
      </c>
      <c r="C966" s="12" t="s">
        <v>1055</v>
      </c>
      <c r="D966" s="60"/>
      <c r="E966" s="41" t="str">
        <f t="shared" si="23"/>
        <v>Еще фото</v>
      </c>
      <c r="F966" s="28" t="s">
        <v>152</v>
      </c>
      <c r="G966" s="24" t="s">
        <v>1004</v>
      </c>
      <c r="H966" s="24" t="s">
        <v>27</v>
      </c>
      <c r="I966" s="24" t="s">
        <v>1005</v>
      </c>
      <c r="J966" s="14" t="s">
        <v>29</v>
      </c>
      <c r="K966" s="15" t="s">
        <v>30</v>
      </c>
      <c r="L966" s="62"/>
      <c r="M966" s="14"/>
      <c r="N966" s="14" t="s">
        <v>98</v>
      </c>
      <c r="O966" s="14"/>
      <c r="P966" s="15" t="s">
        <v>213</v>
      </c>
      <c r="Q966" s="16">
        <v>5699</v>
      </c>
      <c r="R966" s="17">
        <v>40</v>
      </c>
      <c r="S966" s="18">
        <v>3932.31</v>
      </c>
      <c r="T966" s="19" t="s">
        <v>36</v>
      </c>
      <c r="U966" s="20" t="s">
        <v>39</v>
      </c>
      <c r="V966" s="21" t="s">
        <v>40</v>
      </c>
      <c r="W966" s="22">
        <v>17</v>
      </c>
      <c r="X966" s="23"/>
    </row>
    <row r="967" spans="1:24" s="1" customFormat="1" ht="17" customHeight="1" x14ac:dyDescent="0.3">
      <c r="A967" s="24" t="s">
        <v>23</v>
      </c>
      <c r="B967" s="24" t="s">
        <v>1054</v>
      </c>
      <c r="C967" s="12" t="s">
        <v>1055</v>
      </c>
      <c r="D967" s="60"/>
      <c r="E967" s="41" t="str">
        <f t="shared" si="23"/>
        <v>Еще фото</v>
      </c>
      <c r="F967" s="28" t="s">
        <v>152</v>
      </c>
      <c r="G967" s="24" t="s">
        <v>1004</v>
      </c>
      <c r="H967" s="24" t="s">
        <v>27</v>
      </c>
      <c r="I967" s="24" t="s">
        <v>1005</v>
      </c>
      <c r="J967" s="14" t="s">
        <v>29</v>
      </c>
      <c r="K967" s="15" t="s">
        <v>30</v>
      </c>
      <c r="L967" s="62"/>
      <c r="M967" s="14"/>
      <c r="N967" s="14" t="s">
        <v>98</v>
      </c>
      <c r="O967" s="14"/>
      <c r="P967" s="15" t="s">
        <v>213</v>
      </c>
      <c r="Q967" s="16">
        <v>5699</v>
      </c>
      <c r="R967" s="17">
        <v>40</v>
      </c>
      <c r="S967" s="18">
        <v>3932.31</v>
      </c>
      <c r="T967" s="19" t="s">
        <v>36</v>
      </c>
      <c r="U967" s="20" t="s">
        <v>86</v>
      </c>
      <c r="V967" s="21" t="s">
        <v>87</v>
      </c>
      <c r="W967" s="22">
        <v>22</v>
      </c>
      <c r="X967" s="23"/>
    </row>
    <row r="968" spans="1:24" s="1" customFormat="1" ht="17" customHeight="1" x14ac:dyDescent="0.3">
      <c r="A968" s="24" t="s">
        <v>23</v>
      </c>
      <c r="B968" s="24" t="s">
        <v>1054</v>
      </c>
      <c r="C968" s="12" t="s">
        <v>1055</v>
      </c>
      <c r="D968" s="60"/>
      <c r="E968" s="41" t="str">
        <f t="shared" si="23"/>
        <v>Еще фото</v>
      </c>
      <c r="F968" s="28" t="s">
        <v>152</v>
      </c>
      <c r="G968" s="24" t="s">
        <v>1004</v>
      </c>
      <c r="H968" s="24" t="s">
        <v>27</v>
      </c>
      <c r="I968" s="24" t="s">
        <v>1005</v>
      </c>
      <c r="J968" s="14" t="s">
        <v>29</v>
      </c>
      <c r="K968" s="15" t="s">
        <v>30</v>
      </c>
      <c r="L968" s="62"/>
      <c r="M968" s="14"/>
      <c r="N968" s="14" t="s">
        <v>98</v>
      </c>
      <c r="O968" s="14"/>
      <c r="P968" s="15" t="s">
        <v>213</v>
      </c>
      <c r="Q968" s="16">
        <v>5699</v>
      </c>
      <c r="R968" s="17">
        <v>40</v>
      </c>
      <c r="S968" s="18">
        <v>3932.31</v>
      </c>
      <c r="T968" s="19" t="s">
        <v>36</v>
      </c>
      <c r="U968" s="20" t="s">
        <v>88</v>
      </c>
      <c r="V968" s="21" t="s">
        <v>89</v>
      </c>
      <c r="W968" s="22">
        <v>15</v>
      </c>
      <c r="X968" s="23"/>
    </row>
    <row r="969" spans="1:24" s="1" customFormat="1" ht="17" customHeight="1" x14ac:dyDescent="0.3">
      <c r="A969" s="24" t="s">
        <v>23</v>
      </c>
      <c r="B969" s="24" t="s">
        <v>1054</v>
      </c>
      <c r="C969" s="12" t="s">
        <v>1055</v>
      </c>
      <c r="D969" s="60"/>
      <c r="E969" s="41" t="str">
        <f t="shared" si="23"/>
        <v>Еще фото</v>
      </c>
      <c r="F969" s="28" t="s">
        <v>152</v>
      </c>
      <c r="G969" s="24" t="s">
        <v>1004</v>
      </c>
      <c r="H969" s="24" t="s">
        <v>27</v>
      </c>
      <c r="I969" s="24" t="s">
        <v>1005</v>
      </c>
      <c r="J969" s="14" t="s">
        <v>29</v>
      </c>
      <c r="K969" s="15" t="s">
        <v>30</v>
      </c>
      <c r="L969" s="62"/>
      <c r="M969" s="14"/>
      <c r="N969" s="14" t="s">
        <v>98</v>
      </c>
      <c r="O969" s="14"/>
      <c r="P969" s="15" t="s">
        <v>213</v>
      </c>
      <c r="Q969" s="16">
        <v>5699</v>
      </c>
      <c r="R969" s="17">
        <v>40</v>
      </c>
      <c r="S969" s="18">
        <v>3932.31</v>
      </c>
      <c r="T969" s="19" t="s">
        <v>36</v>
      </c>
      <c r="U969" s="20" t="s">
        <v>90</v>
      </c>
      <c r="V969" s="21" t="s">
        <v>91</v>
      </c>
      <c r="W969" s="22">
        <v>5</v>
      </c>
      <c r="X969" s="23"/>
    </row>
    <row r="970" spans="1:24" s="1" customFormat="1" ht="22.05" customHeight="1" x14ac:dyDescent="0.3">
      <c r="A970" s="24" t="s">
        <v>23</v>
      </c>
      <c r="B970" s="24" t="s">
        <v>1054</v>
      </c>
      <c r="C970" s="12" t="s">
        <v>1055</v>
      </c>
      <c r="D970" s="61"/>
      <c r="E970" s="41" t="str">
        <f t="shared" si="23"/>
        <v>Еще фото</v>
      </c>
      <c r="F970" s="28" t="s">
        <v>152</v>
      </c>
      <c r="G970" s="24" t="s">
        <v>1004</v>
      </c>
      <c r="H970" s="24" t="s">
        <v>27</v>
      </c>
      <c r="I970" s="24" t="s">
        <v>1005</v>
      </c>
      <c r="J970" s="14" t="s">
        <v>29</v>
      </c>
      <c r="K970" s="15" t="s">
        <v>30</v>
      </c>
      <c r="L970" s="58"/>
      <c r="M970" s="14"/>
      <c r="N970" s="14" t="s">
        <v>98</v>
      </c>
      <c r="O970" s="14"/>
      <c r="P970" s="15" t="s">
        <v>213</v>
      </c>
      <c r="Q970" s="16">
        <v>5699</v>
      </c>
      <c r="R970" s="17">
        <v>40</v>
      </c>
      <c r="S970" s="18">
        <v>3932.31</v>
      </c>
      <c r="T970" s="19" t="s">
        <v>36</v>
      </c>
      <c r="U970" s="20" t="s">
        <v>408</v>
      </c>
      <c r="V970" s="21" t="s">
        <v>409</v>
      </c>
      <c r="W970" s="22">
        <v>9</v>
      </c>
      <c r="X970" s="23"/>
    </row>
    <row r="971" spans="1:24" s="1" customFormat="1" ht="52.05" customHeight="1" x14ac:dyDescent="0.3">
      <c r="A971" s="11" t="s">
        <v>23</v>
      </c>
      <c r="B971" s="11" t="s">
        <v>1057</v>
      </c>
      <c r="C971" s="12" t="s">
        <v>1058</v>
      </c>
      <c r="D971" s="55"/>
      <c r="E971" s="41" t="str">
        <f>HYPERLINK("https://www.google.ru/search?q=1383884-006&amp;newwindow=1&amp;tbm=isch","Еще фото")</f>
        <v>Еще фото</v>
      </c>
      <c r="F971" s="13"/>
      <c r="G971" s="11" t="s">
        <v>1004</v>
      </c>
      <c r="H971" s="11" t="s">
        <v>27</v>
      </c>
      <c r="I971" s="14" t="s">
        <v>1005</v>
      </c>
      <c r="J971" s="14" t="s">
        <v>29</v>
      </c>
      <c r="K971" s="15" t="s">
        <v>30</v>
      </c>
      <c r="L971" s="57" t="s">
        <v>1059</v>
      </c>
      <c r="M971" s="14"/>
      <c r="N971" s="14" t="s">
        <v>33</v>
      </c>
      <c r="O971" s="14"/>
      <c r="P971" s="15" t="s">
        <v>1008</v>
      </c>
      <c r="Q971" s="16">
        <v>5599</v>
      </c>
      <c r="R971" s="17">
        <v>40</v>
      </c>
      <c r="S971" s="18">
        <v>3863.31</v>
      </c>
      <c r="T971" s="19" t="s">
        <v>36</v>
      </c>
      <c r="U971" s="20" t="s">
        <v>37</v>
      </c>
      <c r="V971" s="21" t="s">
        <v>38</v>
      </c>
      <c r="W971" s="22">
        <v>5</v>
      </c>
      <c r="X971" s="23"/>
    </row>
    <row r="972" spans="1:24" s="1" customFormat="1" ht="61.05" customHeight="1" x14ac:dyDescent="0.3">
      <c r="A972" s="24" t="s">
        <v>23</v>
      </c>
      <c r="B972" s="24" t="s">
        <v>1057</v>
      </c>
      <c r="C972" s="12" t="s">
        <v>1058</v>
      </c>
      <c r="D972" s="56"/>
      <c r="E972" s="41" t="str">
        <f>HYPERLINK("https://www.google.ru/search?q=1383884-006&amp;newwindow=1&amp;tbm=isch","Еще фото")</f>
        <v>Еще фото</v>
      </c>
      <c r="F972" s="13"/>
      <c r="G972" s="24" t="s">
        <v>1004</v>
      </c>
      <c r="H972" s="24" t="s">
        <v>27</v>
      </c>
      <c r="I972" s="24" t="s">
        <v>1005</v>
      </c>
      <c r="J972" s="14" t="s">
        <v>29</v>
      </c>
      <c r="K972" s="15" t="s">
        <v>30</v>
      </c>
      <c r="L972" s="58"/>
      <c r="M972" s="14"/>
      <c r="N972" s="14" t="s">
        <v>33</v>
      </c>
      <c r="O972" s="14"/>
      <c r="P972" s="15" t="s">
        <v>1008</v>
      </c>
      <c r="Q972" s="16">
        <v>5599</v>
      </c>
      <c r="R972" s="17">
        <v>40</v>
      </c>
      <c r="S972" s="18">
        <v>3863.31</v>
      </c>
      <c r="T972" s="19" t="s">
        <v>36</v>
      </c>
      <c r="U972" s="20" t="s">
        <v>39</v>
      </c>
      <c r="V972" s="21" t="s">
        <v>40</v>
      </c>
      <c r="W972" s="22">
        <v>1</v>
      </c>
      <c r="X972" s="23"/>
    </row>
    <row r="973" spans="1:24" s="1" customFormat="1" ht="17" customHeight="1" x14ac:dyDescent="0.3">
      <c r="A973" s="11" t="s">
        <v>23</v>
      </c>
      <c r="B973" s="11" t="s">
        <v>1060</v>
      </c>
      <c r="C973" s="12" t="s">
        <v>1061</v>
      </c>
      <c r="D973" s="59"/>
      <c r="E973" s="41" t="str">
        <f t="shared" ref="E973:E978" si="24">HYPERLINK("https://www.google.ru/search?q=1383889-001&amp;newwindow=1&amp;tbm=isch","Еще фото")</f>
        <v>Еще фото</v>
      </c>
      <c r="F973" s="28" t="s">
        <v>152</v>
      </c>
      <c r="G973" s="11" t="s">
        <v>1004</v>
      </c>
      <c r="H973" s="11" t="s">
        <v>27</v>
      </c>
      <c r="I973" s="14" t="s">
        <v>1005</v>
      </c>
      <c r="J973" s="14" t="s">
        <v>29</v>
      </c>
      <c r="K973" s="15" t="s">
        <v>30</v>
      </c>
      <c r="L973" s="57" t="s">
        <v>1062</v>
      </c>
      <c r="M973" s="14"/>
      <c r="N973" s="14" t="s">
        <v>33</v>
      </c>
      <c r="O973" s="14"/>
      <c r="P973" s="15" t="s">
        <v>1063</v>
      </c>
      <c r="Q973" s="16">
        <v>6599</v>
      </c>
      <c r="R973" s="17">
        <v>40</v>
      </c>
      <c r="S973" s="18">
        <v>4553.3099999999995</v>
      </c>
      <c r="T973" s="19" t="s">
        <v>36</v>
      </c>
      <c r="U973" s="20" t="s">
        <v>37</v>
      </c>
      <c r="V973" s="21" t="s">
        <v>38</v>
      </c>
      <c r="W973" s="22">
        <v>14</v>
      </c>
      <c r="X973" s="23"/>
    </row>
    <row r="974" spans="1:24" s="1" customFormat="1" ht="17" customHeight="1" x14ac:dyDescent="0.3">
      <c r="A974" s="24" t="s">
        <v>23</v>
      </c>
      <c r="B974" s="24" t="s">
        <v>1060</v>
      </c>
      <c r="C974" s="12" t="s">
        <v>1061</v>
      </c>
      <c r="D974" s="60"/>
      <c r="E974" s="41" t="str">
        <f t="shared" si="24"/>
        <v>Еще фото</v>
      </c>
      <c r="F974" s="28" t="s">
        <v>152</v>
      </c>
      <c r="G974" s="24" t="s">
        <v>1004</v>
      </c>
      <c r="H974" s="24" t="s">
        <v>27</v>
      </c>
      <c r="I974" s="24" t="s">
        <v>1005</v>
      </c>
      <c r="J974" s="14" t="s">
        <v>29</v>
      </c>
      <c r="K974" s="15" t="s">
        <v>30</v>
      </c>
      <c r="L974" s="62"/>
      <c r="M974" s="14"/>
      <c r="N974" s="14" t="s">
        <v>33</v>
      </c>
      <c r="O974" s="14"/>
      <c r="P974" s="15" t="s">
        <v>1063</v>
      </c>
      <c r="Q974" s="16">
        <v>6599</v>
      </c>
      <c r="R974" s="17">
        <v>40</v>
      </c>
      <c r="S974" s="18">
        <v>4553.3099999999995</v>
      </c>
      <c r="T974" s="19" t="s">
        <v>36</v>
      </c>
      <c r="U974" s="20" t="s">
        <v>39</v>
      </c>
      <c r="V974" s="21" t="s">
        <v>40</v>
      </c>
      <c r="W974" s="22">
        <v>17</v>
      </c>
      <c r="X974" s="23"/>
    </row>
    <row r="975" spans="1:24" s="1" customFormat="1" ht="17" customHeight="1" x14ac:dyDescent="0.3">
      <c r="A975" s="24" t="s">
        <v>23</v>
      </c>
      <c r="B975" s="24" t="s">
        <v>1060</v>
      </c>
      <c r="C975" s="12" t="s">
        <v>1061</v>
      </c>
      <c r="D975" s="60"/>
      <c r="E975" s="41" t="str">
        <f t="shared" si="24"/>
        <v>Еще фото</v>
      </c>
      <c r="F975" s="28" t="s">
        <v>152</v>
      </c>
      <c r="G975" s="24" t="s">
        <v>1004</v>
      </c>
      <c r="H975" s="24" t="s">
        <v>27</v>
      </c>
      <c r="I975" s="24" t="s">
        <v>1005</v>
      </c>
      <c r="J975" s="14" t="s">
        <v>29</v>
      </c>
      <c r="K975" s="15" t="s">
        <v>30</v>
      </c>
      <c r="L975" s="62"/>
      <c r="M975" s="14"/>
      <c r="N975" s="14" t="s">
        <v>33</v>
      </c>
      <c r="O975" s="14"/>
      <c r="P975" s="15" t="s">
        <v>1063</v>
      </c>
      <c r="Q975" s="16">
        <v>6599</v>
      </c>
      <c r="R975" s="17">
        <v>40</v>
      </c>
      <c r="S975" s="18">
        <v>4553.3099999999995</v>
      </c>
      <c r="T975" s="19" t="s">
        <v>36</v>
      </c>
      <c r="U975" s="20" t="s">
        <v>86</v>
      </c>
      <c r="V975" s="21" t="s">
        <v>87</v>
      </c>
      <c r="W975" s="22">
        <v>29</v>
      </c>
      <c r="X975" s="23"/>
    </row>
    <row r="976" spans="1:24" s="1" customFormat="1" ht="17" customHeight="1" x14ac:dyDescent="0.3">
      <c r="A976" s="24" t="s">
        <v>23</v>
      </c>
      <c r="B976" s="24" t="s">
        <v>1060</v>
      </c>
      <c r="C976" s="12" t="s">
        <v>1061</v>
      </c>
      <c r="D976" s="60"/>
      <c r="E976" s="41" t="str">
        <f t="shared" si="24"/>
        <v>Еще фото</v>
      </c>
      <c r="F976" s="28" t="s">
        <v>152</v>
      </c>
      <c r="G976" s="24" t="s">
        <v>1004</v>
      </c>
      <c r="H976" s="24" t="s">
        <v>27</v>
      </c>
      <c r="I976" s="24" t="s">
        <v>1005</v>
      </c>
      <c r="J976" s="14" t="s">
        <v>29</v>
      </c>
      <c r="K976" s="15" t="s">
        <v>30</v>
      </c>
      <c r="L976" s="62"/>
      <c r="M976" s="14"/>
      <c r="N976" s="14" t="s">
        <v>33</v>
      </c>
      <c r="O976" s="14"/>
      <c r="P976" s="15" t="s">
        <v>1063</v>
      </c>
      <c r="Q976" s="16">
        <v>6599</v>
      </c>
      <c r="R976" s="17">
        <v>40</v>
      </c>
      <c r="S976" s="18">
        <v>4553.3099999999995</v>
      </c>
      <c r="T976" s="19" t="s">
        <v>36</v>
      </c>
      <c r="U976" s="20" t="s">
        <v>88</v>
      </c>
      <c r="V976" s="21" t="s">
        <v>89</v>
      </c>
      <c r="W976" s="22">
        <v>23</v>
      </c>
      <c r="X976" s="23"/>
    </row>
    <row r="977" spans="1:24" s="1" customFormat="1" ht="17" customHeight="1" x14ac:dyDescent="0.3">
      <c r="A977" s="24" t="s">
        <v>23</v>
      </c>
      <c r="B977" s="24" t="s">
        <v>1060</v>
      </c>
      <c r="C977" s="12" t="s">
        <v>1061</v>
      </c>
      <c r="D977" s="60"/>
      <c r="E977" s="41" t="str">
        <f t="shared" si="24"/>
        <v>Еще фото</v>
      </c>
      <c r="F977" s="28" t="s">
        <v>152</v>
      </c>
      <c r="G977" s="24" t="s">
        <v>1004</v>
      </c>
      <c r="H977" s="24" t="s">
        <v>27</v>
      </c>
      <c r="I977" s="24" t="s">
        <v>1005</v>
      </c>
      <c r="J977" s="14" t="s">
        <v>29</v>
      </c>
      <c r="K977" s="15" t="s">
        <v>30</v>
      </c>
      <c r="L977" s="62"/>
      <c r="M977" s="14"/>
      <c r="N977" s="14" t="s">
        <v>33</v>
      </c>
      <c r="O977" s="14"/>
      <c r="P977" s="15" t="s">
        <v>1063</v>
      </c>
      <c r="Q977" s="16">
        <v>6599</v>
      </c>
      <c r="R977" s="17">
        <v>40</v>
      </c>
      <c r="S977" s="18">
        <v>4553.3099999999995</v>
      </c>
      <c r="T977" s="19" t="s">
        <v>36</v>
      </c>
      <c r="U977" s="20" t="s">
        <v>90</v>
      </c>
      <c r="V977" s="21" t="s">
        <v>91</v>
      </c>
      <c r="W977" s="22">
        <v>8</v>
      </c>
      <c r="X977" s="23"/>
    </row>
    <row r="978" spans="1:24" s="1" customFormat="1" ht="22.05" customHeight="1" x14ac:dyDescent="0.3">
      <c r="A978" s="24" t="s">
        <v>23</v>
      </c>
      <c r="B978" s="24" t="s">
        <v>1060</v>
      </c>
      <c r="C978" s="12" t="s">
        <v>1061</v>
      </c>
      <c r="D978" s="61"/>
      <c r="E978" s="41" t="str">
        <f t="shared" si="24"/>
        <v>Еще фото</v>
      </c>
      <c r="F978" s="28" t="s">
        <v>152</v>
      </c>
      <c r="G978" s="24" t="s">
        <v>1004</v>
      </c>
      <c r="H978" s="24" t="s">
        <v>27</v>
      </c>
      <c r="I978" s="24" t="s">
        <v>1005</v>
      </c>
      <c r="J978" s="14" t="s">
        <v>29</v>
      </c>
      <c r="K978" s="15" t="s">
        <v>30</v>
      </c>
      <c r="L978" s="58"/>
      <c r="M978" s="14"/>
      <c r="N978" s="14" t="s">
        <v>33</v>
      </c>
      <c r="O978" s="14"/>
      <c r="P978" s="15" t="s">
        <v>1063</v>
      </c>
      <c r="Q978" s="16">
        <v>6599</v>
      </c>
      <c r="R978" s="17">
        <v>40</v>
      </c>
      <c r="S978" s="18">
        <v>4553.3099999999995</v>
      </c>
      <c r="T978" s="19" t="s">
        <v>36</v>
      </c>
      <c r="U978" s="20" t="s">
        <v>408</v>
      </c>
      <c r="V978" s="21" t="s">
        <v>409</v>
      </c>
      <c r="W978" s="22">
        <v>8</v>
      </c>
      <c r="X978" s="23"/>
    </row>
    <row r="979" spans="1:24" s="1" customFormat="1" ht="17" customHeight="1" x14ac:dyDescent="0.3">
      <c r="A979" s="11" t="s">
        <v>23</v>
      </c>
      <c r="B979" s="11" t="s">
        <v>1045</v>
      </c>
      <c r="C979" s="12" t="s">
        <v>1064</v>
      </c>
      <c r="D979" s="59"/>
      <c r="E979" s="41" t="str">
        <f t="shared" ref="E979:E984" si="25">HYPERLINK("https://www.google.ru/search?q=1383889-005&amp;newwindow=1&amp;tbm=isch","Еще фото")</f>
        <v>Еще фото</v>
      </c>
      <c r="F979" s="28" t="s">
        <v>138</v>
      </c>
      <c r="G979" s="11" t="s">
        <v>1004</v>
      </c>
      <c r="H979" s="11" t="s">
        <v>27</v>
      </c>
      <c r="I979" s="14" t="s">
        <v>1005</v>
      </c>
      <c r="J979" s="14" t="s">
        <v>29</v>
      </c>
      <c r="K979" s="15" t="s">
        <v>30</v>
      </c>
      <c r="L979" s="57" t="s">
        <v>1062</v>
      </c>
      <c r="M979" s="14"/>
      <c r="N979" s="14" t="s">
        <v>33</v>
      </c>
      <c r="O979" s="14"/>
      <c r="P979" s="15" t="s">
        <v>1063</v>
      </c>
      <c r="Q979" s="16">
        <v>6599</v>
      </c>
      <c r="R979" s="17">
        <v>40</v>
      </c>
      <c r="S979" s="18">
        <v>4553.3099999999995</v>
      </c>
      <c r="T979" s="19" t="s">
        <v>36</v>
      </c>
      <c r="U979" s="20" t="s">
        <v>37</v>
      </c>
      <c r="V979" s="21" t="s">
        <v>38</v>
      </c>
      <c r="W979" s="22">
        <v>12</v>
      </c>
      <c r="X979" s="23"/>
    </row>
    <row r="980" spans="1:24" s="1" customFormat="1" ht="17" customHeight="1" x14ac:dyDescent="0.3">
      <c r="A980" s="24" t="s">
        <v>23</v>
      </c>
      <c r="B980" s="24" t="s">
        <v>1045</v>
      </c>
      <c r="C980" s="12" t="s">
        <v>1064</v>
      </c>
      <c r="D980" s="60"/>
      <c r="E980" s="41" t="str">
        <f t="shared" si="25"/>
        <v>Еще фото</v>
      </c>
      <c r="F980" s="28" t="s">
        <v>138</v>
      </c>
      <c r="G980" s="24" t="s">
        <v>1004</v>
      </c>
      <c r="H980" s="24" t="s">
        <v>27</v>
      </c>
      <c r="I980" s="24" t="s">
        <v>1005</v>
      </c>
      <c r="J980" s="14" t="s">
        <v>29</v>
      </c>
      <c r="K980" s="15" t="s">
        <v>30</v>
      </c>
      <c r="L980" s="62"/>
      <c r="M980" s="14"/>
      <c r="N980" s="14" t="s">
        <v>33</v>
      </c>
      <c r="O980" s="14"/>
      <c r="P980" s="15" t="s">
        <v>1063</v>
      </c>
      <c r="Q980" s="16">
        <v>6599</v>
      </c>
      <c r="R980" s="17">
        <v>40</v>
      </c>
      <c r="S980" s="18">
        <v>4553.3099999999995</v>
      </c>
      <c r="T980" s="19" t="s">
        <v>36</v>
      </c>
      <c r="U980" s="20" t="s">
        <v>39</v>
      </c>
      <c r="V980" s="21" t="s">
        <v>40</v>
      </c>
      <c r="W980" s="22">
        <v>21</v>
      </c>
      <c r="X980" s="23"/>
    </row>
    <row r="981" spans="1:24" s="1" customFormat="1" ht="17" customHeight="1" x14ac:dyDescent="0.3">
      <c r="A981" s="24" t="s">
        <v>23</v>
      </c>
      <c r="B981" s="24" t="s">
        <v>1045</v>
      </c>
      <c r="C981" s="12" t="s">
        <v>1064</v>
      </c>
      <c r="D981" s="60"/>
      <c r="E981" s="41" t="str">
        <f t="shared" si="25"/>
        <v>Еще фото</v>
      </c>
      <c r="F981" s="28" t="s">
        <v>138</v>
      </c>
      <c r="G981" s="24" t="s">
        <v>1004</v>
      </c>
      <c r="H981" s="24" t="s">
        <v>27</v>
      </c>
      <c r="I981" s="24" t="s">
        <v>1005</v>
      </c>
      <c r="J981" s="14" t="s">
        <v>29</v>
      </c>
      <c r="K981" s="15" t="s">
        <v>30</v>
      </c>
      <c r="L981" s="62"/>
      <c r="M981" s="14"/>
      <c r="N981" s="14" t="s">
        <v>33</v>
      </c>
      <c r="O981" s="14"/>
      <c r="P981" s="15" t="s">
        <v>1063</v>
      </c>
      <c r="Q981" s="16">
        <v>6599</v>
      </c>
      <c r="R981" s="17">
        <v>40</v>
      </c>
      <c r="S981" s="18">
        <v>4553.3099999999995</v>
      </c>
      <c r="T981" s="19" t="s">
        <v>36</v>
      </c>
      <c r="U981" s="20" t="s">
        <v>86</v>
      </c>
      <c r="V981" s="21" t="s">
        <v>87</v>
      </c>
      <c r="W981" s="22">
        <v>28</v>
      </c>
      <c r="X981" s="23"/>
    </row>
    <row r="982" spans="1:24" s="1" customFormat="1" ht="17" customHeight="1" x14ac:dyDescent="0.3">
      <c r="A982" s="24" t="s">
        <v>23</v>
      </c>
      <c r="B982" s="24" t="s">
        <v>1045</v>
      </c>
      <c r="C982" s="12" t="s">
        <v>1064</v>
      </c>
      <c r="D982" s="60"/>
      <c r="E982" s="41" t="str">
        <f t="shared" si="25"/>
        <v>Еще фото</v>
      </c>
      <c r="F982" s="28" t="s">
        <v>138</v>
      </c>
      <c r="G982" s="24" t="s">
        <v>1004</v>
      </c>
      <c r="H982" s="24" t="s">
        <v>27</v>
      </c>
      <c r="I982" s="24" t="s">
        <v>1005</v>
      </c>
      <c r="J982" s="14" t="s">
        <v>29</v>
      </c>
      <c r="K982" s="15" t="s">
        <v>30</v>
      </c>
      <c r="L982" s="62"/>
      <c r="M982" s="14"/>
      <c r="N982" s="14" t="s">
        <v>33</v>
      </c>
      <c r="O982" s="14"/>
      <c r="P982" s="15" t="s">
        <v>1063</v>
      </c>
      <c r="Q982" s="16">
        <v>6599</v>
      </c>
      <c r="R982" s="17">
        <v>40</v>
      </c>
      <c r="S982" s="18">
        <v>4553.3099999999995</v>
      </c>
      <c r="T982" s="19" t="s">
        <v>36</v>
      </c>
      <c r="U982" s="20" t="s">
        <v>88</v>
      </c>
      <c r="V982" s="21" t="s">
        <v>89</v>
      </c>
      <c r="W982" s="22">
        <v>19</v>
      </c>
      <c r="X982" s="23"/>
    </row>
    <row r="983" spans="1:24" s="1" customFormat="1" ht="17" customHeight="1" x14ac:dyDescent="0.3">
      <c r="A983" s="24" t="s">
        <v>23</v>
      </c>
      <c r="B983" s="24" t="s">
        <v>1045</v>
      </c>
      <c r="C983" s="12" t="s">
        <v>1064</v>
      </c>
      <c r="D983" s="60"/>
      <c r="E983" s="41" t="str">
        <f t="shared" si="25"/>
        <v>Еще фото</v>
      </c>
      <c r="F983" s="28" t="s">
        <v>138</v>
      </c>
      <c r="G983" s="24" t="s">
        <v>1004</v>
      </c>
      <c r="H983" s="24" t="s">
        <v>27</v>
      </c>
      <c r="I983" s="24" t="s">
        <v>1005</v>
      </c>
      <c r="J983" s="14" t="s">
        <v>29</v>
      </c>
      <c r="K983" s="15" t="s">
        <v>30</v>
      </c>
      <c r="L983" s="62"/>
      <c r="M983" s="14"/>
      <c r="N983" s="14" t="s">
        <v>33</v>
      </c>
      <c r="O983" s="14"/>
      <c r="P983" s="15" t="s">
        <v>1063</v>
      </c>
      <c r="Q983" s="16">
        <v>6599</v>
      </c>
      <c r="R983" s="17">
        <v>40</v>
      </c>
      <c r="S983" s="18">
        <v>4553.3099999999995</v>
      </c>
      <c r="T983" s="19" t="s">
        <v>36</v>
      </c>
      <c r="U983" s="20" t="s">
        <v>90</v>
      </c>
      <c r="V983" s="21" t="s">
        <v>91</v>
      </c>
      <c r="W983" s="22">
        <v>10</v>
      </c>
      <c r="X983" s="23"/>
    </row>
    <row r="984" spans="1:24" s="1" customFormat="1" ht="22.05" customHeight="1" x14ac:dyDescent="0.3">
      <c r="A984" s="24" t="s">
        <v>23</v>
      </c>
      <c r="B984" s="24" t="s">
        <v>1045</v>
      </c>
      <c r="C984" s="12" t="s">
        <v>1064</v>
      </c>
      <c r="D984" s="61"/>
      <c r="E984" s="41" t="str">
        <f t="shared" si="25"/>
        <v>Еще фото</v>
      </c>
      <c r="F984" s="28" t="s">
        <v>138</v>
      </c>
      <c r="G984" s="24" t="s">
        <v>1004</v>
      </c>
      <c r="H984" s="24" t="s">
        <v>27</v>
      </c>
      <c r="I984" s="24" t="s">
        <v>1005</v>
      </c>
      <c r="J984" s="14" t="s">
        <v>29</v>
      </c>
      <c r="K984" s="15" t="s">
        <v>30</v>
      </c>
      <c r="L984" s="58"/>
      <c r="M984" s="14"/>
      <c r="N984" s="14" t="s">
        <v>33</v>
      </c>
      <c r="O984" s="14"/>
      <c r="P984" s="15" t="s">
        <v>1063</v>
      </c>
      <c r="Q984" s="16">
        <v>6599</v>
      </c>
      <c r="R984" s="17">
        <v>40</v>
      </c>
      <c r="S984" s="18">
        <v>4553.3099999999995</v>
      </c>
      <c r="T984" s="19" t="s">
        <v>36</v>
      </c>
      <c r="U984" s="20" t="s">
        <v>408</v>
      </c>
      <c r="V984" s="21" t="s">
        <v>409</v>
      </c>
      <c r="W984" s="22">
        <v>10</v>
      </c>
      <c r="X984" s="23"/>
    </row>
    <row r="985" spans="1:24" s="1" customFormat="1" ht="21" customHeight="1" x14ac:dyDescent="0.3">
      <c r="A985" s="11" t="s">
        <v>23</v>
      </c>
      <c r="B985" s="11" t="s">
        <v>1065</v>
      </c>
      <c r="C985" s="26" t="s">
        <v>1066</v>
      </c>
      <c r="D985" s="59"/>
      <c r="E985" s="41" t="str">
        <f>HYPERLINK("https://www.google.ru/search?q=1383889-006&amp;newwindow=1&amp;tbm=isch","Еще фото")</f>
        <v>Еще фото</v>
      </c>
      <c r="F985" s="28" t="s">
        <v>138</v>
      </c>
      <c r="G985" s="11" t="s">
        <v>1004</v>
      </c>
      <c r="H985" s="11" t="s">
        <v>27</v>
      </c>
      <c r="I985" s="14" t="s">
        <v>1005</v>
      </c>
      <c r="J985" s="14" t="s">
        <v>29</v>
      </c>
      <c r="K985" s="15" t="s">
        <v>30</v>
      </c>
      <c r="L985" s="57"/>
      <c r="M985" s="14"/>
      <c r="N985" s="14" t="s">
        <v>33</v>
      </c>
      <c r="O985" s="14"/>
      <c r="P985" s="15" t="s">
        <v>1067</v>
      </c>
      <c r="Q985" s="16">
        <v>5499</v>
      </c>
      <c r="R985" s="17">
        <v>40</v>
      </c>
      <c r="S985" s="18">
        <v>3794.31</v>
      </c>
      <c r="T985" s="19" t="s">
        <v>36</v>
      </c>
      <c r="U985" s="20" t="s">
        <v>37</v>
      </c>
      <c r="V985" s="21" t="s">
        <v>38</v>
      </c>
      <c r="W985" s="22">
        <v>12</v>
      </c>
      <c r="X985" s="23"/>
    </row>
    <row r="986" spans="1:24" s="1" customFormat="1" ht="21" customHeight="1" x14ac:dyDescent="0.3">
      <c r="A986" s="24" t="s">
        <v>23</v>
      </c>
      <c r="B986" s="24" t="s">
        <v>1065</v>
      </c>
      <c r="C986" s="27" t="s">
        <v>1066</v>
      </c>
      <c r="D986" s="60"/>
      <c r="E986" s="41" t="str">
        <f>HYPERLINK("https://www.google.ru/search?q=1383889-006&amp;newwindow=1&amp;tbm=isch","Еще фото")</f>
        <v>Еще фото</v>
      </c>
      <c r="F986" s="28" t="s">
        <v>138</v>
      </c>
      <c r="G986" s="24" t="s">
        <v>1004</v>
      </c>
      <c r="H986" s="24" t="s">
        <v>27</v>
      </c>
      <c r="I986" s="24" t="s">
        <v>1005</v>
      </c>
      <c r="J986" s="14" t="s">
        <v>29</v>
      </c>
      <c r="K986" s="15" t="s">
        <v>30</v>
      </c>
      <c r="L986" s="62"/>
      <c r="M986" s="14"/>
      <c r="N986" s="14" t="s">
        <v>33</v>
      </c>
      <c r="O986" s="14"/>
      <c r="P986" s="15" t="s">
        <v>1067</v>
      </c>
      <c r="Q986" s="16">
        <v>5499</v>
      </c>
      <c r="R986" s="17">
        <v>40</v>
      </c>
      <c r="S986" s="18">
        <v>3794.31</v>
      </c>
      <c r="T986" s="19" t="s">
        <v>36</v>
      </c>
      <c r="U986" s="20" t="s">
        <v>39</v>
      </c>
      <c r="V986" s="21" t="s">
        <v>40</v>
      </c>
      <c r="W986" s="22">
        <v>18</v>
      </c>
      <c r="X986" s="23"/>
    </row>
    <row r="987" spans="1:24" s="1" customFormat="1" ht="21" customHeight="1" x14ac:dyDescent="0.3">
      <c r="A987" s="24" t="s">
        <v>23</v>
      </c>
      <c r="B987" s="24" t="s">
        <v>1065</v>
      </c>
      <c r="C987" s="27" t="s">
        <v>1066</v>
      </c>
      <c r="D987" s="60"/>
      <c r="E987" s="41" t="str">
        <f>HYPERLINK("https://www.google.ru/search?q=1383889-006&amp;newwindow=1&amp;tbm=isch","Еще фото")</f>
        <v>Еще фото</v>
      </c>
      <c r="F987" s="28" t="s">
        <v>138</v>
      </c>
      <c r="G987" s="24" t="s">
        <v>1004</v>
      </c>
      <c r="H987" s="24" t="s">
        <v>27</v>
      </c>
      <c r="I987" s="24" t="s">
        <v>1005</v>
      </c>
      <c r="J987" s="14" t="s">
        <v>29</v>
      </c>
      <c r="K987" s="15" t="s">
        <v>30</v>
      </c>
      <c r="L987" s="62"/>
      <c r="M987" s="14"/>
      <c r="N987" s="14" t="s">
        <v>33</v>
      </c>
      <c r="O987" s="14"/>
      <c r="P987" s="15" t="s">
        <v>1067</v>
      </c>
      <c r="Q987" s="16">
        <v>5499</v>
      </c>
      <c r="R987" s="17">
        <v>40</v>
      </c>
      <c r="S987" s="18">
        <v>3794.31</v>
      </c>
      <c r="T987" s="19" t="s">
        <v>36</v>
      </c>
      <c r="U987" s="20" t="s">
        <v>86</v>
      </c>
      <c r="V987" s="21" t="s">
        <v>87</v>
      </c>
      <c r="W987" s="22">
        <v>36</v>
      </c>
      <c r="X987" s="23"/>
    </row>
    <row r="988" spans="1:24" s="1" customFormat="1" ht="21" customHeight="1" x14ac:dyDescent="0.3">
      <c r="A988" s="24" t="s">
        <v>23</v>
      </c>
      <c r="B988" s="24" t="s">
        <v>1065</v>
      </c>
      <c r="C988" s="27" t="s">
        <v>1066</v>
      </c>
      <c r="D988" s="60"/>
      <c r="E988" s="41" t="str">
        <f>HYPERLINK("https://www.google.ru/search?q=1383889-006&amp;newwindow=1&amp;tbm=isch","Еще фото")</f>
        <v>Еще фото</v>
      </c>
      <c r="F988" s="28" t="s">
        <v>138</v>
      </c>
      <c r="G988" s="24" t="s">
        <v>1004</v>
      </c>
      <c r="H988" s="24" t="s">
        <v>27</v>
      </c>
      <c r="I988" s="24" t="s">
        <v>1005</v>
      </c>
      <c r="J988" s="14" t="s">
        <v>29</v>
      </c>
      <c r="K988" s="15" t="s">
        <v>30</v>
      </c>
      <c r="L988" s="62"/>
      <c r="M988" s="14"/>
      <c r="N988" s="14" t="s">
        <v>33</v>
      </c>
      <c r="O988" s="14"/>
      <c r="P988" s="15" t="s">
        <v>1067</v>
      </c>
      <c r="Q988" s="16">
        <v>5499</v>
      </c>
      <c r="R988" s="17">
        <v>40</v>
      </c>
      <c r="S988" s="18">
        <v>3794.31</v>
      </c>
      <c r="T988" s="19" t="s">
        <v>36</v>
      </c>
      <c r="U988" s="20" t="s">
        <v>88</v>
      </c>
      <c r="V988" s="21" t="s">
        <v>89</v>
      </c>
      <c r="W988" s="22">
        <v>17</v>
      </c>
      <c r="X988" s="23"/>
    </row>
    <row r="989" spans="1:24" s="1" customFormat="1" ht="32" customHeight="1" x14ac:dyDescent="0.3">
      <c r="A989" s="24" t="s">
        <v>23</v>
      </c>
      <c r="B989" s="24" t="s">
        <v>1065</v>
      </c>
      <c r="C989" s="27" t="s">
        <v>1066</v>
      </c>
      <c r="D989" s="61"/>
      <c r="E989" s="41" t="str">
        <f>HYPERLINK("https://www.google.ru/search?q=1383889-006&amp;newwindow=1&amp;tbm=isch","Еще фото")</f>
        <v>Еще фото</v>
      </c>
      <c r="F989" s="28" t="s">
        <v>138</v>
      </c>
      <c r="G989" s="24" t="s">
        <v>1004</v>
      </c>
      <c r="H989" s="24" t="s">
        <v>27</v>
      </c>
      <c r="I989" s="24" t="s">
        <v>1005</v>
      </c>
      <c r="J989" s="14" t="s">
        <v>29</v>
      </c>
      <c r="K989" s="15" t="s">
        <v>30</v>
      </c>
      <c r="L989" s="58"/>
      <c r="M989" s="14"/>
      <c r="N989" s="14" t="s">
        <v>33</v>
      </c>
      <c r="O989" s="14"/>
      <c r="P989" s="15" t="s">
        <v>1067</v>
      </c>
      <c r="Q989" s="16">
        <v>5499</v>
      </c>
      <c r="R989" s="17">
        <v>40</v>
      </c>
      <c r="S989" s="18">
        <v>3794.31</v>
      </c>
      <c r="T989" s="19" t="s">
        <v>36</v>
      </c>
      <c r="U989" s="20" t="s">
        <v>90</v>
      </c>
      <c r="V989" s="21" t="s">
        <v>91</v>
      </c>
      <c r="W989" s="22">
        <v>10</v>
      </c>
      <c r="X989" s="23"/>
    </row>
    <row r="990" spans="1:24" s="1" customFormat="1" ht="17" customHeight="1" x14ac:dyDescent="0.3">
      <c r="A990" s="11" t="s">
        <v>23</v>
      </c>
      <c r="B990" s="11" t="s">
        <v>1060</v>
      </c>
      <c r="C990" s="12" t="s">
        <v>1068</v>
      </c>
      <c r="D990" s="59"/>
      <c r="E990" s="41" t="str">
        <f t="shared" ref="E990:E995" si="26">HYPERLINK("https://www.google.ru/search?q=1383889-025&amp;newwindow=1&amp;tbm=isch","Еще фото")</f>
        <v>Еще фото</v>
      </c>
      <c r="F990" s="28" t="s">
        <v>138</v>
      </c>
      <c r="G990" s="11" t="s">
        <v>1004</v>
      </c>
      <c r="H990" s="11" t="s">
        <v>27</v>
      </c>
      <c r="I990" s="14" t="s">
        <v>1005</v>
      </c>
      <c r="J990" s="14" t="s">
        <v>29</v>
      </c>
      <c r="K990" s="15" t="s">
        <v>30</v>
      </c>
      <c r="L990" s="57" t="s">
        <v>1062</v>
      </c>
      <c r="M990" s="14"/>
      <c r="N990" s="14" t="s">
        <v>1069</v>
      </c>
      <c r="O990" s="14"/>
      <c r="P990" s="15" t="s">
        <v>1063</v>
      </c>
      <c r="Q990" s="16">
        <v>6599</v>
      </c>
      <c r="R990" s="17">
        <v>40</v>
      </c>
      <c r="S990" s="18">
        <v>4553.3099999999995</v>
      </c>
      <c r="T990" s="19" t="s">
        <v>36</v>
      </c>
      <c r="U990" s="20" t="s">
        <v>37</v>
      </c>
      <c r="V990" s="21" t="s">
        <v>38</v>
      </c>
      <c r="W990" s="22">
        <v>20</v>
      </c>
      <c r="X990" s="23"/>
    </row>
    <row r="991" spans="1:24" s="1" customFormat="1" ht="17" customHeight="1" x14ac:dyDescent="0.3">
      <c r="A991" s="24" t="s">
        <v>23</v>
      </c>
      <c r="B991" s="24" t="s">
        <v>1060</v>
      </c>
      <c r="C991" s="12" t="s">
        <v>1068</v>
      </c>
      <c r="D991" s="60"/>
      <c r="E991" s="41" t="str">
        <f t="shared" si="26"/>
        <v>Еще фото</v>
      </c>
      <c r="F991" s="28" t="s">
        <v>138</v>
      </c>
      <c r="G991" s="24" t="s">
        <v>1004</v>
      </c>
      <c r="H991" s="24" t="s">
        <v>27</v>
      </c>
      <c r="I991" s="24" t="s">
        <v>1005</v>
      </c>
      <c r="J991" s="14" t="s">
        <v>29</v>
      </c>
      <c r="K991" s="15" t="s">
        <v>30</v>
      </c>
      <c r="L991" s="62"/>
      <c r="M991" s="14"/>
      <c r="N991" s="14" t="s">
        <v>1069</v>
      </c>
      <c r="O991" s="14"/>
      <c r="P991" s="15" t="s">
        <v>1063</v>
      </c>
      <c r="Q991" s="16">
        <v>6599</v>
      </c>
      <c r="R991" s="17">
        <v>40</v>
      </c>
      <c r="S991" s="18">
        <v>4553.3099999999995</v>
      </c>
      <c r="T991" s="19" t="s">
        <v>36</v>
      </c>
      <c r="U991" s="20" t="s">
        <v>39</v>
      </c>
      <c r="V991" s="21" t="s">
        <v>40</v>
      </c>
      <c r="W991" s="22">
        <v>23</v>
      </c>
      <c r="X991" s="23"/>
    </row>
    <row r="992" spans="1:24" s="1" customFormat="1" ht="17" customHeight="1" x14ac:dyDescent="0.3">
      <c r="A992" s="24" t="s">
        <v>23</v>
      </c>
      <c r="B992" s="24" t="s">
        <v>1060</v>
      </c>
      <c r="C992" s="12" t="s">
        <v>1068</v>
      </c>
      <c r="D992" s="60"/>
      <c r="E992" s="41" t="str">
        <f t="shared" si="26"/>
        <v>Еще фото</v>
      </c>
      <c r="F992" s="28" t="s">
        <v>138</v>
      </c>
      <c r="G992" s="24" t="s">
        <v>1004</v>
      </c>
      <c r="H992" s="24" t="s">
        <v>27</v>
      </c>
      <c r="I992" s="24" t="s">
        <v>1005</v>
      </c>
      <c r="J992" s="14" t="s">
        <v>29</v>
      </c>
      <c r="K992" s="15" t="s">
        <v>30</v>
      </c>
      <c r="L992" s="62"/>
      <c r="M992" s="14"/>
      <c r="N992" s="14" t="s">
        <v>1069</v>
      </c>
      <c r="O992" s="14"/>
      <c r="P992" s="15" t="s">
        <v>1063</v>
      </c>
      <c r="Q992" s="16">
        <v>6599</v>
      </c>
      <c r="R992" s="17">
        <v>40</v>
      </c>
      <c r="S992" s="18">
        <v>4553.3099999999995</v>
      </c>
      <c r="T992" s="19" t="s">
        <v>36</v>
      </c>
      <c r="U992" s="20" t="s">
        <v>86</v>
      </c>
      <c r="V992" s="21" t="s">
        <v>87</v>
      </c>
      <c r="W992" s="22">
        <v>31</v>
      </c>
      <c r="X992" s="23"/>
    </row>
    <row r="993" spans="1:24" s="1" customFormat="1" ht="17" customHeight="1" x14ac:dyDescent="0.3">
      <c r="A993" s="24" t="s">
        <v>23</v>
      </c>
      <c r="B993" s="24" t="s">
        <v>1060</v>
      </c>
      <c r="C993" s="12" t="s">
        <v>1068</v>
      </c>
      <c r="D993" s="60"/>
      <c r="E993" s="41" t="str">
        <f t="shared" si="26"/>
        <v>Еще фото</v>
      </c>
      <c r="F993" s="28" t="s">
        <v>138</v>
      </c>
      <c r="G993" s="24" t="s">
        <v>1004</v>
      </c>
      <c r="H993" s="24" t="s">
        <v>27</v>
      </c>
      <c r="I993" s="24" t="s">
        <v>1005</v>
      </c>
      <c r="J993" s="14" t="s">
        <v>29</v>
      </c>
      <c r="K993" s="15" t="s">
        <v>30</v>
      </c>
      <c r="L993" s="62"/>
      <c r="M993" s="14"/>
      <c r="N993" s="14" t="s">
        <v>1069</v>
      </c>
      <c r="O993" s="14"/>
      <c r="P993" s="15" t="s">
        <v>1063</v>
      </c>
      <c r="Q993" s="16">
        <v>6599</v>
      </c>
      <c r="R993" s="17">
        <v>40</v>
      </c>
      <c r="S993" s="18">
        <v>4553.3099999999995</v>
      </c>
      <c r="T993" s="19" t="s">
        <v>36</v>
      </c>
      <c r="U993" s="20" t="s">
        <v>88</v>
      </c>
      <c r="V993" s="21" t="s">
        <v>89</v>
      </c>
      <c r="W993" s="22">
        <v>20</v>
      </c>
      <c r="X993" s="23"/>
    </row>
    <row r="994" spans="1:24" s="1" customFormat="1" ht="17" customHeight="1" x14ac:dyDescent="0.3">
      <c r="A994" s="24" t="s">
        <v>23</v>
      </c>
      <c r="B994" s="24" t="s">
        <v>1060</v>
      </c>
      <c r="C994" s="12" t="s">
        <v>1068</v>
      </c>
      <c r="D994" s="60"/>
      <c r="E994" s="41" t="str">
        <f t="shared" si="26"/>
        <v>Еще фото</v>
      </c>
      <c r="F994" s="28" t="s">
        <v>138</v>
      </c>
      <c r="G994" s="24" t="s">
        <v>1004</v>
      </c>
      <c r="H994" s="24" t="s">
        <v>27</v>
      </c>
      <c r="I994" s="24" t="s">
        <v>1005</v>
      </c>
      <c r="J994" s="14" t="s">
        <v>29</v>
      </c>
      <c r="K994" s="15" t="s">
        <v>30</v>
      </c>
      <c r="L994" s="62"/>
      <c r="M994" s="14"/>
      <c r="N994" s="14" t="s">
        <v>1069</v>
      </c>
      <c r="O994" s="14"/>
      <c r="P994" s="15" t="s">
        <v>1063</v>
      </c>
      <c r="Q994" s="16">
        <v>6599</v>
      </c>
      <c r="R994" s="17">
        <v>40</v>
      </c>
      <c r="S994" s="18">
        <v>4553.3099999999995</v>
      </c>
      <c r="T994" s="19" t="s">
        <v>36</v>
      </c>
      <c r="U994" s="20" t="s">
        <v>90</v>
      </c>
      <c r="V994" s="21" t="s">
        <v>91</v>
      </c>
      <c r="W994" s="22">
        <v>11</v>
      </c>
      <c r="X994" s="23"/>
    </row>
    <row r="995" spans="1:24" s="1" customFormat="1" ht="22.05" customHeight="1" x14ac:dyDescent="0.3">
      <c r="A995" s="24" t="s">
        <v>23</v>
      </c>
      <c r="B995" s="24" t="s">
        <v>1060</v>
      </c>
      <c r="C995" s="12" t="s">
        <v>1068</v>
      </c>
      <c r="D995" s="61"/>
      <c r="E995" s="41" t="str">
        <f t="shared" si="26"/>
        <v>Еще фото</v>
      </c>
      <c r="F995" s="28" t="s">
        <v>138</v>
      </c>
      <c r="G995" s="24" t="s">
        <v>1004</v>
      </c>
      <c r="H995" s="24" t="s">
        <v>27</v>
      </c>
      <c r="I995" s="24" t="s">
        <v>1005</v>
      </c>
      <c r="J995" s="14" t="s">
        <v>29</v>
      </c>
      <c r="K995" s="15" t="s">
        <v>30</v>
      </c>
      <c r="L995" s="58"/>
      <c r="M995" s="14"/>
      <c r="N995" s="14" t="s">
        <v>1069</v>
      </c>
      <c r="O995" s="14"/>
      <c r="P995" s="15" t="s">
        <v>1063</v>
      </c>
      <c r="Q995" s="16">
        <v>6599</v>
      </c>
      <c r="R995" s="17">
        <v>40</v>
      </c>
      <c r="S995" s="18">
        <v>4553.3099999999995</v>
      </c>
      <c r="T995" s="19" t="s">
        <v>36</v>
      </c>
      <c r="U995" s="20" t="s">
        <v>408</v>
      </c>
      <c r="V995" s="21" t="s">
        <v>409</v>
      </c>
      <c r="W995" s="22">
        <v>10</v>
      </c>
      <c r="X995" s="23"/>
    </row>
    <row r="996" spans="1:24" s="1" customFormat="1" ht="108" customHeight="1" x14ac:dyDescent="0.3">
      <c r="A996" s="11" t="s">
        <v>23</v>
      </c>
      <c r="B996" s="11" t="s">
        <v>1045</v>
      </c>
      <c r="C996" s="12" t="s">
        <v>1070</v>
      </c>
      <c r="D996" s="25"/>
      <c r="E996" s="41" t="str">
        <f>HYPERLINK("https://www.google.ru/search?q=1383889-035&amp;newwindow=1&amp;tbm=isch","Еще фото")</f>
        <v>Еще фото</v>
      </c>
      <c r="F996" s="28" t="s">
        <v>152</v>
      </c>
      <c r="G996" s="11" t="s">
        <v>1004</v>
      </c>
      <c r="H996" s="11" t="s">
        <v>27</v>
      </c>
      <c r="I996" s="14" t="s">
        <v>1005</v>
      </c>
      <c r="J996" s="14" t="s">
        <v>29</v>
      </c>
      <c r="K996" s="15" t="s">
        <v>30</v>
      </c>
      <c r="L996" s="14" t="s">
        <v>1062</v>
      </c>
      <c r="M996" s="14"/>
      <c r="N996" s="14" t="s">
        <v>62</v>
      </c>
      <c r="O996" s="14"/>
      <c r="P996" s="15" t="s">
        <v>1063</v>
      </c>
      <c r="Q996" s="16">
        <v>5199</v>
      </c>
      <c r="R996" s="17">
        <v>40</v>
      </c>
      <c r="S996" s="18">
        <v>3587.31</v>
      </c>
      <c r="T996" s="19" t="s">
        <v>36</v>
      </c>
      <c r="U996" s="20" t="s">
        <v>37</v>
      </c>
      <c r="V996" s="21" t="s">
        <v>38</v>
      </c>
      <c r="W996" s="22">
        <v>3</v>
      </c>
      <c r="X996" s="23"/>
    </row>
    <row r="997" spans="1:24" s="1" customFormat="1" ht="26" customHeight="1" x14ac:dyDescent="0.3">
      <c r="A997" s="11" t="s">
        <v>23</v>
      </c>
      <c r="B997" s="11" t="s">
        <v>1065</v>
      </c>
      <c r="C997" s="12" t="s">
        <v>1071</v>
      </c>
      <c r="D997" s="59"/>
      <c r="E997" s="41" t="str">
        <f>HYPERLINK("https://www.google.ru/search?q=1383889-100&amp;newwindow=1&amp;tbm=isch","Еще фото")</f>
        <v>Еще фото</v>
      </c>
      <c r="F997" s="28" t="s">
        <v>138</v>
      </c>
      <c r="G997" s="11" t="s">
        <v>1004</v>
      </c>
      <c r="H997" s="11" t="s">
        <v>27</v>
      </c>
      <c r="I997" s="14" t="s">
        <v>1005</v>
      </c>
      <c r="J997" s="14" t="s">
        <v>29</v>
      </c>
      <c r="K997" s="15" t="s">
        <v>30</v>
      </c>
      <c r="L997" s="57" t="s">
        <v>1072</v>
      </c>
      <c r="M997" s="14"/>
      <c r="N997" s="14" t="s">
        <v>84</v>
      </c>
      <c r="O997" s="14"/>
      <c r="P997" s="15" t="s">
        <v>1067</v>
      </c>
      <c r="Q997" s="16">
        <v>5399</v>
      </c>
      <c r="R997" s="17">
        <v>40</v>
      </c>
      <c r="S997" s="18">
        <v>3725.31</v>
      </c>
      <c r="T997" s="19" t="s">
        <v>36</v>
      </c>
      <c r="U997" s="20" t="s">
        <v>37</v>
      </c>
      <c r="V997" s="21" t="s">
        <v>38</v>
      </c>
      <c r="W997" s="22">
        <v>15</v>
      </c>
      <c r="X997" s="23"/>
    </row>
    <row r="998" spans="1:24" s="1" customFormat="1" ht="26" customHeight="1" x14ac:dyDescent="0.3">
      <c r="A998" s="24" t="s">
        <v>23</v>
      </c>
      <c r="B998" s="24" t="s">
        <v>1065</v>
      </c>
      <c r="C998" s="12" t="s">
        <v>1071</v>
      </c>
      <c r="D998" s="60"/>
      <c r="E998" s="41" t="str">
        <f>HYPERLINK("https://www.google.ru/search?q=1383889-100&amp;newwindow=1&amp;tbm=isch","Еще фото")</f>
        <v>Еще фото</v>
      </c>
      <c r="F998" s="28" t="s">
        <v>138</v>
      </c>
      <c r="G998" s="24" t="s">
        <v>1004</v>
      </c>
      <c r="H998" s="24" t="s">
        <v>27</v>
      </c>
      <c r="I998" s="24" t="s">
        <v>1005</v>
      </c>
      <c r="J998" s="14" t="s">
        <v>29</v>
      </c>
      <c r="K998" s="15" t="s">
        <v>30</v>
      </c>
      <c r="L998" s="62"/>
      <c r="M998" s="14"/>
      <c r="N998" s="14" t="s">
        <v>84</v>
      </c>
      <c r="O998" s="14"/>
      <c r="P998" s="15" t="s">
        <v>1067</v>
      </c>
      <c r="Q998" s="16">
        <v>5399</v>
      </c>
      <c r="R998" s="17">
        <v>40</v>
      </c>
      <c r="S998" s="18">
        <v>3725.31</v>
      </c>
      <c r="T998" s="19" t="s">
        <v>36</v>
      </c>
      <c r="U998" s="20" t="s">
        <v>39</v>
      </c>
      <c r="V998" s="21" t="s">
        <v>40</v>
      </c>
      <c r="W998" s="22">
        <v>20</v>
      </c>
      <c r="X998" s="23"/>
    </row>
    <row r="999" spans="1:24" s="1" customFormat="1" ht="26" customHeight="1" x14ac:dyDescent="0.3">
      <c r="A999" s="24" t="s">
        <v>23</v>
      </c>
      <c r="B999" s="24" t="s">
        <v>1065</v>
      </c>
      <c r="C999" s="12" t="s">
        <v>1071</v>
      </c>
      <c r="D999" s="60"/>
      <c r="E999" s="41" t="str">
        <f>HYPERLINK("https://www.google.ru/search?q=1383889-100&amp;newwindow=1&amp;tbm=isch","Еще фото")</f>
        <v>Еще фото</v>
      </c>
      <c r="F999" s="28" t="s">
        <v>138</v>
      </c>
      <c r="G999" s="24" t="s">
        <v>1004</v>
      </c>
      <c r="H999" s="24" t="s">
        <v>27</v>
      </c>
      <c r="I999" s="24" t="s">
        <v>1005</v>
      </c>
      <c r="J999" s="14" t="s">
        <v>29</v>
      </c>
      <c r="K999" s="15" t="s">
        <v>30</v>
      </c>
      <c r="L999" s="62"/>
      <c r="M999" s="14"/>
      <c r="N999" s="14" t="s">
        <v>84</v>
      </c>
      <c r="O999" s="14"/>
      <c r="P999" s="15" t="s">
        <v>1067</v>
      </c>
      <c r="Q999" s="16">
        <v>5399</v>
      </c>
      <c r="R999" s="17">
        <v>40</v>
      </c>
      <c r="S999" s="18">
        <v>3725.31</v>
      </c>
      <c r="T999" s="19" t="s">
        <v>36</v>
      </c>
      <c r="U999" s="20" t="s">
        <v>86</v>
      </c>
      <c r="V999" s="21" t="s">
        <v>87</v>
      </c>
      <c r="W999" s="22">
        <v>28</v>
      </c>
      <c r="X999" s="23"/>
    </row>
    <row r="1000" spans="1:24" s="1" customFormat="1" ht="26" customHeight="1" x14ac:dyDescent="0.3">
      <c r="A1000" s="24" t="s">
        <v>23</v>
      </c>
      <c r="B1000" s="24" t="s">
        <v>1065</v>
      </c>
      <c r="C1000" s="12" t="s">
        <v>1071</v>
      </c>
      <c r="D1000" s="61"/>
      <c r="E1000" s="41" t="str">
        <f>HYPERLINK("https://www.google.ru/search?q=1383889-100&amp;newwindow=1&amp;tbm=isch","Еще фото")</f>
        <v>Еще фото</v>
      </c>
      <c r="F1000" s="28" t="s">
        <v>138</v>
      </c>
      <c r="G1000" s="24" t="s">
        <v>1004</v>
      </c>
      <c r="H1000" s="24" t="s">
        <v>27</v>
      </c>
      <c r="I1000" s="24" t="s">
        <v>1005</v>
      </c>
      <c r="J1000" s="14" t="s">
        <v>29</v>
      </c>
      <c r="K1000" s="15" t="s">
        <v>30</v>
      </c>
      <c r="L1000" s="58"/>
      <c r="M1000" s="14"/>
      <c r="N1000" s="14" t="s">
        <v>84</v>
      </c>
      <c r="O1000" s="14"/>
      <c r="P1000" s="15" t="s">
        <v>1067</v>
      </c>
      <c r="Q1000" s="16">
        <v>5399</v>
      </c>
      <c r="R1000" s="17">
        <v>40</v>
      </c>
      <c r="S1000" s="18">
        <v>3725.31</v>
      </c>
      <c r="T1000" s="19" t="s">
        <v>36</v>
      </c>
      <c r="U1000" s="20" t="s">
        <v>88</v>
      </c>
      <c r="V1000" s="21" t="s">
        <v>89</v>
      </c>
      <c r="W1000" s="22">
        <v>15</v>
      </c>
      <c r="X1000" s="23"/>
    </row>
    <row r="1001" spans="1:24" s="1" customFormat="1" ht="21" customHeight="1" x14ac:dyDescent="0.3">
      <c r="A1001" s="11" t="s">
        <v>23</v>
      </c>
      <c r="B1001" s="11" t="s">
        <v>1060</v>
      </c>
      <c r="C1001" s="26" t="s">
        <v>1073</v>
      </c>
      <c r="D1001" s="59"/>
      <c r="E1001" s="41" t="str">
        <f>HYPERLINK("https://www.google.ru/search?q=1383889-410&amp;newwindow=1&amp;tbm=isch","Еще фото")</f>
        <v>Еще фото</v>
      </c>
      <c r="F1001" s="28" t="s">
        <v>138</v>
      </c>
      <c r="G1001" s="11" t="s">
        <v>1004</v>
      </c>
      <c r="H1001" s="11" t="s">
        <v>27</v>
      </c>
      <c r="I1001" s="14" t="s">
        <v>1005</v>
      </c>
      <c r="J1001" s="14" t="s">
        <v>29</v>
      </c>
      <c r="K1001" s="15" t="s">
        <v>30</v>
      </c>
      <c r="L1001" s="57" t="s">
        <v>1072</v>
      </c>
      <c r="M1001" s="14"/>
      <c r="N1001" s="14" t="s">
        <v>958</v>
      </c>
      <c r="O1001" s="14"/>
      <c r="P1001" s="15" t="s">
        <v>1063</v>
      </c>
      <c r="Q1001" s="16">
        <v>6599</v>
      </c>
      <c r="R1001" s="17">
        <v>40</v>
      </c>
      <c r="S1001" s="18">
        <v>4553.3099999999995</v>
      </c>
      <c r="T1001" s="19" t="s">
        <v>36</v>
      </c>
      <c r="U1001" s="20" t="s">
        <v>37</v>
      </c>
      <c r="V1001" s="21" t="s">
        <v>38</v>
      </c>
      <c r="W1001" s="22">
        <v>20</v>
      </c>
      <c r="X1001" s="23"/>
    </row>
    <row r="1002" spans="1:24" s="1" customFormat="1" ht="21" customHeight="1" x14ac:dyDescent="0.3">
      <c r="A1002" s="24" t="s">
        <v>23</v>
      </c>
      <c r="B1002" s="24" t="s">
        <v>1060</v>
      </c>
      <c r="C1002" s="27" t="s">
        <v>1073</v>
      </c>
      <c r="D1002" s="60"/>
      <c r="E1002" s="41" t="str">
        <f>HYPERLINK("https://www.google.ru/search?q=1383889-410&amp;newwindow=1&amp;tbm=isch","Еще фото")</f>
        <v>Еще фото</v>
      </c>
      <c r="F1002" s="28" t="s">
        <v>138</v>
      </c>
      <c r="G1002" s="24" t="s">
        <v>1004</v>
      </c>
      <c r="H1002" s="24" t="s">
        <v>27</v>
      </c>
      <c r="I1002" s="24" t="s">
        <v>1005</v>
      </c>
      <c r="J1002" s="14" t="s">
        <v>29</v>
      </c>
      <c r="K1002" s="15" t="s">
        <v>30</v>
      </c>
      <c r="L1002" s="62"/>
      <c r="M1002" s="14"/>
      <c r="N1002" s="14" t="s">
        <v>958</v>
      </c>
      <c r="O1002" s="14"/>
      <c r="P1002" s="15" t="s">
        <v>1063</v>
      </c>
      <c r="Q1002" s="16">
        <v>6599</v>
      </c>
      <c r="R1002" s="17">
        <v>40</v>
      </c>
      <c r="S1002" s="18">
        <v>4553.3099999999995</v>
      </c>
      <c r="T1002" s="19" t="s">
        <v>36</v>
      </c>
      <c r="U1002" s="20" t="s">
        <v>39</v>
      </c>
      <c r="V1002" s="21" t="s">
        <v>40</v>
      </c>
      <c r="W1002" s="22">
        <v>25</v>
      </c>
      <c r="X1002" s="23"/>
    </row>
    <row r="1003" spans="1:24" s="1" customFormat="1" ht="21" customHeight="1" x14ac:dyDescent="0.3">
      <c r="A1003" s="24" t="s">
        <v>23</v>
      </c>
      <c r="B1003" s="24" t="s">
        <v>1060</v>
      </c>
      <c r="C1003" s="27" t="s">
        <v>1073</v>
      </c>
      <c r="D1003" s="60"/>
      <c r="E1003" s="41" t="str">
        <f>HYPERLINK("https://www.google.ru/search?q=1383889-410&amp;newwindow=1&amp;tbm=isch","Еще фото")</f>
        <v>Еще фото</v>
      </c>
      <c r="F1003" s="28" t="s">
        <v>138</v>
      </c>
      <c r="G1003" s="24" t="s">
        <v>1004</v>
      </c>
      <c r="H1003" s="24" t="s">
        <v>27</v>
      </c>
      <c r="I1003" s="24" t="s">
        <v>1005</v>
      </c>
      <c r="J1003" s="14" t="s">
        <v>29</v>
      </c>
      <c r="K1003" s="15" t="s">
        <v>30</v>
      </c>
      <c r="L1003" s="62"/>
      <c r="M1003" s="14"/>
      <c r="N1003" s="14" t="s">
        <v>958</v>
      </c>
      <c r="O1003" s="14"/>
      <c r="P1003" s="15" t="s">
        <v>1063</v>
      </c>
      <c r="Q1003" s="16">
        <v>6599</v>
      </c>
      <c r="R1003" s="17">
        <v>40</v>
      </c>
      <c r="S1003" s="18">
        <v>4553.3099999999995</v>
      </c>
      <c r="T1003" s="19" t="s">
        <v>36</v>
      </c>
      <c r="U1003" s="20" t="s">
        <v>86</v>
      </c>
      <c r="V1003" s="21" t="s">
        <v>87</v>
      </c>
      <c r="W1003" s="22">
        <v>28</v>
      </c>
      <c r="X1003" s="23"/>
    </row>
    <row r="1004" spans="1:24" s="1" customFormat="1" ht="21" customHeight="1" x14ac:dyDescent="0.3">
      <c r="A1004" s="24" t="s">
        <v>23</v>
      </c>
      <c r="B1004" s="24" t="s">
        <v>1060</v>
      </c>
      <c r="C1004" s="27" t="s">
        <v>1073</v>
      </c>
      <c r="D1004" s="60"/>
      <c r="E1004" s="41" t="str">
        <f>HYPERLINK("https://www.google.ru/search?q=1383889-410&amp;newwindow=1&amp;tbm=isch","Еще фото")</f>
        <v>Еще фото</v>
      </c>
      <c r="F1004" s="28" t="s">
        <v>138</v>
      </c>
      <c r="G1004" s="24" t="s">
        <v>1004</v>
      </c>
      <c r="H1004" s="24" t="s">
        <v>27</v>
      </c>
      <c r="I1004" s="24" t="s">
        <v>1005</v>
      </c>
      <c r="J1004" s="14" t="s">
        <v>29</v>
      </c>
      <c r="K1004" s="15" t="s">
        <v>30</v>
      </c>
      <c r="L1004" s="62"/>
      <c r="M1004" s="14"/>
      <c r="N1004" s="14" t="s">
        <v>958</v>
      </c>
      <c r="O1004" s="14"/>
      <c r="P1004" s="15" t="s">
        <v>1063</v>
      </c>
      <c r="Q1004" s="16">
        <v>6599</v>
      </c>
      <c r="R1004" s="17">
        <v>40</v>
      </c>
      <c r="S1004" s="18">
        <v>4553.3099999999995</v>
      </c>
      <c r="T1004" s="19" t="s">
        <v>36</v>
      </c>
      <c r="U1004" s="20" t="s">
        <v>88</v>
      </c>
      <c r="V1004" s="21" t="s">
        <v>89</v>
      </c>
      <c r="W1004" s="22">
        <v>17</v>
      </c>
      <c r="X1004" s="23"/>
    </row>
    <row r="1005" spans="1:24" s="1" customFormat="1" ht="32" customHeight="1" x14ac:dyDescent="0.3">
      <c r="A1005" s="24" t="s">
        <v>23</v>
      </c>
      <c r="B1005" s="24" t="s">
        <v>1060</v>
      </c>
      <c r="C1005" s="27" t="s">
        <v>1073</v>
      </c>
      <c r="D1005" s="61"/>
      <c r="E1005" s="41" t="str">
        <f>HYPERLINK("https://www.google.ru/search?q=1383889-410&amp;newwindow=1&amp;tbm=isch","Еще фото")</f>
        <v>Еще фото</v>
      </c>
      <c r="F1005" s="28" t="s">
        <v>138</v>
      </c>
      <c r="G1005" s="24" t="s">
        <v>1004</v>
      </c>
      <c r="H1005" s="24" t="s">
        <v>27</v>
      </c>
      <c r="I1005" s="24" t="s">
        <v>1005</v>
      </c>
      <c r="J1005" s="14" t="s">
        <v>29</v>
      </c>
      <c r="K1005" s="15" t="s">
        <v>30</v>
      </c>
      <c r="L1005" s="58"/>
      <c r="M1005" s="14"/>
      <c r="N1005" s="14" t="s">
        <v>958</v>
      </c>
      <c r="O1005" s="14"/>
      <c r="P1005" s="15" t="s">
        <v>1063</v>
      </c>
      <c r="Q1005" s="16">
        <v>6599</v>
      </c>
      <c r="R1005" s="17">
        <v>40</v>
      </c>
      <c r="S1005" s="18">
        <v>4553.3099999999995</v>
      </c>
      <c r="T1005" s="19" t="s">
        <v>36</v>
      </c>
      <c r="U1005" s="20" t="s">
        <v>90</v>
      </c>
      <c r="V1005" s="21" t="s">
        <v>91</v>
      </c>
      <c r="W1005" s="22">
        <v>11</v>
      </c>
      <c r="X1005" s="23"/>
    </row>
    <row r="1006" spans="1:24" s="1" customFormat="1" ht="21" customHeight="1" x14ac:dyDescent="0.3">
      <c r="A1006" s="11" t="s">
        <v>23</v>
      </c>
      <c r="B1006" s="11" t="s">
        <v>1074</v>
      </c>
      <c r="C1006" s="26" t="s">
        <v>1075</v>
      </c>
      <c r="D1006" s="59"/>
      <c r="E1006" s="41" t="str">
        <f>HYPERLINK("https://www.google.ru/search?q=1383890-392&amp;newwindow=1&amp;tbm=isch","Еще фото")</f>
        <v>Еще фото</v>
      </c>
      <c r="F1006" s="28" t="s">
        <v>138</v>
      </c>
      <c r="G1006" s="11" t="s">
        <v>1004</v>
      </c>
      <c r="H1006" s="11" t="s">
        <v>27</v>
      </c>
      <c r="I1006" s="14" t="s">
        <v>1005</v>
      </c>
      <c r="J1006" s="14" t="s">
        <v>43</v>
      </c>
      <c r="K1006" s="15" t="s">
        <v>30</v>
      </c>
      <c r="L1006" s="57"/>
      <c r="M1006" s="14"/>
      <c r="N1006" s="14" t="s">
        <v>1076</v>
      </c>
      <c r="O1006" s="14"/>
      <c r="P1006" s="15" t="s">
        <v>1067</v>
      </c>
      <c r="Q1006" s="16">
        <v>5999</v>
      </c>
      <c r="R1006" s="17">
        <v>40</v>
      </c>
      <c r="S1006" s="18">
        <v>4139.3099999999995</v>
      </c>
      <c r="T1006" s="19" t="s">
        <v>36</v>
      </c>
      <c r="U1006" s="20" t="s">
        <v>37</v>
      </c>
      <c r="V1006" s="21" t="s">
        <v>38</v>
      </c>
      <c r="W1006" s="22">
        <v>12</v>
      </c>
      <c r="X1006" s="23"/>
    </row>
    <row r="1007" spans="1:24" s="1" customFormat="1" ht="21" customHeight="1" x14ac:dyDescent="0.3">
      <c r="A1007" s="24" t="s">
        <v>23</v>
      </c>
      <c r="B1007" s="24" t="s">
        <v>1074</v>
      </c>
      <c r="C1007" s="27" t="s">
        <v>1075</v>
      </c>
      <c r="D1007" s="60"/>
      <c r="E1007" s="41" t="str">
        <f>HYPERLINK("https://www.google.ru/search?q=1383890-392&amp;newwindow=1&amp;tbm=isch","Еще фото")</f>
        <v>Еще фото</v>
      </c>
      <c r="F1007" s="28" t="s">
        <v>138</v>
      </c>
      <c r="G1007" s="24" t="s">
        <v>1004</v>
      </c>
      <c r="H1007" s="24" t="s">
        <v>27</v>
      </c>
      <c r="I1007" s="24" t="s">
        <v>1005</v>
      </c>
      <c r="J1007" s="14" t="s">
        <v>43</v>
      </c>
      <c r="K1007" s="15" t="s">
        <v>30</v>
      </c>
      <c r="L1007" s="62"/>
      <c r="M1007" s="14"/>
      <c r="N1007" s="14" t="s">
        <v>1076</v>
      </c>
      <c r="O1007" s="14"/>
      <c r="P1007" s="15" t="s">
        <v>1067</v>
      </c>
      <c r="Q1007" s="16">
        <v>5999</v>
      </c>
      <c r="R1007" s="17">
        <v>40</v>
      </c>
      <c r="S1007" s="18">
        <v>4139.3099999999995</v>
      </c>
      <c r="T1007" s="19" t="s">
        <v>36</v>
      </c>
      <c r="U1007" s="20" t="s">
        <v>39</v>
      </c>
      <c r="V1007" s="21" t="s">
        <v>40</v>
      </c>
      <c r="W1007" s="22">
        <v>14</v>
      </c>
      <c r="X1007" s="23"/>
    </row>
    <row r="1008" spans="1:24" s="1" customFormat="1" ht="21" customHeight="1" x14ac:dyDescent="0.3">
      <c r="A1008" s="24" t="s">
        <v>23</v>
      </c>
      <c r="B1008" s="24" t="s">
        <v>1074</v>
      </c>
      <c r="C1008" s="27" t="s">
        <v>1075</v>
      </c>
      <c r="D1008" s="60"/>
      <c r="E1008" s="41" t="str">
        <f>HYPERLINK("https://www.google.ru/search?q=1383890-392&amp;newwindow=1&amp;tbm=isch","Еще фото")</f>
        <v>Еще фото</v>
      </c>
      <c r="F1008" s="28" t="s">
        <v>138</v>
      </c>
      <c r="G1008" s="24" t="s">
        <v>1004</v>
      </c>
      <c r="H1008" s="24" t="s">
        <v>27</v>
      </c>
      <c r="I1008" s="24" t="s">
        <v>1005</v>
      </c>
      <c r="J1008" s="14" t="s">
        <v>43</v>
      </c>
      <c r="K1008" s="15" t="s">
        <v>30</v>
      </c>
      <c r="L1008" s="62"/>
      <c r="M1008" s="14"/>
      <c r="N1008" s="14" t="s">
        <v>1076</v>
      </c>
      <c r="O1008" s="14"/>
      <c r="P1008" s="15" t="s">
        <v>1067</v>
      </c>
      <c r="Q1008" s="16">
        <v>5999</v>
      </c>
      <c r="R1008" s="17">
        <v>40</v>
      </c>
      <c r="S1008" s="18">
        <v>4139.3099999999995</v>
      </c>
      <c r="T1008" s="19" t="s">
        <v>36</v>
      </c>
      <c r="U1008" s="20" t="s">
        <v>86</v>
      </c>
      <c r="V1008" s="21" t="s">
        <v>87</v>
      </c>
      <c r="W1008" s="22">
        <v>31</v>
      </c>
      <c r="X1008" s="23"/>
    </row>
    <row r="1009" spans="1:24" s="1" customFormat="1" ht="21" customHeight="1" x14ac:dyDescent="0.3">
      <c r="A1009" s="24" t="s">
        <v>23</v>
      </c>
      <c r="B1009" s="24" t="s">
        <v>1074</v>
      </c>
      <c r="C1009" s="27" t="s">
        <v>1075</v>
      </c>
      <c r="D1009" s="60"/>
      <c r="E1009" s="41" t="str">
        <f>HYPERLINK("https://www.google.ru/search?q=1383890-392&amp;newwindow=1&amp;tbm=isch","Еще фото")</f>
        <v>Еще фото</v>
      </c>
      <c r="F1009" s="28" t="s">
        <v>138</v>
      </c>
      <c r="G1009" s="24" t="s">
        <v>1004</v>
      </c>
      <c r="H1009" s="24" t="s">
        <v>27</v>
      </c>
      <c r="I1009" s="24" t="s">
        <v>1005</v>
      </c>
      <c r="J1009" s="14" t="s">
        <v>43</v>
      </c>
      <c r="K1009" s="15" t="s">
        <v>30</v>
      </c>
      <c r="L1009" s="62"/>
      <c r="M1009" s="14"/>
      <c r="N1009" s="14" t="s">
        <v>1076</v>
      </c>
      <c r="O1009" s="14"/>
      <c r="P1009" s="15" t="s">
        <v>1067</v>
      </c>
      <c r="Q1009" s="16">
        <v>5999</v>
      </c>
      <c r="R1009" s="17">
        <v>40</v>
      </c>
      <c r="S1009" s="18">
        <v>4139.3099999999995</v>
      </c>
      <c r="T1009" s="19" t="s">
        <v>36</v>
      </c>
      <c r="U1009" s="20" t="s">
        <v>88</v>
      </c>
      <c r="V1009" s="21" t="s">
        <v>89</v>
      </c>
      <c r="W1009" s="22">
        <v>14</v>
      </c>
      <c r="X1009" s="23"/>
    </row>
    <row r="1010" spans="1:24" s="1" customFormat="1" ht="32" customHeight="1" x14ac:dyDescent="0.3">
      <c r="A1010" s="24" t="s">
        <v>23</v>
      </c>
      <c r="B1010" s="24" t="s">
        <v>1074</v>
      </c>
      <c r="C1010" s="27" t="s">
        <v>1075</v>
      </c>
      <c r="D1010" s="61"/>
      <c r="E1010" s="41" t="str">
        <f>HYPERLINK("https://www.google.ru/search?q=1383890-392&amp;newwindow=1&amp;tbm=isch","Еще фото")</f>
        <v>Еще фото</v>
      </c>
      <c r="F1010" s="28" t="s">
        <v>138</v>
      </c>
      <c r="G1010" s="24" t="s">
        <v>1004</v>
      </c>
      <c r="H1010" s="24" t="s">
        <v>27</v>
      </c>
      <c r="I1010" s="24" t="s">
        <v>1005</v>
      </c>
      <c r="J1010" s="14" t="s">
        <v>43</v>
      </c>
      <c r="K1010" s="15" t="s">
        <v>30</v>
      </c>
      <c r="L1010" s="58"/>
      <c r="M1010" s="14"/>
      <c r="N1010" s="14" t="s">
        <v>1076</v>
      </c>
      <c r="O1010" s="14"/>
      <c r="P1010" s="15" t="s">
        <v>1067</v>
      </c>
      <c r="Q1010" s="16">
        <v>5999</v>
      </c>
      <c r="R1010" s="17">
        <v>40</v>
      </c>
      <c r="S1010" s="18">
        <v>4139.3099999999995</v>
      </c>
      <c r="T1010" s="19" t="s">
        <v>36</v>
      </c>
      <c r="U1010" s="20" t="s">
        <v>90</v>
      </c>
      <c r="V1010" s="21" t="s">
        <v>91</v>
      </c>
      <c r="W1010" s="22">
        <v>1</v>
      </c>
      <c r="X1010" s="23"/>
    </row>
    <row r="1011" spans="1:24" s="1" customFormat="1" ht="21" customHeight="1" x14ac:dyDescent="0.3">
      <c r="A1011" s="11" t="s">
        <v>23</v>
      </c>
      <c r="B1011" s="11" t="s">
        <v>1060</v>
      </c>
      <c r="C1011" s="26" t="s">
        <v>1077</v>
      </c>
      <c r="D1011" s="59"/>
      <c r="E1011" s="41" t="str">
        <f>HYPERLINK("https://www.google.ru/search?q=1383891-001&amp;newwindow=1&amp;tbm=isch","Еще фото")</f>
        <v>Еще фото</v>
      </c>
      <c r="F1011" s="28" t="s">
        <v>138</v>
      </c>
      <c r="G1011" s="11" t="s">
        <v>1004</v>
      </c>
      <c r="H1011" s="11" t="s">
        <v>27</v>
      </c>
      <c r="I1011" s="14" t="s">
        <v>1005</v>
      </c>
      <c r="J1011" s="14" t="s">
        <v>29</v>
      </c>
      <c r="K1011" s="15" t="s">
        <v>30</v>
      </c>
      <c r="L1011" s="57" t="s">
        <v>1078</v>
      </c>
      <c r="M1011" s="14"/>
      <c r="N1011" s="14" t="s">
        <v>33</v>
      </c>
      <c r="O1011" s="14"/>
      <c r="P1011" s="15" t="s">
        <v>1063</v>
      </c>
      <c r="Q1011" s="16">
        <v>6499</v>
      </c>
      <c r="R1011" s="17">
        <v>40</v>
      </c>
      <c r="S1011" s="18">
        <v>4484.3099999999995</v>
      </c>
      <c r="T1011" s="19" t="s">
        <v>36</v>
      </c>
      <c r="U1011" s="20" t="s">
        <v>37</v>
      </c>
      <c r="V1011" s="21" t="s">
        <v>38</v>
      </c>
      <c r="W1011" s="22">
        <v>18</v>
      </c>
      <c r="X1011" s="23"/>
    </row>
    <row r="1012" spans="1:24" s="1" customFormat="1" ht="21" customHeight="1" x14ac:dyDescent="0.3">
      <c r="A1012" s="24" t="s">
        <v>23</v>
      </c>
      <c r="B1012" s="24" t="s">
        <v>1060</v>
      </c>
      <c r="C1012" s="27" t="s">
        <v>1077</v>
      </c>
      <c r="D1012" s="60"/>
      <c r="E1012" s="41" t="str">
        <f>HYPERLINK("https://www.google.ru/search?q=1383891-001&amp;newwindow=1&amp;tbm=isch","Еще фото")</f>
        <v>Еще фото</v>
      </c>
      <c r="F1012" s="28" t="s">
        <v>138</v>
      </c>
      <c r="G1012" s="24" t="s">
        <v>1004</v>
      </c>
      <c r="H1012" s="24" t="s">
        <v>27</v>
      </c>
      <c r="I1012" s="24" t="s">
        <v>1005</v>
      </c>
      <c r="J1012" s="14" t="s">
        <v>29</v>
      </c>
      <c r="K1012" s="15" t="s">
        <v>30</v>
      </c>
      <c r="L1012" s="62"/>
      <c r="M1012" s="14"/>
      <c r="N1012" s="14" t="s">
        <v>33</v>
      </c>
      <c r="O1012" s="14"/>
      <c r="P1012" s="15" t="s">
        <v>1063</v>
      </c>
      <c r="Q1012" s="16">
        <v>6499</v>
      </c>
      <c r="R1012" s="17">
        <v>40</v>
      </c>
      <c r="S1012" s="18">
        <v>4484.3099999999995</v>
      </c>
      <c r="T1012" s="19" t="s">
        <v>36</v>
      </c>
      <c r="U1012" s="20" t="s">
        <v>39</v>
      </c>
      <c r="V1012" s="21" t="s">
        <v>40</v>
      </c>
      <c r="W1012" s="22">
        <v>21</v>
      </c>
      <c r="X1012" s="23"/>
    </row>
    <row r="1013" spans="1:24" s="1" customFormat="1" ht="21" customHeight="1" x14ac:dyDescent="0.3">
      <c r="A1013" s="24" t="s">
        <v>23</v>
      </c>
      <c r="B1013" s="24" t="s">
        <v>1060</v>
      </c>
      <c r="C1013" s="27" t="s">
        <v>1077</v>
      </c>
      <c r="D1013" s="60"/>
      <c r="E1013" s="41" t="str">
        <f>HYPERLINK("https://www.google.ru/search?q=1383891-001&amp;newwindow=1&amp;tbm=isch","Еще фото")</f>
        <v>Еще фото</v>
      </c>
      <c r="F1013" s="28" t="s">
        <v>138</v>
      </c>
      <c r="G1013" s="24" t="s">
        <v>1004</v>
      </c>
      <c r="H1013" s="24" t="s">
        <v>27</v>
      </c>
      <c r="I1013" s="24" t="s">
        <v>1005</v>
      </c>
      <c r="J1013" s="14" t="s">
        <v>29</v>
      </c>
      <c r="K1013" s="15" t="s">
        <v>30</v>
      </c>
      <c r="L1013" s="62"/>
      <c r="M1013" s="14"/>
      <c r="N1013" s="14" t="s">
        <v>33</v>
      </c>
      <c r="O1013" s="14"/>
      <c r="P1013" s="15" t="s">
        <v>1063</v>
      </c>
      <c r="Q1013" s="16">
        <v>6499</v>
      </c>
      <c r="R1013" s="17">
        <v>40</v>
      </c>
      <c r="S1013" s="18">
        <v>4484.3099999999995</v>
      </c>
      <c r="T1013" s="19" t="s">
        <v>36</v>
      </c>
      <c r="U1013" s="20" t="s">
        <v>86</v>
      </c>
      <c r="V1013" s="21" t="s">
        <v>87</v>
      </c>
      <c r="W1013" s="22">
        <v>28</v>
      </c>
      <c r="X1013" s="23"/>
    </row>
    <row r="1014" spans="1:24" s="1" customFormat="1" ht="21" customHeight="1" x14ac:dyDescent="0.3">
      <c r="A1014" s="24" t="s">
        <v>23</v>
      </c>
      <c r="B1014" s="24" t="s">
        <v>1060</v>
      </c>
      <c r="C1014" s="27" t="s">
        <v>1077</v>
      </c>
      <c r="D1014" s="60"/>
      <c r="E1014" s="41" t="str">
        <f>HYPERLINK("https://www.google.ru/search?q=1383891-001&amp;newwindow=1&amp;tbm=isch","Еще фото")</f>
        <v>Еще фото</v>
      </c>
      <c r="F1014" s="28" t="s">
        <v>138</v>
      </c>
      <c r="G1014" s="24" t="s">
        <v>1004</v>
      </c>
      <c r="H1014" s="24" t="s">
        <v>27</v>
      </c>
      <c r="I1014" s="24" t="s">
        <v>1005</v>
      </c>
      <c r="J1014" s="14" t="s">
        <v>29</v>
      </c>
      <c r="K1014" s="15" t="s">
        <v>30</v>
      </c>
      <c r="L1014" s="62"/>
      <c r="M1014" s="14"/>
      <c r="N1014" s="14" t="s">
        <v>33</v>
      </c>
      <c r="O1014" s="14"/>
      <c r="P1014" s="15" t="s">
        <v>1063</v>
      </c>
      <c r="Q1014" s="16">
        <v>6499</v>
      </c>
      <c r="R1014" s="17">
        <v>40</v>
      </c>
      <c r="S1014" s="18">
        <v>4484.3099999999995</v>
      </c>
      <c r="T1014" s="19" t="s">
        <v>36</v>
      </c>
      <c r="U1014" s="20" t="s">
        <v>88</v>
      </c>
      <c r="V1014" s="21" t="s">
        <v>89</v>
      </c>
      <c r="W1014" s="22">
        <v>13</v>
      </c>
      <c r="X1014" s="23"/>
    </row>
    <row r="1015" spans="1:24" s="1" customFormat="1" ht="32" customHeight="1" x14ac:dyDescent="0.3">
      <c r="A1015" s="24" t="s">
        <v>23</v>
      </c>
      <c r="B1015" s="24" t="s">
        <v>1060</v>
      </c>
      <c r="C1015" s="27" t="s">
        <v>1077</v>
      </c>
      <c r="D1015" s="61"/>
      <c r="E1015" s="41" t="str">
        <f>HYPERLINK("https://www.google.ru/search?q=1383891-001&amp;newwindow=1&amp;tbm=isch","Еще фото")</f>
        <v>Еще фото</v>
      </c>
      <c r="F1015" s="28" t="s">
        <v>138</v>
      </c>
      <c r="G1015" s="24" t="s">
        <v>1004</v>
      </c>
      <c r="H1015" s="24" t="s">
        <v>27</v>
      </c>
      <c r="I1015" s="24" t="s">
        <v>1005</v>
      </c>
      <c r="J1015" s="14" t="s">
        <v>29</v>
      </c>
      <c r="K1015" s="15" t="s">
        <v>30</v>
      </c>
      <c r="L1015" s="58"/>
      <c r="M1015" s="14"/>
      <c r="N1015" s="14" t="s">
        <v>33</v>
      </c>
      <c r="O1015" s="14"/>
      <c r="P1015" s="15" t="s">
        <v>1063</v>
      </c>
      <c r="Q1015" s="16">
        <v>6499</v>
      </c>
      <c r="R1015" s="17">
        <v>40</v>
      </c>
      <c r="S1015" s="18">
        <v>4484.3099999999995</v>
      </c>
      <c r="T1015" s="19" t="s">
        <v>36</v>
      </c>
      <c r="U1015" s="20" t="s">
        <v>90</v>
      </c>
      <c r="V1015" s="21" t="s">
        <v>91</v>
      </c>
      <c r="W1015" s="22">
        <v>9</v>
      </c>
      <c r="X1015" s="23"/>
    </row>
    <row r="1016" spans="1:24" s="1" customFormat="1" ht="17" customHeight="1" x14ac:dyDescent="0.3">
      <c r="A1016" s="11" t="s">
        <v>23</v>
      </c>
      <c r="B1016" s="11" t="s">
        <v>1045</v>
      </c>
      <c r="C1016" s="12" t="s">
        <v>1079</v>
      </c>
      <c r="D1016" s="59"/>
      <c r="E1016" s="41" t="str">
        <f t="shared" ref="E1016:E1021" si="27">HYPERLINK("https://www.google.ru/search?q=1383891-005&amp;newwindow=1&amp;tbm=isch","Еще фото")</f>
        <v>Еще фото</v>
      </c>
      <c r="F1016" s="28" t="s">
        <v>152</v>
      </c>
      <c r="G1016" s="11" t="s">
        <v>1004</v>
      </c>
      <c r="H1016" s="11" t="s">
        <v>27</v>
      </c>
      <c r="I1016" s="14" t="s">
        <v>1005</v>
      </c>
      <c r="J1016" s="14" t="s">
        <v>29</v>
      </c>
      <c r="K1016" s="15" t="s">
        <v>30</v>
      </c>
      <c r="L1016" s="57" t="s">
        <v>1078</v>
      </c>
      <c r="M1016" s="14"/>
      <c r="N1016" s="14" t="s">
        <v>33</v>
      </c>
      <c r="O1016" s="14"/>
      <c r="P1016" s="15" t="s">
        <v>1063</v>
      </c>
      <c r="Q1016" s="16">
        <v>5399</v>
      </c>
      <c r="R1016" s="17">
        <v>40</v>
      </c>
      <c r="S1016" s="18">
        <v>3725.31</v>
      </c>
      <c r="T1016" s="19" t="s">
        <v>36</v>
      </c>
      <c r="U1016" s="20" t="s">
        <v>37</v>
      </c>
      <c r="V1016" s="21" t="s">
        <v>38</v>
      </c>
      <c r="W1016" s="22">
        <v>12</v>
      </c>
      <c r="X1016" s="23"/>
    </row>
    <row r="1017" spans="1:24" s="1" customFormat="1" ht="17" customHeight="1" x14ac:dyDescent="0.3">
      <c r="A1017" s="24" t="s">
        <v>23</v>
      </c>
      <c r="B1017" s="24" t="s">
        <v>1045</v>
      </c>
      <c r="C1017" s="12" t="s">
        <v>1079</v>
      </c>
      <c r="D1017" s="60"/>
      <c r="E1017" s="41" t="str">
        <f t="shared" si="27"/>
        <v>Еще фото</v>
      </c>
      <c r="F1017" s="28" t="s">
        <v>152</v>
      </c>
      <c r="G1017" s="24" t="s">
        <v>1004</v>
      </c>
      <c r="H1017" s="24" t="s">
        <v>27</v>
      </c>
      <c r="I1017" s="24" t="s">
        <v>1005</v>
      </c>
      <c r="J1017" s="14" t="s">
        <v>29</v>
      </c>
      <c r="K1017" s="15" t="s">
        <v>30</v>
      </c>
      <c r="L1017" s="62"/>
      <c r="M1017" s="14"/>
      <c r="N1017" s="14" t="s">
        <v>33</v>
      </c>
      <c r="O1017" s="14"/>
      <c r="P1017" s="15" t="s">
        <v>1063</v>
      </c>
      <c r="Q1017" s="16">
        <v>5399</v>
      </c>
      <c r="R1017" s="17">
        <v>40</v>
      </c>
      <c r="S1017" s="18">
        <v>3725.31</v>
      </c>
      <c r="T1017" s="19" t="s">
        <v>36</v>
      </c>
      <c r="U1017" s="20" t="s">
        <v>39</v>
      </c>
      <c r="V1017" s="21" t="s">
        <v>40</v>
      </c>
      <c r="W1017" s="22">
        <v>22</v>
      </c>
      <c r="X1017" s="23"/>
    </row>
    <row r="1018" spans="1:24" s="1" customFormat="1" ht="17" customHeight="1" x14ac:dyDescent="0.3">
      <c r="A1018" s="24" t="s">
        <v>23</v>
      </c>
      <c r="B1018" s="24" t="s">
        <v>1045</v>
      </c>
      <c r="C1018" s="12" t="s">
        <v>1079</v>
      </c>
      <c r="D1018" s="60"/>
      <c r="E1018" s="41" t="str">
        <f t="shared" si="27"/>
        <v>Еще фото</v>
      </c>
      <c r="F1018" s="28" t="s">
        <v>152</v>
      </c>
      <c r="G1018" s="24" t="s">
        <v>1004</v>
      </c>
      <c r="H1018" s="24" t="s">
        <v>27</v>
      </c>
      <c r="I1018" s="24" t="s">
        <v>1005</v>
      </c>
      <c r="J1018" s="14" t="s">
        <v>29</v>
      </c>
      <c r="K1018" s="15" t="s">
        <v>30</v>
      </c>
      <c r="L1018" s="62"/>
      <c r="M1018" s="14"/>
      <c r="N1018" s="14" t="s">
        <v>33</v>
      </c>
      <c r="O1018" s="14"/>
      <c r="P1018" s="15" t="s">
        <v>1063</v>
      </c>
      <c r="Q1018" s="16">
        <v>5399</v>
      </c>
      <c r="R1018" s="17">
        <v>40</v>
      </c>
      <c r="S1018" s="18">
        <v>3725.31</v>
      </c>
      <c r="T1018" s="19" t="s">
        <v>36</v>
      </c>
      <c r="U1018" s="20" t="s">
        <v>86</v>
      </c>
      <c r="V1018" s="21" t="s">
        <v>87</v>
      </c>
      <c r="W1018" s="22">
        <v>34</v>
      </c>
      <c r="X1018" s="23"/>
    </row>
    <row r="1019" spans="1:24" s="1" customFormat="1" ht="17" customHeight="1" x14ac:dyDescent="0.3">
      <c r="A1019" s="24" t="s">
        <v>23</v>
      </c>
      <c r="B1019" s="24" t="s">
        <v>1045</v>
      </c>
      <c r="C1019" s="12" t="s">
        <v>1079</v>
      </c>
      <c r="D1019" s="60"/>
      <c r="E1019" s="41" t="str">
        <f t="shared" si="27"/>
        <v>Еще фото</v>
      </c>
      <c r="F1019" s="28" t="s">
        <v>152</v>
      </c>
      <c r="G1019" s="24" t="s">
        <v>1004</v>
      </c>
      <c r="H1019" s="24" t="s">
        <v>27</v>
      </c>
      <c r="I1019" s="24" t="s">
        <v>1005</v>
      </c>
      <c r="J1019" s="14" t="s">
        <v>29</v>
      </c>
      <c r="K1019" s="15" t="s">
        <v>30</v>
      </c>
      <c r="L1019" s="62"/>
      <c r="M1019" s="14"/>
      <c r="N1019" s="14" t="s">
        <v>33</v>
      </c>
      <c r="O1019" s="14"/>
      <c r="P1019" s="15" t="s">
        <v>1063</v>
      </c>
      <c r="Q1019" s="16">
        <v>5399</v>
      </c>
      <c r="R1019" s="17">
        <v>40</v>
      </c>
      <c r="S1019" s="18">
        <v>3725.31</v>
      </c>
      <c r="T1019" s="19" t="s">
        <v>36</v>
      </c>
      <c r="U1019" s="20" t="s">
        <v>88</v>
      </c>
      <c r="V1019" s="21" t="s">
        <v>89</v>
      </c>
      <c r="W1019" s="22">
        <v>22</v>
      </c>
      <c r="X1019" s="23"/>
    </row>
    <row r="1020" spans="1:24" s="1" customFormat="1" ht="17" customHeight="1" x14ac:dyDescent="0.3">
      <c r="A1020" s="24" t="s">
        <v>23</v>
      </c>
      <c r="B1020" s="24" t="s">
        <v>1045</v>
      </c>
      <c r="C1020" s="12" t="s">
        <v>1079</v>
      </c>
      <c r="D1020" s="60"/>
      <c r="E1020" s="41" t="str">
        <f t="shared" si="27"/>
        <v>Еще фото</v>
      </c>
      <c r="F1020" s="28" t="s">
        <v>152</v>
      </c>
      <c r="G1020" s="24" t="s">
        <v>1004</v>
      </c>
      <c r="H1020" s="24" t="s">
        <v>27</v>
      </c>
      <c r="I1020" s="24" t="s">
        <v>1005</v>
      </c>
      <c r="J1020" s="14" t="s">
        <v>29</v>
      </c>
      <c r="K1020" s="15" t="s">
        <v>30</v>
      </c>
      <c r="L1020" s="62"/>
      <c r="M1020" s="14"/>
      <c r="N1020" s="14" t="s">
        <v>33</v>
      </c>
      <c r="O1020" s="14"/>
      <c r="P1020" s="15" t="s">
        <v>1063</v>
      </c>
      <c r="Q1020" s="16">
        <v>5399</v>
      </c>
      <c r="R1020" s="17">
        <v>40</v>
      </c>
      <c r="S1020" s="18">
        <v>3725.31</v>
      </c>
      <c r="T1020" s="19" t="s">
        <v>36</v>
      </c>
      <c r="U1020" s="20" t="s">
        <v>90</v>
      </c>
      <c r="V1020" s="21" t="s">
        <v>91</v>
      </c>
      <c r="W1020" s="22">
        <v>10</v>
      </c>
      <c r="X1020" s="23"/>
    </row>
    <row r="1021" spans="1:24" s="1" customFormat="1" ht="22.05" customHeight="1" x14ac:dyDescent="0.3">
      <c r="A1021" s="24" t="s">
        <v>23</v>
      </c>
      <c r="B1021" s="24" t="s">
        <v>1045</v>
      </c>
      <c r="C1021" s="12" t="s">
        <v>1079</v>
      </c>
      <c r="D1021" s="61"/>
      <c r="E1021" s="41" t="str">
        <f t="shared" si="27"/>
        <v>Еще фото</v>
      </c>
      <c r="F1021" s="28" t="s">
        <v>152</v>
      </c>
      <c r="G1021" s="24" t="s">
        <v>1004</v>
      </c>
      <c r="H1021" s="24" t="s">
        <v>27</v>
      </c>
      <c r="I1021" s="24" t="s">
        <v>1005</v>
      </c>
      <c r="J1021" s="14" t="s">
        <v>29</v>
      </c>
      <c r="K1021" s="15" t="s">
        <v>30</v>
      </c>
      <c r="L1021" s="58"/>
      <c r="M1021" s="14"/>
      <c r="N1021" s="14" t="s">
        <v>33</v>
      </c>
      <c r="O1021" s="14"/>
      <c r="P1021" s="15" t="s">
        <v>1063</v>
      </c>
      <c r="Q1021" s="16">
        <v>5399</v>
      </c>
      <c r="R1021" s="17">
        <v>40</v>
      </c>
      <c r="S1021" s="18">
        <v>3725.31</v>
      </c>
      <c r="T1021" s="19" t="s">
        <v>36</v>
      </c>
      <c r="U1021" s="20" t="s">
        <v>408</v>
      </c>
      <c r="V1021" s="21" t="s">
        <v>409</v>
      </c>
      <c r="W1021" s="22">
        <v>10</v>
      </c>
      <c r="X1021" s="23"/>
    </row>
    <row r="1022" spans="1:24" s="1" customFormat="1" ht="26" customHeight="1" x14ac:dyDescent="0.3">
      <c r="A1022" s="11" t="s">
        <v>23</v>
      </c>
      <c r="B1022" s="11" t="s">
        <v>1080</v>
      </c>
      <c r="C1022" s="12" t="s">
        <v>1081</v>
      </c>
      <c r="D1022" s="59"/>
      <c r="E1022" s="41" t="str">
        <f>HYPERLINK("https://www.google.ru/search?q=1383891-006&amp;newwindow=1&amp;tbm=isch","Еще фото")</f>
        <v>Еще фото</v>
      </c>
      <c r="F1022" s="28" t="s">
        <v>138</v>
      </c>
      <c r="G1022" s="11" t="s">
        <v>1004</v>
      </c>
      <c r="H1022" s="11" t="s">
        <v>27</v>
      </c>
      <c r="I1022" s="14" t="s">
        <v>1005</v>
      </c>
      <c r="J1022" s="14" t="s">
        <v>29</v>
      </c>
      <c r="K1022" s="15" t="s">
        <v>30</v>
      </c>
      <c r="L1022" s="57"/>
      <c r="M1022" s="14"/>
      <c r="N1022" s="14" t="s">
        <v>33</v>
      </c>
      <c r="O1022" s="14"/>
      <c r="P1022" s="15" t="s">
        <v>1067</v>
      </c>
      <c r="Q1022" s="16">
        <v>5399</v>
      </c>
      <c r="R1022" s="17">
        <v>40</v>
      </c>
      <c r="S1022" s="18">
        <v>3725.31</v>
      </c>
      <c r="T1022" s="19" t="s">
        <v>36</v>
      </c>
      <c r="U1022" s="20" t="s">
        <v>37</v>
      </c>
      <c r="V1022" s="21" t="s">
        <v>38</v>
      </c>
      <c r="W1022" s="22">
        <v>12</v>
      </c>
      <c r="X1022" s="23"/>
    </row>
    <row r="1023" spans="1:24" s="1" customFormat="1" ht="26" customHeight="1" x14ac:dyDescent="0.3">
      <c r="A1023" s="24" t="s">
        <v>23</v>
      </c>
      <c r="B1023" s="24" t="s">
        <v>1080</v>
      </c>
      <c r="C1023" s="12" t="s">
        <v>1081</v>
      </c>
      <c r="D1023" s="60"/>
      <c r="E1023" s="41" t="str">
        <f>HYPERLINK("https://www.google.ru/search?q=1383891-006&amp;newwindow=1&amp;tbm=isch","Еще фото")</f>
        <v>Еще фото</v>
      </c>
      <c r="F1023" s="28" t="s">
        <v>138</v>
      </c>
      <c r="G1023" s="24" t="s">
        <v>1004</v>
      </c>
      <c r="H1023" s="24" t="s">
        <v>27</v>
      </c>
      <c r="I1023" s="24" t="s">
        <v>1005</v>
      </c>
      <c r="J1023" s="14" t="s">
        <v>29</v>
      </c>
      <c r="K1023" s="15" t="s">
        <v>30</v>
      </c>
      <c r="L1023" s="62"/>
      <c r="M1023" s="14"/>
      <c r="N1023" s="14" t="s">
        <v>33</v>
      </c>
      <c r="O1023" s="14"/>
      <c r="P1023" s="15" t="s">
        <v>1067</v>
      </c>
      <c r="Q1023" s="16">
        <v>5399</v>
      </c>
      <c r="R1023" s="17">
        <v>40</v>
      </c>
      <c r="S1023" s="18">
        <v>3725.31</v>
      </c>
      <c r="T1023" s="19" t="s">
        <v>36</v>
      </c>
      <c r="U1023" s="20" t="s">
        <v>39</v>
      </c>
      <c r="V1023" s="21" t="s">
        <v>40</v>
      </c>
      <c r="W1023" s="22">
        <v>22</v>
      </c>
      <c r="X1023" s="23"/>
    </row>
    <row r="1024" spans="1:24" s="1" customFormat="1" ht="26" customHeight="1" x14ac:dyDescent="0.3">
      <c r="A1024" s="24" t="s">
        <v>23</v>
      </c>
      <c r="B1024" s="24" t="s">
        <v>1080</v>
      </c>
      <c r="C1024" s="12" t="s">
        <v>1081</v>
      </c>
      <c r="D1024" s="60"/>
      <c r="E1024" s="41" t="str">
        <f>HYPERLINK("https://www.google.ru/search?q=1383891-006&amp;newwindow=1&amp;tbm=isch","Еще фото")</f>
        <v>Еще фото</v>
      </c>
      <c r="F1024" s="28" t="s">
        <v>138</v>
      </c>
      <c r="G1024" s="24" t="s">
        <v>1004</v>
      </c>
      <c r="H1024" s="24" t="s">
        <v>27</v>
      </c>
      <c r="I1024" s="24" t="s">
        <v>1005</v>
      </c>
      <c r="J1024" s="14" t="s">
        <v>29</v>
      </c>
      <c r="K1024" s="15" t="s">
        <v>30</v>
      </c>
      <c r="L1024" s="62"/>
      <c r="M1024" s="14"/>
      <c r="N1024" s="14" t="s">
        <v>33</v>
      </c>
      <c r="O1024" s="14"/>
      <c r="P1024" s="15" t="s">
        <v>1067</v>
      </c>
      <c r="Q1024" s="16">
        <v>5399</v>
      </c>
      <c r="R1024" s="17">
        <v>40</v>
      </c>
      <c r="S1024" s="18">
        <v>3725.31</v>
      </c>
      <c r="T1024" s="19" t="s">
        <v>36</v>
      </c>
      <c r="U1024" s="20" t="s">
        <v>86</v>
      </c>
      <c r="V1024" s="21" t="s">
        <v>87</v>
      </c>
      <c r="W1024" s="22">
        <v>34</v>
      </c>
      <c r="X1024" s="23"/>
    </row>
    <row r="1025" spans="1:24" s="1" customFormat="1" ht="26" customHeight="1" x14ac:dyDescent="0.3">
      <c r="A1025" s="24" t="s">
        <v>23</v>
      </c>
      <c r="B1025" s="24" t="s">
        <v>1080</v>
      </c>
      <c r="C1025" s="12" t="s">
        <v>1081</v>
      </c>
      <c r="D1025" s="61"/>
      <c r="E1025" s="41" t="str">
        <f>HYPERLINK("https://www.google.ru/search?q=1383891-006&amp;newwindow=1&amp;tbm=isch","Еще фото")</f>
        <v>Еще фото</v>
      </c>
      <c r="F1025" s="28" t="s">
        <v>138</v>
      </c>
      <c r="G1025" s="24" t="s">
        <v>1004</v>
      </c>
      <c r="H1025" s="24" t="s">
        <v>27</v>
      </c>
      <c r="I1025" s="24" t="s">
        <v>1005</v>
      </c>
      <c r="J1025" s="14" t="s">
        <v>29</v>
      </c>
      <c r="K1025" s="15" t="s">
        <v>30</v>
      </c>
      <c r="L1025" s="58"/>
      <c r="M1025" s="14"/>
      <c r="N1025" s="14" t="s">
        <v>33</v>
      </c>
      <c r="O1025" s="14"/>
      <c r="P1025" s="15" t="s">
        <v>1067</v>
      </c>
      <c r="Q1025" s="16">
        <v>5399</v>
      </c>
      <c r="R1025" s="17">
        <v>40</v>
      </c>
      <c r="S1025" s="18">
        <v>3725.31</v>
      </c>
      <c r="T1025" s="19" t="s">
        <v>36</v>
      </c>
      <c r="U1025" s="20" t="s">
        <v>88</v>
      </c>
      <c r="V1025" s="21" t="s">
        <v>89</v>
      </c>
      <c r="W1025" s="22">
        <v>22</v>
      </c>
      <c r="X1025" s="23"/>
    </row>
    <row r="1026" spans="1:24" s="1" customFormat="1" ht="17" customHeight="1" x14ac:dyDescent="0.3">
      <c r="A1026" s="11" t="s">
        <v>23</v>
      </c>
      <c r="B1026" s="11" t="s">
        <v>1060</v>
      </c>
      <c r="C1026" s="12" t="s">
        <v>1082</v>
      </c>
      <c r="D1026" s="59"/>
      <c r="E1026" s="41" t="str">
        <f t="shared" ref="E1026:E1031" si="28">HYPERLINK("https://www.google.ru/search?q=1383891-025&amp;newwindow=1&amp;tbm=isch","Еще фото")</f>
        <v>Еще фото</v>
      </c>
      <c r="F1026" s="28" t="s">
        <v>152</v>
      </c>
      <c r="G1026" s="11" t="s">
        <v>1004</v>
      </c>
      <c r="H1026" s="11" t="s">
        <v>27</v>
      </c>
      <c r="I1026" s="14" t="s">
        <v>1005</v>
      </c>
      <c r="J1026" s="14" t="s">
        <v>29</v>
      </c>
      <c r="K1026" s="15" t="s">
        <v>30</v>
      </c>
      <c r="L1026" s="57" t="s">
        <v>1078</v>
      </c>
      <c r="M1026" s="14"/>
      <c r="N1026" s="14" t="s">
        <v>1069</v>
      </c>
      <c r="O1026" s="14"/>
      <c r="P1026" s="15" t="s">
        <v>1063</v>
      </c>
      <c r="Q1026" s="16">
        <v>6499</v>
      </c>
      <c r="R1026" s="17">
        <v>40</v>
      </c>
      <c r="S1026" s="18">
        <v>4484.3099999999995</v>
      </c>
      <c r="T1026" s="19" t="s">
        <v>36</v>
      </c>
      <c r="U1026" s="20" t="s">
        <v>37</v>
      </c>
      <c r="V1026" s="21" t="s">
        <v>38</v>
      </c>
      <c r="W1026" s="22">
        <v>20</v>
      </c>
      <c r="X1026" s="23"/>
    </row>
    <row r="1027" spans="1:24" s="1" customFormat="1" ht="17" customHeight="1" x14ac:dyDescent="0.3">
      <c r="A1027" s="24" t="s">
        <v>23</v>
      </c>
      <c r="B1027" s="24" t="s">
        <v>1060</v>
      </c>
      <c r="C1027" s="12" t="s">
        <v>1082</v>
      </c>
      <c r="D1027" s="60"/>
      <c r="E1027" s="41" t="str">
        <f t="shared" si="28"/>
        <v>Еще фото</v>
      </c>
      <c r="F1027" s="28" t="s">
        <v>152</v>
      </c>
      <c r="G1027" s="24" t="s">
        <v>1004</v>
      </c>
      <c r="H1027" s="24" t="s">
        <v>27</v>
      </c>
      <c r="I1027" s="24" t="s">
        <v>1005</v>
      </c>
      <c r="J1027" s="14" t="s">
        <v>29</v>
      </c>
      <c r="K1027" s="15" t="s">
        <v>30</v>
      </c>
      <c r="L1027" s="62"/>
      <c r="M1027" s="14"/>
      <c r="N1027" s="14" t="s">
        <v>1069</v>
      </c>
      <c r="O1027" s="14"/>
      <c r="P1027" s="15" t="s">
        <v>1063</v>
      </c>
      <c r="Q1027" s="16">
        <v>6499</v>
      </c>
      <c r="R1027" s="17">
        <v>40</v>
      </c>
      <c r="S1027" s="18">
        <v>4484.3099999999995</v>
      </c>
      <c r="T1027" s="19" t="s">
        <v>36</v>
      </c>
      <c r="U1027" s="20" t="s">
        <v>39</v>
      </c>
      <c r="V1027" s="21" t="s">
        <v>40</v>
      </c>
      <c r="W1027" s="22">
        <v>16</v>
      </c>
      <c r="X1027" s="23"/>
    </row>
    <row r="1028" spans="1:24" s="1" customFormat="1" ht="17" customHeight="1" x14ac:dyDescent="0.3">
      <c r="A1028" s="24" t="s">
        <v>23</v>
      </c>
      <c r="B1028" s="24" t="s">
        <v>1060</v>
      </c>
      <c r="C1028" s="12" t="s">
        <v>1082</v>
      </c>
      <c r="D1028" s="60"/>
      <c r="E1028" s="41" t="str">
        <f t="shared" si="28"/>
        <v>Еще фото</v>
      </c>
      <c r="F1028" s="28" t="s">
        <v>152</v>
      </c>
      <c r="G1028" s="24" t="s">
        <v>1004</v>
      </c>
      <c r="H1028" s="24" t="s">
        <v>27</v>
      </c>
      <c r="I1028" s="24" t="s">
        <v>1005</v>
      </c>
      <c r="J1028" s="14" t="s">
        <v>29</v>
      </c>
      <c r="K1028" s="15" t="s">
        <v>30</v>
      </c>
      <c r="L1028" s="62"/>
      <c r="M1028" s="14"/>
      <c r="N1028" s="14" t="s">
        <v>1069</v>
      </c>
      <c r="O1028" s="14"/>
      <c r="P1028" s="15" t="s">
        <v>1063</v>
      </c>
      <c r="Q1028" s="16">
        <v>6499</v>
      </c>
      <c r="R1028" s="17">
        <v>40</v>
      </c>
      <c r="S1028" s="18">
        <v>4484.3099999999995</v>
      </c>
      <c r="T1028" s="19" t="s">
        <v>36</v>
      </c>
      <c r="U1028" s="20" t="s">
        <v>86</v>
      </c>
      <c r="V1028" s="21" t="s">
        <v>87</v>
      </c>
      <c r="W1028" s="22">
        <v>25</v>
      </c>
      <c r="X1028" s="23"/>
    </row>
    <row r="1029" spans="1:24" s="1" customFormat="1" ht="17" customHeight="1" x14ac:dyDescent="0.3">
      <c r="A1029" s="24" t="s">
        <v>23</v>
      </c>
      <c r="B1029" s="24" t="s">
        <v>1060</v>
      </c>
      <c r="C1029" s="12" t="s">
        <v>1082</v>
      </c>
      <c r="D1029" s="60"/>
      <c r="E1029" s="41" t="str">
        <f t="shared" si="28"/>
        <v>Еще фото</v>
      </c>
      <c r="F1029" s="28" t="s">
        <v>152</v>
      </c>
      <c r="G1029" s="24" t="s">
        <v>1004</v>
      </c>
      <c r="H1029" s="24" t="s">
        <v>27</v>
      </c>
      <c r="I1029" s="24" t="s">
        <v>1005</v>
      </c>
      <c r="J1029" s="14" t="s">
        <v>29</v>
      </c>
      <c r="K1029" s="15" t="s">
        <v>30</v>
      </c>
      <c r="L1029" s="62"/>
      <c r="M1029" s="14"/>
      <c r="N1029" s="14" t="s">
        <v>1069</v>
      </c>
      <c r="O1029" s="14"/>
      <c r="P1029" s="15" t="s">
        <v>1063</v>
      </c>
      <c r="Q1029" s="16">
        <v>6499</v>
      </c>
      <c r="R1029" s="17">
        <v>40</v>
      </c>
      <c r="S1029" s="18">
        <v>4484.3099999999995</v>
      </c>
      <c r="T1029" s="19" t="s">
        <v>36</v>
      </c>
      <c r="U1029" s="20" t="s">
        <v>88</v>
      </c>
      <c r="V1029" s="21" t="s">
        <v>89</v>
      </c>
      <c r="W1029" s="22">
        <v>21</v>
      </c>
      <c r="X1029" s="23"/>
    </row>
    <row r="1030" spans="1:24" s="1" customFormat="1" ht="17" customHeight="1" x14ac:dyDescent="0.3">
      <c r="A1030" s="24" t="s">
        <v>23</v>
      </c>
      <c r="B1030" s="24" t="s">
        <v>1060</v>
      </c>
      <c r="C1030" s="12" t="s">
        <v>1082</v>
      </c>
      <c r="D1030" s="60"/>
      <c r="E1030" s="41" t="str">
        <f t="shared" si="28"/>
        <v>Еще фото</v>
      </c>
      <c r="F1030" s="28" t="s">
        <v>152</v>
      </c>
      <c r="G1030" s="24" t="s">
        <v>1004</v>
      </c>
      <c r="H1030" s="24" t="s">
        <v>27</v>
      </c>
      <c r="I1030" s="24" t="s">
        <v>1005</v>
      </c>
      <c r="J1030" s="14" t="s">
        <v>29</v>
      </c>
      <c r="K1030" s="15" t="s">
        <v>30</v>
      </c>
      <c r="L1030" s="62"/>
      <c r="M1030" s="14"/>
      <c r="N1030" s="14" t="s">
        <v>1069</v>
      </c>
      <c r="O1030" s="14"/>
      <c r="P1030" s="15" t="s">
        <v>1063</v>
      </c>
      <c r="Q1030" s="16">
        <v>6499</v>
      </c>
      <c r="R1030" s="17">
        <v>40</v>
      </c>
      <c r="S1030" s="18">
        <v>4484.3099999999995</v>
      </c>
      <c r="T1030" s="19" t="s">
        <v>36</v>
      </c>
      <c r="U1030" s="20" t="s">
        <v>90</v>
      </c>
      <c r="V1030" s="21" t="s">
        <v>91</v>
      </c>
      <c r="W1030" s="22">
        <v>2</v>
      </c>
      <c r="X1030" s="23"/>
    </row>
    <row r="1031" spans="1:24" s="1" customFormat="1" ht="22.05" customHeight="1" x14ac:dyDescent="0.3">
      <c r="A1031" s="24" t="s">
        <v>23</v>
      </c>
      <c r="B1031" s="24" t="s">
        <v>1060</v>
      </c>
      <c r="C1031" s="12" t="s">
        <v>1082</v>
      </c>
      <c r="D1031" s="61"/>
      <c r="E1031" s="41" t="str">
        <f t="shared" si="28"/>
        <v>Еще фото</v>
      </c>
      <c r="F1031" s="28" t="s">
        <v>152</v>
      </c>
      <c r="G1031" s="24" t="s">
        <v>1004</v>
      </c>
      <c r="H1031" s="24" t="s">
        <v>27</v>
      </c>
      <c r="I1031" s="24" t="s">
        <v>1005</v>
      </c>
      <c r="J1031" s="14" t="s">
        <v>29</v>
      </c>
      <c r="K1031" s="15" t="s">
        <v>30</v>
      </c>
      <c r="L1031" s="58"/>
      <c r="M1031" s="14"/>
      <c r="N1031" s="14" t="s">
        <v>1069</v>
      </c>
      <c r="O1031" s="14"/>
      <c r="P1031" s="15" t="s">
        <v>1063</v>
      </c>
      <c r="Q1031" s="16">
        <v>6499</v>
      </c>
      <c r="R1031" s="17">
        <v>40</v>
      </c>
      <c r="S1031" s="18">
        <v>4484.3099999999995</v>
      </c>
      <c r="T1031" s="19" t="s">
        <v>36</v>
      </c>
      <c r="U1031" s="20" t="s">
        <v>408</v>
      </c>
      <c r="V1031" s="21" t="s">
        <v>409</v>
      </c>
      <c r="W1031" s="22">
        <v>4</v>
      </c>
      <c r="X1031" s="23"/>
    </row>
    <row r="1032" spans="1:24" s="1" customFormat="1" ht="108" customHeight="1" x14ac:dyDescent="0.3">
      <c r="A1032" s="11" t="s">
        <v>23</v>
      </c>
      <c r="B1032" s="11" t="s">
        <v>1083</v>
      </c>
      <c r="C1032" s="12" t="s">
        <v>1084</v>
      </c>
      <c r="D1032" s="25"/>
      <c r="E1032" s="41" t="str">
        <f>HYPERLINK("https://www.google.ru/search?q=1383892-391&amp;newwindow=1&amp;tbm=isch","Еще фото")</f>
        <v>Еще фото</v>
      </c>
      <c r="F1032" s="13" t="s">
        <v>152</v>
      </c>
      <c r="G1032" s="11" t="s">
        <v>1004</v>
      </c>
      <c r="H1032" s="11" t="s">
        <v>27</v>
      </c>
      <c r="I1032" s="14" t="s">
        <v>1005</v>
      </c>
      <c r="J1032" s="14" t="s">
        <v>29</v>
      </c>
      <c r="K1032" s="15" t="s">
        <v>30</v>
      </c>
      <c r="L1032" s="14" t="s">
        <v>1085</v>
      </c>
      <c r="M1032" s="14"/>
      <c r="N1032" s="14" t="s">
        <v>127</v>
      </c>
      <c r="O1032" s="14"/>
      <c r="P1032" s="15" t="s">
        <v>1063</v>
      </c>
      <c r="Q1032" s="16">
        <v>5199</v>
      </c>
      <c r="R1032" s="17">
        <v>40</v>
      </c>
      <c r="S1032" s="18">
        <v>3587.31</v>
      </c>
      <c r="T1032" s="19" t="s">
        <v>36</v>
      </c>
      <c r="U1032" s="20" t="s">
        <v>37</v>
      </c>
      <c r="V1032" s="21" t="s">
        <v>38</v>
      </c>
      <c r="W1032" s="22">
        <v>2</v>
      </c>
      <c r="X1032" s="23"/>
    </row>
    <row r="1033" spans="1:24" s="1" customFormat="1" ht="108" customHeight="1" x14ac:dyDescent="0.3">
      <c r="A1033" s="11" t="s">
        <v>23</v>
      </c>
      <c r="B1033" s="11" t="s">
        <v>1086</v>
      </c>
      <c r="C1033" s="12" t="s">
        <v>1087</v>
      </c>
      <c r="D1033" s="25"/>
      <c r="E1033" s="41" t="str">
        <f>HYPERLINK("https://www.google.ru/search?q=1383893-009&amp;newwindow=1&amp;tbm=isch","Еще фото")</f>
        <v>Еще фото</v>
      </c>
      <c r="F1033" s="13"/>
      <c r="G1033" s="11" t="s">
        <v>1004</v>
      </c>
      <c r="H1033" s="11" t="s">
        <v>27</v>
      </c>
      <c r="I1033" s="14" t="s">
        <v>1005</v>
      </c>
      <c r="J1033" s="14" t="s">
        <v>29</v>
      </c>
      <c r="K1033" s="15" t="s">
        <v>59</v>
      </c>
      <c r="L1033" s="14" t="s">
        <v>1088</v>
      </c>
      <c r="M1033" s="14"/>
      <c r="N1033" s="14" t="s">
        <v>1089</v>
      </c>
      <c r="O1033" s="14"/>
      <c r="P1033" s="15" t="s">
        <v>1090</v>
      </c>
      <c r="Q1033" s="16">
        <v>4099</v>
      </c>
      <c r="R1033" s="17">
        <v>40</v>
      </c>
      <c r="S1033" s="18">
        <v>2828.31</v>
      </c>
      <c r="T1033" s="19" t="s">
        <v>36</v>
      </c>
      <c r="U1033" s="20" t="s">
        <v>63</v>
      </c>
      <c r="V1033" s="21" t="s">
        <v>64</v>
      </c>
      <c r="W1033" s="22">
        <v>1</v>
      </c>
      <c r="X1033" s="23"/>
    </row>
    <row r="1034" spans="1:24" s="1" customFormat="1" ht="108" customHeight="1" x14ac:dyDescent="0.3">
      <c r="A1034" s="11" t="s">
        <v>23</v>
      </c>
      <c r="B1034" s="11" t="s">
        <v>1091</v>
      </c>
      <c r="C1034" s="12" t="s">
        <v>1092</v>
      </c>
      <c r="D1034" s="25"/>
      <c r="E1034" s="41" t="str">
        <f>HYPERLINK("https://www.google.ru/search?q=1383895-001&amp;newwindow=1&amp;tbm=isch","Еще фото")</f>
        <v>Еще фото</v>
      </c>
      <c r="F1034" s="13"/>
      <c r="G1034" s="11" t="s">
        <v>1004</v>
      </c>
      <c r="H1034" s="11" t="s">
        <v>27</v>
      </c>
      <c r="I1034" s="14" t="s">
        <v>1005</v>
      </c>
      <c r="J1034" s="14" t="s">
        <v>29</v>
      </c>
      <c r="K1034" s="15" t="s">
        <v>59</v>
      </c>
      <c r="L1034" s="14" t="s">
        <v>1093</v>
      </c>
      <c r="M1034" s="14"/>
      <c r="N1034" s="14" t="s">
        <v>33</v>
      </c>
      <c r="O1034" s="14"/>
      <c r="P1034" s="15" t="s">
        <v>1094</v>
      </c>
      <c r="Q1034" s="16">
        <v>3899</v>
      </c>
      <c r="R1034" s="17">
        <v>40</v>
      </c>
      <c r="S1034" s="18">
        <v>2690.31</v>
      </c>
      <c r="T1034" s="19" t="s">
        <v>36</v>
      </c>
      <c r="U1034" s="20" t="s">
        <v>37</v>
      </c>
      <c r="V1034" s="21" t="s">
        <v>106</v>
      </c>
      <c r="W1034" s="22">
        <v>1</v>
      </c>
      <c r="X1034" s="23"/>
    </row>
    <row r="1035" spans="1:24" s="1" customFormat="1" ht="108" customHeight="1" x14ac:dyDescent="0.3">
      <c r="A1035" s="11" t="s">
        <v>23</v>
      </c>
      <c r="B1035" s="11" t="s">
        <v>1091</v>
      </c>
      <c r="C1035" s="12" t="s">
        <v>1095</v>
      </c>
      <c r="D1035" s="25"/>
      <c r="E1035" s="41" t="str">
        <f>HYPERLINK("https://www.google.ru/search?q=1383895-681&amp;newwindow=1&amp;tbm=isch","Еще фото")</f>
        <v>Еще фото</v>
      </c>
      <c r="F1035" s="13"/>
      <c r="G1035" s="11" t="s">
        <v>1004</v>
      </c>
      <c r="H1035" s="11" t="s">
        <v>27</v>
      </c>
      <c r="I1035" s="14" t="s">
        <v>1005</v>
      </c>
      <c r="J1035" s="14" t="s">
        <v>29</v>
      </c>
      <c r="K1035" s="15" t="s">
        <v>59</v>
      </c>
      <c r="L1035" s="14" t="s">
        <v>1093</v>
      </c>
      <c r="M1035" s="14"/>
      <c r="N1035" s="14" t="s">
        <v>1096</v>
      </c>
      <c r="O1035" s="14"/>
      <c r="P1035" s="15" t="s">
        <v>1090</v>
      </c>
      <c r="Q1035" s="16">
        <v>4099</v>
      </c>
      <c r="R1035" s="17">
        <v>40</v>
      </c>
      <c r="S1035" s="18">
        <v>2828.31</v>
      </c>
      <c r="T1035" s="19" t="s">
        <v>36</v>
      </c>
      <c r="U1035" s="20" t="s">
        <v>63</v>
      </c>
      <c r="V1035" s="21" t="s">
        <v>64</v>
      </c>
      <c r="W1035" s="22">
        <v>1</v>
      </c>
      <c r="X1035" s="23"/>
    </row>
    <row r="1036" spans="1:24" s="1" customFormat="1" ht="21" customHeight="1" x14ac:dyDescent="0.3">
      <c r="A1036" s="11" t="s">
        <v>23</v>
      </c>
      <c r="B1036" s="11" t="s">
        <v>1097</v>
      </c>
      <c r="C1036" s="26" t="s">
        <v>1098</v>
      </c>
      <c r="D1036" s="59"/>
      <c r="E1036" s="41" t="str">
        <f>HYPERLINK("https://www.google.ru/search?q=1383897-001&amp;newwindow=1&amp;tbm=isch","Еще фото")</f>
        <v>Еще фото</v>
      </c>
      <c r="F1036" s="13"/>
      <c r="G1036" s="11" t="s">
        <v>1004</v>
      </c>
      <c r="H1036" s="11" t="s">
        <v>27</v>
      </c>
      <c r="I1036" s="14" t="s">
        <v>1005</v>
      </c>
      <c r="J1036" s="14" t="s">
        <v>29</v>
      </c>
      <c r="K1036" s="15" t="s">
        <v>59</v>
      </c>
      <c r="L1036" s="57" t="s">
        <v>1099</v>
      </c>
      <c r="M1036" s="14"/>
      <c r="N1036" s="14" t="s">
        <v>33</v>
      </c>
      <c r="O1036" s="14"/>
      <c r="P1036" s="15" t="s">
        <v>1094</v>
      </c>
      <c r="Q1036" s="16">
        <v>3599</v>
      </c>
      <c r="R1036" s="17">
        <v>40</v>
      </c>
      <c r="S1036" s="18">
        <v>2483.31</v>
      </c>
      <c r="T1036" s="19" t="s">
        <v>36</v>
      </c>
      <c r="U1036" s="20" t="s">
        <v>63</v>
      </c>
      <c r="V1036" s="21" t="s">
        <v>64</v>
      </c>
      <c r="W1036" s="22">
        <v>26</v>
      </c>
      <c r="X1036" s="23"/>
    </row>
    <row r="1037" spans="1:24" s="1" customFormat="1" ht="21" customHeight="1" x14ac:dyDescent="0.3">
      <c r="A1037" s="24" t="s">
        <v>23</v>
      </c>
      <c r="B1037" s="24" t="s">
        <v>1097</v>
      </c>
      <c r="C1037" s="27" t="s">
        <v>1098</v>
      </c>
      <c r="D1037" s="60"/>
      <c r="E1037" s="41" t="str">
        <f>HYPERLINK("https://www.google.ru/search?q=1383897-001&amp;newwindow=1&amp;tbm=isch","Еще фото")</f>
        <v>Еще фото</v>
      </c>
      <c r="F1037" s="13"/>
      <c r="G1037" s="24" t="s">
        <v>1004</v>
      </c>
      <c r="H1037" s="24" t="s">
        <v>27</v>
      </c>
      <c r="I1037" s="24" t="s">
        <v>1005</v>
      </c>
      <c r="J1037" s="14" t="s">
        <v>29</v>
      </c>
      <c r="K1037" s="15" t="s">
        <v>59</v>
      </c>
      <c r="L1037" s="62"/>
      <c r="M1037" s="14"/>
      <c r="N1037" s="14" t="s">
        <v>33</v>
      </c>
      <c r="O1037" s="14"/>
      <c r="P1037" s="15" t="s">
        <v>1094</v>
      </c>
      <c r="Q1037" s="16">
        <v>3599</v>
      </c>
      <c r="R1037" s="17">
        <v>40</v>
      </c>
      <c r="S1037" s="18">
        <v>2483.31</v>
      </c>
      <c r="T1037" s="19" t="s">
        <v>36</v>
      </c>
      <c r="U1037" s="20" t="s">
        <v>37</v>
      </c>
      <c r="V1037" s="21" t="s">
        <v>106</v>
      </c>
      <c r="W1037" s="22">
        <v>37</v>
      </c>
      <c r="X1037" s="23"/>
    </row>
    <row r="1038" spans="1:24" s="1" customFormat="1" ht="21" customHeight="1" x14ac:dyDescent="0.3">
      <c r="A1038" s="24" t="s">
        <v>23</v>
      </c>
      <c r="B1038" s="24" t="s">
        <v>1097</v>
      </c>
      <c r="C1038" s="27" t="s">
        <v>1098</v>
      </c>
      <c r="D1038" s="60"/>
      <c r="E1038" s="41" t="str">
        <f>HYPERLINK("https://www.google.ru/search?q=1383897-001&amp;newwindow=1&amp;tbm=isch","Еще фото")</f>
        <v>Еще фото</v>
      </c>
      <c r="F1038" s="13"/>
      <c r="G1038" s="24" t="s">
        <v>1004</v>
      </c>
      <c r="H1038" s="24" t="s">
        <v>27</v>
      </c>
      <c r="I1038" s="24" t="s">
        <v>1005</v>
      </c>
      <c r="J1038" s="14" t="s">
        <v>29</v>
      </c>
      <c r="K1038" s="15" t="s">
        <v>59</v>
      </c>
      <c r="L1038" s="62"/>
      <c r="M1038" s="14"/>
      <c r="N1038" s="14" t="s">
        <v>33</v>
      </c>
      <c r="O1038" s="14"/>
      <c r="P1038" s="15" t="s">
        <v>1094</v>
      </c>
      <c r="Q1038" s="16">
        <v>3599</v>
      </c>
      <c r="R1038" s="17">
        <v>40</v>
      </c>
      <c r="S1038" s="18">
        <v>2483.31</v>
      </c>
      <c r="T1038" s="19" t="s">
        <v>36</v>
      </c>
      <c r="U1038" s="20" t="s">
        <v>39</v>
      </c>
      <c r="V1038" s="21" t="s">
        <v>85</v>
      </c>
      <c r="W1038" s="22">
        <v>28</v>
      </c>
      <c r="X1038" s="23"/>
    </row>
    <row r="1039" spans="1:24" s="1" customFormat="1" ht="21" customHeight="1" x14ac:dyDescent="0.3">
      <c r="A1039" s="24" t="s">
        <v>23</v>
      </c>
      <c r="B1039" s="24" t="s">
        <v>1097</v>
      </c>
      <c r="C1039" s="27" t="s">
        <v>1098</v>
      </c>
      <c r="D1039" s="60"/>
      <c r="E1039" s="41" t="str">
        <f>HYPERLINK("https://www.google.ru/search?q=1383897-001&amp;newwindow=1&amp;tbm=isch","Еще фото")</f>
        <v>Еще фото</v>
      </c>
      <c r="F1039" s="13"/>
      <c r="G1039" s="24" t="s">
        <v>1004</v>
      </c>
      <c r="H1039" s="24" t="s">
        <v>27</v>
      </c>
      <c r="I1039" s="24" t="s">
        <v>1005</v>
      </c>
      <c r="J1039" s="14" t="s">
        <v>29</v>
      </c>
      <c r="K1039" s="15" t="s">
        <v>59</v>
      </c>
      <c r="L1039" s="62"/>
      <c r="M1039" s="14"/>
      <c r="N1039" s="14" t="s">
        <v>33</v>
      </c>
      <c r="O1039" s="14"/>
      <c r="P1039" s="15" t="s">
        <v>1094</v>
      </c>
      <c r="Q1039" s="16">
        <v>3599</v>
      </c>
      <c r="R1039" s="17">
        <v>40</v>
      </c>
      <c r="S1039" s="18">
        <v>2483.31</v>
      </c>
      <c r="T1039" s="19" t="s">
        <v>36</v>
      </c>
      <c r="U1039" s="20" t="s">
        <v>86</v>
      </c>
      <c r="V1039" s="21" t="s">
        <v>38</v>
      </c>
      <c r="W1039" s="22">
        <v>20</v>
      </c>
      <c r="X1039" s="23"/>
    </row>
    <row r="1040" spans="1:24" s="1" customFormat="1" ht="32" customHeight="1" x14ac:dyDescent="0.3">
      <c r="A1040" s="24" t="s">
        <v>23</v>
      </c>
      <c r="B1040" s="24" t="s">
        <v>1097</v>
      </c>
      <c r="C1040" s="27" t="s">
        <v>1098</v>
      </c>
      <c r="D1040" s="61"/>
      <c r="E1040" s="41" t="str">
        <f>HYPERLINK("https://www.google.ru/search?q=1383897-001&amp;newwindow=1&amp;tbm=isch","Еще фото")</f>
        <v>Еще фото</v>
      </c>
      <c r="F1040" s="13"/>
      <c r="G1040" s="24" t="s">
        <v>1004</v>
      </c>
      <c r="H1040" s="24" t="s">
        <v>27</v>
      </c>
      <c r="I1040" s="24" t="s">
        <v>1005</v>
      </c>
      <c r="J1040" s="14" t="s">
        <v>29</v>
      </c>
      <c r="K1040" s="15" t="s">
        <v>59</v>
      </c>
      <c r="L1040" s="58"/>
      <c r="M1040" s="14"/>
      <c r="N1040" s="14" t="s">
        <v>33</v>
      </c>
      <c r="O1040" s="14"/>
      <c r="P1040" s="15" t="s">
        <v>1094</v>
      </c>
      <c r="Q1040" s="16">
        <v>3599</v>
      </c>
      <c r="R1040" s="17">
        <v>40</v>
      </c>
      <c r="S1040" s="18">
        <v>2483.31</v>
      </c>
      <c r="T1040" s="19" t="s">
        <v>36</v>
      </c>
      <c r="U1040" s="20" t="s">
        <v>88</v>
      </c>
      <c r="V1040" s="21" t="s">
        <v>40</v>
      </c>
      <c r="W1040" s="22">
        <v>5</v>
      </c>
      <c r="X1040" s="23"/>
    </row>
    <row r="1041" spans="1:24" s="1" customFormat="1" ht="108" customHeight="1" x14ac:dyDescent="0.3">
      <c r="A1041" s="11" t="s">
        <v>23</v>
      </c>
      <c r="B1041" s="11" t="s">
        <v>1100</v>
      </c>
      <c r="C1041" s="12" t="s">
        <v>1101</v>
      </c>
      <c r="D1041" s="25"/>
      <c r="E1041" s="41" t="str">
        <f>HYPERLINK("https://www.google.ru/search?q=1383898-622&amp;newwindow=1&amp;tbm=isch","Еще фото")</f>
        <v>Еще фото</v>
      </c>
      <c r="F1041" s="13"/>
      <c r="G1041" s="11" t="s">
        <v>1029</v>
      </c>
      <c r="H1041" s="11" t="s">
        <v>27</v>
      </c>
      <c r="I1041" s="14" t="s">
        <v>1005</v>
      </c>
      <c r="J1041" s="14" t="s">
        <v>29</v>
      </c>
      <c r="K1041" s="15" t="s">
        <v>59</v>
      </c>
      <c r="L1041" s="14" t="s">
        <v>1099</v>
      </c>
      <c r="M1041" s="14"/>
      <c r="N1041" s="14" t="s">
        <v>451</v>
      </c>
      <c r="O1041" s="14"/>
      <c r="P1041" s="15" t="s">
        <v>1090</v>
      </c>
      <c r="Q1041" s="16">
        <v>4099</v>
      </c>
      <c r="R1041" s="17">
        <v>40</v>
      </c>
      <c r="S1041" s="18">
        <v>2828.31</v>
      </c>
      <c r="T1041" s="19" t="s">
        <v>36</v>
      </c>
      <c r="U1041" s="20" t="s">
        <v>63</v>
      </c>
      <c r="V1041" s="21" t="s">
        <v>64</v>
      </c>
      <c r="W1041" s="22">
        <v>2</v>
      </c>
      <c r="X1041" s="23"/>
    </row>
    <row r="1042" spans="1:24" s="1" customFormat="1" ht="26" customHeight="1" x14ac:dyDescent="0.3">
      <c r="A1042" s="11" t="s">
        <v>23</v>
      </c>
      <c r="B1042" s="11" t="s">
        <v>1102</v>
      </c>
      <c r="C1042" s="12" t="s">
        <v>1103</v>
      </c>
      <c r="D1042" s="59"/>
      <c r="E1042" s="41" t="str">
        <f>HYPERLINK("https://www.google.ru/search?q=1388624-290&amp;newwindow=1&amp;tbm=isch","Еще фото")</f>
        <v>Еще фото</v>
      </c>
      <c r="F1042" s="13"/>
      <c r="G1042" s="11" t="s">
        <v>1029</v>
      </c>
      <c r="H1042" s="11" t="s">
        <v>27</v>
      </c>
      <c r="I1042" s="14" t="s">
        <v>1005</v>
      </c>
      <c r="J1042" s="14" t="s">
        <v>43</v>
      </c>
      <c r="K1042" s="15" t="s">
        <v>30</v>
      </c>
      <c r="L1042" s="57" t="s">
        <v>1104</v>
      </c>
      <c r="M1042" s="14"/>
      <c r="N1042" s="14" t="s">
        <v>62</v>
      </c>
      <c r="O1042" s="14"/>
      <c r="P1042" s="15" t="s">
        <v>1008</v>
      </c>
      <c r="Q1042" s="16">
        <v>4599</v>
      </c>
      <c r="R1042" s="17">
        <v>40</v>
      </c>
      <c r="S1042" s="18">
        <v>3173.31</v>
      </c>
      <c r="T1042" s="19" t="s">
        <v>36</v>
      </c>
      <c r="U1042" s="20" t="s">
        <v>37</v>
      </c>
      <c r="V1042" s="21" t="s">
        <v>38</v>
      </c>
      <c r="W1042" s="22">
        <v>9</v>
      </c>
      <c r="X1042" s="23"/>
    </row>
    <row r="1043" spans="1:24" s="1" customFormat="1" ht="26" customHeight="1" x14ac:dyDescent="0.3">
      <c r="A1043" s="24" t="s">
        <v>23</v>
      </c>
      <c r="B1043" s="24" t="s">
        <v>1102</v>
      </c>
      <c r="C1043" s="12" t="s">
        <v>1103</v>
      </c>
      <c r="D1043" s="60"/>
      <c r="E1043" s="41" t="str">
        <f>HYPERLINK("https://www.google.ru/search?q=1388624-290&amp;newwindow=1&amp;tbm=isch","Еще фото")</f>
        <v>Еще фото</v>
      </c>
      <c r="F1043" s="13"/>
      <c r="G1043" s="24" t="s">
        <v>1029</v>
      </c>
      <c r="H1043" s="24" t="s">
        <v>27</v>
      </c>
      <c r="I1043" s="24" t="s">
        <v>1005</v>
      </c>
      <c r="J1043" s="14" t="s">
        <v>43</v>
      </c>
      <c r="K1043" s="15" t="s">
        <v>30</v>
      </c>
      <c r="L1043" s="62"/>
      <c r="M1043" s="14"/>
      <c r="N1043" s="14" t="s">
        <v>62</v>
      </c>
      <c r="O1043" s="14"/>
      <c r="P1043" s="15" t="s">
        <v>1008</v>
      </c>
      <c r="Q1043" s="16">
        <v>4599</v>
      </c>
      <c r="R1043" s="17">
        <v>40</v>
      </c>
      <c r="S1043" s="18">
        <v>3173.31</v>
      </c>
      <c r="T1043" s="19" t="s">
        <v>36</v>
      </c>
      <c r="U1043" s="20" t="s">
        <v>39</v>
      </c>
      <c r="V1043" s="21" t="s">
        <v>40</v>
      </c>
      <c r="W1043" s="22">
        <v>12</v>
      </c>
      <c r="X1043" s="23"/>
    </row>
    <row r="1044" spans="1:24" s="1" customFormat="1" ht="26" customHeight="1" x14ac:dyDescent="0.3">
      <c r="A1044" s="24" t="s">
        <v>23</v>
      </c>
      <c r="B1044" s="24" t="s">
        <v>1102</v>
      </c>
      <c r="C1044" s="12" t="s">
        <v>1103</v>
      </c>
      <c r="D1044" s="60"/>
      <c r="E1044" s="41" t="str">
        <f>HYPERLINK("https://www.google.ru/search?q=1388624-290&amp;newwindow=1&amp;tbm=isch","Еще фото")</f>
        <v>Еще фото</v>
      </c>
      <c r="F1044" s="13"/>
      <c r="G1044" s="24" t="s">
        <v>1029</v>
      </c>
      <c r="H1044" s="24" t="s">
        <v>27</v>
      </c>
      <c r="I1044" s="24" t="s">
        <v>1005</v>
      </c>
      <c r="J1044" s="14" t="s">
        <v>43</v>
      </c>
      <c r="K1044" s="15" t="s">
        <v>30</v>
      </c>
      <c r="L1044" s="62"/>
      <c r="M1044" s="14"/>
      <c r="N1044" s="14" t="s">
        <v>62</v>
      </c>
      <c r="O1044" s="14"/>
      <c r="P1044" s="15" t="s">
        <v>1008</v>
      </c>
      <c r="Q1044" s="16">
        <v>4599</v>
      </c>
      <c r="R1044" s="17">
        <v>40</v>
      </c>
      <c r="S1044" s="18">
        <v>3173.31</v>
      </c>
      <c r="T1044" s="19" t="s">
        <v>36</v>
      </c>
      <c r="U1044" s="20" t="s">
        <v>86</v>
      </c>
      <c r="V1044" s="21" t="s">
        <v>87</v>
      </c>
      <c r="W1044" s="22">
        <v>14</v>
      </c>
      <c r="X1044" s="23"/>
    </row>
    <row r="1045" spans="1:24" s="1" customFormat="1" ht="26" customHeight="1" x14ac:dyDescent="0.3">
      <c r="A1045" s="24" t="s">
        <v>23</v>
      </c>
      <c r="B1045" s="24" t="s">
        <v>1102</v>
      </c>
      <c r="C1045" s="12" t="s">
        <v>1103</v>
      </c>
      <c r="D1045" s="61"/>
      <c r="E1045" s="41" t="str">
        <f>HYPERLINK("https://www.google.ru/search?q=1388624-290&amp;newwindow=1&amp;tbm=isch","Еще фото")</f>
        <v>Еще фото</v>
      </c>
      <c r="F1045" s="13"/>
      <c r="G1045" s="24" t="s">
        <v>1029</v>
      </c>
      <c r="H1045" s="24" t="s">
        <v>27</v>
      </c>
      <c r="I1045" s="24" t="s">
        <v>1005</v>
      </c>
      <c r="J1045" s="14" t="s">
        <v>43</v>
      </c>
      <c r="K1045" s="15" t="s">
        <v>30</v>
      </c>
      <c r="L1045" s="58"/>
      <c r="M1045" s="14"/>
      <c r="N1045" s="14" t="s">
        <v>62</v>
      </c>
      <c r="O1045" s="14"/>
      <c r="P1045" s="15" t="s">
        <v>1008</v>
      </c>
      <c r="Q1045" s="16">
        <v>4599</v>
      </c>
      <c r="R1045" s="17">
        <v>40</v>
      </c>
      <c r="S1045" s="18">
        <v>3173.31</v>
      </c>
      <c r="T1045" s="19" t="s">
        <v>36</v>
      </c>
      <c r="U1045" s="20" t="s">
        <v>90</v>
      </c>
      <c r="V1045" s="21" t="s">
        <v>91</v>
      </c>
      <c r="W1045" s="22">
        <v>2</v>
      </c>
      <c r="X1045" s="23"/>
    </row>
    <row r="1046" spans="1:24" s="1" customFormat="1" ht="26" customHeight="1" x14ac:dyDescent="0.3">
      <c r="A1046" s="11" t="s">
        <v>23</v>
      </c>
      <c r="B1046" s="11" t="s">
        <v>1009</v>
      </c>
      <c r="C1046" s="12" t="s">
        <v>1105</v>
      </c>
      <c r="D1046" s="59"/>
      <c r="E1046" s="41" t="str">
        <f>HYPERLINK("https://www.google.ru/search?q=1390498-001&amp;newwindow=1&amp;tbm=isch","Еще фото")</f>
        <v>Еще фото</v>
      </c>
      <c r="F1046" s="13"/>
      <c r="G1046" s="11" t="s">
        <v>1004</v>
      </c>
      <c r="H1046" s="11" t="s">
        <v>27</v>
      </c>
      <c r="I1046" s="14" t="s">
        <v>1005</v>
      </c>
      <c r="J1046" s="14" t="s">
        <v>43</v>
      </c>
      <c r="K1046" s="15" t="s">
        <v>30</v>
      </c>
      <c r="L1046" s="57" t="s">
        <v>1011</v>
      </c>
      <c r="M1046" s="14"/>
      <c r="N1046" s="14" t="s">
        <v>33</v>
      </c>
      <c r="O1046" s="14"/>
      <c r="P1046" s="15" t="s">
        <v>1008</v>
      </c>
      <c r="Q1046" s="16">
        <v>7399</v>
      </c>
      <c r="R1046" s="17">
        <v>40</v>
      </c>
      <c r="S1046" s="18">
        <v>5105.3099999999995</v>
      </c>
      <c r="T1046" s="19" t="s">
        <v>36</v>
      </c>
      <c r="U1046" s="20" t="s">
        <v>37</v>
      </c>
      <c r="V1046" s="21" t="s">
        <v>38</v>
      </c>
      <c r="W1046" s="22">
        <v>11</v>
      </c>
      <c r="X1046" s="23"/>
    </row>
    <row r="1047" spans="1:24" s="1" customFormat="1" ht="26" customHeight="1" x14ac:dyDescent="0.3">
      <c r="A1047" s="24" t="s">
        <v>23</v>
      </c>
      <c r="B1047" s="24" t="s">
        <v>1009</v>
      </c>
      <c r="C1047" s="12" t="s">
        <v>1105</v>
      </c>
      <c r="D1047" s="60"/>
      <c r="E1047" s="41" t="str">
        <f>HYPERLINK("https://www.google.ru/search?q=1390498-001&amp;newwindow=1&amp;tbm=isch","Еще фото")</f>
        <v>Еще фото</v>
      </c>
      <c r="F1047" s="13"/>
      <c r="G1047" s="24" t="s">
        <v>1004</v>
      </c>
      <c r="H1047" s="24" t="s">
        <v>27</v>
      </c>
      <c r="I1047" s="24" t="s">
        <v>1005</v>
      </c>
      <c r="J1047" s="14" t="s">
        <v>43</v>
      </c>
      <c r="K1047" s="15" t="s">
        <v>30</v>
      </c>
      <c r="L1047" s="62"/>
      <c r="M1047" s="14"/>
      <c r="N1047" s="14" t="s">
        <v>33</v>
      </c>
      <c r="O1047" s="14"/>
      <c r="P1047" s="15" t="s">
        <v>1008</v>
      </c>
      <c r="Q1047" s="16">
        <v>7399</v>
      </c>
      <c r="R1047" s="17">
        <v>40</v>
      </c>
      <c r="S1047" s="18">
        <v>5105.3099999999995</v>
      </c>
      <c r="T1047" s="19" t="s">
        <v>36</v>
      </c>
      <c r="U1047" s="20" t="s">
        <v>39</v>
      </c>
      <c r="V1047" s="21" t="s">
        <v>40</v>
      </c>
      <c r="W1047" s="22">
        <v>15</v>
      </c>
      <c r="X1047" s="23"/>
    </row>
    <row r="1048" spans="1:24" s="1" customFormat="1" ht="26" customHeight="1" x14ac:dyDescent="0.3">
      <c r="A1048" s="24" t="s">
        <v>23</v>
      </c>
      <c r="B1048" s="24" t="s">
        <v>1009</v>
      </c>
      <c r="C1048" s="12" t="s">
        <v>1105</v>
      </c>
      <c r="D1048" s="60"/>
      <c r="E1048" s="41" t="str">
        <f>HYPERLINK("https://www.google.ru/search?q=1390498-001&amp;newwindow=1&amp;tbm=isch","Еще фото")</f>
        <v>Еще фото</v>
      </c>
      <c r="F1048" s="13"/>
      <c r="G1048" s="24" t="s">
        <v>1004</v>
      </c>
      <c r="H1048" s="24" t="s">
        <v>27</v>
      </c>
      <c r="I1048" s="24" t="s">
        <v>1005</v>
      </c>
      <c r="J1048" s="14" t="s">
        <v>43</v>
      </c>
      <c r="K1048" s="15" t="s">
        <v>30</v>
      </c>
      <c r="L1048" s="62"/>
      <c r="M1048" s="14"/>
      <c r="N1048" s="14" t="s">
        <v>33</v>
      </c>
      <c r="O1048" s="14"/>
      <c r="P1048" s="15" t="s">
        <v>1008</v>
      </c>
      <c r="Q1048" s="16">
        <v>7399</v>
      </c>
      <c r="R1048" s="17">
        <v>40</v>
      </c>
      <c r="S1048" s="18">
        <v>5105.3099999999995</v>
      </c>
      <c r="T1048" s="19" t="s">
        <v>36</v>
      </c>
      <c r="U1048" s="20" t="s">
        <v>86</v>
      </c>
      <c r="V1048" s="21" t="s">
        <v>87</v>
      </c>
      <c r="W1048" s="22">
        <v>16</v>
      </c>
      <c r="X1048" s="23"/>
    </row>
    <row r="1049" spans="1:24" s="1" customFormat="1" ht="26" customHeight="1" x14ac:dyDescent="0.3">
      <c r="A1049" s="24" t="s">
        <v>23</v>
      </c>
      <c r="B1049" s="24" t="s">
        <v>1009</v>
      </c>
      <c r="C1049" s="12" t="s">
        <v>1105</v>
      </c>
      <c r="D1049" s="61"/>
      <c r="E1049" s="41" t="str">
        <f>HYPERLINK("https://www.google.ru/search?q=1390498-001&amp;newwindow=1&amp;tbm=isch","Еще фото")</f>
        <v>Еще фото</v>
      </c>
      <c r="F1049" s="13"/>
      <c r="G1049" s="24" t="s">
        <v>1004</v>
      </c>
      <c r="H1049" s="24" t="s">
        <v>27</v>
      </c>
      <c r="I1049" s="24" t="s">
        <v>1005</v>
      </c>
      <c r="J1049" s="14" t="s">
        <v>43</v>
      </c>
      <c r="K1049" s="15" t="s">
        <v>30</v>
      </c>
      <c r="L1049" s="58"/>
      <c r="M1049" s="14"/>
      <c r="N1049" s="14" t="s">
        <v>33</v>
      </c>
      <c r="O1049" s="14"/>
      <c r="P1049" s="15" t="s">
        <v>1008</v>
      </c>
      <c r="Q1049" s="16">
        <v>7399</v>
      </c>
      <c r="R1049" s="17">
        <v>40</v>
      </c>
      <c r="S1049" s="18">
        <v>5105.3099999999995</v>
      </c>
      <c r="T1049" s="19" t="s">
        <v>36</v>
      </c>
      <c r="U1049" s="20" t="s">
        <v>88</v>
      </c>
      <c r="V1049" s="21" t="s">
        <v>89</v>
      </c>
      <c r="W1049" s="22">
        <v>1</v>
      </c>
      <c r="X1049" s="23"/>
    </row>
    <row r="1050" spans="1:24" s="1" customFormat="1" ht="21" customHeight="1" x14ac:dyDescent="0.3">
      <c r="A1050" s="11" t="s">
        <v>23</v>
      </c>
      <c r="B1050" s="11" t="s">
        <v>1002</v>
      </c>
      <c r="C1050" s="26" t="s">
        <v>1106</v>
      </c>
      <c r="D1050" s="59"/>
      <c r="E1050" s="41" t="str">
        <f>HYPERLINK("https://www.google.ru/search?q=6011483-001&amp;newwindow=1&amp;tbm=isch","Еще фото")</f>
        <v>Еще фото</v>
      </c>
      <c r="F1050" s="13"/>
      <c r="G1050" s="11" t="s">
        <v>1004</v>
      </c>
      <c r="H1050" s="11" t="s">
        <v>27</v>
      </c>
      <c r="I1050" s="14" t="s">
        <v>1005</v>
      </c>
      <c r="J1050" s="14" t="s">
        <v>43</v>
      </c>
      <c r="K1050" s="15" t="s">
        <v>30</v>
      </c>
      <c r="L1050" s="57" t="s">
        <v>1006</v>
      </c>
      <c r="M1050" s="14"/>
      <c r="N1050" s="14" t="s">
        <v>98</v>
      </c>
      <c r="O1050" s="14"/>
      <c r="P1050" s="15" t="s">
        <v>1008</v>
      </c>
      <c r="Q1050" s="16">
        <v>6299</v>
      </c>
      <c r="R1050" s="17">
        <v>40</v>
      </c>
      <c r="S1050" s="18">
        <v>4346.3099999999995</v>
      </c>
      <c r="T1050" s="19" t="s">
        <v>36</v>
      </c>
      <c r="U1050" s="20" t="s">
        <v>37</v>
      </c>
      <c r="V1050" s="21" t="s">
        <v>38</v>
      </c>
      <c r="W1050" s="22">
        <v>11</v>
      </c>
      <c r="X1050" s="23"/>
    </row>
    <row r="1051" spans="1:24" s="1" customFormat="1" ht="21" customHeight="1" x14ac:dyDescent="0.3">
      <c r="A1051" s="24" t="s">
        <v>23</v>
      </c>
      <c r="B1051" s="24" t="s">
        <v>1002</v>
      </c>
      <c r="C1051" s="27" t="s">
        <v>1106</v>
      </c>
      <c r="D1051" s="60"/>
      <c r="E1051" s="41" t="str">
        <f>HYPERLINK("https://www.google.ru/search?q=6011483-001&amp;newwindow=1&amp;tbm=isch","Еще фото")</f>
        <v>Еще фото</v>
      </c>
      <c r="F1051" s="13"/>
      <c r="G1051" s="24" t="s">
        <v>1004</v>
      </c>
      <c r="H1051" s="24" t="s">
        <v>27</v>
      </c>
      <c r="I1051" s="24" t="s">
        <v>1005</v>
      </c>
      <c r="J1051" s="14" t="s">
        <v>43</v>
      </c>
      <c r="K1051" s="15" t="s">
        <v>30</v>
      </c>
      <c r="L1051" s="62"/>
      <c r="M1051" s="14"/>
      <c r="N1051" s="14" t="s">
        <v>98</v>
      </c>
      <c r="O1051" s="14"/>
      <c r="P1051" s="15" t="s">
        <v>1008</v>
      </c>
      <c r="Q1051" s="16">
        <v>6299</v>
      </c>
      <c r="R1051" s="17">
        <v>40</v>
      </c>
      <c r="S1051" s="18">
        <v>4346.3099999999995</v>
      </c>
      <c r="T1051" s="19" t="s">
        <v>36</v>
      </c>
      <c r="U1051" s="20" t="s">
        <v>39</v>
      </c>
      <c r="V1051" s="21" t="s">
        <v>40</v>
      </c>
      <c r="W1051" s="22">
        <v>20</v>
      </c>
      <c r="X1051" s="23"/>
    </row>
    <row r="1052" spans="1:24" s="1" customFormat="1" ht="21" customHeight="1" x14ac:dyDescent="0.3">
      <c r="A1052" s="24" t="s">
        <v>23</v>
      </c>
      <c r="B1052" s="24" t="s">
        <v>1002</v>
      </c>
      <c r="C1052" s="27" t="s">
        <v>1106</v>
      </c>
      <c r="D1052" s="60"/>
      <c r="E1052" s="41" t="str">
        <f>HYPERLINK("https://www.google.ru/search?q=6011483-001&amp;newwindow=1&amp;tbm=isch","Еще фото")</f>
        <v>Еще фото</v>
      </c>
      <c r="F1052" s="13"/>
      <c r="G1052" s="24" t="s">
        <v>1004</v>
      </c>
      <c r="H1052" s="24" t="s">
        <v>27</v>
      </c>
      <c r="I1052" s="24" t="s">
        <v>1005</v>
      </c>
      <c r="J1052" s="14" t="s">
        <v>43</v>
      </c>
      <c r="K1052" s="15" t="s">
        <v>30</v>
      </c>
      <c r="L1052" s="62"/>
      <c r="M1052" s="14"/>
      <c r="N1052" s="14" t="s">
        <v>98</v>
      </c>
      <c r="O1052" s="14"/>
      <c r="P1052" s="15" t="s">
        <v>1008</v>
      </c>
      <c r="Q1052" s="16">
        <v>6299</v>
      </c>
      <c r="R1052" s="17">
        <v>40</v>
      </c>
      <c r="S1052" s="18">
        <v>4346.3099999999995</v>
      </c>
      <c r="T1052" s="19" t="s">
        <v>36</v>
      </c>
      <c r="U1052" s="20" t="s">
        <v>86</v>
      </c>
      <c r="V1052" s="21" t="s">
        <v>87</v>
      </c>
      <c r="W1052" s="22">
        <v>16</v>
      </c>
      <c r="X1052" s="23"/>
    </row>
    <row r="1053" spans="1:24" s="1" customFormat="1" ht="21" customHeight="1" x14ac:dyDescent="0.3">
      <c r="A1053" s="24" t="s">
        <v>23</v>
      </c>
      <c r="B1053" s="24" t="s">
        <v>1002</v>
      </c>
      <c r="C1053" s="27" t="s">
        <v>1106</v>
      </c>
      <c r="D1053" s="60"/>
      <c r="E1053" s="41" t="str">
        <f>HYPERLINK("https://www.google.ru/search?q=6011483-001&amp;newwindow=1&amp;tbm=isch","Еще фото")</f>
        <v>Еще фото</v>
      </c>
      <c r="F1053" s="13"/>
      <c r="G1053" s="24" t="s">
        <v>1004</v>
      </c>
      <c r="H1053" s="24" t="s">
        <v>27</v>
      </c>
      <c r="I1053" s="24" t="s">
        <v>1005</v>
      </c>
      <c r="J1053" s="14" t="s">
        <v>43</v>
      </c>
      <c r="K1053" s="15" t="s">
        <v>30</v>
      </c>
      <c r="L1053" s="62"/>
      <c r="M1053" s="14"/>
      <c r="N1053" s="14" t="s">
        <v>98</v>
      </c>
      <c r="O1053" s="14"/>
      <c r="P1053" s="15" t="s">
        <v>1008</v>
      </c>
      <c r="Q1053" s="16">
        <v>6299</v>
      </c>
      <c r="R1053" s="17">
        <v>40</v>
      </c>
      <c r="S1053" s="18">
        <v>4346.3099999999995</v>
      </c>
      <c r="T1053" s="19" t="s">
        <v>36</v>
      </c>
      <c r="U1053" s="20" t="s">
        <v>88</v>
      </c>
      <c r="V1053" s="21" t="s">
        <v>89</v>
      </c>
      <c r="W1053" s="22">
        <v>14</v>
      </c>
      <c r="X1053" s="23"/>
    </row>
    <row r="1054" spans="1:24" s="1" customFormat="1" ht="32" customHeight="1" x14ac:dyDescent="0.3">
      <c r="A1054" s="24" t="s">
        <v>23</v>
      </c>
      <c r="B1054" s="24" t="s">
        <v>1002</v>
      </c>
      <c r="C1054" s="27" t="s">
        <v>1106</v>
      </c>
      <c r="D1054" s="61"/>
      <c r="E1054" s="41" t="str">
        <f>HYPERLINK("https://www.google.ru/search?q=6011483-001&amp;newwindow=1&amp;tbm=isch","Еще фото")</f>
        <v>Еще фото</v>
      </c>
      <c r="F1054" s="13"/>
      <c r="G1054" s="24" t="s">
        <v>1004</v>
      </c>
      <c r="H1054" s="24" t="s">
        <v>27</v>
      </c>
      <c r="I1054" s="24" t="s">
        <v>1005</v>
      </c>
      <c r="J1054" s="14" t="s">
        <v>43</v>
      </c>
      <c r="K1054" s="15" t="s">
        <v>30</v>
      </c>
      <c r="L1054" s="58"/>
      <c r="M1054" s="14"/>
      <c r="N1054" s="14" t="s">
        <v>98</v>
      </c>
      <c r="O1054" s="14"/>
      <c r="P1054" s="15" t="s">
        <v>1008</v>
      </c>
      <c r="Q1054" s="16">
        <v>6299</v>
      </c>
      <c r="R1054" s="17">
        <v>40</v>
      </c>
      <c r="S1054" s="18">
        <v>4346.3099999999995</v>
      </c>
      <c r="T1054" s="19" t="s">
        <v>36</v>
      </c>
      <c r="U1054" s="20" t="s">
        <v>90</v>
      </c>
      <c r="V1054" s="21" t="s">
        <v>91</v>
      </c>
      <c r="W1054" s="22">
        <v>6</v>
      </c>
      <c r="X1054" s="23"/>
    </row>
    <row r="1055" spans="1:24" s="1" customFormat="1" ht="21" customHeight="1" x14ac:dyDescent="0.3">
      <c r="A1055" s="11" t="s">
        <v>23</v>
      </c>
      <c r="B1055" s="11" t="s">
        <v>1107</v>
      </c>
      <c r="C1055" s="26" t="s">
        <v>1108</v>
      </c>
      <c r="D1055" s="59"/>
      <c r="E1055" s="41" t="str">
        <f>HYPERLINK("https://www.google.ru/search?q=6012789-425&amp;newwindow=1&amp;tbm=isch","Еще фото")</f>
        <v>Еще фото</v>
      </c>
      <c r="F1055" s="13"/>
      <c r="G1055" s="11" t="s">
        <v>1004</v>
      </c>
      <c r="H1055" s="11" t="s">
        <v>27</v>
      </c>
      <c r="I1055" s="14" t="s">
        <v>1005</v>
      </c>
      <c r="J1055" s="14" t="s">
        <v>43</v>
      </c>
      <c r="K1055" s="15" t="s">
        <v>30</v>
      </c>
      <c r="L1055" s="57" t="s">
        <v>1109</v>
      </c>
      <c r="M1055" s="14"/>
      <c r="N1055" s="14" t="s">
        <v>98</v>
      </c>
      <c r="O1055" s="14"/>
      <c r="P1055" s="15" t="s">
        <v>213</v>
      </c>
      <c r="Q1055" s="16">
        <v>5999</v>
      </c>
      <c r="R1055" s="17">
        <v>40</v>
      </c>
      <c r="S1055" s="18">
        <v>4139.3099999999995</v>
      </c>
      <c r="T1055" s="19" t="s">
        <v>36</v>
      </c>
      <c r="U1055" s="20" t="s">
        <v>37</v>
      </c>
      <c r="V1055" s="21" t="s">
        <v>38</v>
      </c>
      <c r="W1055" s="22">
        <v>10</v>
      </c>
      <c r="X1055" s="23"/>
    </row>
    <row r="1056" spans="1:24" s="1" customFormat="1" ht="21" customHeight="1" x14ac:dyDescent="0.3">
      <c r="A1056" s="24" t="s">
        <v>23</v>
      </c>
      <c r="B1056" s="24" t="s">
        <v>1107</v>
      </c>
      <c r="C1056" s="27" t="s">
        <v>1108</v>
      </c>
      <c r="D1056" s="60"/>
      <c r="E1056" s="41" t="str">
        <f>HYPERLINK("https://www.google.ru/search?q=6012789-425&amp;newwindow=1&amp;tbm=isch","Еще фото")</f>
        <v>Еще фото</v>
      </c>
      <c r="F1056" s="13"/>
      <c r="G1056" s="24" t="s">
        <v>1004</v>
      </c>
      <c r="H1056" s="24" t="s">
        <v>27</v>
      </c>
      <c r="I1056" s="24" t="s">
        <v>1005</v>
      </c>
      <c r="J1056" s="14" t="s">
        <v>43</v>
      </c>
      <c r="K1056" s="15" t="s">
        <v>30</v>
      </c>
      <c r="L1056" s="62"/>
      <c r="M1056" s="14"/>
      <c r="N1056" s="14" t="s">
        <v>98</v>
      </c>
      <c r="O1056" s="14"/>
      <c r="P1056" s="15" t="s">
        <v>213</v>
      </c>
      <c r="Q1056" s="16">
        <v>5999</v>
      </c>
      <c r="R1056" s="17">
        <v>40</v>
      </c>
      <c r="S1056" s="18">
        <v>4139.3099999999995</v>
      </c>
      <c r="T1056" s="19" t="s">
        <v>36</v>
      </c>
      <c r="U1056" s="20" t="s">
        <v>39</v>
      </c>
      <c r="V1056" s="21" t="s">
        <v>40</v>
      </c>
      <c r="W1056" s="22">
        <v>3</v>
      </c>
      <c r="X1056" s="23"/>
    </row>
    <row r="1057" spans="1:24" s="1" customFormat="1" ht="21" customHeight="1" x14ac:dyDescent="0.3">
      <c r="A1057" s="24" t="s">
        <v>23</v>
      </c>
      <c r="B1057" s="24" t="s">
        <v>1107</v>
      </c>
      <c r="C1057" s="27" t="s">
        <v>1108</v>
      </c>
      <c r="D1057" s="60"/>
      <c r="E1057" s="41" t="str">
        <f>HYPERLINK("https://www.google.ru/search?q=6012789-425&amp;newwindow=1&amp;tbm=isch","Еще фото")</f>
        <v>Еще фото</v>
      </c>
      <c r="F1057" s="13"/>
      <c r="G1057" s="24" t="s">
        <v>1004</v>
      </c>
      <c r="H1057" s="24" t="s">
        <v>27</v>
      </c>
      <c r="I1057" s="24" t="s">
        <v>1005</v>
      </c>
      <c r="J1057" s="14" t="s">
        <v>43</v>
      </c>
      <c r="K1057" s="15" t="s">
        <v>30</v>
      </c>
      <c r="L1057" s="62"/>
      <c r="M1057" s="14"/>
      <c r="N1057" s="14" t="s">
        <v>98</v>
      </c>
      <c r="O1057" s="14"/>
      <c r="P1057" s="15" t="s">
        <v>213</v>
      </c>
      <c r="Q1057" s="16">
        <v>5999</v>
      </c>
      <c r="R1057" s="17">
        <v>40</v>
      </c>
      <c r="S1057" s="18">
        <v>4139.3099999999995</v>
      </c>
      <c r="T1057" s="19" t="s">
        <v>36</v>
      </c>
      <c r="U1057" s="20" t="s">
        <v>86</v>
      </c>
      <c r="V1057" s="21" t="s">
        <v>87</v>
      </c>
      <c r="W1057" s="22">
        <v>18</v>
      </c>
      <c r="X1057" s="23"/>
    </row>
    <row r="1058" spans="1:24" s="1" customFormat="1" ht="21" customHeight="1" x14ac:dyDescent="0.3">
      <c r="A1058" s="24" t="s">
        <v>23</v>
      </c>
      <c r="B1058" s="24" t="s">
        <v>1107</v>
      </c>
      <c r="C1058" s="27" t="s">
        <v>1108</v>
      </c>
      <c r="D1058" s="60"/>
      <c r="E1058" s="41" t="str">
        <f>HYPERLINK("https://www.google.ru/search?q=6012789-425&amp;newwindow=1&amp;tbm=isch","Еще фото")</f>
        <v>Еще фото</v>
      </c>
      <c r="F1058" s="13"/>
      <c r="G1058" s="24" t="s">
        <v>1004</v>
      </c>
      <c r="H1058" s="24" t="s">
        <v>27</v>
      </c>
      <c r="I1058" s="24" t="s">
        <v>1005</v>
      </c>
      <c r="J1058" s="14" t="s">
        <v>43</v>
      </c>
      <c r="K1058" s="15" t="s">
        <v>30</v>
      </c>
      <c r="L1058" s="62"/>
      <c r="M1058" s="14"/>
      <c r="N1058" s="14" t="s">
        <v>98</v>
      </c>
      <c r="O1058" s="14"/>
      <c r="P1058" s="15" t="s">
        <v>213</v>
      </c>
      <c r="Q1058" s="16">
        <v>5999</v>
      </c>
      <c r="R1058" s="17">
        <v>40</v>
      </c>
      <c r="S1058" s="18">
        <v>4139.3099999999995</v>
      </c>
      <c r="T1058" s="19" t="s">
        <v>36</v>
      </c>
      <c r="U1058" s="20" t="s">
        <v>88</v>
      </c>
      <c r="V1058" s="21" t="s">
        <v>89</v>
      </c>
      <c r="W1058" s="22">
        <v>3</v>
      </c>
      <c r="X1058" s="23"/>
    </row>
    <row r="1059" spans="1:24" s="1" customFormat="1" ht="32" customHeight="1" x14ac:dyDescent="0.3">
      <c r="A1059" s="24" t="s">
        <v>23</v>
      </c>
      <c r="B1059" s="24" t="s">
        <v>1107</v>
      </c>
      <c r="C1059" s="27" t="s">
        <v>1108</v>
      </c>
      <c r="D1059" s="61"/>
      <c r="E1059" s="41" t="str">
        <f>HYPERLINK("https://www.google.ru/search?q=6012789-425&amp;newwindow=1&amp;tbm=isch","Еще фото")</f>
        <v>Еще фото</v>
      </c>
      <c r="F1059" s="13"/>
      <c r="G1059" s="24" t="s">
        <v>1004</v>
      </c>
      <c r="H1059" s="24" t="s">
        <v>27</v>
      </c>
      <c r="I1059" s="24" t="s">
        <v>1005</v>
      </c>
      <c r="J1059" s="14" t="s">
        <v>43</v>
      </c>
      <c r="K1059" s="15" t="s">
        <v>30</v>
      </c>
      <c r="L1059" s="58"/>
      <c r="M1059" s="14"/>
      <c r="N1059" s="14" t="s">
        <v>98</v>
      </c>
      <c r="O1059" s="14"/>
      <c r="P1059" s="15" t="s">
        <v>213</v>
      </c>
      <c r="Q1059" s="16">
        <v>5999</v>
      </c>
      <c r="R1059" s="17">
        <v>40</v>
      </c>
      <c r="S1059" s="18">
        <v>4139.3099999999995</v>
      </c>
      <c r="T1059" s="19" t="s">
        <v>36</v>
      </c>
      <c r="U1059" s="20" t="s">
        <v>90</v>
      </c>
      <c r="V1059" s="21" t="s">
        <v>91</v>
      </c>
      <c r="W1059" s="22">
        <v>1</v>
      </c>
      <c r="X1059" s="23"/>
    </row>
    <row r="1060" spans="1:24" s="1" customFormat="1" ht="35" customHeight="1" x14ac:dyDescent="0.3">
      <c r="A1060" s="11" t="s">
        <v>23</v>
      </c>
      <c r="B1060" s="11" t="s">
        <v>1110</v>
      </c>
      <c r="C1060" s="12" t="s">
        <v>1111</v>
      </c>
      <c r="D1060" s="59"/>
      <c r="E1060" s="41" t="str">
        <f>HYPERLINK("https://www.google.ru/search?q=1379519-001&amp;newwindow=1&amp;tbm=isch","Еще фото")</f>
        <v>Еще фото</v>
      </c>
      <c r="F1060" s="13"/>
      <c r="G1060" s="11" t="s">
        <v>1112</v>
      </c>
      <c r="H1060" s="11" t="s">
        <v>721</v>
      </c>
      <c r="I1060" s="14" t="s">
        <v>1113</v>
      </c>
      <c r="J1060" s="14" t="s">
        <v>29</v>
      </c>
      <c r="K1060" s="15" t="s">
        <v>50</v>
      </c>
      <c r="L1060" s="57" t="s">
        <v>1114</v>
      </c>
      <c r="M1060" s="14"/>
      <c r="N1060" s="14" t="s">
        <v>33</v>
      </c>
      <c r="O1060" s="14"/>
      <c r="P1060" s="15" t="s">
        <v>386</v>
      </c>
      <c r="Q1060" s="16">
        <v>1399</v>
      </c>
      <c r="R1060" s="17">
        <v>46</v>
      </c>
      <c r="S1060" s="35">
        <v>868.779</v>
      </c>
      <c r="T1060" s="19" t="s">
        <v>36</v>
      </c>
      <c r="U1060" s="20" t="s">
        <v>63</v>
      </c>
      <c r="V1060" s="21" t="s">
        <v>1115</v>
      </c>
      <c r="W1060" s="22">
        <v>5</v>
      </c>
      <c r="X1060" s="23"/>
    </row>
    <row r="1061" spans="1:24" s="1" customFormat="1" ht="35" customHeight="1" x14ac:dyDescent="0.3">
      <c r="A1061" s="24" t="s">
        <v>23</v>
      </c>
      <c r="B1061" s="24" t="s">
        <v>1110</v>
      </c>
      <c r="C1061" s="12" t="s">
        <v>1111</v>
      </c>
      <c r="D1061" s="60"/>
      <c r="E1061" s="41" t="str">
        <f>HYPERLINK("https://www.google.ru/search?q=1379519-001&amp;newwindow=1&amp;tbm=isch","Еще фото")</f>
        <v>Еще фото</v>
      </c>
      <c r="F1061" s="13"/>
      <c r="G1061" s="24" t="s">
        <v>1112</v>
      </c>
      <c r="H1061" s="24" t="s">
        <v>721</v>
      </c>
      <c r="I1061" s="24" t="s">
        <v>1113</v>
      </c>
      <c r="J1061" s="14" t="s">
        <v>29</v>
      </c>
      <c r="K1061" s="15" t="s">
        <v>50</v>
      </c>
      <c r="L1061" s="62"/>
      <c r="M1061" s="14"/>
      <c r="N1061" s="14" t="s">
        <v>33</v>
      </c>
      <c r="O1061" s="14"/>
      <c r="P1061" s="15" t="s">
        <v>386</v>
      </c>
      <c r="Q1061" s="16">
        <v>1399</v>
      </c>
      <c r="R1061" s="17">
        <v>46</v>
      </c>
      <c r="S1061" s="35">
        <v>868.779</v>
      </c>
      <c r="T1061" s="19" t="s">
        <v>36</v>
      </c>
      <c r="U1061" s="20" t="s">
        <v>37</v>
      </c>
      <c r="V1061" s="21" t="s">
        <v>1116</v>
      </c>
      <c r="W1061" s="22">
        <v>22</v>
      </c>
      <c r="X1061" s="23"/>
    </row>
    <row r="1062" spans="1:24" s="1" customFormat="1" ht="37.049999999999997" customHeight="1" x14ac:dyDescent="0.3">
      <c r="A1062" s="24" t="s">
        <v>23</v>
      </c>
      <c r="B1062" s="24" t="s">
        <v>1110</v>
      </c>
      <c r="C1062" s="12" t="s">
        <v>1111</v>
      </c>
      <c r="D1062" s="61"/>
      <c r="E1062" s="41" t="str">
        <f>HYPERLINK("https://www.google.ru/search?q=1379519-001&amp;newwindow=1&amp;tbm=isch","Еще фото")</f>
        <v>Еще фото</v>
      </c>
      <c r="F1062" s="13"/>
      <c r="G1062" s="24" t="s">
        <v>1112</v>
      </c>
      <c r="H1062" s="24" t="s">
        <v>721</v>
      </c>
      <c r="I1062" s="24" t="s">
        <v>1113</v>
      </c>
      <c r="J1062" s="14" t="s">
        <v>29</v>
      </c>
      <c r="K1062" s="15" t="s">
        <v>50</v>
      </c>
      <c r="L1062" s="58"/>
      <c r="M1062" s="14"/>
      <c r="N1062" s="14" t="s">
        <v>33</v>
      </c>
      <c r="O1062" s="14"/>
      <c r="P1062" s="15" t="s">
        <v>386</v>
      </c>
      <c r="Q1062" s="16">
        <v>1399</v>
      </c>
      <c r="R1062" s="17">
        <v>46</v>
      </c>
      <c r="S1062" s="35">
        <v>868.779</v>
      </c>
      <c r="T1062" s="19" t="s">
        <v>36</v>
      </c>
      <c r="U1062" s="20" t="s">
        <v>39</v>
      </c>
      <c r="V1062" s="21" t="s">
        <v>1117</v>
      </c>
      <c r="W1062" s="22">
        <v>31</v>
      </c>
      <c r="X1062" s="23"/>
    </row>
    <row r="1063" spans="1:24" s="1" customFormat="1" ht="35" customHeight="1" x14ac:dyDescent="0.3">
      <c r="A1063" s="11" t="s">
        <v>23</v>
      </c>
      <c r="B1063" s="11" t="s">
        <v>1110</v>
      </c>
      <c r="C1063" s="12" t="s">
        <v>1118</v>
      </c>
      <c r="D1063" s="59"/>
      <c r="E1063" s="41" t="str">
        <f>HYPERLINK("https://www.google.ru/search?q=1379519-100&amp;newwindow=1&amp;tbm=isch","Еще фото")</f>
        <v>Еще фото</v>
      </c>
      <c r="F1063" s="13"/>
      <c r="G1063" s="11" t="s">
        <v>1112</v>
      </c>
      <c r="H1063" s="11" t="s">
        <v>721</v>
      </c>
      <c r="I1063" s="14" t="s">
        <v>1113</v>
      </c>
      <c r="J1063" s="14" t="s">
        <v>29</v>
      </c>
      <c r="K1063" s="15" t="s">
        <v>50</v>
      </c>
      <c r="L1063" s="57" t="s">
        <v>1114</v>
      </c>
      <c r="M1063" s="14"/>
      <c r="N1063" s="14" t="s">
        <v>84</v>
      </c>
      <c r="O1063" s="14"/>
      <c r="P1063" s="15" t="s">
        <v>386</v>
      </c>
      <c r="Q1063" s="16">
        <v>1399</v>
      </c>
      <c r="R1063" s="17">
        <v>46</v>
      </c>
      <c r="S1063" s="35">
        <v>868.779</v>
      </c>
      <c r="T1063" s="19" t="s">
        <v>36</v>
      </c>
      <c r="U1063" s="20" t="s">
        <v>63</v>
      </c>
      <c r="V1063" s="21" t="s">
        <v>1115</v>
      </c>
      <c r="W1063" s="22">
        <v>4</v>
      </c>
      <c r="X1063" s="23"/>
    </row>
    <row r="1064" spans="1:24" s="1" customFormat="1" ht="35" customHeight="1" x14ac:dyDescent="0.3">
      <c r="A1064" s="24" t="s">
        <v>23</v>
      </c>
      <c r="B1064" s="24" t="s">
        <v>1110</v>
      </c>
      <c r="C1064" s="12" t="s">
        <v>1118</v>
      </c>
      <c r="D1064" s="60"/>
      <c r="E1064" s="41" t="str">
        <f>HYPERLINK("https://www.google.ru/search?q=1379519-100&amp;newwindow=1&amp;tbm=isch","Еще фото")</f>
        <v>Еще фото</v>
      </c>
      <c r="F1064" s="13"/>
      <c r="G1064" s="24" t="s">
        <v>1112</v>
      </c>
      <c r="H1064" s="24" t="s">
        <v>721</v>
      </c>
      <c r="I1064" s="24" t="s">
        <v>1113</v>
      </c>
      <c r="J1064" s="14" t="s">
        <v>29</v>
      </c>
      <c r="K1064" s="15" t="s">
        <v>50</v>
      </c>
      <c r="L1064" s="62"/>
      <c r="M1064" s="14"/>
      <c r="N1064" s="14" t="s">
        <v>84</v>
      </c>
      <c r="O1064" s="14"/>
      <c r="P1064" s="15" t="s">
        <v>386</v>
      </c>
      <c r="Q1064" s="16">
        <v>1399</v>
      </c>
      <c r="R1064" s="17">
        <v>46</v>
      </c>
      <c r="S1064" s="35">
        <v>868.779</v>
      </c>
      <c r="T1064" s="19" t="s">
        <v>36</v>
      </c>
      <c r="U1064" s="20" t="s">
        <v>37</v>
      </c>
      <c r="V1064" s="21" t="s">
        <v>1116</v>
      </c>
      <c r="W1064" s="22">
        <v>14</v>
      </c>
      <c r="X1064" s="23"/>
    </row>
    <row r="1065" spans="1:24" s="1" customFormat="1" ht="37.049999999999997" customHeight="1" x14ac:dyDescent="0.3">
      <c r="A1065" s="24" t="s">
        <v>23</v>
      </c>
      <c r="B1065" s="24" t="s">
        <v>1110</v>
      </c>
      <c r="C1065" s="12" t="s">
        <v>1118</v>
      </c>
      <c r="D1065" s="61"/>
      <c r="E1065" s="41" t="str">
        <f>HYPERLINK("https://www.google.ru/search?q=1379519-100&amp;newwindow=1&amp;tbm=isch","Еще фото")</f>
        <v>Еще фото</v>
      </c>
      <c r="F1065" s="13"/>
      <c r="G1065" s="24" t="s">
        <v>1112</v>
      </c>
      <c r="H1065" s="24" t="s">
        <v>721</v>
      </c>
      <c r="I1065" s="24" t="s">
        <v>1113</v>
      </c>
      <c r="J1065" s="14" t="s">
        <v>29</v>
      </c>
      <c r="K1065" s="15" t="s">
        <v>50</v>
      </c>
      <c r="L1065" s="58"/>
      <c r="M1065" s="14"/>
      <c r="N1065" s="14" t="s">
        <v>84</v>
      </c>
      <c r="O1065" s="14"/>
      <c r="P1065" s="15" t="s">
        <v>386</v>
      </c>
      <c r="Q1065" s="16">
        <v>1399</v>
      </c>
      <c r="R1065" s="17">
        <v>46</v>
      </c>
      <c r="S1065" s="35">
        <v>868.779</v>
      </c>
      <c r="T1065" s="19" t="s">
        <v>36</v>
      </c>
      <c r="U1065" s="20" t="s">
        <v>39</v>
      </c>
      <c r="V1065" s="21" t="s">
        <v>1117</v>
      </c>
      <c r="W1065" s="22">
        <v>27</v>
      </c>
      <c r="X1065" s="23"/>
    </row>
    <row r="1066" spans="1:24" s="1" customFormat="1" ht="35" customHeight="1" x14ac:dyDescent="0.3">
      <c r="A1066" s="11" t="s">
        <v>23</v>
      </c>
      <c r="B1066" s="11" t="s">
        <v>1119</v>
      </c>
      <c r="C1066" s="12" t="s">
        <v>1120</v>
      </c>
      <c r="D1066" s="59"/>
      <c r="E1066" s="41" t="str">
        <f>HYPERLINK("https://www.google.ru/search?q=1379521-001&amp;newwindow=1&amp;tbm=isch","Еще фото")</f>
        <v>Еще фото</v>
      </c>
      <c r="F1066" s="13"/>
      <c r="G1066" s="11" t="s">
        <v>1112</v>
      </c>
      <c r="H1066" s="11" t="s">
        <v>721</v>
      </c>
      <c r="I1066" s="14" t="s">
        <v>1113</v>
      </c>
      <c r="J1066" s="14" t="s">
        <v>29</v>
      </c>
      <c r="K1066" s="15" t="s">
        <v>50</v>
      </c>
      <c r="L1066" s="57" t="s">
        <v>1121</v>
      </c>
      <c r="M1066" s="14"/>
      <c r="N1066" s="14" t="s">
        <v>33</v>
      </c>
      <c r="O1066" s="14"/>
      <c r="P1066" s="15" t="s">
        <v>386</v>
      </c>
      <c r="Q1066" s="16">
        <v>1599</v>
      </c>
      <c r="R1066" s="17">
        <v>46</v>
      </c>
      <c r="S1066" s="35">
        <v>992.97899999999993</v>
      </c>
      <c r="T1066" s="19" t="s">
        <v>36</v>
      </c>
      <c r="U1066" s="20" t="s">
        <v>63</v>
      </c>
      <c r="V1066" s="21" t="s">
        <v>1115</v>
      </c>
      <c r="W1066" s="22">
        <v>6</v>
      </c>
      <c r="X1066" s="23"/>
    </row>
    <row r="1067" spans="1:24" s="1" customFormat="1" ht="35" customHeight="1" x14ac:dyDescent="0.3">
      <c r="A1067" s="24" t="s">
        <v>23</v>
      </c>
      <c r="B1067" s="24" t="s">
        <v>1119</v>
      </c>
      <c r="C1067" s="12" t="s">
        <v>1120</v>
      </c>
      <c r="D1067" s="60"/>
      <c r="E1067" s="41" t="str">
        <f>HYPERLINK("https://www.google.ru/search?q=1379521-001&amp;newwindow=1&amp;tbm=isch","Еще фото")</f>
        <v>Еще фото</v>
      </c>
      <c r="F1067" s="13"/>
      <c r="G1067" s="24" t="s">
        <v>1112</v>
      </c>
      <c r="H1067" s="24" t="s">
        <v>721</v>
      </c>
      <c r="I1067" s="24" t="s">
        <v>1113</v>
      </c>
      <c r="J1067" s="14" t="s">
        <v>29</v>
      </c>
      <c r="K1067" s="15" t="s">
        <v>50</v>
      </c>
      <c r="L1067" s="62"/>
      <c r="M1067" s="14"/>
      <c r="N1067" s="14" t="s">
        <v>33</v>
      </c>
      <c r="O1067" s="14"/>
      <c r="P1067" s="15" t="s">
        <v>386</v>
      </c>
      <c r="Q1067" s="16">
        <v>1599</v>
      </c>
      <c r="R1067" s="17">
        <v>46</v>
      </c>
      <c r="S1067" s="35">
        <v>992.97899999999993</v>
      </c>
      <c r="T1067" s="19" t="s">
        <v>36</v>
      </c>
      <c r="U1067" s="20" t="s">
        <v>37</v>
      </c>
      <c r="V1067" s="21" t="s">
        <v>1116</v>
      </c>
      <c r="W1067" s="22">
        <v>8</v>
      </c>
      <c r="X1067" s="23"/>
    </row>
    <row r="1068" spans="1:24" s="1" customFormat="1" ht="37.049999999999997" customHeight="1" x14ac:dyDescent="0.3">
      <c r="A1068" s="24" t="s">
        <v>23</v>
      </c>
      <c r="B1068" s="24" t="s">
        <v>1119</v>
      </c>
      <c r="C1068" s="12" t="s">
        <v>1120</v>
      </c>
      <c r="D1068" s="61"/>
      <c r="E1068" s="41" t="str">
        <f>HYPERLINK("https://www.google.ru/search?q=1379521-001&amp;newwindow=1&amp;tbm=isch","Еще фото")</f>
        <v>Еще фото</v>
      </c>
      <c r="F1068" s="13"/>
      <c r="G1068" s="24" t="s">
        <v>1112</v>
      </c>
      <c r="H1068" s="24" t="s">
        <v>721</v>
      </c>
      <c r="I1068" s="24" t="s">
        <v>1113</v>
      </c>
      <c r="J1068" s="14" t="s">
        <v>29</v>
      </c>
      <c r="K1068" s="15" t="s">
        <v>50</v>
      </c>
      <c r="L1068" s="58"/>
      <c r="M1068" s="14"/>
      <c r="N1068" s="14" t="s">
        <v>33</v>
      </c>
      <c r="O1068" s="14"/>
      <c r="P1068" s="15" t="s">
        <v>386</v>
      </c>
      <c r="Q1068" s="16">
        <v>1599</v>
      </c>
      <c r="R1068" s="17">
        <v>46</v>
      </c>
      <c r="S1068" s="35">
        <v>992.97899999999993</v>
      </c>
      <c r="T1068" s="19" t="s">
        <v>36</v>
      </c>
      <c r="U1068" s="20" t="s">
        <v>39</v>
      </c>
      <c r="V1068" s="21" t="s">
        <v>1117</v>
      </c>
      <c r="W1068" s="22">
        <v>24</v>
      </c>
      <c r="X1068" s="23"/>
    </row>
    <row r="1069" spans="1:24" s="1" customFormat="1" ht="35" customHeight="1" x14ac:dyDescent="0.3">
      <c r="A1069" s="11" t="s">
        <v>23</v>
      </c>
      <c r="B1069" s="11" t="s">
        <v>1119</v>
      </c>
      <c r="C1069" s="12" t="s">
        <v>1122</v>
      </c>
      <c r="D1069" s="59"/>
      <c r="E1069" s="41" t="str">
        <f>HYPERLINK("https://www.google.ru/search?q=1379521-100&amp;newwindow=1&amp;tbm=isch","Еще фото")</f>
        <v>Еще фото</v>
      </c>
      <c r="F1069" s="13"/>
      <c r="G1069" s="11" t="s">
        <v>1112</v>
      </c>
      <c r="H1069" s="11" t="s">
        <v>721</v>
      </c>
      <c r="I1069" s="14" t="s">
        <v>1113</v>
      </c>
      <c r="J1069" s="14" t="s">
        <v>29</v>
      </c>
      <c r="K1069" s="15" t="s">
        <v>50</v>
      </c>
      <c r="L1069" s="57" t="s">
        <v>1121</v>
      </c>
      <c r="M1069" s="14"/>
      <c r="N1069" s="14" t="s">
        <v>84</v>
      </c>
      <c r="O1069" s="14"/>
      <c r="P1069" s="15" t="s">
        <v>386</v>
      </c>
      <c r="Q1069" s="16">
        <v>1599</v>
      </c>
      <c r="R1069" s="17">
        <v>46</v>
      </c>
      <c r="S1069" s="35">
        <v>992.97899999999993</v>
      </c>
      <c r="T1069" s="19" t="s">
        <v>36</v>
      </c>
      <c r="U1069" s="20" t="s">
        <v>63</v>
      </c>
      <c r="V1069" s="21" t="s">
        <v>1115</v>
      </c>
      <c r="W1069" s="22">
        <v>5</v>
      </c>
      <c r="X1069" s="23"/>
    </row>
    <row r="1070" spans="1:24" s="1" customFormat="1" ht="35" customHeight="1" x14ac:dyDescent="0.3">
      <c r="A1070" s="24" t="s">
        <v>23</v>
      </c>
      <c r="B1070" s="24" t="s">
        <v>1119</v>
      </c>
      <c r="C1070" s="12" t="s">
        <v>1122</v>
      </c>
      <c r="D1070" s="60"/>
      <c r="E1070" s="41" t="str">
        <f>HYPERLINK("https://www.google.ru/search?q=1379521-100&amp;newwindow=1&amp;tbm=isch","Еще фото")</f>
        <v>Еще фото</v>
      </c>
      <c r="F1070" s="13"/>
      <c r="G1070" s="24" t="s">
        <v>1112</v>
      </c>
      <c r="H1070" s="24" t="s">
        <v>721</v>
      </c>
      <c r="I1070" s="24" t="s">
        <v>1113</v>
      </c>
      <c r="J1070" s="14" t="s">
        <v>29</v>
      </c>
      <c r="K1070" s="15" t="s">
        <v>50</v>
      </c>
      <c r="L1070" s="62"/>
      <c r="M1070" s="14"/>
      <c r="N1070" s="14" t="s">
        <v>84</v>
      </c>
      <c r="O1070" s="14"/>
      <c r="P1070" s="15" t="s">
        <v>386</v>
      </c>
      <c r="Q1070" s="16">
        <v>1599</v>
      </c>
      <c r="R1070" s="17">
        <v>46</v>
      </c>
      <c r="S1070" s="35">
        <v>992.97899999999993</v>
      </c>
      <c r="T1070" s="19" t="s">
        <v>36</v>
      </c>
      <c r="U1070" s="20" t="s">
        <v>37</v>
      </c>
      <c r="V1070" s="21" t="s">
        <v>1116</v>
      </c>
      <c r="W1070" s="22">
        <v>11</v>
      </c>
      <c r="X1070" s="23"/>
    </row>
    <row r="1071" spans="1:24" s="1" customFormat="1" ht="37.049999999999997" customHeight="1" x14ac:dyDescent="0.3">
      <c r="A1071" s="24" t="s">
        <v>23</v>
      </c>
      <c r="B1071" s="24" t="s">
        <v>1119</v>
      </c>
      <c r="C1071" s="12" t="s">
        <v>1122</v>
      </c>
      <c r="D1071" s="61"/>
      <c r="E1071" s="41" t="str">
        <f>HYPERLINK("https://www.google.ru/search?q=1379521-100&amp;newwindow=1&amp;tbm=isch","Еще фото")</f>
        <v>Еще фото</v>
      </c>
      <c r="F1071" s="13"/>
      <c r="G1071" s="24" t="s">
        <v>1112</v>
      </c>
      <c r="H1071" s="24" t="s">
        <v>721</v>
      </c>
      <c r="I1071" s="24" t="s">
        <v>1113</v>
      </c>
      <c r="J1071" s="14" t="s">
        <v>29</v>
      </c>
      <c r="K1071" s="15" t="s">
        <v>50</v>
      </c>
      <c r="L1071" s="58"/>
      <c r="M1071" s="14"/>
      <c r="N1071" s="14" t="s">
        <v>84</v>
      </c>
      <c r="O1071" s="14"/>
      <c r="P1071" s="15" t="s">
        <v>386</v>
      </c>
      <c r="Q1071" s="16">
        <v>1599</v>
      </c>
      <c r="R1071" s="17">
        <v>46</v>
      </c>
      <c r="S1071" s="35">
        <v>992.97899999999993</v>
      </c>
      <c r="T1071" s="19" t="s">
        <v>36</v>
      </c>
      <c r="U1071" s="20" t="s">
        <v>39</v>
      </c>
      <c r="V1071" s="21" t="s">
        <v>1117</v>
      </c>
      <c r="W1071" s="22">
        <v>25</v>
      </c>
      <c r="X1071" s="23"/>
    </row>
    <row r="1072" spans="1:24" s="1" customFormat="1" ht="35" customHeight="1" x14ac:dyDescent="0.3">
      <c r="A1072" s="11" t="s">
        <v>23</v>
      </c>
      <c r="B1072" s="11" t="s">
        <v>1123</v>
      </c>
      <c r="C1072" s="12" t="s">
        <v>1124</v>
      </c>
      <c r="D1072" s="59"/>
      <c r="E1072" s="41" t="str">
        <f>HYPERLINK("https://www.google.ru/search?q=1382610-004&amp;newwindow=1&amp;tbm=isch","Еще фото")</f>
        <v>Еще фото</v>
      </c>
      <c r="F1072" s="13"/>
      <c r="G1072" s="11" t="s">
        <v>1125</v>
      </c>
      <c r="H1072" s="11" t="s">
        <v>721</v>
      </c>
      <c r="I1072" s="14" t="s">
        <v>1113</v>
      </c>
      <c r="J1072" s="14" t="s">
        <v>43</v>
      </c>
      <c r="K1072" s="15" t="s">
        <v>50</v>
      </c>
      <c r="L1072" s="57" t="s">
        <v>1126</v>
      </c>
      <c r="M1072" s="14"/>
      <c r="N1072" s="14" t="s">
        <v>1127</v>
      </c>
      <c r="O1072" s="14"/>
      <c r="P1072" s="15" t="s">
        <v>364</v>
      </c>
      <c r="Q1072" s="16">
        <v>1699</v>
      </c>
      <c r="R1072" s="17">
        <v>46</v>
      </c>
      <c r="S1072" s="35">
        <v>1055.079</v>
      </c>
      <c r="T1072" s="19" t="s">
        <v>36</v>
      </c>
      <c r="U1072" s="20" t="s">
        <v>63</v>
      </c>
      <c r="V1072" s="21" t="s">
        <v>1115</v>
      </c>
      <c r="W1072" s="22">
        <v>6</v>
      </c>
      <c r="X1072" s="23"/>
    </row>
    <row r="1073" spans="1:24" s="1" customFormat="1" ht="35" customHeight="1" x14ac:dyDescent="0.3">
      <c r="A1073" s="24" t="s">
        <v>23</v>
      </c>
      <c r="B1073" s="24" t="s">
        <v>1123</v>
      </c>
      <c r="C1073" s="12" t="s">
        <v>1124</v>
      </c>
      <c r="D1073" s="60"/>
      <c r="E1073" s="41" t="str">
        <f>HYPERLINK("https://www.google.ru/search?q=1382610-004&amp;newwindow=1&amp;tbm=isch","Еще фото")</f>
        <v>Еще фото</v>
      </c>
      <c r="F1073" s="13"/>
      <c r="G1073" s="24" t="s">
        <v>1125</v>
      </c>
      <c r="H1073" s="24" t="s">
        <v>721</v>
      </c>
      <c r="I1073" s="24" t="s">
        <v>1113</v>
      </c>
      <c r="J1073" s="14" t="s">
        <v>43</v>
      </c>
      <c r="K1073" s="15" t="s">
        <v>50</v>
      </c>
      <c r="L1073" s="62"/>
      <c r="M1073" s="14"/>
      <c r="N1073" s="14" t="s">
        <v>1127</v>
      </c>
      <c r="O1073" s="14"/>
      <c r="P1073" s="15" t="s">
        <v>364</v>
      </c>
      <c r="Q1073" s="16">
        <v>1699</v>
      </c>
      <c r="R1073" s="17">
        <v>46</v>
      </c>
      <c r="S1073" s="35">
        <v>1055.079</v>
      </c>
      <c r="T1073" s="19" t="s">
        <v>36</v>
      </c>
      <c r="U1073" s="20" t="s">
        <v>37</v>
      </c>
      <c r="V1073" s="21" t="s">
        <v>1116</v>
      </c>
      <c r="W1073" s="22">
        <v>21</v>
      </c>
      <c r="X1073" s="23"/>
    </row>
    <row r="1074" spans="1:24" s="1" customFormat="1" ht="37.049999999999997" customHeight="1" x14ac:dyDescent="0.3">
      <c r="A1074" s="24" t="s">
        <v>23</v>
      </c>
      <c r="B1074" s="24" t="s">
        <v>1123</v>
      </c>
      <c r="C1074" s="12" t="s">
        <v>1124</v>
      </c>
      <c r="D1074" s="61"/>
      <c r="E1074" s="41" t="str">
        <f>HYPERLINK("https://www.google.ru/search?q=1382610-004&amp;newwindow=1&amp;tbm=isch","Еще фото")</f>
        <v>Еще фото</v>
      </c>
      <c r="F1074" s="13"/>
      <c r="G1074" s="24" t="s">
        <v>1125</v>
      </c>
      <c r="H1074" s="24" t="s">
        <v>721</v>
      </c>
      <c r="I1074" s="24" t="s">
        <v>1113</v>
      </c>
      <c r="J1074" s="14" t="s">
        <v>43</v>
      </c>
      <c r="K1074" s="15" t="s">
        <v>50</v>
      </c>
      <c r="L1074" s="58"/>
      <c r="M1074" s="14"/>
      <c r="N1074" s="14" t="s">
        <v>1127</v>
      </c>
      <c r="O1074" s="14"/>
      <c r="P1074" s="15" t="s">
        <v>364</v>
      </c>
      <c r="Q1074" s="16">
        <v>1699</v>
      </c>
      <c r="R1074" s="17">
        <v>46</v>
      </c>
      <c r="S1074" s="35">
        <v>1055.079</v>
      </c>
      <c r="T1074" s="19" t="s">
        <v>36</v>
      </c>
      <c r="U1074" s="20" t="s">
        <v>39</v>
      </c>
      <c r="V1074" s="21" t="s">
        <v>1117</v>
      </c>
      <c r="W1074" s="22">
        <v>32</v>
      </c>
      <c r="X1074" s="23"/>
    </row>
    <row r="1075" spans="1:24" s="1" customFormat="1" ht="108" customHeight="1" x14ac:dyDescent="0.3">
      <c r="A1075" s="11" t="s">
        <v>23</v>
      </c>
      <c r="B1075" s="11" t="s">
        <v>1128</v>
      </c>
      <c r="C1075" s="12" t="s">
        <v>1129</v>
      </c>
      <c r="D1075" s="25"/>
      <c r="E1075" s="41" t="str">
        <f>HYPERLINK("https://www.google.ru/search?q=1370075-100&amp;newwindow=1&amp;tbm=isch","Еще фото")</f>
        <v>Еще фото</v>
      </c>
      <c r="F1075" s="13" t="s">
        <v>103</v>
      </c>
      <c r="G1075" s="11" t="s">
        <v>1112</v>
      </c>
      <c r="H1075" s="11" t="s">
        <v>721</v>
      </c>
      <c r="I1075" s="14" t="s">
        <v>1113</v>
      </c>
      <c r="J1075" s="14" t="s">
        <v>29</v>
      </c>
      <c r="K1075" s="15" t="s">
        <v>59</v>
      </c>
      <c r="L1075" s="14" t="s">
        <v>1130</v>
      </c>
      <c r="M1075" s="14" t="s">
        <v>45</v>
      </c>
      <c r="N1075" s="14" t="s">
        <v>84</v>
      </c>
      <c r="O1075" s="14"/>
      <c r="P1075" s="15" t="s">
        <v>1131</v>
      </c>
      <c r="Q1075" s="16">
        <v>1899</v>
      </c>
      <c r="R1075" s="17">
        <v>40</v>
      </c>
      <c r="S1075" s="18">
        <v>1310.31</v>
      </c>
      <c r="T1075" s="19" t="s">
        <v>36</v>
      </c>
      <c r="U1075" s="20" t="s">
        <v>37</v>
      </c>
      <c r="V1075" s="21" t="s">
        <v>1132</v>
      </c>
      <c r="W1075" s="22">
        <v>26</v>
      </c>
      <c r="X1075" s="23"/>
    </row>
    <row r="1076" spans="1:24" s="1" customFormat="1" ht="108" customHeight="1" x14ac:dyDescent="0.3">
      <c r="A1076" s="11" t="s">
        <v>23</v>
      </c>
      <c r="B1076" s="11" t="s">
        <v>1133</v>
      </c>
      <c r="C1076" s="12" t="s">
        <v>1134</v>
      </c>
      <c r="D1076" s="25"/>
      <c r="E1076" s="41" t="str">
        <f>HYPERLINK("https://www.google.ru/search?q=1379503-001&amp;newwindow=1&amp;tbm=isch","Еще фото")</f>
        <v>Еще фото</v>
      </c>
      <c r="F1076" s="13" t="s">
        <v>103</v>
      </c>
      <c r="G1076" s="11" t="s">
        <v>1112</v>
      </c>
      <c r="H1076" s="11" t="s">
        <v>721</v>
      </c>
      <c r="I1076" s="14" t="s">
        <v>1113</v>
      </c>
      <c r="J1076" s="14" t="s">
        <v>29</v>
      </c>
      <c r="K1076" s="15" t="s">
        <v>723</v>
      </c>
      <c r="L1076" s="14" t="s">
        <v>1135</v>
      </c>
      <c r="M1076" s="14"/>
      <c r="N1076" s="14" t="s">
        <v>33</v>
      </c>
      <c r="O1076" s="14"/>
      <c r="P1076" s="15" t="s">
        <v>386</v>
      </c>
      <c r="Q1076" s="16">
        <v>1599</v>
      </c>
      <c r="R1076" s="17">
        <v>40</v>
      </c>
      <c r="S1076" s="35">
        <v>1103.31</v>
      </c>
      <c r="T1076" s="19" t="s">
        <v>36</v>
      </c>
      <c r="U1076" s="20" t="s">
        <v>39</v>
      </c>
      <c r="V1076" s="21" t="s">
        <v>1136</v>
      </c>
      <c r="W1076" s="22">
        <v>2</v>
      </c>
      <c r="X1076" s="23"/>
    </row>
    <row r="1077" spans="1:24" s="1" customFormat="1" ht="108" customHeight="1" x14ac:dyDescent="0.3">
      <c r="A1077" s="11" t="s">
        <v>23</v>
      </c>
      <c r="B1077" s="11" t="s">
        <v>1137</v>
      </c>
      <c r="C1077" s="12" t="s">
        <v>1138</v>
      </c>
      <c r="D1077" s="25"/>
      <c r="E1077" s="41" t="str">
        <f>HYPERLINK("https://www.google.ru/search?q=1379504-001&amp;newwindow=1&amp;tbm=isch","Еще фото")</f>
        <v>Еще фото</v>
      </c>
      <c r="F1077" s="28" t="s">
        <v>138</v>
      </c>
      <c r="G1077" s="11" t="s">
        <v>1112</v>
      </c>
      <c r="H1077" s="11" t="s">
        <v>721</v>
      </c>
      <c r="I1077" s="14" t="s">
        <v>1113</v>
      </c>
      <c r="J1077" s="14" t="s">
        <v>29</v>
      </c>
      <c r="K1077" s="15" t="s">
        <v>723</v>
      </c>
      <c r="L1077" s="14" t="s">
        <v>1139</v>
      </c>
      <c r="M1077" s="14"/>
      <c r="N1077" s="14" t="s">
        <v>33</v>
      </c>
      <c r="O1077" s="14"/>
      <c r="P1077" s="15" t="s">
        <v>386</v>
      </c>
      <c r="Q1077" s="16">
        <v>1599</v>
      </c>
      <c r="R1077" s="17">
        <v>40</v>
      </c>
      <c r="S1077" s="35">
        <v>1103.31</v>
      </c>
      <c r="T1077" s="19" t="s">
        <v>36</v>
      </c>
      <c r="U1077" s="20" t="s">
        <v>39</v>
      </c>
      <c r="V1077" s="21" t="s">
        <v>1136</v>
      </c>
      <c r="W1077" s="22">
        <v>13</v>
      </c>
      <c r="X1077" s="23"/>
    </row>
    <row r="1078" spans="1:24" s="1" customFormat="1" ht="108" customHeight="1" x14ac:dyDescent="0.3">
      <c r="A1078" s="11" t="s">
        <v>23</v>
      </c>
      <c r="B1078" s="11" t="s">
        <v>1137</v>
      </c>
      <c r="C1078" s="12" t="s">
        <v>1140</v>
      </c>
      <c r="D1078" s="25"/>
      <c r="E1078" s="41" t="str">
        <f>HYPERLINK("https://www.google.ru/search?q=1379504-100&amp;newwindow=1&amp;tbm=isch","Еще фото")</f>
        <v>Еще фото</v>
      </c>
      <c r="F1078" s="13" t="s">
        <v>103</v>
      </c>
      <c r="G1078" s="11" t="s">
        <v>1112</v>
      </c>
      <c r="H1078" s="11" t="s">
        <v>721</v>
      </c>
      <c r="I1078" s="14" t="s">
        <v>1113</v>
      </c>
      <c r="J1078" s="14" t="s">
        <v>29</v>
      </c>
      <c r="K1078" s="15" t="s">
        <v>723</v>
      </c>
      <c r="L1078" s="14" t="s">
        <v>1139</v>
      </c>
      <c r="M1078" s="14"/>
      <c r="N1078" s="14" t="s">
        <v>84</v>
      </c>
      <c r="O1078" s="14"/>
      <c r="P1078" s="15" t="s">
        <v>386</v>
      </c>
      <c r="Q1078" s="16">
        <v>1599</v>
      </c>
      <c r="R1078" s="17">
        <v>40</v>
      </c>
      <c r="S1078" s="35">
        <v>1103.31</v>
      </c>
      <c r="T1078" s="19" t="s">
        <v>36</v>
      </c>
      <c r="U1078" s="20" t="s">
        <v>39</v>
      </c>
      <c r="V1078" s="21" t="s">
        <v>1136</v>
      </c>
      <c r="W1078" s="22">
        <v>3</v>
      </c>
      <c r="X1078" s="23"/>
    </row>
    <row r="1079" spans="1:24" s="1" customFormat="1" ht="52.05" customHeight="1" x14ac:dyDescent="0.3">
      <c r="A1079" s="11" t="s">
        <v>23</v>
      </c>
      <c r="B1079" s="11" t="s">
        <v>1141</v>
      </c>
      <c r="C1079" s="12" t="s">
        <v>1142</v>
      </c>
      <c r="D1079" s="55"/>
      <c r="E1079" s="41" t="str">
        <f>HYPERLINK("https://www.google.ru/search?q=1379510-011&amp;newwindow=1&amp;tbm=isch","Еще фото")</f>
        <v>Еще фото</v>
      </c>
      <c r="F1079" s="13" t="s">
        <v>103</v>
      </c>
      <c r="G1079" s="11" t="s">
        <v>1112</v>
      </c>
      <c r="H1079" s="11" t="s">
        <v>721</v>
      </c>
      <c r="I1079" s="14" t="s">
        <v>1113</v>
      </c>
      <c r="J1079" s="14" t="s">
        <v>29</v>
      </c>
      <c r="K1079" s="15" t="s">
        <v>723</v>
      </c>
      <c r="L1079" s="57" t="s">
        <v>1143</v>
      </c>
      <c r="M1079" s="14"/>
      <c r="N1079" s="14" t="s">
        <v>1127</v>
      </c>
      <c r="O1079" s="14"/>
      <c r="P1079" s="15" t="s">
        <v>386</v>
      </c>
      <c r="Q1079" s="16">
        <v>1699</v>
      </c>
      <c r="R1079" s="17">
        <v>40</v>
      </c>
      <c r="S1079" s="18">
        <v>1172.31</v>
      </c>
      <c r="T1079" s="19" t="s">
        <v>36</v>
      </c>
      <c r="U1079" s="20" t="s">
        <v>39</v>
      </c>
      <c r="V1079" s="21" t="s">
        <v>1136</v>
      </c>
      <c r="W1079" s="22">
        <v>38</v>
      </c>
      <c r="X1079" s="23"/>
    </row>
    <row r="1080" spans="1:24" s="1" customFormat="1" ht="61.05" customHeight="1" x14ac:dyDescent="0.3">
      <c r="A1080" s="24" t="s">
        <v>23</v>
      </c>
      <c r="B1080" s="24" t="s">
        <v>1141</v>
      </c>
      <c r="C1080" s="12" t="s">
        <v>1142</v>
      </c>
      <c r="D1080" s="56"/>
      <c r="E1080" s="41" t="str">
        <f>HYPERLINK("https://www.google.ru/search?q=1379510-011&amp;newwindow=1&amp;tbm=isch","Еще фото")</f>
        <v>Еще фото</v>
      </c>
      <c r="F1080" s="13" t="s">
        <v>103</v>
      </c>
      <c r="G1080" s="24" t="s">
        <v>1112</v>
      </c>
      <c r="H1080" s="24" t="s">
        <v>721</v>
      </c>
      <c r="I1080" s="24" t="s">
        <v>1113</v>
      </c>
      <c r="J1080" s="14" t="s">
        <v>29</v>
      </c>
      <c r="K1080" s="15" t="s">
        <v>723</v>
      </c>
      <c r="L1080" s="58"/>
      <c r="M1080" s="14"/>
      <c r="N1080" s="14" t="s">
        <v>1127</v>
      </c>
      <c r="O1080" s="14"/>
      <c r="P1080" s="15" t="s">
        <v>386</v>
      </c>
      <c r="Q1080" s="16">
        <v>1699</v>
      </c>
      <c r="R1080" s="17">
        <v>40</v>
      </c>
      <c r="S1080" s="18">
        <v>1172.31</v>
      </c>
      <c r="T1080" s="19" t="s">
        <v>36</v>
      </c>
      <c r="U1080" s="20" t="s">
        <v>86</v>
      </c>
      <c r="V1080" s="21" t="s">
        <v>1144</v>
      </c>
      <c r="W1080" s="22">
        <v>27</v>
      </c>
      <c r="X1080" s="23"/>
    </row>
    <row r="1081" spans="1:24" s="1" customFormat="1" ht="35" customHeight="1" x14ac:dyDescent="0.3">
      <c r="A1081" s="11" t="s">
        <v>23</v>
      </c>
      <c r="B1081" s="11" t="s">
        <v>1145</v>
      </c>
      <c r="C1081" s="12" t="s">
        <v>1146</v>
      </c>
      <c r="D1081" s="59"/>
      <c r="E1081" s="41" t="str">
        <f>HYPERLINK("https://www.google.ru/search?q=1379512-001&amp;newwindow=1&amp;tbm=isch","Еще фото")</f>
        <v>Еще фото</v>
      </c>
      <c r="F1081" s="28" t="s">
        <v>138</v>
      </c>
      <c r="G1081" s="11" t="s">
        <v>1112</v>
      </c>
      <c r="H1081" s="11" t="s">
        <v>721</v>
      </c>
      <c r="I1081" s="14" t="s">
        <v>1113</v>
      </c>
      <c r="J1081" s="14" t="s">
        <v>29</v>
      </c>
      <c r="K1081" s="15" t="s">
        <v>723</v>
      </c>
      <c r="L1081" s="57" t="s">
        <v>1139</v>
      </c>
      <c r="M1081" s="14"/>
      <c r="N1081" s="14" t="s">
        <v>33</v>
      </c>
      <c r="O1081" s="14"/>
      <c r="P1081" s="15" t="s">
        <v>386</v>
      </c>
      <c r="Q1081" s="16">
        <v>1899</v>
      </c>
      <c r="R1081" s="17">
        <v>40</v>
      </c>
      <c r="S1081" s="18">
        <v>1310.31</v>
      </c>
      <c r="T1081" s="19" t="s">
        <v>36</v>
      </c>
      <c r="U1081" s="20" t="s">
        <v>39</v>
      </c>
      <c r="V1081" s="21" t="s">
        <v>1136</v>
      </c>
      <c r="W1081" s="22">
        <v>46</v>
      </c>
      <c r="X1081" s="23"/>
    </row>
    <row r="1082" spans="1:24" s="1" customFormat="1" ht="35" customHeight="1" x14ac:dyDescent="0.3">
      <c r="A1082" s="24" t="s">
        <v>23</v>
      </c>
      <c r="B1082" s="24" t="s">
        <v>1145</v>
      </c>
      <c r="C1082" s="12" t="s">
        <v>1146</v>
      </c>
      <c r="D1082" s="60"/>
      <c r="E1082" s="41" t="str">
        <f>HYPERLINK("https://www.google.ru/search?q=1379512-001&amp;newwindow=1&amp;tbm=isch","Еще фото")</f>
        <v>Еще фото</v>
      </c>
      <c r="F1082" s="28" t="s">
        <v>138</v>
      </c>
      <c r="G1082" s="24" t="s">
        <v>1112</v>
      </c>
      <c r="H1082" s="24" t="s">
        <v>721</v>
      </c>
      <c r="I1082" s="24" t="s">
        <v>1113</v>
      </c>
      <c r="J1082" s="14" t="s">
        <v>29</v>
      </c>
      <c r="K1082" s="15" t="s">
        <v>723</v>
      </c>
      <c r="L1082" s="62"/>
      <c r="M1082" s="14"/>
      <c r="N1082" s="14" t="s">
        <v>33</v>
      </c>
      <c r="O1082" s="14"/>
      <c r="P1082" s="15" t="s">
        <v>386</v>
      </c>
      <c r="Q1082" s="16">
        <v>1899</v>
      </c>
      <c r="R1082" s="17">
        <v>40</v>
      </c>
      <c r="S1082" s="18">
        <v>1310.31</v>
      </c>
      <c r="T1082" s="19" t="s">
        <v>36</v>
      </c>
      <c r="U1082" s="20" t="s">
        <v>86</v>
      </c>
      <c r="V1082" s="21" t="s">
        <v>1144</v>
      </c>
      <c r="W1082" s="22">
        <v>34</v>
      </c>
      <c r="X1082" s="23"/>
    </row>
    <row r="1083" spans="1:24" s="1" customFormat="1" ht="37.049999999999997" customHeight="1" x14ac:dyDescent="0.3">
      <c r="A1083" s="24" t="s">
        <v>23</v>
      </c>
      <c r="B1083" s="24" t="s">
        <v>1145</v>
      </c>
      <c r="C1083" s="12" t="s">
        <v>1146</v>
      </c>
      <c r="D1083" s="61"/>
      <c r="E1083" s="41" t="str">
        <f>HYPERLINK("https://www.google.ru/search?q=1379512-001&amp;newwindow=1&amp;tbm=isch","Еще фото")</f>
        <v>Еще фото</v>
      </c>
      <c r="F1083" s="28" t="s">
        <v>138</v>
      </c>
      <c r="G1083" s="24" t="s">
        <v>1112</v>
      </c>
      <c r="H1083" s="24" t="s">
        <v>721</v>
      </c>
      <c r="I1083" s="24" t="s">
        <v>1113</v>
      </c>
      <c r="J1083" s="14" t="s">
        <v>29</v>
      </c>
      <c r="K1083" s="15" t="s">
        <v>723</v>
      </c>
      <c r="L1083" s="58"/>
      <c r="M1083" s="14"/>
      <c r="N1083" s="14" t="s">
        <v>33</v>
      </c>
      <c r="O1083" s="14"/>
      <c r="P1083" s="15" t="s">
        <v>386</v>
      </c>
      <c r="Q1083" s="16">
        <v>1899</v>
      </c>
      <c r="R1083" s="17">
        <v>40</v>
      </c>
      <c r="S1083" s="18">
        <v>1310.31</v>
      </c>
      <c r="T1083" s="19" t="s">
        <v>36</v>
      </c>
      <c r="U1083" s="20" t="s">
        <v>88</v>
      </c>
      <c r="V1083" s="21" t="s">
        <v>1147</v>
      </c>
      <c r="W1083" s="22">
        <v>18</v>
      </c>
      <c r="X1083" s="23"/>
    </row>
    <row r="1084" spans="1:24" s="1" customFormat="1" ht="35" customHeight="1" x14ac:dyDescent="0.3">
      <c r="A1084" s="11" t="s">
        <v>23</v>
      </c>
      <c r="B1084" s="11" t="s">
        <v>1145</v>
      </c>
      <c r="C1084" s="12" t="s">
        <v>1148</v>
      </c>
      <c r="D1084" s="59"/>
      <c r="E1084" s="41" t="str">
        <f>HYPERLINK("https://www.google.ru/search?q=1379512-011&amp;newwindow=1&amp;tbm=isch","Еще фото")</f>
        <v>Еще фото</v>
      </c>
      <c r="F1084" s="28" t="s">
        <v>138</v>
      </c>
      <c r="G1084" s="11" t="s">
        <v>1112</v>
      </c>
      <c r="H1084" s="11" t="s">
        <v>721</v>
      </c>
      <c r="I1084" s="14" t="s">
        <v>1113</v>
      </c>
      <c r="J1084" s="14" t="s">
        <v>29</v>
      </c>
      <c r="K1084" s="15" t="s">
        <v>723</v>
      </c>
      <c r="L1084" s="57" t="s">
        <v>1149</v>
      </c>
      <c r="M1084" s="14"/>
      <c r="N1084" s="14" t="s">
        <v>1150</v>
      </c>
      <c r="O1084" s="14"/>
      <c r="P1084" s="15" t="s">
        <v>386</v>
      </c>
      <c r="Q1084" s="16">
        <v>1899</v>
      </c>
      <c r="R1084" s="17">
        <v>40</v>
      </c>
      <c r="S1084" s="18">
        <v>1310.31</v>
      </c>
      <c r="T1084" s="19" t="s">
        <v>36</v>
      </c>
      <c r="U1084" s="20" t="s">
        <v>39</v>
      </c>
      <c r="V1084" s="21" t="s">
        <v>1136</v>
      </c>
      <c r="W1084" s="22">
        <v>34</v>
      </c>
      <c r="X1084" s="23"/>
    </row>
    <row r="1085" spans="1:24" s="1" customFormat="1" ht="35" customHeight="1" x14ac:dyDescent="0.3">
      <c r="A1085" s="24" t="s">
        <v>23</v>
      </c>
      <c r="B1085" s="24" t="s">
        <v>1145</v>
      </c>
      <c r="C1085" s="12" t="s">
        <v>1148</v>
      </c>
      <c r="D1085" s="60"/>
      <c r="E1085" s="41" t="str">
        <f>HYPERLINK("https://www.google.ru/search?q=1379512-011&amp;newwindow=1&amp;tbm=isch","Еще фото")</f>
        <v>Еще фото</v>
      </c>
      <c r="F1085" s="28" t="s">
        <v>138</v>
      </c>
      <c r="G1085" s="24" t="s">
        <v>1112</v>
      </c>
      <c r="H1085" s="24" t="s">
        <v>721</v>
      </c>
      <c r="I1085" s="24" t="s">
        <v>1113</v>
      </c>
      <c r="J1085" s="14" t="s">
        <v>29</v>
      </c>
      <c r="K1085" s="15" t="s">
        <v>723</v>
      </c>
      <c r="L1085" s="62"/>
      <c r="M1085" s="14"/>
      <c r="N1085" s="14" t="s">
        <v>1150</v>
      </c>
      <c r="O1085" s="14"/>
      <c r="P1085" s="15" t="s">
        <v>386</v>
      </c>
      <c r="Q1085" s="16">
        <v>1899</v>
      </c>
      <c r="R1085" s="17">
        <v>40</v>
      </c>
      <c r="S1085" s="18">
        <v>1310.31</v>
      </c>
      <c r="T1085" s="19" t="s">
        <v>36</v>
      </c>
      <c r="U1085" s="20" t="s">
        <v>86</v>
      </c>
      <c r="V1085" s="21" t="s">
        <v>1144</v>
      </c>
      <c r="W1085" s="22">
        <v>13</v>
      </c>
      <c r="X1085" s="23"/>
    </row>
    <row r="1086" spans="1:24" s="1" customFormat="1" ht="37.049999999999997" customHeight="1" x14ac:dyDescent="0.3">
      <c r="A1086" s="24" t="s">
        <v>23</v>
      </c>
      <c r="B1086" s="24" t="s">
        <v>1145</v>
      </c>
      <c r="C1086" s="12" t="s">
        <v>1148</v>
      </c>
      <c r="D1086" s="61"/>
      <c r="E1086" s="41" t="str">
        <f>HYPERLINK("https://www.google.ru/search?q=1379512-011&amp;newwindow=1&amp;tbm=isch","Еще фото")</f>
        <v>Еще фото</v>
      </c>
      <c r="F1086" s="28" t="s">
        <v>138</v>
      </c>
      <c r="G1086" s="24" t="s">
        <v>1112</v>
      </c>
      <c r="H1086" s="24" t="s">
        <v>721</v>
      </c>
      <c r="I1086" s="24" t="s">
        <v>1113</v>
      </c>
      <c r="J1086" s="14" t="s">
        <v>29</v>
      </c>
      <c r="K1086" s="15" t="s">
        <v>723</v>
      </c>
      <c r="L1086" s="58"/>
      <c r="M1086" s="14"/>
      <c r="N1086" s="14" t="s">
        <v>1150</v>
      </c>
      <c r="O1086" s="14"/>
      <c r="P1086" s="15" t="s">
        <v>386</v>
      </c>
      <c r="Q1086" s="16">
        <v>1899</v>
      </c>
      <c r="R1086" s="17">
        <v>40</v>
      </c>
      <c r="S1086" s="18">
        <v>1310.31</v>
      </c>
      <c r="T1086" s="19" t="s">
        <v>36</v>
      </c>
      <c r="U1086" s="20" t="s">
        <v>88</v>
      </c>
      <c r="V1086" s="21" t="s">
        <v>1147</v>
      </c>
      <c r="W1086" s="22">
        <v>19</v>
      </c>
      <c r="X1086" s="23"/>
    </row>
    <row r="1087" spans="1:24" s="1" customFormat="1" ht="52.05" customHeight="1" x14ac:dyDescent="0.3">
      <c r="A1087" s="11" t="s">
        <v>23</v>
      </c>
      <c r="B1087" s="11" t="s">
        <v>1145</v>
      </c>
      <c r="C1087" s="12" t="s">
        <v>1151</v>
      </c>
      <c r="D1087" s="55"/>
      <c r="E1087" s="41" t="str">
        <f>HYPERLINK("https://www.google.ru/search?q=1379512-100&amp;newwindow=1&amp;tbm=isch","Еще фото")</f>
        <v>Еще фото</v>
      </c>
      <c r="F1087" s="28" t="s">
        <v>152</v>
      </c>
      <c r="G1087" s="11" t="s">
        <v>1112</v>
      </c>
      <c r="H1087" s="11" t="s">
        <v>721</v>
      </c>
      <c r="I1087" s="14" t="s">
        <v>1113</v>
      </c>
      <c r="J1087" s="14" t="s">
        <v>29</v>
      </c>
      <c r="K1087" s="15" t="s">
        <v>723</v>
      </c>
      <c r="L1087" s="57" t="s">
        <v>1152</v>
      </c>
      <c r="M1087" s="14"/>
      <c r="N1087" s="14" t="s">
        <v>84</v>
      </c>
      <c r="O1087" s="14"/>
      <c r="P1087" s="15" t="s">
        <v>386</v>
      </c>
      <c r="Q1087" s="16">
        <v>1899</v>
      </c>
      <c r="R1087" s="17">
        <v>40</v>
      </c>
      <c r="S1087" s="18">
        <v>1310.31</v>
      </c>
      <c r="T1087" s="19" t="s">
        <v>36</v>
      </c>
      <c r="U1087" s="20" t="s">
        <v>39</v>
      </c>
      <c r="V1087" s="21" t="s">
        <v>1136</v>
      </c>
      <c r="W1087" s="22">
        <v>43</v>
      </c>
      <c r="X1087" s="23"/>
    </row>
    <row r="1088" spans="1:24" s="1" customFormat="1" ht="61.05" customHeight="1" x14ac:dyDescent="0.3">
      <c r="A1088" s="24" t="s">
        <v>23</v>
      </c>
      <c r="B1088" s="24" t="s">
        <v>1145</v>
      </c>
      <c r="C1088" s="12" t="s">
        <v>1151</v>
      </c>
      <c r="D1088" s="56"/>
      <c r="E1088" s="41" t="str">
        <f>HYPERLINK("https://www.google.ru/search?q=1379512-100&amp;newwindow=1&amp;tbm=isch","Еще фото")</f>
        <v>Еще фото</v>
      </c>
      <c r="F1088" s="28" t="s">
        <v>152</v>
      </c>
      <c r="G1088" s="24" t="s">
        <v>1112</v>
      </c>
      <c r="H1088" s="24" t="s">
        <v>721</v>
      </c>
      <c r="I1088" s="24" t="s">
        <v>1113</v>
      </c>
      <c r="J1088" s="14" t="s">
        <v>29</v>
      </c>
      <c r="K1088" s="15" t="s">
        <v>723</v>
      </c>
      <c r="L1088" s="58"/>
      <c r="M1088" s="14"/>
      <c r="N1088" s="14" t="s">
        <v>84</v>
      </c>
      <c r="O1088" s="14"/>
      <c r="P1088" s="15" t="s">
        <v>386</v>
      </c>
      <c r="Q1088" s="16">
        <v>1899</v>
      </c>
      <c r="R1088" s="17">
        <v>40</v>
      </c>
      <c r="S1088" s="18">
        <v>1310.31</v>
      </c>
      <c r="T1088" s="19" t="s">
        <v>36</v>
      </c>
      <c r="U1088" s="20" t="s">
        <v>88</v>
      </c>
      <c r="V1088" s="21" t="s">
        <v>1147</v>
      </c>
      <c r="W1088" s="22">
        <v>12</v>
      </c>
      <c r="X1088" s="23"/>
    </row>
    <row r="1089" spans="1:24" s="1" customFormat="1" ht="108" customHeight="1" x14ac:dyDescent="0.3">
      <c r="A1089" s="11" t="s">
        <v>23</v>
      </c>
      <c r="B1089" s="11" t="s">
        <v>1153</v>
      </c>
      <c r="C1089" s="12" t="s">
        <v>1154</v>
      </c>
      <c r="D1089" s="25"/>
      <c r="E1089" s="41" t="str">
        <f>HYPERLINK("https://www.google.ru/search?q=1379515-002&amp;newwindow=1&amp;tbm=isch","Еще фото")</f>
        <v>Еще фото</v>
      </c>
      <c r="F1089" s="13" t="s">
        <v>103</v>
      </c>
      <c r="G1089" s="11" t="s">
        <v>1112</v>
      </c>
      <c r="H1089" s="11" t="s">
        <v>721</v>
      </c>
      <c r="I1089" s="14" t="s">
        <v>1113</v>
      </c>
      <c r="J1089" s="14" t="s">
        <v>29</v>
      </c>
      <c r="K1089" s="15" t="s">
        <v>723</v>
      </c>
      <c r="L1089" s="14" t="s">
        <v>1155</v>
      </c>
      <c r="M1089" s="14"/>
      <c r="N1089" s="14" t="s">
        <v>33</v>
      </c>
      <c r="O1089" s="14"/>
      <c r="P1089" s="15" t="s">
        <v>386</v>
      </c>
      <c r="Q1089" s="16">
        <v>1899</v>
      </c>
      <c r="R1089" s="17">
        <v>40</v>
      </c>
      <c r="S1089" s="18">
        <v>1310.31</v>
      </c>
      <c r="T1089" s="19" t="s">
        <v>36</v>
      </c>
      <c r="U1089" s="20" t="s">
        <v>39</v>
      </c>
      <c r="V1089" s="21" t="s">
        <v>1136</v>
      </c>
      <c r="W1089" s="22">
        <v>15</v>
      </c>
      <c r="X1089" s="23"/>
    </row>
    <row r="1090" spans="1:24" s="1" customFormat="1" ht="108" customHeight="1" x14ac:dyDescent="0.3">
      <c r="A1090" s="11" t="s">
        <v>23</v>
      </c>
      <c r="B1090" s="11" t="s">
        <v>1156</v>
      </c>
      <c r="C1090" s="12" t="s">
        <v>1157</v>
      </c>
      <c r="D1090" s="25"/>
      <c r="E1090" s="41" t="str">
        <f>HYPERLINK("https://www.google.ru/search?q=1382611-001&amp;newwindow=1&amp;tbm=isch","Еще фото")</f>
        <v>Еще фото</v>
      </c>
      <c r="F1090" s="13" t="s">
        <v>103</v>
      </c>
      <c r="G1090" s="11" t="s">
        <v>1125</v>
      </c>
      <c r="H1090" s="11" t="s">
        <v>721</v>
      </c>
      <c r="I1090" s="14" t="s">
        <v>1113</v>
      </c>
      <c r="J1090" s="14" t="s">
        <v>29</v>
      </c>
      <c r="K1090" s="15" t="s">
        <v>723</v>
      </c>
      <c r="L1090" s="14" t="s">
        <v>1158</v>
      </c>
      <c r="M1090" s="14"/>
      <c r="N1090" s="14" t="s">
        <v>33</v>
      </c>
      <c r="O1090" s="14"/>
      <c r="P1090" s="15" t="s">
        <v>364</v>
      </c>
      <c r="Q1090" s="16">
        <v>1899</v>
      </c>
      <c r="R1090" s="17">
        <v>40</v>
      </c>
      <c r="S1090" s="18">
        <v>1310.31</v>
      </c>
      <c r="T1090" s="19" t="s">
        <v>36</v>
      </c>
      <c r="U1090" s="20" t="s">
        <v>37</v>
      </c>
      <c r="V1090" s="21" t="s">
        <v>1159</v>
      </c>
      <c r="W1090" s="22">
        <v>4</v>
      </c>
      <c r="X1090" s="23"/>
    </row>
    <row r="1091" spans="1:24" s="1" customFormat="1" ht="35" customHeight="1" x14ac:dyDescent="0.3">
      <c r="A1091" s="11" t="s">
        <v>23</v>
      </c>
      <c r="B1091" s="11" t="s">
        <v>1156</v>
      </c>
      <c r="C1091" s="12" t="s">
        <v>1160</v>
      </c>
      <c r="D1091" s="59"/>
      <c r="E1091" s="41" t="str">
        <f>HYPERLINK("https://www.google.ru/search?q=1382611-100&amp;newwindow=1&amp;tbm=isch","Еще фото")</f>
        <v>Еще фото</v>
      </c>
      <c r="F1091" s="13" t="s">
        <v>103</v>
      </c>
      <c r="G1091" s="11" t="s">
        <v>1125</v>
      </c>
      <c r="H1091" s="11" t="s">
        <v>721</v>
      </c>
      <c r="I1091" s="14" t="s">
        <v>1113</v>
      </c>
      <c r="J1091" s="14" t="s">
        <v>29</v>
      </c>
      <c r="K1091" s="15" t="s">
        <v>723</v>
      </c>
      <c r="L1091" s="57" t="s">
        <v>1158</v>
      </c>
      <c r="M1091" s="14"/>
      <c r="N1091" s="14" t="s">
        <v>84</v>
      </c>
      <c r="O1091" s="14"/>
      <c r="P1091" s="15" t="s">
        <v>364</v>
      </c>
      <c r="Q1091" s="16">
        <v>2199</v>
      </c>
      <c r="R1091" s="17">
        <v>40</v>
      </c>
      <c r="S1091" s="18">
        <v>1517.31</v>
      </c>
      <c r="T1091" s="19" t="s">
        <v>36</v>
      </c>
      <c r="U1091" s="20" t="s">
        <v>37</v>
      </c>
      <c r="V1091" s="21" t="s">
        <v>1159</v>
      </c>
      <c r="W1091" s="22">
        <v>6</v>
      </c>
      <c r="X1091" s="23"/>
    </row>
    <row r="1092" spans="1:24" s="1" customFormat="1" ht="35" customHeight="1" x14ac:dyDescent="0.3">
      <c r="A1092" s="24" t="s">
        <v>23</v>
      </c>
      <c r="B1092" s="24" t="s">
        <v>1156</v>
      </c>
      <c r="C1092" s="12" t="s">
        <v>1160</v>
      </c>
      <c r="D1092" s="60"/>
      <c r="E1092" s="41" t="str">
        <f>HYPERLINK("https://www.google.ru/search?q=1382611-100&amp;newwindow=1&amp;tbm=isch","Еще фото")</f>
        <v>Еще фото</v>
      </c>
      <c r="F1092" s="13" t="s">
        <v>103</v>
      </c>
      <c r="G1092" s="24" t="s">
        <v>1125</v>
      </c>
      <c r="H1092" s="24" t="s">
        <v>721</v>
      </c>
      <c r="I1092" s="24" t="s">
        <v>1113</v>
      </c>
      <c r="J1092" s="14" t="s">
        <v>29</v>
      </c>
      <c r="K1092" s="15" t="s">
        <v>723</v>
      </c>
      <c r="L1092" s="62"/>
      <c r="M1092" s="14"/>
      <c r="N1092" s="14" t="s">
        <v>84</v>
      </c>
      <c r="O1092" s="14"/>
      <c r="P1092" s="15" t="s">
        <v>364</v>
      </c>
      <c r="Q1092" s="16">
        <v>2199</v>
      </c>
      <c r="R1092" s="17">
        <v>40</v>
      </c>
      <c r="S1092" s="18">
        <v>1517.31</v>
      </c>
      <c r="T1092" s="19" t="s">
        <v>36</v>
      </c>
      <c r="U1092" s="20" t="s">
        <v>39</v>
      </c>
      <c r="V1092" s="21" t="s">
        <v>1136</v>
      </c>
      <c r="W1092" s="22">
        <v>13</v>
      </c>
      <c r="X1092" s="23"/>
    </row>
    <row r="1093" spans="1:24" s="1" customFormat="1" ht="37.049999999999997" customHeight="1" x14ac:dyDescent="0.3">
      <c r="A1093" s="24" t="s">
        <v>23</v>
      </c>
      <c r="B1093" s="24" t="s">
        <v>1156</v>
      </c>
      <c r="C1093" s="12" t="s">
        <v>1160</v>
      </c>
      <c r="D1093" s="61"/>
      <c r="E1093" s="41" t="str">
        <f>HYPERLINK("https://www.google.ru/search?q=1382611-100&amp;newwindow=1&amp;tbm=isch","Еще фото")</f>
        <v>Еще фото</v>
      </c>
      <c r="F1093" s="13" t="s">
        <v>103</v>
      </c>
      <c r="G1093" s="24" t="s">
        <v>1125</v>
      </c>
      <c r="H1093" s="24" t="s">
        <v>721</v>
      </c>
      <c r="I1093" s="24" t="s">
        <v>1113</v>
      </c>
      <c r="J1093" s="14" t="s">
        <v>29</v>
      </c>
      <c r="K1093" s="15" t="s">
        <v>723</v>
      </c>
      <c r="L1093" s="58"/>
      <c r="M1093" s="14"/>
      <c r="N1093" s="14" t="s">
        <v>84</v>
      </c>
      <c r="O1093" s="14"/>
      <c r="P1093" s="15" t="s">
        <v>364</v>
      </c>
      <c r="Q1093" s="16">
        <v>2199</v>
      </c>
      <c r="R1093" s="17">
        <v>40</v>
      </c>
      <c r="S1093" s="18">
        <v>1517.31</v>
      </c>
      <c r="T1093" s="19" t="s">
        <v>36</v>
      </c>
      <c r="U1093" s="20" t="s">
        <v>86</v>
      </c>
      <c r="V1093" s="21" t="s">
        <v>1144</v>
      </c>
      <c r="W1093" s="22">
        <v>3</v>
      </c>
      <c r="X1093" s="23"/>
    </row>
    <row r="1094" spans="1:24" s="1" customFormat="1" ht="108" customHeight="1" x14ac:dyDescent="0.3">
      <c r="A1094" s="11" t="s">
        <v>23</v>
      </c>
      <c r="B1094" s="11" t="s">
        <v>1161</v>
      </c>
      <c r="C1094" s="12" t="s">
        <v>1162</v>
      </c>
      <c r="D1094" s="25"/>
      <c r="E1094" s="41" t="str">
        <f>HYPERLINK("https://www.google.ru/search?q=1385176-731&amp;newwindow=1&amp;tbm=isch","Еще фото")</f>
        <v>Еще фото</v>
      </c>
      <c r="F1094" s="13"/>
      <c r="G1094" s="11" t="s">
        <v>1163</v>
      </c>
      <c r="H1094" s="11" t="s">
        <v>721</v>
      </c>
      <c r="I1094" s="14" t="s">
        <v>1113</v>
      </c>
      <c r="J1094" s="14" t="s">
        <v>311</v>
      </c>
      <c r="K1094" s="15" t="s">
        <v>723</v>
      </c>
      <c r="L1094" s="14" t="s">
        <v>1164</v>
      </c>
      <c r="M1094" s="14"/>
      <c r="N1094" s="14" t="s">
        <v>1165</v>
      </c>
      <c r="O1094" s="14"/>
      <c r="P1094" s="15" t="s">
        <v>1166</v>
      </c>
      <c r="Q1094" s="16">
        <v>3899</v>
      </c>
      <c r="R1094" s="17">
        <v>40</v>
      </c>
      <c r="S1094" s="18">
        <v>2690.31</v>
      </c>
      <c r="T1094" s="19" t="s">
        <v>36</v>
      </c>
      <c r="U1094" s="20" t="s">
        <v>86</v>
      </c>
      <c r="V1094" s="21" t="s">
        <v>1144</v>
      </c>
      <c r="W1094" s="22">
        <v>2</v>
      </c>
      <c r="X1094" s="23"/>
    </row>
    <row r="1095" spans="1:24" s="1" customFormat="1" ht="108" customHeight="1" x14ac:dyDescent="0.3">
      <c r="A1095" s="11" t="s">
        <v>23</v>
      </c>
      <c r="B1095" s="11" t="s">
        <v>1167</v>
      </c>
      <c r="C1095" s="12" t="s">
        <v>1168</v>
      </c>
      <c r="D1095" s="25"/>
      <c r="E1095" s="41" t="str">
        <f>HYPERLINK("https://www.google.ru/search?q=1386242-003&amp;newwindow=1&amp;tbm=isch","Еще фото")</f>
        <v>Еще фото</v>
      </c>
      <c r="F1095" s="13"/>
      <c r="G1095" s="11" t="s">
        <v>1125</v>
      </c>
      <c r="H1095" s="11" t="s">
        <v>721</v>
      </c>
      <c r="I1095" s="14" t="s">
        <v>1113</v>
      </c>
      <c r="J1095" s="14" t="s">
        <v>29</v>
      </c>
      <c r="K1095" s="15" t="s">
        <v>723</v>
      </c>
      <c r="L1095" s="14" t="s">
        <v>1169</v>
      </c>
      <c r="M1095" s="14"/>
      <c r="N1095" s="14" t="s">
        <v>33</v>
      </c>
      <c r="O1095" s="14"/>
      <c r="P1095" s="15" t="s">
        <v>386</v>
      </c>
      <c r="Q1095" s="16">
        <v>3199</v>
      </c>
      <c r="R1095" s="17">
        <v>40</v>
      </c>
      <c r="S1095" s="18">
        <v>2207.31</v>
      </c>
      <c r="T1095" s="19" t="s">
        <v>36</v>
      </c>
      <c r="U1095" s="20" t="s">
        <v>39</v>
      </c>
      <c r="V1095" s="21" t="s">
        <v>1136</v>
      </c>
      <c r="W1095" s="22">
        <v>24</v>
      </c>
      <c r="X1095" s="23"/>
    </row>
    <row r="1096" spans="1:24" s="1" customFormat="1" ht="108" customHeight="1" x14ac:dyDescent="0.3">
      <c r="A1096" s="11" t="s">
        <v>23</v>
      </c>
      <c r="B1096" s="11" t="s">
        <v>1167</v>
      </c>
      <c r="C1096" s="12" t="s">
        <v>1170</v>
      </c>
      <c r="D1096" s="25"/>
      <c r="E1096" s="41" t="str">
        <f>HYPERLINK("https://www.google.ru/search?q=1386242-011&amp;newwindow=1&amp;tbm=isch","Еще фото")</f>
        <v>Еще фото</v>
      </c>
      <c r="F1096" s="13"/>
      <c r="G1096" s="11" t="s">
        <v>1125</v>
      </c>
      <c r="H1096" s="11" t="s">
        <v>721</v>
      </c>
      <c r="I1096" s="14" t="s">
        <v>1113</v>
      </c>
      <c r="J1096" s="14" t="s">
        <v>29</v>
      </c>
      <c r="K1096" s="15" t="s">
        <v>723</v>
      </c>
      <c r="L1096" s="14" t="s">
        <v>1169</v>
      </c>
      <c r="M1096" s="14"/>
      <c r="N1096" s="14" t="s">
        <v>1150</v>
      </c>
      <c r="O1096" s="14"/>
      <c r="P1096" s="15" t="s">
        <v>386</v>
      </c>
      <c r="Q1096" s="16">
        <v>3199</v>
      </c>
      <c r="R1096" s="17">
        <v>40</v>
      </c>
      <c r="S1096" s="18">
        <v>2207.31</v>
      </c>
      <c r="T1096" s="19" t="s">
        <v>36</v>
      </c>
      <c r="U1096" s="20" t="s">
        <v>39</v>
      </c>
      <c r="V1096" s="21" t="s">
        <v>1136</v>
      </c>
      <c r="W1096" s="22">
        <v>6</v>
      </c>
      <c r="X1096" s="23"/>
    </row>
    <row r="1097" spans="1:24" s="1" customFormat="1" ht="108" customHeight="1" x14ac:dyDescent="0.3">
      <c r="A1097" s="11" t="s">
        <v>23</v>
      </c>
      <c r="B1097" s="11" t="s">
        <v>1167</v>
      </c>
      <c r="C1097" s="12" t="s">
        <v>1171</v>
      </c>
      <c r="D1097" s="25"/>
      <c r="E1097" s="41" t="str">
        <f>HYPERLINK("https://www.google.ru/search?q=1386242-101&amp;newwindow=1&amp;tbm=isch","Еще фото")</f>
        <v>Еще фото</v>
      </c>
      <c r="F1097" s="13"/>
      <c r="G1097" s="11" t="s">
        <v>1125</v>
      </c>
      <c r="H1097" s="11" t="s">
        <v>721</v>
      </c>
      <c r="I1097" s="14" t="s">
        <v>1113</v>
      </c>
      <c r="J1097" s="14" t="s">
        <v>29</v>
      </c>
      <c r="K1097" s="15" t="s">
        <v>723</v>
      </c>
      <c r="L1097" s="14" t="s">
        <v>1169</v>
      </c>
      <c r="M1097" s="14"/>
      <c r="N1097" s="14" t="s">
        <v>84</v>
      </c>
      <c r="O1097" s="14"/>
      <c r="P1097" s="15" t="s">
        <v>386</v>
      </c>
      <c r="Q1097" s="16">
        <v>3199</v>
      </c>
      <c r="R1097" s="17">
        <v>40</v>
      </c>
      <c r="S1097" s="18">
        <v>2207.31</v>
      </c>
      <c r="T1097" s="19" t="s">
        <v>36</v>
      </c>
      <c r="U1097" s="20" t="s">
        <v>39</v>
      </c>
      <c r="V1097" s="21" t="s">
        <v>1136</v>
      </c>
      <c r="W1097" s="22">
        <v>7</v>
      </c>
      <c r="X1097" s="23"/>
    </row>
    <row r="1098" spans="1:24" s="1" customFormat="1" ht="108" customHeight="1" x14ac:dyDescent="0.3">
      <c r="A1098" s="11" t="s">
        <v>23</v>
      </c>
      <c r="B1098" s="11" t="s">
        <v>1172</v>
      </c>
      <c r="C1098" s="12" t="s">
        <v>1173</v>
      </c>
      <c r="D1098" s="25"/>
      <c r="E1098" s="41" t="str">
        <f>HYPERLINK("https://www.google.ru/search?q=1387044-001&amp;newwindow=1&amp;tbm=isch","Еще фото")</f>
        <v>Еще фото</v>
      </c>
      <c r="F1098" s="13"/>
      <c r="G1098" s="11" t="s">
        <v>1112</v>
      </c>
      <c r="H1098" s="11" t="s">
        <v>721</v>
      </c>
      <c r="I1098" s="14" t="s">
        <v>1113</v>
      </c>
      <c r="J1098" s="14" t="s">
        <v>29</v>
      </c>
      <c r="K1098" s="15" t="s">
        <v>723</v>
      </c>
      <c r="L1098" s="14" t="s">
        <v>1174</v>
      </c>
      <c r="M1098" s="14"/>
      <c r="N1098" s="14" t="s">
        <v>33</v>
      </c>
      <c r="O1098" s="14"/>
      <c r="P1098" s="15" t="s">
        <v>827</v>
      </c>
      <c r="Q1098" s="16">
        <v>2799</v>
      </c>
      <c r="R1098" s="17">
        <v>40</v>
      </c>
      <c r="S1098" s="18">
        <v>1931.31</v>
      </c>
      <c r="T1098" s="19" t="s">
        <v>36</v>
      </c>
      <c r="U1098" s="20" t="s">
        <v>39</v>
      </c>
      <c r="V1098" s="21" t="s">
        <v>1136</v>
      </c>
      <c r="W1098" s="22">
        <v>15</v>
      </c>
      <c r="X1098" s="23"/>
    </row>
    <row r="1099" spans="1:24" s="1" customFormat="1" ht="108" customHeight="1" x14ac:dyDescent="0.3">
      <c r="A1099" s="11" t="s">
        <v>23</v>
      </c>
      <c r="B1099" s="11" t="s">
        <v>1175</v>
      </c>
      <c r="C1099" s="12" t="s">
        <v>1176</v>
      </c>
      <c r="D1099" s="25"/>
      <c r="E1099" s="41" t="str">
        <f>HYPERLINK("https://www.google.ru/search?q=1387052-001&amp;newwindow=1&amp;tbm=isch","Еще фото")</f>
        <v>Еще фото</v>
      </c>
      <c r="F1099" s="13"/>
      <c r="G1099" s="11" t="s">
        <v>1112</v>
      </c>
      <c r="H1099" s="11" t="s">
        <v>721</v>
      </c>
      <c r="I1099" s="14" t="s">
        <v>1113</v>
      </c>
      <c r="J1099" s="14" t="s">
        <v>29</v>
      </c>
      <c r="K1099" s="15" t="s">
        <v>59</v>
      </c>
      <c r="L1099" s="14"/>
      <c r="M1099" s="14"/>
      <c r="N1099" s="14" t="s">
        <v>33</v>
      </c>
      <c r="O1099" s="14"/>
      <c r="P1099" s="15" t="s">
        <v>827</v>
      </c>
      <c r="Q1099" s="16">
        <v>2399</v>
      </c>
      <c r="R1099" s="17">
        <v>40</v>
      </c>
      <c r="S1099" s="18">
        <v>1655.31</v>
      </c>
      <c r="T1099" s="19" t="s">
        <v>725</v>
      </c>
      <c r="U1099" s="20" t="s">
        <v>726</v>
      </c>
      <c r="V1099" s="21" t="s">
        <v>727</v>
      </c>
      <c r="W1099" s="22">
        <v>4</v>
      </c>
      <c r="X1099" s="23"/>
    </row>
    <row r="1100" spans="1:24" s="1" customFormat="1" ht="108" customHeight="1" x14ac:dyDescent="0.3">
      <c r="A1100" s="11" t="s">
        <v>23</v>
      </c>
      <c r="B1100" s="11" t="s">
        <v>1177</v>
      </c>
      <c r="C1100" s="12" t="s">
        <v>1178</v>
      </c>
      <c r="D1100" s="25"/>
      <c r="E1100" s="41" t="str">
        <f>HYPERLINK("https://www.google.ru/search?q=6009333-731&amp;newwindow=1&amp;tbm=isch","Еще фото")</f>
        <v>Еще фото</v>
      </c>
      <c r="F1100" s="13"/>
      <c r="G1100" s="11" t="s">
        <v>1179</v>
      </c>
      <c r="H1100" s="11" t="s">
        <v>721</v>
      </c>
      <c r="I1100" s="14" t="s">
        <v>1113</v>
      </c>
      <c r="J1100" s="14" t="s">
        <v>29</v>
      </c>
      <c r="K1100" s="15" t="s">
        <v>723</v>
      </c>
      <c r="L1100" s="14" t="s">
        <v>1180</v>
      </c>
      <c r="M1100" s="14"/>
      <c r="N1100" s="14" t="s">
        <v>1165</v>
      </c>
      <c r="O1100" s="14"/>
      <c r="P1100" s="15" t="s">
        <v>1181</v>
      </c>
      <c r="Q1100" s="16">
        <v>1999</v>
      </c>
      <c r="R1100" s="17">
        <v>40</v>
      </c>
      <c r="S1100" s="18">
        <v>1379.31</v>
      </c>
      <c r="T1100" s="19" t="s">
        <v>36</v>
      </c>
      <c r="U1100" s="20" t="s">
        <v>39</v>
      </c>
      <c r="V1100" s="21" t="s">
        <v>1136</v>
      </c>
      <c r="W1100" s="22">
        <v>7</v>
      </c>
      <c r="X1100" s="23"/>
    </row>
    <row r="1101" spans="1:24" s="1" customFormat="1" ht="108" customHeight="1" x14ac:dyDescent="0.3">
      <c r="A1101" s="11" t="s">
        <v>23</v>
      </c>
      <c r="B1101" s="11" t="s">
        <v>1182</v>
      </c>
      <c r="C1101" s="12" t="s">
        <v>1183</v>
      </c>
      <c r="D1101" s="25"/>
      <c r="E1101" s="41" t="str">
        <f>HYPERLINK("https://www.google.ru/search?q=3026641-113&amp;newwindow=1&amp;tbm=isch","Еще фото")</f>
        <v>Еще фото</v>
      </c>
      <c r="F1101" s="13"/>
      <c r="G1101" s="11" t="s">
        <v>1184</v>
      </c>
      <c r="H1101" s="11" t="s">
        <v>741</v>
      </c>
      <c r="I1101" s="14" t="s">
        <v>1185</v>
      </c>
      <c r="J1101" s="14" t="s">
        <v>260</v>
      </c>
      <c r="K1101" s="15" t="s">
        <v>59</v>
      </c>
      <c r="L1101" s="14" t="s">
        <v>1186</v>
      </c>
      <c r="M1101" s="14" t="s">
        <v>1187</v>
      </c>
      <c r="N1101" s="14" t="s">
        <v>1188</v>
      </c>
      <c r="O1101" s="14"/>
      <c r="P1101" s="15" t="s">
        <v>1189</v>
      </c>
      <c r="Q1101" s="16">
        <v>14499</v>
      </c>
      <c r="R1101" s="17">
        <v>73.599999999999994</v>
      </c>
      <c r="S1101" s="18">
        <v>4401.9354999999996</v>
      </c>
      <c r="T1101" s="19" t="s">
        <v>36</v>
      </c>
      <c r="U1101" s="20" t="s">
        <v>1190</v>
      </c>
      <c r="V1101" s="34">
        <v>35.5</v>
      </c>
      <c r="W1101" s="22">
        <v>2</v>
      </c>
      <c r="X1101" s="23"/>
    </row>
    <row r="1102" spans="1:24" s="1" customFormat="1" ht="26" customHeight="1" x14ac:dyDescent="0.3">
      <c r="A1102" s="11" t="s">
        <v>23</v>
      </c>
      <c r="B1102" s="11" t="s">
        <v>1191</v>
      </c>
      <c r="C1102" s="12" t="s">
        <v>1192</v>
      </c>
      <c r="D1102" s="59"/>
      <c r="E1102" s="41" t="str">
        <f>HYPERLINK("https://www.google.ru/search?q=3025427-500&amp;newwindow=1&amp;tbm=isch","Еще фото")</f>
        <v>Еще фото</v>
      </c>
      <c r="F1102" s="13"/>
      <c r="G1102" s="11" t="s">
        <v>1184</v>
      </c>
      <c r="H1102" s="11" t="s">
        <v>741</v>
      </c>
      <c r="I1102" s="14" t="s">
        <v>1185</v>
      </c>
      <c r="J1102" s="14" t="s">
        <v>29</v>
      </c>
      <c r="K1102" s="15" t="s">
        <v>59</v>
      </c>
      <c r="L1102" s="57" t="s">
        <v>1193</v>
      </c>
      <c r="M1102" s="14" t="s">
        <v>1194</v>
      </c>
      <c r="N1102" s="14" t="s">
        <v>62</v>
      </c>
      <c r="O1102" s="14"/>
      <c r="P1102" s="15" t="s">
        <v>1195</v>
      </c>
      <c r="Q1102" s="16">
        <v>9299</v>
      </c>
      <c r="R1102" s="17">
        <v>71.31</v>
      </c>
      <c r="S1102" s="18">
        <v>3067.9354999999996</v>
      </c>
      <c r="T1102" s="19" t="s">
        <v>36</v>
      </c>
      <c r="U1102" s="20" t="s">
        <v>1190</v>
      </c>
      <c r="V1102" s="34">
        <v>35.5</v>
      </c>
      <c r="W1102" s="22">
        <v>4</v>
      </c>
      <c r="X1102" s="23"/>
    </row>
    <row r="1103" spans="1:24" s="1" customFormat="1" ht="26" customHeight="1" x14ac:dyDescent="0.3">
      <c r="A1103" s="24" t="s">
        <v>23</v>
      </c>
      <c r="B1103" s="24" t="s">
        <v>1191</v>
      </c>
      <c r="C1103" s="12" t="s">
        <v>1192</v>
      </c>
      <c r="D1103" s="60"/>
      <c r="E1103" s="41" t="str">
        <f>HYPERLINK("https://www.google.ru/search?q=3025427-500&amp;newwindow=1&amp;tbm=isch","Еще фото")</f>
        <v>Еще фото</v>
      </c>
      <c r="F1103" s="13"/>
      <c r="G1103" s="24" t="s">
        <v>1184</v>
      </c>
      <c r="H1103" s="24" t="s">
        <v>741</v>
      </c>
      <c r="I1103" s="24" t="s">
        <v>1185</v>
      </c>
      <c r="J1103" s="14" t="s">
        <v>29</v>
      </c>
      <c r="K1103" s="15" t="s">
        <v>59</v>
      </c>
      <c r="L1103" s="62"/>
      <c r="M1103" s="14" t="s">
        <v>1194</v>
      </c>
      <c r="N1103" s="14" t="s">
        <v>62</v>
      </c>
      <c r="O1103" s="14"/>
      <c r="P1103" s="15" t="s">
        <v>1195</v>
      </c>
      <c r="Q1103" s="16">
        <v>9299</v>
      </c>
      <c r="R1103" s="17">
        <v>71.31</v>
      </c>
      <c r="S1103" s="18">
        <v>3067.9354999999996</v>
      </c>
      <c r="T1103" s="19" t="s">
        <v>36</v>
      </c>
      <c r="U1103" s="20" t="s">
        <v>1196</v>
      </c>
      <c r="V1103" s="34">
        <v>36.5</v>
      </c>
      <c r="W1103" s="22">
        <v>13</v>
      </c>
      <c r="X1103" s="23"/>
    </row>
    <row r="1104" spans="1:24" s="1" customFormat="1" ht="26" customHeight="1" x14ac:dyDescent="0.3">
      <c r="A1104" s="24" t="s">
        <v>23</v>
      </c>
      <c r="B1104" s="24" t="s">
        <v>1191</v>
      </c>
      <c r="C1104" s="12" t="s">
        <v>1192</v>
      </c>
      <c r="D1104" s="60"/>
      <c r="E1104" s="41" t="str">
        <f>HYPERLINK("https://www.google.ru/search?q=3025427-500&amp;newwindow=1&amp;tbm=isch","Еще фото")</f>
        <v>Еще фото</v>
      </c>
      <c r="F1104" s="13"/>
      <c r="G1104" s="24" t="s">
        <v>1184</v>
      </c>
      <c r="H1104" s="24" t="s">
        <v>741</v>
      </c>
      <c r="I1104" s="24" t="s">
        <v>1185</v>
      </c>
      <c r="J1104" s="14" t="s">
        <v>29</v>
      </c>
      <c r="K1104" s="15" t="s">
        <v>59</v>
      </c>
      <c r="L1104" s="62"/>
      <c r="M1104" s="14" t="s">
        <v>1194</v>
      </c>
      <c r="N1104" s="14" t="s">
        <v>62</v>
      </c>
      <c r="O1104" s="14"/>
      <c r="P1104" s="15" t="s">
        <v>1195</v>
      </c>
      <c r="Q1104" s="16">
        <v>9299</v>
      </c>
      <c r="R1104" s="17">
        <v>71.31</v>
      </c>
      <c r="S1104" s="18">
        <v>3067.9354999999996</v>
      </c>
      <c r="T1104" s="19" t="s">
        <v>36</v>
      </c>
      <c r="U1104" s="20" t="s">
        <v>746</v>
      </c>
      <c r="V1104" s="22">
        <v>37</v>
      </c>
      <c r="W1104" s="22">
        <v>25</v>
      </c>
      <c r="X1104" s="23"/>
    </row>
    <row r="1105" spans="1:24" s="1" customFormat="1" ht="26" customHeight="1" x14ac:dyDescent="0.3">
      <c r="A1105" s="24" t="s">
        <v>23</v>
      </c>
      <c r="B1105" s="24" t="s">
        <v>1191</v>
      </c>
      <c r="C1105" s="12" t="s">
        <v>1192</v>
      </c>
      <c r="D1105" s="61"/>
      <c r="E1105" s="41" t="str">
        <f>HYPERLINK("https://www.google.ru/search?q=3025427-500&amp;newwindow=1&amp;tbm=isch","Еще фото")</f>
        <v>Еще фото</v>
      </c>
      <c r="F1105" s="13"/>
      <c r="G1105" s="24" t="s">
        <v>1184</v>
      </c>
      <c r="H1105" s="24" t="s">
        <v>741</v>
      </c>
      <c r="I1105" s="24" t="s">
        <v>1185</v>
      </c>
      <c r="J1105" s="14" t="s">
        <v>29</v>
      </c>
      <c r="K1105" s="15" t="s">
        <v>59</v>
      </c>
      <c r="L1105" s="58"/>
      <c r="M1105" s="14" t="s">
        <v>1194</v>
      </c>
      <c r="N1105" s="14" t="s">
        <v>62</v>
      </c>
      <c r="O1105" s="14"/>
      <c r="P1105" s="15" t="s">
        <v>1195</v>
      </c>
      <c r="Q1105" s="16">
        <v>9299</v>
      </c>
      <c r="R1105" s="17">
        <v>71.31</v>
      </c>
      <c r="S1105" s="18">
        <v>3067.9354999999996</v>
      </c>
      <c r="T1105" s="19" t="s">
        <v>36</v>
      </c>
      <c r="U1105" s="20" t="s">
        <v>748</v>
      </c>
      <c r="V1105" s="22">
        <v>38</v>
      </c>
      <c r="W1105" s="22">
        <v>1</v>
      </c>
      <c r="X1105" s="23"/>
    </row>
    <row r="1106" spans="1:24" s="1" customFormat="1" ht="35" customHeight="1" x14ac:dyDescent="0.3">
      <c r="A1106" s="11" t="s">
        <v>23</v>
      </c>
      <c r="B1106" s="11" t="s">
        <v>1197</v>
      </c>
      <c r="C1106" s="12" t="s">
        <v>1198</v>
      </c>
      <c r="D1106" s="59"/>
      <c r="E1106" s="41" t="str">
        <f>HYPERLINK("https://www.google.ru/search?q=3024889-111&amp;newwindow=1&amp;tbm=isch","Еще фото")</f>
        <v>Еще фото</v>
      </c>
      <c r="F1106" s="13"/>
      <c r="G1106" s="11" t="s">
        <v>1184</v>
      </c>
      <c r="H1106" s="11" t="s">
        <v>741</v>
      </c>
      <c r="I1106" s="14" t="s">
        <v>1185</v>
      </c>
      <c r="J1106" s="14" t="s">
        <v>29</v>
      </c>
      <c r="K1106" s="15" t="s">
        <v>59</v>
      </c>
      <c r="L1106" s="57" t="s">
        <v>1199</v>
      </c>
      <c r="M1106" s="14" t="s">
        <v>1194</v>
      </c>
      <c r="N1106" s="14" t="s">
        <v>62</v>
      </c>
      <c r="O1106" s="14"/>
      <c r="P1106" s="15" t="s">
        <v>1200</v>
      </c>
      <c r="Q1106" s="16">
        <v>8499</v>
      </c>
      <c r="R1106" s="17">
        <v>71.2</v>
      </c>
      <c r="S1106" s="18">
        <v>2814.9354999999996</v>
      </c>
      <c r="T1106" s="19" t="s">
        <v>36</v>
      </c>
      <c r="U1106" s="20" t="s">
        <v>1190</v>
      </c>
      <c r="V1106" s="34">
        <v>35.5</v>
      </c>
      <c r="W1106" s="22">
        <v>4</v>
      </c>
      <c r="X1106" s="23"/>
    </row>
    <row r="1107" spans="1:24" s="1" customFormat="1" ht="35" customHeight="1" x14ac:dyDescent="0.3">
      <c r="A1107" s="24" t="s">
        <v>23</v>
      </c>
      <c r="B1107" s="24" t="s">
        <v>1197</v>
      </c>
      <c r="C1107" s="12" t="s">
        <v>1198</v>
      </c>
      <c r="D1107" s="60"/>
      <c r="E1107" s="41" t="str">
        <f>HYPERLINK("https://www.google.ru/search?q=3024889-111&amp;newwindow=1&amp;tbm=isch","Еще фото")</f>
        <v>Еще фото</v>
      </c>
      <c r="F1107" s="13"/>
      <c r="G1107" s="24" t="s">
        <v>1184</v>
      </c>
      <c r="H1107" s="24" t="s">
        <v>741</v>
      </c>
      <c r="I1107" s="24" t="s">
        <v>1185</v>
      </c>
      <c r="J1107" s="14" t="s">
        <v>29</v>
      </c>
      <c r="K1107" s="15" t="s">
        <v>59</v>
      </c>
      <c r="L1107" s="62"/>
      <c r="M1107" s="14" t="s">
        <v>1194</v>
      </c>
      <c r="N1107" s="14" t="s">
        <v>62</v>
      </c>
      <c r="O1107" s="14"/>
      <c r="P1107" s="15" t="s">
        <v>1200</v>
      </c>
      <c r="Q1107" s="16">
        <v>8499</v>
      </c>
      <c r="R1107" s="17">
        <v>71.2</v>
      </c>
      <c r="S1107" s="18">
        <v>2814.9354999999996</v>
      </c>
      <c r="T1107" s="19" t="s">
        <v>36</v>
      </c>
      <c r="U1107" s="20" t="s">
        <v>1196</v>
      </c>
      <c r="V1107" s="34">
        <v>36.5</v>
      </c>
      <c r="W1107" s="22">
        <v>8</v>
      </c>
      <c r="X1107" s="23"/>
    </row>
    <row r="1108" spans="1:24" s="1" customFormat="1" ht="37.049999999999997" customHeight="1" x14ac:dyDescent="0.3">
      <c r="A1108" s="24" t="s">
        <v>23</v>
      </c>
      <c r="B1108" s="24" t="s">
        <v>1197</v>
      </c>
      <c r="C1108" s="12" t="s">
        <v>1198</v>
      </c>
      <c r="D1108" s="61"/>
      <c r="E1108" s="41" t="str">
        <f>HYPERLINK("https://www.google.ru/search?q=3024889-111&amp;newwindow=1&amp;tbm=isch","Еще фото")</f>
        <v>Еще фото</v>
      </c>
      <c r="F1108" s="13"/>
      <c r="G1108" s="24" t="s">
        <v>1184</v>
      </c>
      <c r="H1108" s="24" t="s">
        <v>741</v>
      </c>
      <c r="I1108" s="24" t="s">
        <v>1185</v>
      </c>
      <c r="J1108" s="14" t="s">
        <v>29</v>
      </c>
      <c r="K1108" s="15" t="s">
        <v>59</v>
      </c>
      <c r="L1108" s="58"/>
      <c r="M1108" s="14" t="s">
        <v>1194</v>
      </c>
      <c r="N1108" s="14" t="s">
        <v>62</v>
      </c>
      <c r="O1108" s="14"/>
      <c r="P1108" s="15" t="s">
        <v>1200</v>
      </c>
      <c r="Q1108" s="16">
        <v>8499</v>
      </c>
      <c r="R1108" s="17">
        <v>71.2</v>
      </c>
      <c r="S1108" s="18">
        <v>2814.9354999999996</v>
      </c>
      <c r="T1108" s="19" t="s">
        <v>36</v>
      </c>
      <c r="U1108" s="20" t="s">
        <v>746</v>
      </c>
      <c r="V1108" s="22">
        <v>37</v>
      </c>
      <c r="W1108" s="22">
        <v>18</v>
      </c>
      <c r="X1108" s="23"/>
    </row>
    <row r="1109" spans="1:24" s="1" customFormat="1" ht="21" customHeight="1" x14ac:dyDescent="0.3">
      <c r="A1109" s="11" t="s">
        <v>23</v>
      </c>
      <c r="B1109" s="11" t="s">
        <v>1197</v>
      </c>
      <c r="C1109" s="26" t="s">
        <v>1201</v>
      </c>
      <c r="D1109" s="59"/>
      <c r="E1109" s="41" t="str">
        <f>HYPERLINK("https://www.google.ru/search?q=3024889-001&amp;newwindow=1&amp;tbm=isch","Еще фото")</f>
        <v>Еще фото</v>
      </c>
      <c r="F1109" s="13"/>
      <c r="G1109" s="11" t="s">
        <v>1184</v>
      </c>
      <c r="H1109" s="11" t="s">
        <v>741</v>
      </c>
      <c r="I1109" s="14" t="s">
        <v>1185</v>
      </c>
      <c r="J1109" s="14" t="s">
        <v>29</v>
      </c>
      <c r="K1109" s="15" t="s">
        <v>59</v>
      </c>
      <c r="L1109" s="57" t="s">
        <v>1199</v>
      </c>
      <c r="M1109" s="14" t="s">
        <v>1194</v>
      </c>
      <c r="N1109" s="14" t="s">
        <v>33</v>
      </c>
      <c r="O1109" s="14"/>
      <c r="P1109" s="15" t="s">
        <v>1202</v>
      </c>
      <c r="Q1109" s="16">
        <v>9099</v>
      </c>
      <c r="R1109" s="17">
        <v>69.58</v>
      </c>
      <c r="S1109" s="18">
        <v>3182.9354999999996</v>
      </c>
      <c r="T1109" s="19" t="s">
        <v>36</v>
      </c>
      <c r="U1109" s="20" t="s">
        <v>1203</v>
      </c>
      <c r="V1109" s="22">
        <v>36</v>
      </c>
      <c r="W1109" s="22">
        <v>1</v>
      </c>
      <c r="X1109" s="23"/>
    </row>
    <row r="1110" spans="1:24" s="1" customFormat="1" ht="21" customHeight="1" x14ac:dyDescent="0.3">
      <c r="A1110" s="24" t="s">
        <v>23</v>
      </c>
      <c r="B1110" s="24" t="s">
        <v>1197</v>
      </c>
      <c r="C1110" s="27" t="s">
        <v>1201</v>
      </c>
      <c r="D1110" s="60"/>
      <c r="E1110" s="41" t="str">
        <f>HYPERLINK("https://www.google.ru/search?q=3024889-001&amp;newwindow=1&amp;tbm=isch","Еще фото")</f>
        <v>Еще фото</v>
      </c>
      <c r="F1110" s="13"/>
      <c r="G1110" s="24" t="s">
        <v>1184</v>
      </c>
      <c r="H1110" s="24" t="s">
        <v>741</v>
      </c>
      <c r="I1110" s="24" t="s">
        <v>1185</v>
      </c>
      <c r="J1110" s="14" t="s">
        <v>29</v>
      </c>
      <c r="K1110" s="15" t="s">
        <v>59</v>
      </c>
      <c r="L1110" s="62"/>
      <c r="M1110" s="14" t="s">
        <v>1194</v>
      </c>
      <c r="N1110" s="14" t="s">
        <v>33</v>
      </c>
      <c r="O1110" s="14"/>
      <c r="P1110" s="15" t="s">
        <v>1202</v>
      </c>
      <c r="Q1110" s="16">
        <v>9099</v>
      </c>
      <c r="R1110" s="17">
        <v>69.58</v>
      </c>
      <c r="S1110" s="18">
        <v>3182.9354999999996</v>
      </c>
      <c r="T1110" s="19" t="s">
        <v>36</v>
      </c>
      <c r="U1110" s="20" t="s">
        <v>1196</v>
      </c>
      <c r="V1110" s="34">
        <v>36.5</v>
      </c>
      <c r="W1110" s="22">
        <v>30</v>
      </c>
      <c r="X1110" s="23"/>
    </row>
    <row r="1111" spans="1:24" s="1" customFormat="1" ht="21" customHeight="1" x14ac:dyDescent="0.3">
      <c r="A1111" s="24" t="s">
        <v>23</v>
      </c>
      <c r="B1111" s="24" t="s">
        <v>1197</v>
      </c>
      <c r="C1111" s="27" t="s">
        <v>1201</v>
      </c>
      <c r="D1111" s="60"/>
      <c r="E1111" s="41" t="str">
        <f>HYPERLINK("https://www.google.ru/search?q=3024889-001&amp;newwindow=1&amp;tbm=isch","Еще фото")</f>
        <v>Еще фото</v>
      </c>
      <c r="F1111" s="13"/>
      <c r="G1111" s="24" t="s">
        <v>1184</v>
      </c>
      <c r="H1111" s="24" t="s">
        <v>741</v>
      </c>
      <c r="I1111" s="24" t="s">
        <v>1185</v>
      </c>
      <c r="J1111" s="14" t="s">
        <v>29</v>
      </c>
      <c r="K1111" s="15" t="s">
        <v>59</v>
      </c>
      <c r="L1111" s="62"/>
      <c r="M1111" s="14" t="s">
        <v>1194</v>
      </c>
      <c r="N1111" s="14" t="s">
        <v>33</v>
      </c>
      <c r="O1111" s="14"/>
      <c r="P1111" s="15" t="s">
        <v>1202</v>
      </c>
      <c r="Q1111" s="16">
        <v>9099</v>
      </c>
      <c r="R1111" s="17">
        <v>69.58</v>
      </c>
      <c r="S1111" s="18">
        <v>3182.9354999999996</v>
      </c>
      <c r="T1111" s="19" t="s">
        <v>36</v>
      </c>
      <c r="U1111" s="20" t="s">
        <v>746</v>
      </c>
      <c r="V1111" s="22">
        <v>37</v>
      </c>
      <c r="W1111" s="22">
        <v>100</v>
      </c>
      <c r="X1111" s="23"/>
    </row>
    <row r="1112" spans="1:24" s="1" customFormat="1" ht="21" customHeight="1" x14ac:dyDescent="0.3">
      <c r="A1112" s="24" t="s">
        <v>23</v>
      </c>
      <c r="B1112" s="24" t="s">
        <v>1197</v>
      </c>
      <c r="C1112" s="27" t="s">
        <v>1201</v>
      </c>
      <c r="D1112" s="60"/>
      <c r="E1112" s="41" t="str">
        <f>HYPERLINK("https://www.google.ru/search?q=3024889-001&amp;newwindow=1&amp;tbm=isch","Еще фото")</f>
        <v>Еще фото</v>
      </c>
      <c r="F1112" s="13"/>
      <c r="G1112" s="24" t="s">
        <v>1184</v>
      </c>
      <c r="H1112" s="24" t="s">
        <v>741</v>
      </c>
      <c r="I1112" s="24" t="s">
        <v>1185</v>
      </c>
      <c r="J1112" s="14" t="s">
        <v>29</v>
      </c>
      <c r="K1112" s="15" t="s">
        <v>59</v>
      </c>
      <c r="L1112" s="62"/>
      <c r="M1112" s="14" t="s">
        <v>1194</v>
      </c>
      <c r="N1112" s="14" t="s">
        <v>33</v>
      </c>
      <c r="O1112" s="14"/>
      <c r="P1112" s="15" t="s">
        <v>1202</v>
      </c>
      <c r="Q1112" s="16">
        <v>9099</v>
      </c>
      <c r="R1112" s="17">
        <v>69.58</v>
      </c>
      <c r="S1112" s="18">
        <v>3182.9354999999996</v>
      </c>
      <c r="T1112" s="19" t="s">
        <v>36</v>
      </c>
      <c r="U1112" s="20" t="s">
        <v>747</v>
      </c>
      <c r="V1112" s="34">
        <v>37.5</v>
      </c>
      <c r="W1112" s="22">
        <v>8</v>
      </c>
      <c r="X1112" s="23"/>
    </row>
    <row r="1113" spans="1:24" s="1" customFormat="1" ht="32" customHeight="1" x14ac:dyDescent="0.3">
      <c r="A1113" s="24" t="s">
        <v>23</v>
      </c>
      <c r="B1113" s="24" t="s">
        <v>1197</v>
      </c>
      <c r="C1113" s="27" t="s">
        <v>1201</v>
      </c>
      <c r="D1113" s="61"/>
      <c r="E1113" s="41" t="str">
        <f>HYPERLINK("https://www.google.ru/search?q=3024889-001&amp;newwindow=1&amp;tbm=isch","Еще фото")</f>
        <v>Еще фото</v>
      </c>
      <c r="F1113" s="13"/>
      <c r="G1113" s="24" t="s">
        <v>1184</v>
      </c>
      <c r="H1113" s="24" t="s">
        <v>741</v>
      </c>
      <c r="I1113" s="24" t="s">
        <v>1185</v>
      </c>
      <c r="J1113" s="14" t="s">
        <v>29</v>
      </c>
      <c r="K1113" s="15" t="s">
        <v>59</v>
      </c>
      <c r="L1113" s="58"/>
      <c r="M1113" s="14" t="s">
        <v>1194</v>
      </c>
      <c r="N1113" s="14" t="s">
        <v>33</v>
      </c>
      <c r="O1113" s="14"/>
      <c r="P1113" s="15" t="s">
        <v>1202</v>
      </c>
      <c r="Q1113" s="16">
        <v>9099</v>
      </c>
      <c r="R1113" s="17">
        <v>69.58</v>
      </c>
      <c r="S1113" s="18">
        <v>3182.9354999999996</v>
      </c>
      <c r="T1113" s="19" t="s">
        <v>36</v>
      </c>
      <c r="U1113" s="20" t="s">
        <v>748</v>
      </c>
      <c r="V1113" s="22">
        <v>38</v>
      </c>
      <c r="W1113" s="22">
        <v>1</v>
      </c>
      <c r="X1113" s="23"/>
    </row>
    <row r="1114" spans="1:24" s="1" customFormat="1" ht="14" customHeight="1" x14ac:dyDescent="0.3">
      <c r="A1114" s="11" t="s">
        <v>23</v>
      </c>
      <c r="B1114" s="11" t="s">
        <v>1204</v>
      </c>
      <c r="C1114" s="12" t="s">
        <v>1205</v>
      </c>
      <c r="D1114" s="59"/>
      <c r="E1114" s="41" t="str">
        <f t="shared" ref="E1114:E1120" si="29">HYPERLINK("https://www.google.ru/search?q=3026518-400&amp;newwindow=1&amp;tbm=isch","Еще фото")</f>
        <v>Еще фото</v>
      </c>
      <c r="F1114" s="13"/>
      <c r="G1114" s="11" t="s">
        <v>1184</v>
      </c>
      <c r="H1114" s="11" t="s">
        <v>741</v>
      </c>
      <c r="I1114" s="14" t="s">
        <v>1185</v>
      </c>
      <c r="J1114" s="14" t="s">
        <v>29</v>
      </c>
      <c r="K1114" s="15" t="s">
        <v>30</v>
      </c>
      <c r="L1114" s="57" t="s">
        <v>1206</v>
      </c>
      <c r="M1114" s="14"/>
      <c r="N1114" s="14" t="s">
        <v>115</v>
      </c>
      <c r="O1114" s="14"/>
      <c r="P1114" s="15" t="s">
        <v>1207</v>
      </c>
      <c r="Q1114" s="16">
        <v>10499</v>
      </c>
      <c r="R1114" s="17">
        <v>64.489999999999995</v>
      </c>
      <c r="S1114" s="18">
        <v>4286.9354999999996</v>
      </c>
      <c r="T1114" s="19" t="s">
        <v>36</v>
      </c>
      <c r="U1114" s="20" t="s">
        <v>747</v>
      </c>
      <c r="V1114" s="34">
        <v>39.5</v>
      </c>
      <c r="W1114" s="22">
        <v>7</v>
      </c>
      <c r="X1114" s="23"/>
    </row>
    <row r="1115" spans="1:24" s="1" customFormat="1" ht="14" customHeight="1" x14ac:dyDescent="0.3">
      <c r="A1115" s="24" t="s">
        <v>23</v>
      </c>
      <c r="B1115" s="24" t="s">
        <v>1204</v>
      </c>
      <c r="C1115" s="12" t="s">
        <v>1205</v>
      </c>
      <c r="D1115" s="60"/>
      <c r="E1115" s="41" t="str">
        <f t="shared" si="29"/>
        <v>Еще фото</v>
      </c>
      <c r="F1115" s="13"/>
      <c r="G1115" s="24" t="s">
        <v>1184</v>
      </c>
      <c r="H1115" s="24" t="s">
        <v>741</v>
      </c>
      <c r="I1115" s="24" t="s">
        <v>1185</v>
      </c>
      <c r="J1115" s="14" t="s">
        <v>29</v>
      </c>
      <c r="K1115" s="15" t="s">
        <v>30</v>
      </c>
      <c r="L1115" s="62"/>
      <c r="M1115" s="14"/>
      <c r="N1115" s="14" t="s">
        <v>115</v>
      </c>
      <c r="O1115" s="14"/>
      <c r="P1115" s="15" t="s">
        <v>1207</v>
      </c>
      <c r="Q1115" s="16">
        <v>10499</v>
      </c>
      <c r="R1115" s="17">
        <v>64.489999999999995</v>
      </c>
      <c r="S1115" s="18">
        <v>4286.9354999999996</v>
      </c>
      <c r="T1115" s="19" t="s">
        <v>36</v>
      </c>
      <c r="U1115" s="20" t="s">
        <v>748</v>
      </c>
      <c r="V1115" s="22">
        <v>40</v>
      </c>
      <c r="W1115" s="22">
        <v>4</v>
      </c>
      <c r="X1115" s="23"/>
    </row>
    <row r="1116" spans="1:24" s="1" customFormat="1" ht="14" customHeight="1" x14ac:dyDescent="0.3">
      <c r="A1116" s="24" t="s">
        <v>23</v>
      </c>
      <c r="B1116" s="24" t="s">
        <v>1204</v>
      </c>
      <c r="C1116" s="12" t="s">
        <v>1205</v>
      </c>
      <c r="D1116" s="60"/>
      <c r="E1116" s="41" t="str">
        <f t="shared" si="29"/>
        <v>Еще фото</v>
      </c>
      <c r="F1116" s="13"/>
      <c r="G1116" s="24" t="s">
        <v>1184</v>
      </c>
      <c r="H1116" s="24" t="s">
        <v>741</v>
      </c>
      <c r="I1116" s="24" t="s">
        <v>1185</v>
      </c>
      <c r="J1116" s="14" t="s">
        <v>29</v>
      </c>
      <c r="K1116" s="15" t="s">
        <v>30</v>
      </c>
      <c r="L1116" s="62"/>
      <c r="M1116" s="14"/>
      <c r="N1116" s="14" t="s">
        <v>115</v>
      </c>
      <c r="O1116" s="14"/>
      <c r="P1116" s="15" t="s">
        <v>1207</v>
      </c>
      <c r="Q1116" s="16">
        <v>10499</v>
      </c>
      <c r="R1116" s="17">
        <v>64.489999999999995</v>
      </c>
      <c r="S1116" s="18">
        <v>4286.9354999999996</v>
      </c>
      <c r="T1116" s="19" t="s">
        <v>36</v>
      </c>
      <c r="U1116" s="20" t="s">
        <v>749</v>
      </c>
      <c r="V1116" s="22">
        <v>41</v>
      </c>
      <c r="W1116" s="22">
        <v>4</v>
      </c>
      <c r="X1116" s="23"/>
    </row>
    <row r="1117" spans="1:24" s="1" customFormat="1" ht="14" customHeight="1" x14ac:dyDescent="0.3">
      <c r="A1117" s="24" t="s">
        <v>23</v>
      </c>
      <c r="B1117" s="24" t="s">
        <v>1204</v>
      </c>
      <c r="C1117" s="12" t="s">
        <v>1205</v>
      </c>
      <c r="D1117" s="60"/>
      <c r="E1117" s="41" t="str">
        <f t="shared" si="29"/>
        <v>Еще фото</v>
      </c>
      <c r="F1117" s="13"/>
      <c r="G1117" s="24" t="s">
        <v>1184</v>
      </c>
      <c r="H1117" s="24" t="s">
        <v>741</v>
      </c>
      <c r="I1117" s="24" t="s">
        <v>1185</v>
      </c>
      <c r="J1117" s="14" t="s">
        <v>29</v>
      </c>
      <c r="K1117" s="15" t="s">
        <v>30</v>
      </c>
      <c r="L1117" s="62"/>
      <c r="M1117" s="14"/>
      <c r="N1117" s="14" t="s">
        <v>115</v>
      </c>
      <c r="O1117" s="14"/>
      <c r="P1117" s="15" t="s">
        <v>1207</v>
      </c>
      <c r="Q1117" s="16">
        <v>10499</v>
      </c>
      <c r="R1117" s="17">
        <v>64.489999999999995</v>
      </c>
      <c r="S1117" s="18">
        <v>4286.9354999999996</v>
      </c>
      <c r="T1117" s="19" t="s">
        <v>36</v>
      </c>
      <c r="U1117" s="20" t="s">
        <v>750</v>
      </c>
      <c r="V1117" s="34">
        <v>41.5</v>
      </c>
      <c r="W1117" s="22">
        <v>16</v>
      </c>
      <c r="X1117" s="23"/>
    </row>
    <row r="1118" spans="1:24" s="1" customFormat="1" ht="14" customHeight="1" x14ac:dyDescent="0.3">
      <c r="A1118" s="24" t="s">
        <v>23</v>
      </c>
      <c r="B1118" s="24" t="s">
        <v>1204</v>
      </c>
      <c r="C1118" s="12" t="s">
        <v>1205</v>
      </c>
      <c r="D1118" s="60"/>
      <c r="E1118" s="41" t="str">
        <f t="shared" si="29"/>
        <v>Еще фото</v>
      </c>
      <c r="F1118" s="13"/>
      <c r="G1118" s="24" t="s">
        <v>1184</v>
      </c>
      <c r="H1118" s="24" t="s">
        <v>741</v>
      </c>
      <c r="I1118" s="24" t="s">
        <v>1185</v>
      </c>
      <c r="J1118" s="14" t="s">
        <v>29</v>
      </c>
      <c r="K1118" s="15" t="s">
        <v>30</v>
      </c>
      <c r="L1118" s="62"/>
      <c r="M1118" s="14"/>
      <c r="N1118" s="14" t="s">
        <v>115</v>
      </c>
      <c r="O1118" s="14"/>
      <c r="P1118" s="15" t="s">
        <v>1207</v>
      </c>
      <c r="Q1118" s="16">
        <v>10499</v>
      </c>
      <c r="R1118" s="17">
        <v>64.489999999999995</v>
      </c>
      <c r="S1118" s="18">
        <v>4286.9354999999996</v>
      </c>
      <c r="T1118" s="19" t="s">
        <v>36</v>
      </c>
      <c r="U1118" s="20" t="s">
        <v>751</v>
      </c>
      <c r="V1118" s="22">
        <v>42</v>
      </c>
      <c r="W1118" s="22">
        <v>11</v>
      </c>
      <c r="X1118" s="23"/>
    </row>
    <row r="1119" spans="1:24" s="1" customFormat="1" ht="14" customHeight="1" x14ac:dyDescent="0.3">
      <c r="A1119" s="24" t="s">
        <v>23</v>
      </c>
      <c r="B1119" s="24" t="s">
        <v>1204</v>
      </c>
      <c r="C1119" s="12" t="s">
        <v>1205</v>
      </c>
      <c r="D1119" s="60"/>
      <c r="E1119" s="41" t="str">
        <f t="shared" si="29"/>
        <v>Еще фото</v>
      </c>
      <c r="F1119" s="13"/>
      <c r="G1119" s="24" t="s">
        <v>1184</v>
      </c>
      <c r="H1119" s="24" t="s">
        <v>741</v>
      </c>
      <c r="I1119" s="24" t="s">
        <v>1185</v>
      </c>
      <c r="J1119" s="14" t="s">
        <v>29</v>
      </c>
      <c r="K1119" s="15" t="s">
        <v>30</v>
      </c>
      <c r="L1119" s="62"/>
      <c r="M1119" s="14"/>
      <c r="N1119" s="14" t="s">
        <v>115</v>
      </c>
      <c r="O1119" s="14"/>
      <c r="P1119" s="15" t="s">
        <v>1207</v>
      </c>
      <c r="Q1119" s="16">
        <v>10499</v>
      </c>
      <c r="R1119" s="17">
        <v>64.489999999999995</v>
      </c>
      <c r="S1119" s="18">
        <v>4286.9354999999996</v>
      </c>
      <c r="T1119" s="19" t="s">
        <v>36</v>
      </c>
      <c r="U1119" s="20" t="s">
        <v>752</v>
      </c>
      <c r="V1119" s="22">
        <v>43</v>
      </c>
      <c r="W1119" s="22">
        <v>7</v>
      </c>
      <c r="X1119" s="23"/>
    </row>
    <row r="1120" spans="1:24" s="1" customFormat="1" ht="17" customHeight="1" x14ac:dyDescent="0.3">
      <c r="A1120" s="24" t="s">
        <v>23</v>
      </c>
      <c r="B1120" s="24" t="s">
        <v>1204</v>
      </c>
      <c r="C1120" s="12" t="s">
        <v>1205</v>
      </c>
      <c r="D1120" s="61"/>
      <c r="E1120" s="41" t="str">
        <f t="shared" si="29"/>
        <v>Еще фото</v>
      </c>
      <c r="F1120" s="13"/>
      <c r="G1120" s="24" t="s">
        <v>1184</v>
      </c>
      <c r="H1120" s="24" t="s">
        <v>741</v>
      </c>
      <c r="I1120" s="24" t="s">
        <v>1185</v>
      </c>
      <c r="J1120" s="14" t="s">
        <v>29</v>
      </c>
      <c r="K1120" s="15" t="s">
        <v>30</v>
      </c>
      <c r="L1120" s="58"/>
      <c r="M1120" s="14"/>
      <c r="N1120" s="14" t="s">
        <v>115</v>
      </c>
      <c r="O1120" s="14"/>
      <c r="P1120" s="15" t="s">
        <v>1207</v>
      </c>
      <c r="Q1120" s="16">
        <v>10499</v>
      </c>
      <c r="R1120" s="17">
        <v>64.489999999999995</v>
      </c>
      <c r="S1120" s="18">
        <v>4286.9354999999996</v>
      </c>
      <c r="T1120" s="19" t="s">
        <v>36</v>
      </c>
      <c r="U1120" s="20" t="s">
        <v>753</v>
      </c>
      <c r="V1120" s="34">
        <v>43.5</v>
      </c>
      <c r="W1120" s="22">
        <v>3</v>
      </c>
      <c r="X1120" s="23"/>
    </row>
    <row r="1121" spans="1:24" s="1" customFormat="1" ht="26" customHeight="1" x14ac:dyDescent="0.3">
      <c r="A1121" s="11" t="s">
        <v>23</v>
      </c>
      <c r="B1121" s="11" t="s">
        <v>1208</v>
      </c>
      <c r="C1121" s="12" t="s">
        <v>1209</v>
      </c>
      <c r="D1121" s="59"/>
      <c r="E1121" s="41" t="str">
        <f>HYPERLINK("https://www.google.ru/search?q=3026128-003&amp;newwindow=1&amp;tbm=isch","Еще фото")</f>
        <v>Еще фото</v>
      </c>
      <c r="F1121" s="13"/>
      <c r="G1121" s="11" t="s">
        <v>1184</v>
      </c>
      <c r="H1121" s="11" t="s">
        <v>741</v>
      </c>
      <c r="I1121" s="14" t="s">
        <v>1185</v>
      </c>
      <c r="J1121" s="14" t="s">
        <v>29</v>
      </c>
      <c r="K1121" s="15" t="s">
        <v>59</v>
      </c>
      <c r="L1121" s="57" t="s">
        <v>1210</v>
      </c>
      <c r="M1121" s="14" t="s">
        <v>1211</v>
      </c>
      <c r="N1121" s="14" t="s">
        <v>33</v>
      </c>
      <c r="O1121" s="14"/>
      <c r="P1121" s="15" t="s">
        <v>1212</v>
      </c>
      <c r="Q1121" s="16">
        <v>15599</v>
      </c>
      <c r="R1121" s="17">
        <v>64.37</v>
      </c>
      <c r="S1121" s="18">
        <v>6391.4354999999996</v>
      </c>
      <c r="T1121" s="19" t="s">
        <v>36</v>
      </c>
      <c r="U1121" s="20" t="s">
        <v>1190</v>
      </c>
      <c r="V1121" s="34">
        <v>35.5</v>
      </c>
      <c r="W1121" s="22">
        <v>6</v>
      </c>
      <c r="X1121" s="23"/>
    </row>
    <row r="1122" spans="1:24" s="1" customFormat="1" ht="26" customHeight="1" x14ac:dyDescent="0.3">
      <c r="A1122" s="24" t="s">
        <v>23</v>
      </c>
      <c r="B1122" s="24" t="s">
        <v>1208</v>
      </c>
      <c r="C1122" s="12" t="s">
        <v>1209</v>
      </c>
      <c r="D1122" s="60"/>
      <c r="E1122" s="41" t="str">
        <f>HYPERLINK("https://www.google.ru/search?q=3026128-003&amp;newwindow=1&amp;tbm=isch","Еще фото")</f>
        <v>Еще фото</v>
      </c>
      <c r="F1122" s="13"/>
      <c r="G1122" s="24" t="s">
        <v>1184</v>
      </c>
      <c r="H1122" s="24" t="s">
        <v>741</v>
      </c>
      <c r="I1122" s="24" t="s">
        <v>1185</v>
      </c>
      <c r="J1122" s="14" t="s">
        <v>29</v>
      </c>
      <c r="K1122" s="15" t="s">
        <v>59</v>
      </c>
      <c r="L1122" s="62"/>
      <c r="M1122" s="14" t="s">
        <v>1211</v>
      </c>
      <c r="N1122" s="14" t="s">
        <v>33</v>
      </c>
      <c r="O1122" s="14"/>
      <c r="P1122" s="15" t="s">
        <v>1212</v>
      </c>
      <c r="Q1122" s="16">
        <v>15599</v>
      </c>
      <c r="R1122" s="17">
        <v>64.37</v>
      </c>
      <c r="S1122" s="18">
        <v>6391.4354999999996</v>
      </c>
      <c r="T1122" s="19" t="s">
        <v>36</v>
      </c>
      <c r="U1122" s="20" t="s">
        <v>1203</v>
      </c>
      <c r="V1122" s="22">
        <v>36</v>
      </c>
      <c r="W1122" s="22">
        <v>11</v>
      </c>
      <c r="X1122" s="23"/>
    </row>
    <row r="1123" spans="1:24" s="1" customFormat="1" ht="26" customHeight="1" x14ac:dyDescent="0.3">
      <c r="A1123" s="24" t="s">
        <v>23</v>
      </c>
      <c r="B1123" s="24" t="s">
        <v>1208</v>
      </c>
      <c r="C1123" s="12" t="s">
        <v>1209</v>
      </c>
      <c r="D1123" s="60"/>
      <c r="E1123" s="41" t="str">
        <f>HYPERLINK("https://www.google.ru/search?q=3026128-003&amp;newwindow=1&amp;tbm=isch","Еще фото")</f>
        <v>Еще фото</v>
      </c>
      <c r="F1123" s="13"/>
      <c r="G1123" s="24" t="s">
        <v>1184</v>
      </c>
      <c r="H1123" s="24" t="s">
        <v>741</v>
      </c>
      <c r="I1123" s="24" t="s">
        <v>1185</v>
      </c>
      <c r="J1123" s="14" t="s">
        <v>29</v>
      </c>
      <c r="K1123" s="15" t="s">
        <v>59</v>
      </c>
      <c r="L1123" s="62"/>
      <c r="M1123" s="14" t="s">
        <v>1211</v>
      </c>
      <c r="N1123" s="14" t="s">
        <v>33</v>
      </c>
      <c r="O1123" s="14"/>
      <c r="P1123" s="15" t="s">
        <v>1212</v>
      </c>
      <c r="Q1123" s="16">
        <v>15599</v>
      </c>
      <c r="R1123" s="17">
        <v>64.37</v>
      </c>
      <c r="S1123" s="18">
        <v>6391.4354999999996</v>
      </c>
      <c r="T1123" s="19" t="s">
        <v>36</v>
      </c>
      <c r="U1123" s="20" t="s">
        <v>1196</v>
      </c>
      <c r="V1123" s="34">
        <v>36.5</v>
      </c>
      <c r="W1123" s="22">
        <v>5</v>
      </c>
      <c r="X1123" s="23"/>
    </row>
    <row r="1124" spans="1:24" s="1" customFormat="1" ht="26" customHeight="1" x14ac:dyDescent="0.3">
      <c r="A1124" s="24" t="s">
        <v>23</v>
      </c>
      <c r="B1124" s="24" t="s">
        <v>1208</v>
      </c>
      <c r="C1124" s="12" t="s">
        <v>1209</v>
      </c>
      <c r="D1124" s="61"/>
      <c r="E1124" s="41" t="str">
        <f>HYPERLINK("https://www.google.ru/search?q=3026128-003&amp;newwindow=1&amp;tbm=isch","Еще фото")</f>
        <v>Еще фото</v>
      </c>
      <c r="F1124" s="13"/>
      <c r="G1124" s="24" t="s">
        <v>1184</v>
      </c>
      <c r="H1124" s="24" t="s">
        <v>741</v>
      </c>
      <c r="I1124" s="24" t="s">
        <v>1185</v>
      </c>
      <c r="J1124" s="14" t="s">
        <v>29</v>
      </c>
      <c r="K1124" s="15" t="s">
        <v>59</v>
      </c>
      <c r="L1124" s="58"/>
      <c r="M1124" s="14" t="s">
        <v>1211</v>
      </c>
      <c r="N1124" s="14" t="s">
        <v>33</v>
      </c>
      <c r="O1124" s="14"/>
      <c r="P1124" s="15" t="s">
        <v>1212</v>
      </c>
      <c r="Q1124" s="16">
        <v>15599</v>
      </c>
      <c r="R1124" s="17">
        <v>64.37</v>
      </c>
      <c r="S1124" s="18">
        <v>6391.4354999999996</v>
      </c>
      <c r="T1124" s="19" t="s">
        <v>36</v>
      </c>
      <c r="U1124" s="20" t="s">
        <v>746</v>
      </c>
      <c r="V1124" s="22">
        <v>37</v>
      </c>
      <c r="W1124" s="22">
        <v>1</v>
      </c>
      <c r="X1124" s="23"/>
    </row>
    <row r="1125" spans="1:24" s="1" customFormat="1" ht="35" customHeight="1" x14ac:dyDescent="0.3">
      <c r="A1125" s="11" t="s">
        <v>23</v>
      </c>
      <c r="B1125" s="11" t="s">
        <v>1213</v>
      </c>
      <c r="C1125" s="12" t="s">
        <v>1214</v>
      </c>
      <c r="D1125" s="59"/>
      <c r="E1125" s="41" t="str">
        <f>HYPERLINK("https://www.google.ru/search?q=3025524-002&amp;newwindow=1&amp;tbm=isch","Еще фото")</f>
        <v>Еще фото</v>
      </c>
      <c r="F1125" s="13"/>
      <c r="G1125" s="11" t="s">
        <v>1184</v>
      </c>
      <c r="H1125" s="11" t="s">
        <v>741</v>
      </c>
      <c r="I1125" s="14" t="s">
        <v>1185</v>
      </c>
      <c r="J1125" s="14" t="s">
        <v>29</v>
      </c>
      <c r="K1125" s="15" t="s">
        <v>59</v>
      </c>
      <c r="L1125" s="57" t="s">
        <v>1215</v>
      </c>
      <c r="M1125" s="14" t="s">
        <v>32</v>
      </c>
      <c r="N1125" s="14" t="s">
        <v>62</v>
      </c>
      <c r="O1125" s="14"/>
      <c r="P1125" s="15" t="s">
        <v>1216</v>
      </c>
      <c r="Q1125" s="16">
        <v>11999</v>
      </c>
      <c r="R1125" s="17">
        <v>64.349999999999994</v>
      </c>
      <c r="S1125" s="18">
        <v>4919.4355000000005</v>
      </c>
      <c r="T1125" s="19" t="s">
        <v>36</v>
      </c>
      <c r="U1125" s="20" t="s">
        <v>1190</v>
      </c>
      <c r="V1125" s="34">
        <v>35.5</v>
      </c>
      <c r="W1125" s="22">
        <v>5</v>
      </c>
      <c r="X1125" s="23"/>
    </row>
    <row r="1126" spans="1:24" s="1" customFormat="1" ht="35" customHeight="1" x14ac:dyDescent="0.3">
      <c r="A1126" s="24" t="s">
        <v>23</v>
      </c>
      <c r="B1126" s="24" t="s">
        <v>1213</v>
      </c>
      <c r="C1126" s="12" t="s">
        <v>1214</v>
      </c>
      <c r="D1126" s="60"/>
      <c r="E1126" s="41" t="str">
        <f>HYPERLINK("https://www.google.ru/search?q=3025524-002&amp;newwindow=1&amp;tbm=isch","Еще фото")</f>
        <v>Еще фото</v>
      </c>
      <c r="F1126" s="13"/>
      <c r="G1126" s="24" t="s">
        <v>1184</v>
      </c>
      <c r="H1126" s="24" t="s">
        <v>741</v>
      </c>
      <c r="I1126" s="24" t="s">
        <v>1185</v>
      </c>
      <c r="J1126" s="14" t="s">
        <v>29</v>
      </c>
      <c r="K1126" s="15" t="s">
        <v>59</v>
      </c>
      <c r="L1126" s="62"/>
      <c r="M1126" s="14" t="s">
        <v>32</v>
      </c>
      <c r="N1126" s="14" t="s">
        <v>62</v>
      </c>
      <c r="O1126" s="14"/>
      <c r="P1126" s="15" t="s">
        <v>1216</v>
      </c>
      <c r="Q1126" s="16">
        <v>11999</v>
      </c>
      <c r="R1126" s="17">
        <v>64.349999999999994</v>
      </c>
      <c r="S1126" s="18">
        <v>4919.4355000000005</v>
      </c>
      <c r="T1126" s="19" t="s">
        <v>36</v>
      </c>
      <c r="U1126" s="20" t="s">
        <v>1203</v>
      </c>
      <c r="V1126" s="22">
        <v>36</v>
      </c>
      <c r="W1126" s="22">
        <v>14</v>
      </c>
      <c r="X1126" s="23"/>
    </row>
    <row r="1127" spans="1:24" s="1" customFormat="1" ht="37.049999999999997" customHeight="1" x14ac:dyDescent="0.3">
      <c r="A1127" s="24" t="s">
        <v>23</v>
      </c>
      <c r="B1127" s="24" t="s">
        <v>1213</v>
      </c>
      <c r="C1127" s="12" t="s">
        <v>1214</v>
      </c>
      <c r="D1127" s="61"/>
      <c r="E1127" s="41" t="str">
        <f>HYPERLINK("https://www.google.ru/search?q=3025524-002&amp;newwindow=1&amp;tbm=isch","Еще фото")</f>
        <v>Еще фото</v>
      </c>
      <c r="F1127" s="13"/>
      <c r="G1127" s="24" t="s">
        <v>1184</v>
      </c>
      <c r="H1127" s="24" t="s">
        <v>741</v>
      </c>
      <c r="I1127" s="24" t="s">
        <v>1185</v>
      </c>
      <c r="J1127" s="14" t="s">
        <v>29</v>
      </c>
      <c r="K1127" s="15" t="s">
        <v>59</v>
      </c>
      <c r="L1127" s="58"/>
      <c r="M1127" s="14" t="s">
        <v>32</v>
      </c>
      <c r="N1127" s="14" t="s">
        <v>62</v>
      </c>
      <c r="O1127" s="14"/>
      <c r="P1127" s="15" t="s">
        <v>1216</v>
      </c>
      <c r="Q1127" s="16">
        <v>11999</v>
      </c>
      <c r="R1127" s="17">
        <v>64.349999999999994</v>
      </c>
      <c r="S1127" s="18">
        <v>4919.4355000000005</v>
      </c>
      <c r="T1127" s="19" t="s">
        <v>36</v>
      </c>
      <c r="U1127" s="20" t="s">
        <v>1196</v>
      </c>
      <c r="V1127" s="34">
        <v>36.5</v>
      </c>
      <c r="W1127" s="22">
        <v>2</v>
      </c>
      <c r="X1127" s="23"/>
    </row>
    <row r="1128" spans="1:24" s="1" customFormat="1" ht="26" customHeight="1" x14ac:dyDescent="0.3">
      <c r="A1128" s="11" t="s">
        <v>23</v>
      </c>
      <c r="B1128" s="11" t="s">
        <v>1197</v>
      </c>
      <c r="C1128" s="12" t="s">
        <v>1217</v>
      </c>
      <c r="D1128" s="59"/>
      <c r="E1128" s="41" t="str">
        <f>HYPERLINK("https://www.google.ru/search?q=3024889-500&amp;newwindow=1&amp;tbm=isch","Еще фото")</f>
        <v>Еще фото</v>
      </c>
      <c r="F1128" s="13"/>
      <c r="G1128" s="11" t="s">
        <v>1184</v>
      </c>
      <c r="H1128" s="11" t="s">
        <v>741</v>
      </c>
      <c r="I1128" s="14" t="s">
        <v>1185</v>
      </c>
      <c r="J1128" s="14" t="s">
        <v>29</v>
      </c>
      <c r="K1128" s="15" t="s">
        <v>59</v>
      </c>
      <c r="L1128" s="57" t="s">
        <v>1199</v>
      </c>
      <c r="M1128" s="14" t="s">
        <v>1194</v>
      </c>
      <c r="N1128" s="14" t="s">
        <v>79</v>
      </c>
      <c r="O1128" s="14"/>
      <c r="P1128" s="15" t="s">
        <v>1200</v>
      </c>
      <c r="Q1128" s="16">
        <v>8499</v>
      </c>
      <c r="R1128" s="17">
        <v>62.37</v>
      </c>
      <c r="S1128" s="18">
        <v>3677.4354999999996</v>
      </c>
      <c r="T1128" s="19" t="s">
        <v>36</v>
      </c>
      <c r="U1128" s="20" t="s">
        <v>1190</v>
      </c>
      <c r="V1128" s="34">
        <v>35.5</v>
      </c>
      <c r="W1128" s="22">
        <v>7</v>
      </c>
      <c r="X1128" s="23"/>
    </row>
    <row r="1129" spans="1:24" s="1" customFormat="1" ht="26" customHeight="1" x14ac:dyDescent="0.3">
      <c r="A1129" s="24" t="s">
        <v>23</v>
      </c>
      <c r="B1129" s="24" t="s">
        <v>1197</v>
      </c>
      <c r="C1129" s="12" t="s">
        <v>1217</v>
      </c>
      <c r="D1129" s="60"/>
      <c r="E1129" s="41" t="str">
        <f>HYPERLINK("https://www.google.ru/search?q=3024889-500&amp;newwindow=1&amp;tbm=isch","Еще фото")</f>
        <v>Еще фото</v>
      </c>
      <c r="F1129" s="13"/>
      <c r="G1129" s="24" t="s">
        <v>1184</v>
      </c>
      <c r="H1129" s="24" t="s">
        <v>741</v>
      </c>
      <c r="I1129" s="24" t="s">
        <v>1185</v>
      </c>
      <c r="J1129" s="14" t="s">
        <v>29</v>
      </c>
      <c r="K1129" s="15" t="s">
        <v>59</v>
      </c>
      <c r="L1129" s="62"/>
      <c r="M1129" s="14" t="s">
        <v>1194</v>
      </c>
      <c r="N1129" s="14" t="s">
        <v>79</v>
      </c>
      <c r="O1129" s="14"/>
      <c r="P1129" s="15" t="s">
        <v>1200</v>
      </c>
      <c r="Q1129" s="16">
        <v>8499</v>
      </c>
      <c r="R1129" s="17">
        <v>62.37</v>
      </c>
      <c r="S1129" s="18">
        <v>3677.4354999999996</v>
      </c>
      <c r="T1129" s="19" t="s">
        <v>36</v>
      </c>
      <c r="U1129" s="20" t="s">
        <v>1203</v>
      </c>
      <c r="V1129" s="22">
        <v>36</v>
      </c>
      <c r="W1129" s="22">
        <v>1</v>
      </c>
      <c r="X1129" s="23"/>
    </row>
    <row r="1130" spans="1:24" s="1" customFormat="1" ht="26" customHeight="1" x14ac:dyDescent="0.3">
      <c r="A1130" s="24" t="s">
        <v>23</v>
      </c>
      <c r="B1130" s="24" t="s">
        <v>1197</v>
      </c>
      <c r="C1130" s="12" t="s">
        <v>1217</v>
      </c>
      <c r="D1130" s="60"/>
      <c r="E1130" s="41" t="str">
        <f>HYPERLINK("https://www.google.ru/search?q=3024889-500&amp;newwindow=1&amp;tbm=isch","Еще фото")</f>
        <v>Еще фото</v>
      </c>
      <c r="F1130" s="13"/>
      <c r="G1130" s="24" t="s">
        <v>1184</v>
      </c>
      <c r="H1130" s="24" t="s">
        <v>741</v>
      </c>
      <c r="I1130" s="24" t="s">
        <v>1185</v>
      </c>
      <c r="J1130" s="14" t="s">
        <v>29</v>
      </c>
      <c r="K1130" s="15" t="s">
        <v>59</v>
      </c>
      <c r="L1130" s="62"/>
      <c r="M1130" s="14" t="s">
        <v>1194</v>
      </c>
      <c r="N1130" s="14" t="s">
        <v>79</v>
      </c>
      <c r="O1130" s="14"/>
      <c r="P1130" s="15" t="s">
        <v>1200</v>
      </c>
      <c r="Q1130" s="16">
        <v>8499</v>
      </c>
      <c r="R1130" s="17">
        <v>62.37</v>
      </c>
      <c r="S1130" s="18">
        <v>3677.4354999999996</v>
      </c>
      <c r="T1130" s="19" t="s">
        <v>36</v>
      </c>
      <c r="U1130" s="20" t="s">
        <v>1196</v>
      </c>
      <c r="V1130" s="34">
        <v>36.5</v>
      </c>
      <c r="W1130" s="22">
        <v>11</v>
      </c>
      <c r="X1130" s="23"/>
    </row>
    <row r="1131" spans="1:24" s="1" customFormat="1" ht="26" customHeight="1" x14ac:dyDescent="0.3">
      <c r="A1131" s="24" t="s">
        <v>23</v>
      </c>
      <c r="B1131" s="24" t="s">
        <v>1197</v>
      </c>
      <c r="C1131" s="12" t="s">
        <v>1217</v>
      </c>
      <c r="D1131" s="61"/>
      <c r="E1131" s="41" t="str">
        <f>HYPERLINK("https://www.google.ru/search?q=3024889-500&amp;newwindow=1&amp;tbm=isch","Еще фото")</f>
        <v>Еще фото</v>
      </c>
      <c r="F1131" s="13"/>
      <c r="G1131" s="24" t="s">
        <v>1184</v>
      </c>
      <c r="H1131" s="24" t="s">
        <v>741</v>
      </c>
      <c r="I1131" s="24" t="s">
        <v>1185</v>
      </c>
      <c r="J1131" s="14" t="s">
        <v>29</v>
      </c>
      <c r="K1131" s="15" t="s">
        <v>59</v>
      </c>
      <c r="L1131" s="58"/>
      <c r="M1131" s="14" t="s">
        <v>1194</v>
      </c>
      <c r="N1131" s="14" t="s">
        <v>79</v>
      </c>
      <c r="O1131" s="14"/>
      <c r="P1131" s="15" t="s">
        <v>1200</v>
      </c>
      <c r="Q1131" s="16">
        <v>8499</v>
      </c>
      <c r="R1131" s="17">
        <v>62.37</v>
      </c>
      <c r="S1131" s="18">
        <v>3677.4354999999996</v>
      </c>
      <c r="T1131" s="19" t="s">
        <v>36</v>
      </c>
      <c r="U1131" s="20" t="s">
        <v>746</v>
      </c>
      <c r="V1131" s="22">
        <v>37</v>
      </c>
      <c r="W1131" s="22">
        <v>9</v>
      </c>
      <c r="X1131" s="23"/>
    </row>
    <row r="1132" spans="1:24" s="1" customFormat="1" ht="35" customHeight="1" x14ac:dyDescent="0.3">
      <c r="A1132" s="11" t="s">
        <v>23</v>
      </c>
      <c r="B1132" s="11" t="s">
        <v>1218</v>
      </c>
      <c r="C1132" s="12" t="s">
        <v>1219</v>
      </c>
      <c r="D1132" s="59"/>
      <c r="E1132" s="41" t="str">
        <f>HYPERLINK("https://www.google.ru/search?q=3020194-101&amp;newwindow=1&amp;tbm=isch","Еще фото")</f>
        <v>Еще фото</v>
      </c>
      <c r="F1132" s="13"/>
      <c r="G1132" s="11" t="s">
        <v>1184</v>
      </c>
      <c r="H1132" s="11" t="s">
        <v>741</v>
      </c>
      <c r="I1132" s="14" t="s">
        <v>1185</v>
      </c>
      <c r="J1132" s="14" t="s">
        <v>29</v>
      </c>
      <c r="K1132" s="15" t="s">
        <v>59</v>
      </c>
      <c r="L1132" s="57" t="s">
        <v>1220</v>
      </c>
      <c r="M1132" s="14"/>
      <c r="N1132" s="14" t="s">
        <v>62</v>
      </c>
      <c r="O1132" s="14" t="s">
        <v>306</v>
      </c>
      <c r="P1132" s="15" t="s">
        <v>1221</v>
      </c>
      <c r="Q1132" s="16">
        <v>8090</v>
      </c>
      <c r="R1132" s="17">
        <v>59.11</v>
      </c>
      <c r="S1132" s="18">
        <v>3803.9354999999996</v>
      </c>
      <c r="T1132" s="19" t="s">
        <v>36</v>
      </c>
      <c r="U1132" s="20" t="s">
        <v>1190</v>
      </c>
      <c r="V1132" s="34">
        <v>35.5</v>
      </c>
      <c r="W1132" s="22">
        <v>1</v>
      </c>
      <c r="X1132" s="23"/>
    </row>
    <row r="1133" spans="1:24" s="1" customFormat="1" ht="35" customHeight="1" x14ac:dyDescent="0.3">
      <c r="A1133" s="24" t="s">
        <v>23</v>
      </c>
      <c r="B1133" s="24" t="s">
        <v>1218</v>
      </c>
      <c r="C1133" s="12" t="s">
        <v>1219</v>
      </c>
      <c r="D1133" s="60"/>
      <c r="E1133" s="41" t="str">
        <f>HYPERLINK("https://www.google.ru/search?q=3020194-101&amp;newwindow=1&amp;tbm=isch","Еще фото")</f>
        <v>Еще фото</v>
      </c>
      <c r="F1133" s="13"/>
      <c r="G1133" s="24" t="s">
        <v>1184</v>
      </c>
      <c r="H1133" s="24" t="s">
        <v>741</v>
      </c>
      <c r="I1133" s="24" t="s">
        <v>1185</v>
      </c>
      <c r="J1133" s="14" t="s">
        <v>29</v>
      </c>
      <c r="K1133" s="15" t="s">
        <v>59</v>
      </c>
      <c r="L1133" s="62"/>
      <c r="M1133" s="14"/>
      <c r="N1133" s="14" t="s">
        <v>62</v>
      </c>
      <c r="O1133" s="14" t="s">
        <v>306</v>
      </c>
      <c r="P1133" s="15" t="s">
        <v>1221</v>
      </c>
      <c r="Q1133" s="16">
        <v>8090</v>
      </c>
      <c r="R1133" s="17">
        <v>59.11</v>
      </c>
      <c r="S1133" s="18">
        <v>3803.9354999999996</v>
      </c>
      <c r="T1133" s="19" t="s">
        <v>36</v>
      </c>
      <c r="U1133" s="20" t="s">
        <v>1203</v>
      </c>
      <c r="V1133" s="22">
        <v>36</v>
      </c>
      <c r="W1133" s="22">
        <v>7</v>
      </c>
      <c r="X1133" s="23"/>
    </row>
    <row r="1134" spans="1:24" s="1" customFormat="1" ht="37.049999999999997" customHeight="1" x14ac:dyDescent="0.3">
      <c r="A1134" s="24" t="s">
        <v>23</v>
      </c>
      <c r="B1134" s="24" t="s">
        <v>1218</v>
      </c>
      <c r="C1134" s="12" t="s">
        <v>1219</v>
      </c>
      <c r="D1134" s="61"/>
      <c r="E1134" s="41" t="str">
        <f>HYPERLINK("https://www.google.ru/search?q=3020194-101&amp;newwindow=1&amp;tbm=isch","Еще фото")</f>
        <v>Еще фото</v>
      </c>
      <c r="F1134" s="13"/>
      <c r="G1134" s="24" t="s">
        <v>1184</v>
      </c>
      <c r="H1134" s="24" t="s">
        <v>741</v>
      </c>
      <c r="I1134" s="24" t="s">
        <v>1185</v>
      </c>
      <c r="J1134" s="14" t="s">
        <v>29</v>
      </c>
      <c r="K1134" s="15" t="s">
        <v>59</v>
      </c>
      <c r="L1134" s="58"/>
      <c r="M1134" s="14"/>
      <c r="N1134" s="14" t="s">
        <v>62</v>
      </c>
      <c r="O1134" s="14" t="s">
        <v>306</v>
      </c>
      <c r="P1134" s="15" t="s">
        <v>1221</v>
      </c>
      <c r="Q1134" s="16">
        <v>8090</v>
      </c>
      <c r="R1134" s="17">
        <v>59.11</v>
      </c>
      <c r="S1134" s="18">
        <v>3803.9354999999996</v>
      </c>
      <c r="T1134" s="19" t="s">
        <v>36</v>
      </c>
      <c r="U1134" s="20" t="s">
        <v>1196</v>
      </c>
      <c r="V1134" s="34">
        <v>36.5</v>
      </c>
      <c r="W1134" s="22">
        <v>5</v>
      </c>
      <c r="X1134" s="23"/>
    </row>
    <row r="1135" spans="1:24" s="1" customFormat="1" ht="52.05" customHeight="1" x14ac:dyDescent="0.3">
      <c r="A1135" s="11" t="s">
        <v>23</v>
      </c>
      <c r="B1135" s="11" t="s">
        <v>1222</v>
      </c>
      <c r="C1135" s="12" t="s">
        <v>1223</v>
      </c>
      <c r="D1135" s="55"/>
      <c r="E1135" s="41" t="str">
        <f>HYPERLINK("https://www.google.ru/search?q=3024233-001&amp;newwindow=1&amp;tbm=isch","Еще фото")</f>
        <v>Еще фото</v>
      </c>
      <c r="F1135" s="13"/>
      <c r="G1135" s="11" t="s">
        <v>1184</v>
      </c>
      <c r="H1135" s="11" t="s">
        <v>741</v>
      </c>
      <c r="I1135" s="14" t="s">
        <v>1185</v>
      </c>
      <c r="J1135" s="14" t="s">
        <v>29</v>
      </c>
      <c r="K1135" s="15" t="s">
        <v>59</v>
      </c>
      <c r="L1135" s="57" t="s">
        <v>1224</v>
      </c>
      <c r="M1135" s="14" t="s">
        <v>1225</v>
      </c>
      <c r="N1135" s="14" t="s">
        <v>33</v>
      </c>
      <c r="O1135" s="14" t="s">
        <v>34</v>
      </c>
      <c r="P1135" s="15" t="s">
        <v>1226</v>
      </c>
      <c r="Q1135" s="16">
        <v>22999</v>
      </c>
      <c r="R1135" s="17">
        <v>59.01</v>
      </c>
      <c r="S1135" s="18">
        <v>10841.9355</v>
      </c>
      <c r="T1135" s="19" t="s">
        <v>36</v>
      </c>
      <c r="U1135" s="20" t="s">
        <v>1203</v>
      </c>
      <c r="V1135" s="22">
        <v>36</v>
      </c>
      <c r="W1135" s="22">
        <v>1</v>
      </c>
      <c r="X1135" s="23"/>
    </row>
    <row r="1136" spans="1:24" s="1" customFormat="1" ht="61.05" customHeight="1" x14ac:dyDescent="0.3">
      <c r="A1136" s="24" t="s">
        <v>23</v>
      </c>
      <c r="B1136" s="24" t="s">
        <v>1222</v>
      </c>
      <c r="C1136" s="12" t="s">
        <v>1223</v>
      </c>
      <c r="D1136" s="56"/>
      <c r="E1136" s="41" t="str">
        <f>HYPERLINK("https://www.google.ru/search?q=3024233-001&amp;newwindow=1&amp;tbm=isch","Еще фото")</f>
        <v>Еще фото</v>
      </c>
      <c r="F1136" s="13"/>
      <c r="G1136" s="24" t="s">
        <v>1184</v>
      </c>
      <c r="H1136" s="24" t="s">
        <v>741</v>
      </c>
      <c r="I1136" s="24" t="s">
        <v>1185</v>
      </c>
      <c r="J1136" s="14" t="s">
        <v>29</v>
      </c>
      <c r="K1136" s="15" t="s">
        <v>59</v>
      </c>
      <c r="L1136" s="58"/>
      <c r="M1136" s="14" t="s">
        <v>1225</v>
      </c>
      <c r="N1136" s="14" t="s">
        <v>33</v>
      </c>
      <c r="O1136" s="14" t="s">
        <v>34</v>
      </c>
      <c r="P1136" s="15" t="s">
        <v>1226</v>
      </c>
      <c r="Q1136" s="16">
        <v>22999</v>
      </c>
      <c r="R1136" s="17">
        <v>59.01</v>
      </c>
      <c r="S1136" s="18">
        <v>10841.9355</v>
      </c>
      <c r="T1136" s="19" t="s">
        <v>36</v>
      </c>
      <c r="U1136" s="20" t="s">
        <v>1196</v>
      </c>
      <c r="V1136" s="34">
        <v>36.5</v>
      </c>
      <c r="W1136" s="22">
        <v>3</v>
      </c>
      <c r="X1136" s="23"/>
    </row>
    <row r="1137" spans="1:24" s="1" customFormat="1" ht="108" customHeight="1" x14ac:dyDescent="0.3">
      <c r="A1137" s="11" t="s">
        <v>23</v>
      </c>
      <c r="B1137" s="11" t="s">
        <v>1227</v>
      </c>
      <c r="C1137" s="12" t="s">
        <v>1228</v>
      </c>
      <c r="D1137" s="25"/>
      <c r="E1137" s="41" t="str">
        <f>HYPERLINK("https://www.google.ru/search?q=3027206-200&amp;newwindow=1&amp;tbm=isch","Еще фото")</f>
        <v>Еще фото</v>
      </c>
      <c r="F1137" s="13"/>
      <c r="G1137" s="11" t="s">
        <v>1184</v>
      </c>
      <c r="H1137" s="11" t="s">
        <v>741</v>
      </c>
      <c r="I1137" s="14" t="s">
        <v>1185</v>
      </c>
      <c r="J1137" s="14" t="s">
        <v>674</v>
      </c>
      <c r="K1137" s="15" t="s">
        <v>30</v>
      </c>
      <c r="L1137" s="14" t="s">
        <v>1229</v>
      </c>
      <c r="M1137" s="14"/>
      <c r="N1137" s="14" t="s">
        <v>332</v>
      </c>
      <c r="O1137" s="14"/>
      <c r="P1137" s="15" t="s">
        <v>1230</v>
      </c>
      <c r="Q1137" s="16">
        <v>12599</v>
      </c>
      <c r="R1137" s="17">
        <v>58.98</v>
      </c>
      <c r="S1137" s="18">
        <v>5942.9354999999996</v>
      </c>
      <c r="T1137" s="19" t="s">
        <v>36</v>
      </c>
      <c r="U1137" s="20" t="s">
        <v>747</v>
      </c>
      <c r="V1137" s="34">
        <v>39.5</v>
      </c>
      <c r="W1137" s="22">
        <v>2</v>
      </c>
      <c r="X1137" s="23"/>
    </row>
    <row r="1138" spans="1:24" s="1" customFormat="1" ht="17" customHeight="1" x14ac:dyDescent="0.3">
      <c r="A1138" s="11" t="s">
        <v>23</v>
      </c>
      <c r="B1138" s="11" t="s">
        <v>1231</v>
      </c>
      <c r="C1138" s="12" t="s">
        <v>1232</v>
      </c>
      <c r="D1138" s="59"/>
      <c r="E1138" s="41" t="str">
        <f t="shared" ref="E1138:E1143" si="30">HYPERLINK("https://www.google.ru/search?q=3028169-100&amp;newwindow=1&amp;tbm=isch","Еще фото")</f>
        <v>Еще фото</v>
      </c>
      <c r="F1138" s="13"/>
      <c r="G1138" s="11" t="s">
        <v>1184</v>
      </c>
      <c r="H1138" s="11" t="s">
        <v>741</v>
      </c>
      <c r="I1138" s="14" t="s">
        <v>1185</v>
      </c>
      <c r="J1138" s="14" t="s">
        <v>29</v>
      </c>
      <c r="K1138" s="15" t="s">
        <v>30</v>
      </c>
      <c r="L1138" s="57" t="s">
        <v>1233</v>
      </c>
      <c r="M1138" s="14" t="s">
        <v>1211</v>
      </c>
      <c r="N1138" s="14" t="s">
        <v>84</v>
      </c>
      <c r="O1138" s="14"/>
      <c r="P1138" s="15" t="s">
        <v>745</v>
      </c>
      <c r="Q1138" s="16">
        <v>20999</v>
      </c>
      <c r="R1138" s="17">
        <v>58.87</v>
      </c>
      <c r="S1138" s="18">
        <v>9933.4354999999996</v>
      </c>
      <c r="T1138" s="19" t="s">
        <v>36</v>
      </c>
      <c r="U1138" s="20" t="s">
        <v>748</v>
      </c>
      <c r="V1138" s="22">
        <v>40</v>
      </c>
      <c r="W1138" s="22">
        <v>1</v>
      </c>
      <c r="X1138" s="23"/>
    </row>
    <row r="1139" spans="1:24" s="1" customFormat="1" ht="17" customHeight="1" x14ac:dyDescent="0.3">
      <c r="A1139" s="24" t="s">
        <v>23</v>
      </c>
      <c r="B1139" s="24" t="s">
        <v>1231</v>
      </c>
      <c r="C1139" s="12" t="s">
        <v>1232</v>
      </c>
      <c r="D1139" s="60"/>
      <c r="E1139" s="41" t="str">
        <f t="shared" si="30"/>
        <v>Еще фото</v>
      </c>
      <c r="F1139" s="13"/>
      <c r="G1139" s="24" t="s">
        <v>1184</v>
      </c>
      <c r="H1139" s="24" t="s">
        <v>741</v>
      </c>
      <c r="I1139" s="24" t="s">
        <v>1185</v>
      </c>
      <c r="J1139" s="14" t="s">
        <v>29</v>
      </c>
      <c r="K1139" s="15" t="s">
        <v>30</v>
      </c>
      <c r="L1139" s="62"/>
      <c r="M1139" s="14" t="s">
        <v>1211</v>
      </c>
      <c r="N1139" s="14" t="s">
        <v>84</v>
      </c>
      <c r="O1139" s="14"/>
      <c r="P1139" s="15" t="s">
        <v>745</v>
      </c>
      <c r="Q1139" s="16">
        <v>20999</v>
      </c>
      <c r="R1139" s="17">
        <v>58.87</v>
      </c>
      <c r="S1139" s="18">
        <v>9933.4354999999996</v>
      </c>
      <c r="T1139" s="19" t="s">
        <v>36</v>
      </c>
      <c r="U1139" s="20" t="s">
        <v>749</v>
      </c>
      <c r="V1139" s="22">
        <v>41</v>
      </c>
      <c r="W1139" s="22">
        <v>4</v>
      </c>
      <c r="X1139" s="23"/>
    </row>
    <row r="1140" spans="1:24" s="1" customFormat="1" ht="17" customHeight="1" x14ac:dyDescent="0.3">
      <c r="A1140" s="24" t="s">
        <v>23</v>
      </c>
      <c r="B1140" s="24" t="s">
        <v>1231</v>
      </c>
      <c r="C1140" s="12" t="s">
        <v>1232</v>
      </c>
      <c r="D1140" s="60"/>
      <c r="E1140" s="41" t="str">
        <f t="shared" si="30"/>
        <v>Еще фото</v>
      </c>
      <c r="F1140" s="13"/>
      <c r="G1140" s="24" t="s">
        <v>1184</v>
      </c>
      <c r="H1140" s="24" t="s">
        <v>741</v>
      </c>
      <c r="I1140" s="24" t="s">
        <v>1185</v>
      </c>
      <c r="J1140" s="14" t="s">
        <v>29</v>
      </c>
      <c r="K1140" s="15" t="s">
        <v>30</v>
      </c>
      <c r="L1140" s="62"/>
      <c r="M1140" s="14" t="s">
        <v>1211</v>
      </c>
      <c r="N1140" s="14" t="s">
        <v>84</v>
      </c>
      <c r="O1140" s="14"/>
      <c r="P1140" s="15" t="s">
        <v>745</v>
      </c>
      <c r="Q1140" s="16">
        <v>20999</v>
      </c>
      <c r="R1140" s="17">
        <v>58.87</v>
      </c>
      <c r="S1140" s="18">
        <v>9933.4354999999996</v>
      </c>
      <c r="T1140" s="19" t="s">
        <v>36</v>
      </c>
      <c r="U1140" s="20" t="s">
        <v>750</v>
      </c>
      <c r="V1140" s="34">
        <v>41.5</v>
      </c>
      <c r="W1140" s="22">
        <v>4</v>
      </c>
      <c r="X1140" s="23"/>
    </row>
    <row r="1141" spans="1:24" s="1" customFormat="1" ht="17" customHeight="1" x14ac:dyDescent="0.3">
      <c r="A1141" s="24" t="s">
        <v>23</v>
      </c>
      <c r="B1141" s="24" t="s">
        <v>1231</v>
      </c>
      <c r="C1141" s="12" t="s">
        <v>1232</v>
      </c>
      <c r="D1141" s="60"/>
      <c r="E1141" s="41" t="str">
        <f t="shared" si="30"/>
        <v>Еще фото</v>
      </c>
      <c r="F1141" s="13"/>
      <c r="G1141" s="24" t="s">
        <v>1184</v>
      </c>
      <c r="H1141" s="24" t="s">
        <v>741</v>
      </c>
      <c r="I1141" s="24" t="s">
        <v>1185</v>
      </c>
      <c r="J1141" s="14" t="s">
        <v>29</v>
      </c>
      <c r="K1141" s="15" t="s">
        <v>30</v>
      </c>
      <c r="L1141" s="62"/>
      <c r="M1141" s="14" t="s">
        <v>1211</v>
      </c>
      <c r="N1141" s="14" t="s">
        <v>84</v>
      </c>
      <c r="O1141" s="14"/>
      <c r="P1141" s="15" t="s">
        <v>745</v>
      </c>
      <c r="Q1141" s="16">
        <v>20999</v>
      </c>
      <c r="R1141" s="17">
        <v>58.87</v>
      </c>
      <c r="S1141" s="18">
        <v>9933.4354999999996</v>
      </c>
      <c r="T1141" s="19" t="s">
        <v>36</v>
      </c>
      <c r="U1141" s="20" t="s">
        <v>751</v>
      </c>
      <c r="V1141" s="22">
        <v>42</v>
      </c>
      <c r="W1141" s="22">
        <v>6</v>
      </c>
      <c r="X1141" s="23"/>
    </row>
    <row r="1142" spans="1:24" s="1" customFormat="1" ht="17" customHeight="1" x14ac:dyDescent="0.3">
      <c r="A1142" s="24" t="s">
        <v>23</v>
      </c>
      <c r="B1142" s="24" t="s">
        <v>1231</v>
      </c>
      <c r="C1142" s="12" t="s">
        <v>1232</v>
      </c>
      <c r="D1142" s="60"/>
      <c r="E1142" s="41" t="str">
        <f t="shared" si="30"/>
        <v>Еще фото</v>
      </c>
      <c r="F1142" s="13"/>
      <c r="G1142" s="24" t="s">
        <v>1184</v>
      </c>
      <c r="H1142" s="24" t="s">
        <v>741</v>
      </c>
      <c r="I1142" s="24" t="s">
        <v>1185</v>
      </c>
      <c r="J1142" s="14" t="s">
        <v>29</v>
      </c>
      <c r="K1142" s="15" t="s">
        <v>30</v>
      </c>
      <c r="L1142" s="62"/>
      <c r="M1142" s="14" t="s">
        <v>1211</v>
      </c>
      <c r="N1142" s="14" t="s">
        <v>84</v>
      </c>
      <c r="O1142" s="14"/>
      <c r="P1142" s="15" t="s">
        <v>745</v>
      </c>
      <c r="Q1142" s="16">
        <v>20999</v>
      </c>
      <c r="R1142" s="17">
        <v>58.87</v>
      </c>
      <c r="S1142" s="18">
        <v>9933.4354999999996</v>
      </c>
      <c r="T1142" s="19" t="s">
        <v>36</v>
      </c>
      <c r="U1142" s="20" t="s">
        <v>752</v>
      </c>
      <c r="V1142" s="22">
        <v>43</v>
      </c>
      <c r="W1142" s="22">
        <v>10</v>
      </c>
      <c r="X1142" s="23"/>
    </row>
    <row r="1143" spans="1:24" s="1" customFormat="1" ht="22.05" customHeight="1" x14ac:dyDescent="0.3">
      <c r="A1143" s="24" t="s">
        <v>23</v>
      </c>
      <c r="B1143" s="24" t="s">
        <v>1231</v>
      </c>
      <c r="C1143" s="12" t="s">
        <v>1232</v>
      </c>
      <c r="D1143" s="61"/>
      <c r="E1143" s="41" t="str">
        <f t="shared" si="30"/>
        <v>Еще фото</v>
      </c>
      <c r="F1143" s="13"/>
      <c r="G1143" s="24" t="s">
        <v>1184</v>
      </c>
      <c r="H1143" s="24" t="s">
        <v>741</v>
      </c>
      <c r="I1143" s="24" t="s">
        <v>1185</v>
      </c>
      <c r="J1143" s="14" t="s">
        <v>29</v>
      </c>
      <c r="K1143" s="15" t="s">
        <v>30</v>
      </c>
      <c r="L1143" s="58"/>
      <c r="M1143" s="14" t="s">
        <v>1211</v>
      </c>
      <c r="N1143" s="14" t="s">
        <v>84</v>
      </c>
      <c r="O1143" s="14"/>
      <c r="P1143" s="15" t="s">
        <v>745</v>
      </c>
      <c r="Q1143" s="16">
        <v>20999</v>
      </c>
      <c r="R1143" s="17">
        <v>58.87</v>
      </c>
      <c r="S1143" s="18">
        <v>9933.4354999999996</v>
      </c>
      <c r="T1143" s="19" t="s">
        <v>36</v>
      </c>
      <c r="U1143" s="20" t="s">
        <v>753</v>
      </c>
      <c r="V1143" s="34">
        <v>43.5</v>
      </c>
      <c r="W1143" s="22">
        <v>8</v>
      </c>
      <c r="X1143" s="23"/>
    </row>
    <row r="1144" spans="1:24" s="1" customFormat="1" ht="108" customHeight="1" x14ac:dyDescent="0.3">
      <c r="A1144" s="11" t="s">
        <v>23</v>
      </c>
      <c r="B1144" s="11" t="s">
        <v>1234</v>
      </c>
      <c r="C1144" s="12" t="s">
        <v>1235</v>
      </c>
      <c r="D1144" s="25"/>
      <c r="E1144" s="41" t="str">
        <f>HYPERLINK("https://www.google.ru/search?q=3024370-001&amp;newwindow=1&amp;tbm=isch","Еще фото")</f>
        <v>Еще фото</v>
      </c>
      <c r="F1144" s="13"/>
      <c r="G1144" s="11" t="s">
        <v>1184</v>
      </c>
      <c r="H1144" s="11" t="s">
        <v>741</v>
      </c>
      <c r="I1144" s="14" t="s">
        <v>1185</v>
      </c>
      <c r="J1144" s="14" t="s">
        <v>29</v>
      </c>
      <c r="K1144" s="15" t="s">
        <v>59</v>
      </c>
      <c r="L1144" s="14" t="s">
        <v>1236</v>
      </c>
      <c r="M1144" s="14" t="s">
        <v>1211</v>
      </c>
      <c r="N1144" s="14" t="s">
        <v>33</v>
      </c>
      <c r="O1144" s="14" t="s">
        <v>34</v>
      </c>
      <c r="P1144" s="15" t="s">
        <v>1237</v>
      </c>
      <c r="Q1144" s="16">
        <v>17299</v>
      </c>
      <c r="R1144" s="17">
        <v>58.85</v>
      </c>
      <c r="S1144" s="18">
        <v>8185.4354999999996</v>
      </c>
      <c r="T1144" s="19" t="s">
        <v>36</v>
      </c>
      <c r="U1144" s="20" t="s">
        <v>1196</v>
      </c>
      <c r="V1144" s="34">
        <v>36.5</v>
      </c>
      <c r="W1144" s="22">
        <v>2</v>
      </c>
      <c r="X1144" s="23"/>
    </row>
    <row r="1145" spans="1:24" s="1" customFormat="1" ht="14" customHeight="1" x14ac:dyDescent="0.3">
      <c r="A1145" s="11" t="s">
        <v>23</v>
      </c>
      <c r="B1145" s="11" t="s">
        <v>1238</v>
      </c>
      <c r="C1145" s="12" t="s">
        <v>1239</v>
      </c>
      <c r="D1145" s="59"/>
      <c r="E1145" s="41" t="str">
        <f t="shared" ref="E1145:E1151" si="31">HYPERLINK("https://www.google.ru/search?q=3026525-001&amp;newwindow=1&amp;tbm=isch","Еще фото")</f>
        <v>Еще фото</v>
      </c>
      <c r="F1145" s="13" t="s">
        <v>152</v>
      </c>
      <c r="G1145" s="11" t="s">
        <v>1184</v>
      </c>
      <c r="H1145" s="11" t="s">
        <v>741</v>
      </c>
      <c r="I1145" s="14" t="s">
        <v>1185</v>
      </c>
      <c r="J1145" s="14" t="s">
        <v>29</v>
      </c>
      <c r="K1145" s="15" t="s">
        <v>59</v>
      </c>
      <c r="L1145" s="57" t="s">
        <v>1240</v>
      </c>
      <c r="M1145" s="14" t="s">
        <v>1211</v>
      </c>
      <c r="N1145" s="14" t="s">
        <v>33</v>
      </c>
      <c r="O1145" s="14"/>
      <c r="P1145" s="15" t="s">
        <v>745</v>
      </c>
      <c r="Q1145" s="16">
        <v>13499</v>
      </c>
      <c r="R1145" s="17">
        <v>58.83</v>
      </c>
      <c r="S1145" s="18">
        <v>6391.4354999999996</v>
      </c>
      <c r="T1145" s="19" t="s">
        <v>36</v>
      </c>
      <c r="U1145" s="20" t="s">
        <v>1241</v>
      </c>
      <c r="V1145" s="22">
        <v>35</v>
      </c>
      <c r="W1145" s="22">
        <v>2</v>
      </c>
      <c r="X1145" s="23"/>
    </row>
    <row r="1146" spans="1:24" s="1" customFormat="1" ht="14" customHeight="1" x14ac:dyDescent="0.3">
      <c r="A1146" s="24" t="s">
        <v>23</v>
      </c>
      <c r="B1146" s="24" t="s">
        <v>1238</v>
      </c>
      <c r="C1146" s="12" t="s">
        <v>1239</v>
      </c>
      <c r="D1146" s="60"/>
      <c r="E1146" s="41" t="str">
        <f t="shared" si="31"/>
        <v>Еще фото</v>
      </c>
      <c r="F1146" s="13" t="s">
        <v>152</v>
      </c>
      <c r="G1146" s="24" t="s">
        <v>1184</v>
      </c>
      <c r="H1146" s="24" t="s">
        <v>741</v>
      </c>
      <c r="I1146" s="24" t="s">
        <v>1185</v>
      </c>
      <c r="J1146" s="14" t="s">
        <v>29</v>
      </c>
      <c r="K1146" s="15" t="s">
        <v>59</v>
      </c>
      <c r="L1146" s="62"/>
      <c r="M1146" s="14" t="s">
        <v>1211</v>
      </c>
      <c r="N1146" s="14" t="s">
        <v>33</v>
      </c>
      <c r="O1146" s="14"/>
      <c r="P1146" s="15" t="s">
        <v>745</v>
      </c>
      <c r="Q1146" s="16">
        <v>13499</v>
      </c>
      <c r="R1146" s="17">
        <v>58.83</v>
      </c>
      <c r="S1146" s="18">
        <v>6391.4354999999996</v>
      </c>
      <c r="T1146" s="19" t="s">
        <v>36</v>
      </c>
      <c r="U1146" s="20" t="s">
        <v>1190</v>
      </c>
      <c r="V1146" s="34">
        <v>35.5</v>
      </c>
      <c r="W1146" s="22">
        <v>7</v>
      </c>
      <c r="X1146" s="23"/>
    </row>
    <row r="1147" spans="1:24" s="1" customFormat="1" ht="14" customHeight="1" x14ac:dyDescent="0.3">
      <c r="A1147" s="24" t="s">
        <v>23</v>
      </c>
      <c r="B1147" s="24" t="s">
        <v>1238</v>
      </c>
      <c r="C1147" s="12" t="s">
        <v>1239</v>
      </c>
      <c r="D1147" s="60"/>
      <c r="E1147" s="41" t="str">
        <f t="shared" si="31"/>
        <v>Еще фото</v>
      </c>
      <c r="F1147" s="13" t="s">
        <v>152</v>
      </c>
      <c r="G1147" s="24" t="s">
        <v>1184</v>
      </c>
      <c r="H1147" s="24" t="s">
        <v>741</v>
      </c>
      <c r="I1147" s="24" t="s">
        <v>1185</v>
      </c>
      <c r="J1147" s="14" t="s">
        <v>29</v>
      </c>
      <c r="K1147" s="15" t="s">
        <v>59</v>
      </c>
      <c r="L1147" s="62"/>
      <c r="M1147" s="14" t="s">
        <v>1211</v>
      </c>
      <c r="N1147" s="14" t="s">
        <v>33</v>
      </c>
      <c r="O1147" s="14"/>
      <c r="P1147" s="15" t="s">
        <v>745</v>
      </c>
      <c r="Q1147" s="16">
        <v>13499</v>
      </c>
      <c r="R1147" s="17">
        <v>58.83</v>
      </c>
      <c r="S1147" s="18">
        <v>6391.4354999999996</v>
      </c>
      <c r="T1147" s="19" t="s">
        <v>36</v>
      </c>
      <c r="U1147" s="20" t="s">
        <v>1203</v>
      </c>
      <c r="V1147" s="22">
        <v>36</v>
      </c>
      <c r="W1147" s="22">
        <v>3</v>
      </c>
      <c r="X1147" s="23"/>
    </row>
    <row r="1148" spans="1:24" s="1" customFormat="1" ht="14" customHeight="1" x14ac:dyDescent="0.3">
      <c r="A1148" s="24" t="s">
        <v>23</v>
      </c>
      <c r="B1148" s="24" t="s">
        <v>1238</v>
      </c>
      <c r="C1148" s="12" t="s">
        <v>1239</v>
      </c>
      <c r="D1148" s="60"/>
      <c r="E1148" s="41" t="str">
        <f t="shared" si="31"/>
        <v>Еще фото</v>
      </c>
      <c r="F1148" s="13" t="s">
        <v>152</v>
      </c>
      <c r="G1148" s="24" t="s">
        <v>1184</v>
      </c>
      <c r="H1148" s="24" t="s">
        <v>741</v>
      </c>
      <c r="I1148" s="24" t="s">
        <v>1185</v>
      </c>
      <c r="J1148" s="14" t="s">
        <v>29</v>
      </c>
      <c r="K1148" s="15" t="s">
        <v>59</v>
      </c>
      <c r="L1148" s="62"/>
      <c r="M1148" s="14" t="s">
        <v>1211</v>
      </c>
      <c r="N1148" s="14" t="s">
        <v>33</v>
      </c>
      <c r="O1148" s="14"/>
      <c r="P1148" s="15" t="s">
        <v>745</v>
      </c>
      <c r="Q1148" s="16">
        <v>13499</v>
      </c>
      <c r="R1148" s="17">
        <v>58.83</v>
      </c>
      <c r="S1148" s="18">
        <v>6391.4354999999996</v>
      </c>
      <c r="T1148" s="19" t="s">
        <v>36</v>
      </c>
      <c r="U1148" s="20" t="s">
        <v>1196</v>
      </c>
      <c r="V1148" s="34">
        <v>36.5</v>
      </c>
      <c r="W1148" s="22">
        <v>11</v>
      </c>
      <c r="X1148" s="23"/>
    </row>
    <row r="1149" spans="1:24" s="1" customFormat="1" ht="14" customHeight="1" x14ac:dyDescent="0.3">
      <c r="A1149" s="24" t="s">
        <v>23</v>
      </c>
      <c r="B1149" s="24" t="s">
        <v>1238</v>
      </c>
      <c r="C1149" s="12" t="s">
        <v>1239</v>
      </c>
      <c r="D1149" s="60"/>
      <c r="E1149" s="41" t="str">
        <f t="shared" si="31"/>
        <v>Еще фото</v>
      </c>
      <c r="F1149" s="13" t="s">
        <v>152</v>
      </c>
      <c r="G1149" s="24" t="s">
        <v>1184</v>
      </c>
      <c r="H1149" s="24" t="s">
        <v>741</v>
      </c>
      <c r="I1149" s="24" t="s">
        <v>1185</v>
      </c>
      <c r="J1149" s="14" t="s">
        <v>29</v>
      </c>
      <c r="K1149" s="15" t="s">
        <v>59</v>
      </c>
      <c r="L1149" s="62"/>
      <c r="M1149" s="14" t="s">
        <v>1211</v>
      </c>
      <c r="N1149" s="14" t="s">
        <v>33</v>
      </c>
      <c r="O1149" s="14"/>
      <c r="P1149" s="15" t="s">
        <v>745</v>
      </c>
      <c r="Q1149" s="16">
        <v>13499</v>
      </c>
      <c r="R1149" s="17">
        <v>58.83</v>
      </c>
      <c r="S1149" s="18">
        <v>6391.4354999999996</v>
      </c>
      <c r="T1149" s="19" t="s">
        <v>36</v>
      </c>
      <c r="U1149" s="20" t="s">
        <v>746</v>
      </c>
      <c r="V1149" s="22">
        <v>37</v>
      </c>
      <c r="W1149" s="22">
        <v>10</v>
      </c>
      <c r="X1149" s="23"/>
    </row>
    <row r="1150" spans="1:24" s="1" customFormat="1" ht="14" customHeight="1" x14ac:dyDescent="0.3">
      <c r="A1150" s="24" t="s">
        <v>23</v>
      </c>
      <c r="B1150" s="24" t="s">
        <v>1238</v>
      </c>
      <c r="C1150" s="12" t="s">
        <v>1239</v>
      </c>
      <c r="D1150" s="60"/>
      <c r="E1150" s="41" t="str">
        <f t="shared" si="31"/>
        <v>Еще фото</v>
      </c>
      <c r="F1150" s="13" t="s">
        <v>152</v>
      </c>
      <c r="G1150" s="24" t="s">
        <v>1184</v>
      </c>
      <c r="H1150" s="24" t="s">
        <v>741</v>
      </c>
      <c r="I1150" s="24" t="s">
        <v>1185</v>
      </c>
      <c r="J1150" s="14" t="s">
        <v>29</v>
      </c>
      <c r="K1150" s="15" t="s">
        <v>59</v>
      </c>
      <c r="L1150" s="62"/>
      <c r="M1150" s="14" t="s">
        <v>1211</v>
      </c>
      <c r="N1150" s="14" t="s">
        <v>33</v>
      </c>
      <c r="O1150" s="14"/>
      <c r="P1150" s="15" t="s">
        <v>745</v>
      </c>
      <c r="Q1150" s="16">
        <v>13499</v>
      </c>
      <c r="R1150" s="17">
        <v>58.83</v>
      </c>
      <c r="S1150" s="18">
        <v>6391.4354999999996</v>
      </c>
      <c r="T1150" s="19" t="s">
        <v>36</v>
      </c>
      <c r="U1150" s="20" t="s">
        <v>747</v>
      </c>
      <c r="V1150" s="34">
        <v>37.5</v>
      </c>
      <c r="W1150" s="22">
        <v>1</v>
      </c>
      <c r="X1150" s="23"/>
    </row>
    <row r="1151" spans="1:24" s="1" customFormat="1" ht="17" customHeight="1" x14ac:dyDescent="0.3">
      <c r="A1151" s="24" t="s">
        <v>23</v>
      </c>
      <c r="B1151" s="24" t="s">
        <v>1238</v>
      </c>
      <c r="C1151" s="12" t="s">
        <v>1239</v>
      </c>
      <c r="D1151" s="61"/>
      <c r="E1151" s="41" t="str">
        <f t="shared" si="31"/>
        <v>Еще фото</v>
      </c>
      <c r="F1151" s="13" t="s">
        <v>152</v>
      </c>
      <c r="G1151" s="24" t="s">
        <v>1184</v>
      </c>
      <c r="H1151" s="24" t="s">
        <v>741</v>
      </c>
      <c r="I1151" s="24" t="s">
        <v>1185</v>
      </c>
      <c r="J1151" s="14" t="s">
        <v>29</v>
      </c>
      <c r="K1151" s="15" t="s">
        <v>59</v>
      </c>
      <c r="L1151" s="58"/>
      <c r="M1151" s="14" t="s">
        <v>1211</v>
      </c>
      <c r="N1151" s="14" t="s">
        <v>33</v>
      </c>
      <c r="O1151" s="14"/>
      <c r="P1151" s="15" t="s">
        <v>745</v>
      </c>
      <c r="Q1151" s="16">
        <v>13499</v>
      </c>
      <c r="R1151" s="17">
        <v>58.83</v>
      </c>
      <c r="S1151" s="18">
        <v>6391.4354999999996</v>
      </c>
      <c r="T1151" s="19" t="s">
        <v>36</v>
      </c>
      <c r="U1151" s="20" t="s">
        <v>748</v>
      </c>
      <c r="V1151" s="22">
        <v>38</v>
      </c>
      <c r="W1151" s="22">
        <v>7</v>
      </c>
      <c r="X1151" s="23"/>
    </row>
    <row r="1152" spans="1:24" s="1" customFormat="1" ht="17" customHeight="1" x14ac:dyDescent="0.3">
      <c r="A1152" s="11" t="s">
        <v>23</v>
      </c>
      <c r="B1152" s="11" t="s">
        <v>1242</v>
      </c>
      <c r="C1152" s="12" t="s">
        <v>1243</v>
      </c>
      <c r="D1152" s="59"/>
      <c r="E1152" s="41" t="str">
        <f t="shared" ref="E1152:E1157" si="32">HYPERLINK("https://www.google.ru/search?q=3026736-300&amp;newwindow=1&amp;tbm=isch","Еще фото")</f>
        <v>Еще фото</v>
      </c>
      <c r="F1152" s="13"/>
      <c r="G1152" s="11" t="s">
        <v>1184</v>
      </c>
      <c r="H1152" s="11" t="s">
        <v>741</v>
      </c>
      <c r="I1152" s="14" t="s">
        <v>1185</v>
      </c>
      <c r="J1152" s="14" t="s">
        <v>674</v>
      </c>
      <c r="K1152" s="15" t="s">
        <v>30</v>
      </c>
      <c r="L1152" s="57" t="s">
        <v>1244</v>
      </c>
      <c r="M1152" s="14" t="s">
        <v>1245</v>
      </c>
      <c r="N1152" s="14" t="s">
        <v>115</v>
      </c>
      <c r="O1152" s="14"/>
      <c r="P1152" s="15" t="s">
        <v>1246</v>
      </c>
      <c r="Q1152" s="16">
        <v>27999</v>
      </c>
      <c r="R1152" s="17">
        <v>58.83</v>
      </c>
      <c r="S1152" s="18">
        <v>13256.9355</v>
      </c>
      <c r="T1152" s="19" t="s">
        <v>36</v>
      </c>
      <c r="U1152" s="20" t="s">
        <v>747</v>
      </c>
      <c r="V1152" s="34">
        <v>39.5</v>
      </c>
      <c r="W1152" s="22">
        <v>3</v>
      </c>
      <c r="X1152" s="23"/>
    </row>
    <row r="1153" spans="1:24" s="1" customFormat="1" ht="17" customHeight="1" x14ac:dyDescent="0.3">
      <c r="A1153" s="24" t="s">
        <v>23</v>
      </c>
      <c r="B1153" s="24" t="s">
        <v>1242</v>
      </c>
      <c r="C1153" s="12" t="s">
        <v>1243</v>
      </c>
      <c r="D1153" s="60"/>
      <c r="E1153" s="41" t="str">
        <f t="shared" si="32"/>
        <v>Еще фото</v>
      </c>
      <c r="F1153" s="13"/>
      <c r="G1153" s="24" t="s">
        <v>1184</v>
      </c>
      <c r="H1153" s="24" t="s">
        <v>741</v>
      </c>
      <c r="I1153" s="24" t="s">
        <v>1185</v>
      </c>
      <c r="J1153" s="14" t="s">
        <v>674</v>
      </c>
      <c r="K1153" s="15" t="s">
        <v>30</v>
      </c>
      <c r="L1153" s="62"/>
      <c r="M1153" s="14" t="s">
        <v>1245</v>
      </c>
      <c r="N1153" s="14" t="s">
        <v>115</v>
      </c>
      <c r="O1153" s="14"/>
      <c r="P1153" s="15" t="s">
        <v>1246</v>
      </c>
      <c r="Q1153" s="16">
        <v>27999</v>
      </c>
      <c r="R1153" s="17">
        <v>58.83</v>
      </c>
      <c r="S1153" s="18">
        <v>13256.9355</v>
      </c>
      <c r="T1153" s="19" t="s">
        <v>36</v>
      </c>
      <c r="U1153" s="20" t="s">
        <v>748</v>
      </c>
      <c r="V1153" s="22">
        <v>40</v>
      </c>
      <c r="W1153" s="22">
        <v>10</v>
      </c>
      <c r="X1153" s="23"/>
    </row>
    <row r="1154" spans="1:24" s="1" customFormat="1" ht="17" customHeight="1" x14ac:dyDescent="0.3">
      <c r="A1154" s="24" t="s">
        <v>23</v>
      </c>
      <c r="B1154" s="24" t="s">
        <v>1242</v>
      </c>
      <c r="C1154" s="12" t="s">
        <v>1243</v>
      </c>
      <c r="D1154" s="60"/>
      <c r="E1154" s="41" t="str">
        <f t="shared" si="32"/>
        <v>Еще фото</v>
      </c>
      <c r="F1154" s="13"/>
      <c r="G1154" s="24" t="s">
        <v>1184</v>
      </c>
      <c r="H1154" s="24" t="s">
        <v>741</v>
      </c>
      <c r="I1154" s="24" t="s">
        <v>1185</v>
      </c>
      <c r="J1154" s="14" t="s">
        <v>674</v>
      </c>
      <c r="K1154" s="15" t="s">
        <v>30</v>
      </c>
      <c r="L1154" s="62"/>
      <c r="M1154" s="14" t="s">
        <v>1245</v>
      </c>
      <c r="N1154" s="14" t="s">
        <v>115</v>
      </c>
      <c r="O1154" s="14"/>
      <c r="P1154" s="15" t="s">
        <v>1246</v>
      </c>
      <c r="Q1154" s="16">
        <v>27999</v>
      </c>
      <c r="R1154" s="17">
        <v>58.83</v>
      </c>
      <c r="S1154" s="18">
        <v>13256.9355</v>
      </c>
      <c r="T1154" s="19" t="s">
        <v>36</v>
      </c>
      <c r="U1154" s="20" t="s">
        <v>749</v>
      </c>
      <c r="V1154" s="22">
        <v>41</v>
      </c>
      <c r="W1154" s="22">
        <v>6</v>
      </c>
      <c r="X1154" s="23"/>
    </row>
    <row r="1155" spans="1:24" s="1" customFormat="1" ht="17" customHeight="1" x14ac:dyDescent="0.3">
      <c r="A1155" s="24" t="s">
        <v>23</v>
      </c>
      <c r="B1155" s="24" t="s">
        <v>1242</v>
      </c>
      <c r="C1155" s="12" t="s">
        <v>1243</v>
      </c>
      <c r="D1155" s="60"/>
      <c r="E1155" s="41" t="str">
        <f t="shared" si="32"/>
        <v>Еще фото</v>
      </c>
      <c r="F1155" s="13"/>
      <c r="G1155" s="24" t="s">
        <v>1184</v>
      </c>
      <c r="H1155" s="24" t="s">
        <v>741</v>
      </c>
      <c r="I1155" s="24" t="s">
        <v>1185</v>
      </c>
      <c r="J1155" s="14" t="s">
        <v>674</v>
      </c>
      <c r="K1155" s="15" t="s">
        <v>30</v>
      </c>
      <c r="L1155" s="62"/>
      <c r="M1155" s="14" t="s">
        <v>1245</v>
      </c>
      <c r="N1155" s="14" t="s">
        <v>115</v>
      </c>
      <c r="O1155" s="14"/>
      <c r="P1155" s="15" t="s">
        <v>1246</v>
      </c>
      <c r="Q1155" s="16">
        <v>27999</v>
      </c>
      <c r="R1155" s="17">
        <v>58.83</v>
      </c>
      <c r="S1155" s="18">
        <v>13256.9355</v>
      </c>
      <c r="T1155" s="19" t="s">
        <v>36</v>
      </c>
      <c r="U1155" s="20" t="s">
        <v>750</v>
      </c>
      <c r="V1155" s="34">
        <v>41.5</v>
      </c>
      <c r="W1155" s="22">
        <v>6</v>
      </c>
      <c r="X1155" s="23"/>
    </row>
    <row r="1156" spans="1:24" s="1" customFormat="1" ht="17" customHeight="1" x14ac:dyDescent="0.3">
      <c r="A1156" s="24" t="s">
        <v>23</v>
      </c>
      <c r="B1156" s="24" t="s">
        <v>1242</v>
      </c>
      <c r="C1156" s="12" t="s">
        <v>1243</v>
      </c>
      <c r="D1156" s="60"/>
      <c r="E1156" s="41" t="str">
        <f t="shared" si="32"/>
        <v>Еще фото</v>
      </c>
      <c r="F1156" s="13"/>
      <c r="G1156" s="24" t="s">
        <v>1184</v>
      </c>
      <c r="H1156" s="24" t="s">
        <v>741</v>
      </c>
      <c r="I1156" s="24" t="s">
        <v>1185</v>
      </c>
      <c r="J1156" s="14" t="s">
        <v>674</v>
      </c>
      <c r="K1156" s="15" t="s">
        <v>30</v>
      </c>
      <c r="L1156" s="62"/>
      <c r="M1156" s="14" t="s">
        <v>1245</v>
      </c>
      <c r="N1156" s="14" t="s">
        <v>115</v>
      </c>
      <c r="O1156" s="14"/>
      <c r="P1156" s="15" t="s">
        <v>1246</v>
      </c>
      <c r="Q1156" s="16">
        <v>27999</v>
      </c>
      <c r="R1156" s="17">
        <v>58.83</v>
      </c>
      <c r="S1156" s="18">
        <v>13256.9355</v>
      </c>
      <c r="T1156" s="19" t="s">
        <v>36</v>
      </c>
      <c r="U1156" s="20" t="s">
        <v>751</v>
      </c>
      <c r="V1156" s="22">
        <v>42</v>
      </c>
      <c r="W1156" s="22">
        <v>2</v>
      </c>
      <c r="X1156" s="23"/>
    </row>
    <row r="1157" spans="1:24" s="1" customFormat="1" ht="22.05" customHeight="1" x14ac:dyDescent="0.3">
      <c r="A1157" s="24" t="s">
        <v>23</v>
      </c>
      <c r="B1157" s="24" t="s">
        <v>1242</v>
      </c>
      <c r="C1157" s="12" t="s">
        <v>1243</v>
      </c>
      <c r="D1157" s="61"/>
      <c r="E1157" s="41" t="str">
        <f t="shared" si="32"/>
        <v>Еще фото</v>
      </c>
      <c r="F1157" s="13"/>
      <c r="G1157" s="24" t="s">
        <v>1184</v>
      </c>
      <c r="H1157" s="24" t="s">
        <v>741</v>
      </c>
      <c r="I1157" s="24" t="s">
        <v>1185</v>
      </c>
      <c r="J1157" s="14" t="s">
        <v>674</v>
      </c>
      <c r="K1157" s="15" t="s">
        <v>30</v>
      </c>
      <c r="L1157" s="58"/>
      <c r="M1157" s="14" t="s">
        <v>1245</v>
      </c>
      <c r="N1157" s="14" t="s">
        <v>115</v>
      </c>
      <c r="O1157" s="14"/>
      <c r="P1157" s="15" t="s">
        <v>1246</v>
      </c>
      <c r="Q1157" s="16">
        <v>27999</v>
      </c>
      <c r="R1157" s="17">
        <v>58.83</v>
      </c>
      <c r="S1157" s="18">
        <v>13256.9355</v>
      </c>
      <c r="T1157" s="19" t="s">
        <v>36</v>
      </c>
      <c r="U1157" s="20" t="s">
        <v>752</v>
      </c>
      <c r="V1157" s="22">
        <v>43</v>
      </c>
      <c r="W1157" s="22">
        <v>2</v>
      </c>
      <c r="X1157" s="23"/>
    </row>
    <row r="1158" spans="1:24" s="1" customFormat="1" ht="26" customHeight="1" x14ac:dyDescent="0.3">
      <c r="A1158" s="11" t="s">
        <v>23</v>
      </c>
      <c r="B1158" s="11" t="s">
        <v>1247</v>
      </c>
      <c r="C1158" s="12" t="s">
        <v>1248</v>
      </c>
      <c r="D1158" s="59"/>
      <c r="E1158" s="41" t="str">
        <f>HYPERLINK("https://www.google.ru/search?q=3027189-001&amp;newwindow=1&amp;tbm=isch","Еще фото")</f>
        <v>Еще фото</v>
      </c>
      <c r="F1158" s="13"/>
      <c r="G1158" s="11" t="s">
        <v>1184</v>
      </c>
      <c r="H1158" s="11" t="s">
        <v>741</v>
      </c>
      <c r="I1158" s="14" t="s">
        <v>1185</v>
      </c>
      <c r="J1158" s="14" t="s">
        <v>29</v>
      </c>
      <c r="K1158" s="15" t="s">
        <v>30</v>
      </c>
      <c r="L1158" s="57" t="s">
        <v>1249</v>
      </c>
      <c r="M1158" s="14"/>
      <c r="N1158" s="14" t="s">
        <v>33</v>
      </c>
      <c r="O1158" s="14"/>
      <c r="P1158" s="15" t="s">
        <v>1250</v>
      </c>
      <c r="Q1158" s="16">
        <v>21999</v>
      </c>
      <c r="R1158" s="17">
        <v>58.83</v>
      </c>
      <c r="S1158" s="18">
        <v>10416.4355</v>
      </c>
      <c r="T1158" s="19" t="s">
        <v>36</v>
      </c>
      <c r="U1158" s="20" t="s">
        <v>746</v>
      </c>
      <c r="V1158" s="22">
        <v>39</v>
      </c>
      <c r="W1158" s="22">
        <v>1</v>
      </c>
      <c r="X1158" s="23"/>
    </row>
    <row r="1159" spans="1:24" s="1" customFormat="1" ht="26" customHeight="1" x14ac:dyDescent="0.3">
      <c r="A1159" s="24" t="s">
        <v>23</v>
      </c>
      <c r="B1159" s="24" t="s">
        <v>1247</v>
      </c>
      <c r="C1159" s="12" t="s">
        <v>1248</v>
      </c>
      <c r="D1159" s="60"/>
      <c r="E1159" s="41" t="str">
        <f>HYPERLINK("https://www.google.ru/search?q=3027189-001&amp;newwindow=1&amp;tbm=isch","Еще фото")</f>
        <v>Еще фото</v>
      </c>
      <c r="F1159" s="13"/>
      <c r="G1159" s="24" t="s">
        <v>1184</v>
      </c>
      <c r="H1159" s="24" t="s">
        <v>741</v>
      </c>
      <c r="I1159" s="24" t="s">
        <v>1185</v>
      </c>
      <c r="J1159" s="14" t="s">
        <v>29</v>
      </c>
      <c r="K1159" s="15" t="s">
        <v>30</v>
      </c>
      <c r="L1159" s="62"/>
      <c r="M1159" s="14"/>
      <c r="N1159" s="14" t="s">
        <v>33</v>
      </c>
      <c r="O1159" s="14"/>
      <c r="P1159" s="15" t="s">
        <v>1250</v>
      </c>
      <c r="Q1159" s="16">
        <v>21999</v>
      </c>
      <c r="R1159" s="17">
        <v>58.83</v>
      </c>
      <c r="S1159" s="18">
        <v>10416.4355</v>
      </c>
      <c r="T1159" s="19" t="s">
        <v>36</v>
      </c>
      <c r="U1159" s="20" t="s">
        <v>747</v>
      </c>
      <c r="V1159" s="34">
        <v>39.5</v>
      </c>
      <c r="W1159" s="22">
        <v>3</v>
      </c>
      <c r="X1159" s="23"/>
    </row>
    <row r="1160" spans="1:24" s="1" customFormat="1" ht="26" customHeight="1" x14ac:dyDescent="0.3">
      <c r="A1160" s="24" t="s">
        <v>23</v>
      </c>
      <c r="B1160" s="24" t="s">
        <v>1247</v>
      </c>
      <c r="C1160" s="12" t="s">
        <v>1248</v>
      </c>
      <c r="D1160" s="60"/>
      <c r="E1160" s="41" t="str">
        <f>HYPERLINK("https://www.google.ru/search?q=3027189-001&amp;newwindow=1&amp;tbm=isch","Еще фото")</f>
        <v>Еще фото</v>
      </c>
      <c r="F1160" s="13"/>
      <c r="G1160" s="24" t="s">
        <v>1184</v>
      </c>
      <c r="H1160" s="24" t="s">
        <v>741</v>
      </c>
      <c r="I1160" s="24" t="s">
        <v>1185</v>
      </c>
      <c r="J1160" s="14" t="s">
        <v>29</v>
      </c>
      <c r="K1160" s="15" t="s">
        <v>30</v>
      </c>
      <c r="L1160" s="62"/>
      <c r="M1160" s="14"/>
      <c r="N1160" s="14" t="s">
        <v>33</v>
      </c>
      <c r="O1160" s="14"/>
      <c r="P1160" s="15" t="s">
        <v>1250</v>
      </c>
      <c r="Q1160" s="16">
        <v>21999</v>
      </c>
      <c r="R1160" s="17">
        <v>58.83</v>
      </c>
      <c r="S1160" s="18">
        <v>10416.4355</v>
      </c>
      <c r="T1160" s="19" t="s">
        <v>36</v>
      </c>
      <c r="U1160" s="20" t="s">
        <v>748</v>
      </c>
      <c r="V1160" s="22">
        <v>40</v>
      </c>
      <c r="W1160" s="22">
        <v>1</v>
      </c>
      <c r="X1160" s="23"/>
    </row>
    <row r="1161" spans="1:24" s="1" customFormat="1" ht="26" customHeight="1" x14ac:dyDescent="0.3">
      <c r="A1161" s="24" t="s">
        <v>23</v>
      </c>
      <c r="B1161" s="24" t="s">
        <v>1247</v>
      </c>
      <c r="C1161" s="12" t="s">
        <v>1248</v>
      </c>
      <c r="D1161" s="61"/>
      <c r="E1161" s="41" t="str">
        <f>HYPERLINK("https://www.google.ru/search?q=3027189-001&amp;newwindow=1&amp;tbm=isch","Еще фото")</f>
        <v>Еще фото</v>
      </c>
      <c r="F1161" s="13"/>
      <c r="G1161" s="24" t="s">
        <v>1184</v>
      </c>
      <c r="H1161" s="24" t="s">
        <v>741</v>
      </c>
      <c r="I1161" s="24" t="s">
        <v>1185</v>
      </c>
      <c r="J1161" s="14" t="s">
        <v>29</v>
      </c>
      <c r="K1161" s="15" t="s">
        <v>30</v>
      </c>
      <c r="L1161" s="58"/>
      <c r="M1161" s="14"/>
      <c r="N1161" s="14" t="s">
        <v>33</v>
      </c>
      <c r="O1161" s="14"/>
      <c r="P1161" s="15" t="s">
        <v>1250</v>
      </c>
      <c r="Q1161" s="16">
        <v>21999</v>
      </c>
      <c r="R1161" s="17">
        <v>58.83</v>
      </c>
      <c r="S1161" s="18">
        <v>10416.4355</v>
      </c>
      <c r="T1161" s="19" t="s">
        <v>36</v>
      </c>
      <c r="U1161" s="20" t="s">
        <v>749</v>
      </c>
      <c r="V1161" s="22">
        <v>41</v>
      </c>
      <c r="W1161" s="22">
        <v>2</v>
      </c>
      <c r="X1161" s="23"/>
    </row>
    <row r="1162" spans="1:24" s="1" customFormat="1" ht="21" customHeight="1" x14ac:dyDescent="0.3">
      <c r="A1162" s="11" t="s">
        <v>23</v>
      </c>
      <c r="B1162" s="11" t="s">
        <v>1251</v>
      </c>
      <c r="C1162" s="26" t="s">
        <v>1252</v>
      </c>
      <c r="D1162" s="59"/>
      <c r="E1162" s="41" t="str">
        <f>HYPERLINK("https://www.google.ru/search?q=3025060-001&amp;newwindow=1&amp;tbm=isch","Еще фото")</f>
        <v>Еще фото</v>
      </c>
      <c r="F1162" s="13" t="s">
        <v>152</v>
      </c>
      <c r="G1162" s="11" t="s">
        <v>1184</v>
      </c>
      <c r="H1162" s="11" t="s">
        <v>741</v>
      </c>
      <c r="I1162" s="14" t="s">
        <v>1185</v>
      </c>
      <c r="J1162" s="14" t="s">
        <v>29</v>
      </c>
      <c r="K1162" s="15" t="s">
        <v>59</v>
      </c>
      <c r="L1162" s="57" t="s">
        <v>1253</v>
      </c>
      <c r="M1162" s="14" t="s">
        <v>1194</v>
      </c>
      <c r="N1162" s="14" t="s">
        <v>33</v>
      </c>
      <c r="O1162" s="14" t="s">
        <v>34</v>
      </c>
      <c r="P1162" s="15" t="s">
        <v>1254</v>
      </c>
      <c r="Q1162" s="16">
        <v>9999</v>
      </c>
      <c r="R1162" s="17">
        <v>58.82</v>
      </c>
      <c r="S1162" s="18">
        <v>4735.4355000000005</v>
      </c>
      <c r="T1162" s="19" t="s">
        <v>36</v>
      </c>
      <c r="U1162" s="20" t="s">
        <v>1190</v>
      </c>
      <c r="V1162" s="34">
        <v>35.5</v>
      </c>
      <c r="W1162" s="22">
        <v>4</v>
      </c>
      <c r="X1162" s="23"/>
    </row>
    <row r="1163" spans="1:24" s="1" customFormat="1" ht="21" customHeight="1" x14ac:dyDescent="0.3">
      <c r="A1163" s="24" t="s">
        <v>23</v>
      </c>
      <c r="B1163" s="24" t="s">
        <v>1251</v>
      </c>
      <c r="C1163" s="27" t="s">
        <v>1252</v>
      </c>
      <c r="D1163" s="60"/>
      <c r="E1163" s="41" t="str">
        <f>HYPERLINK("https://www.google.ru/search?q=3025060-001&amp;newwindow=1&amp;tbm=isch","Еще фото")</f>
        <v>Еще фото</v>
      </c>
      <c r="F1163" s="13" t="s">
        <v>152</v>
      </c>
      <c r="G1163" s="24" t="s">
        <v>1184</v>
      </c>
      <c r="H1163" s="24" t="s">
        <v>741</v>
      </c>
      <c r="I1163" s="24" t="s">
        <v>1185</v>
      </c>
      <c r="J1163" s="14" t="s">
        <v>29</v>
      </c>
      <c r="K1163" s="15" t="s">
        <v>59</v>
      </c>
      <c r="L1163" s="62"/>
      <c r="M1163" s="14" t="s">
        <v>1194</v>
      </c>
      <c r="N1163" s="14" t="s">
        <v>33</v>
      </c>
      <c r="O1163" s="14" t="s">
        <v>34</v>
      </c>
      <c r="P1163" s="15" t="s">
        <v>1254</v>
      </c>
      <c r="Q1163" s="16">
        <v>9999</v>
      </c>
      <c r="R1163" s="17">
        <v>58.82</v>
      </c>
      <c r="S1163" s="18">
        <v>4735.4355000000005</v>
      </c>
      <c r="T1163" s="19" t="s">
        <v>36</v>
      </c>
      <c r="U1163" s="20" t="s">
        <v>1203</v>
      </c>
      <c r="V1163" s="22">
        <v>36</v>
      </c>
      <c r="W1163" s="22">
        <v>7</v>
      </c>
      <c r="X1163" s="23"/>
    </row>
    <row r="1164" spans="1:24" s="1" customFormat="1" ht="21" customHeight="1" x14ac:dyDescent="0.3">
      <c r="A1164" s="24" t="s">
        <v>23</v>
      </c>
      <c r="B1164" s="24" t="s">
        <v>1251</v>
      </c>
      <c r="C1164" s="27" t="s">
        <v>1252</v>
      </c>
      <c r="D1164" s="60"/>
      <c r="E1164" s="41" t="str">
        <f>HYPERLINK("https://www.google.ru/search?q=3025060-001&amp;newwindow=1&amp;tbm=isch","Еще фото")</f>
        <v>Еще фото</v>
      </c>
      <c r="F1164" s="13" t="s">
        <v>152</v>
      </c>
      <c r="G1164" s="24" t="s">
        <v>1184</v>
      </c>
      <c r="H1164" s="24" t="s">
        <v>741</v>
      </c>
      <c r="I1164" s="24" t="s">
        <v>1185</v>
      </c>
      <c r="J1164" s="14" t="s">
        <v>29</v>
      </c>
      <c r="K1164" s="15" t="s">
        <v>59</v>
      </c>
      <c r="L1164" s="62"/>
      <c r="M1164" s="14" t="s">
        <v>1194</v>
      </c>
      <c r="N1164" s="14" t="s">
        <v>33</v>
      </c>
      <c r="O1164" s="14" t="s">
        <v>34</v>
      </c>
      <c r="P1164" s="15" t="s">
        <v>1254</v>
      </c>
      <c r="Q1164" s="16">
        <v>9999</v>
      </c>
      <c r="R1164" s="17">
        <v>58.82</v>
      </c>
      <c r="S1164" s="18">
        <v>4735.4355000000005</v>
      </c>
      <c r="T1164" s="19" t="s">
        <v>36</v>
      </c>
      <c r="U1164" s="20" t="s">
        <v>1196</v>
      </c>
      <c r="V1164" s="34">
        <v>36.5</v>
      </c>
      <c r="W1164" s="22">
        <v>23</v>
      </c>
      <c r="X1164" s="23"/>
    </row>
    <row r="1165" spans="1:24" s="1" customFormat="1" ht="21" customHeight="1" x14ac:dyDescent="0.3">
      <c r="A1165" s="24" t="s">
        <v>23</v>
      </c>
      <c r="B1165" s="24" t="s">
        <v>1251</v>
      </c>
      <c r="C1165" s="27" t="s">
        <v>1252</v>
      </c>
      <c r="D1165" s="60"/>
      <c r="E1165" s="41" t="str">
        <f>HYPERLINK("https://www.google.ru/search?q=3025060-001&amp;newwindow=1&amp;tbm=isch","Еще фото")</f>
        <v>Еще фото</v>
      </c>
      <c r="F1165" s="13" t="s">
        <v>152</v>
      </c>
      <c r="G1165" s="24" t="s">
        <v>1184</v>
      </c>
      <c r="H1165" s="24" t="s">
        <v>741</v>
      </c>
      <c r="I1165" s="24" t="s">
        <v>1185</v>
      </c>
      <c r="J1165" s="14" t="s">
        <v>29</v>
      </c>
      <c r="K1165" s="15" t="s">
        <v>59</v>
      </c>
      <c r="L1165" s="62"/>
      <c r="M1165" s="14" t="s">
        <v>1194</v>
      </c>
      <c r="N1165" s="14" t="s">
        <v>33</v>
      </c>
      <c r="O1165" s="14" t="s">
        <v>34</v>
      </c>
      <c r="P1165" s="15" t="s">
        <v>1254</v>
      </c>
      <c r="Q1165" s="16">
        <v>9999</v>
      </c>
      <c r="R1165" s="17">
        <v>58.82</v>
      </c>
      <c r="S1165" s="18">
        <v>4735.4355000000005</v>
      </c>
      <c r="T1165" s="19" t="s">
        <v>36</v>
      </c>
      <c r="U1165" s="20" t="s">
        <v>746</v>
      </c>
      <c r="V1165" s="22">
        <v>37</v>
      </c>
      <c r="W1165" s="22">
        <v>35</v>
      </c>
      <c r="X1165" s="23"/>
    </row>
    <row r="1166" spans="1:24" s="1" customFormat="1" ht="32" customHeight="1" x14ac:dyDescent="0.3">
      <c r="A1166" s="24" t="s">
        <v>23</v>
      </c>
      <c r="B1166" s="24" t="s">
        <v>1251</v>
      </c>
      <c r="C1166" s="27" t="s">
        <v>1252</v>
      </c>
      <c r="D1166" s="61"/>
      <c r="E1166" s="41" t="str">
        <f>HYPERLINK("https://www.google.ru/search?q=3025060-001&amp;newwindow=1&amp;tbm=isch","Еще фото")</f>
        <v>Еще фото</v>
      </c>
      <c r="F1166" s="13" t="s">
        <v>152</v>
      </c>
      <c r="G1166" s="24" t="s">
        <v>1184</v>
      </c>
      <c r="H1166" s="24" t="s">
        <v>741</v>
      </c>
      <c r="I1166" s="24" t="s">
        <v>1185</v>
      </c>
      <c r="J1166" s="14" t="s">
        <v>29</v>
      </c>
      <c r="K1166" s="15" t="s">
        <v>59</v>
      </c>
      <c r="L1166" s="58"/>
      <c r="M1166" s="14" t="s">
        <v>1194</v>
      </c>
      <c r="N1166" s="14" t="s">
        <v>33</v>
      </c>
      <c r="O1166" s="14" t="s">
        <v>34</v>
      </c>
      <c r="P1166" s="15" t="s">
        <v>1254</v>
      </c>
      <c r="Q1166" s="16">
        <v>9999</v>
      </c>
      <c r="R1166" s="17">
        <v>58.82</v>
      </c>
      <c r="S1166" s="18">
        <v>4735.4355000000005</v>
      </c>
      <c r="T1166" s="19" t="s">
        <v>36</v>
      </c>
      <c r="U1166" s="20" t="s">
        <v>747</v>
      </c>
      <c r="V1166" s="34">
        <v>37.5</v>
      </c>
      <c r="W1166" s="22">
        <v>15</v>
      </c>
      <c r="X1166" s="23"/>
    </row>
    <row r="1167" spans="1:24" s="1" customFormat="1" ht="26" customHeight="1" x14ac:dyDescent="0.3">
      <c r="A1167" s="11" t="s">
        <v>23</v>
      </c>
      <c r="B1167" s="11" t="s">
        <v>1255</v>
      </c>
      <c r="C1167" s="12" t="s">
        <v>1256</v>
      </c>
      <c r="D1167" s="59"/>
      <c r="E1167" s="41" t="str">
        <f>HYPERLINK("https://www.google.ru/search?q=3024878-401&amp;newwindow=1&amp;tbm=isch","Еще фото")</f>
        <v>Еще фото</v>
      </c>
      <c r="F1167" s="13"/>
      <c r="G1167" s="11" t="s">
        <v>1184</v>
      </c>
      <c r="H1167" s="11" t="s">
        <v>741</v>
      </c>
      <c r="I1167" s="14" t="s">
        <v>1185</v>
      </c>
      <c r="J1167" s="14" t="s">
        <v>29</v>
      </c>
      <c r="K1167" s="15" t="s">
        <v>30</v>
      </c>
      <c r="L1167" s="57" t="s">
        <v>1257</v>
      </c>
      <c r="M1167" s="14" t="s">
        <v>1194</v>
      </c>
      <c r="N1167" s="14" t="s">
        <v>115</v>
      </c>
      <c r="O1167" s="14" t="s">
        <v>34</v>
      </c>
      <c r="P1167" s="15" t="s">
        <v>1258</v>
      </c>
      <c r="Q1167" s="16">
        <v>9099</v>
      </c>
      <c r="R1167" s="17">
        <v>58.81</v>
      </c>
      <c r="S1167" s="18">
        <v>4309.9354999999996</v>
      </c>
      <c r="T1167" s="19" t="s">
        <v>36</v>
      </c>
      <c r="U1167" s="20" t="s">
        <v>747</v>
      </c>
      <c r="V1167" s="34">
        <v>39.5</v>
      </c>
      <c r="W1167" s="22">
        <v>8</v>
      </c>
      <c r="X1167" s="23"/>
    </row>
    <row r="1168" spans="1:24" s="1" customFormat="1" ht="26" customHeight="1" x14ac:dyDescent="0.3">
      <c r="A1168" s="24" t="s">
        <v>23</v>
      </c>
      <c r="B1168" s="24" t="s">
        <v>1255</v>
      </c>
      <c r="C1168" s="12" t="s">
        <v>1256</v>
      </c>
      <c r="D1168" s="60"/>
      <c r="E1168" s="41" t="str">
        <f>HYPERLINK("https://www.google.ru/search?q=3024878-401&amp;newwindow=1&amp;tbm=isch","Еще фото")</f>
        <v>Еще фото</v>
      </c>
      <c r="F1168" s="13"/>
      <c r="G1168" s="24" t="s">
        <v>1184</v>
      </c>
      <c r="H1168" s="24" t="s">
        <v>741</v>
      </c>
      <c r="I1168" s="24" t="s">
        <v>1185</v>
      </c>
      <c r="J1168" s="14" t="s">
        <v>29</v>
      </c>
      <c r="K1168" s="15" t="s">
        <v>30</v>
      </c>
      <c r="L1168" s="62"/>
      <c r="M1168" s="14" t="s">
        <v>1194</v>
      </c>
      <c r="N1168" s="14" t="s">
        <v>115</v>
      </c>
      <c r="O1168" s="14" t="s">
        <v>34</v>
      </c>
      <c r="P1168" s="15" t="s">
        <v>1258</v>
      </c>
      <c r="Q1168" s="16">
        <v>9099</v>
      </c>
      <c r="R1168" s="17">
        <v>58.81</v>
      </c>
      <c r="S1168" s="18">
        <v>4309.9354999999996</v>
      </c>
      <c r="T1168" s="19" t="s">
        <v>36</v>
      </c>
      <c r="U1168" s="20" t="s">
        <v>748</v>
      </c>
      <c r="V1168" s="22">
        <v>40</v>
      </c>
      <c r="W1168" s="22">
        <v>3</v>
      </c>
      <c r="X1168" s="23"/>
    </row>
    <row r="1169" spans="1:24" s="1" customFormat="1" ht="26" customHeight="1" x14ac:dyDescent="0.3">
      <c r="A1169" s="24" t="s">
        <v>23</v>
      </c>
      <c r="B1169" s="24" t="s">
        <v>1255</v>
      </c>
      <c r="C1169" s="12" t="s">
        <v>1256</v>
      </c>
      <c r="D1169" s="60"/>
      <c r="E1169" s="41" t="str">
        <f>HYPERLINK("https://www.google.ru/search?q=3024878-401&amp;newwindow=1&amp;tbm=isch","Еще фото")</f>
        <v>Еще фото</v>
      </c>
      <c r="F1169" s="13"/>
      <c r="G1169" s="24" t="s">
        <v>1184</v>
      </c>
      <c r="H1169" s="24" t="s">
        <v>741</v>
      </c>
      <c r="I1169" s="24" t="s">
        <v>1185</v>
      </c>
      <c r="J1169" s="14" t="s">
        <v>29</v>
      </c>
      <c r="K1169" s="15" t="s">
        <v>30</v>
      </c>
      <c r="L1169" s="62"/>
      <c r="M1169" s="14" t="s">
        <v>1194</v>
      </c>
      <c r="N1169" s="14" t="s">
        <v>115</v>
      </c>
      <c r="O1169" s="14" t="s">
        <v>34</v>
      </c>
      <c r="P1169" s="15" t="s">
        <v>1258</v>
      </c>
      <c r="Q1169" s="16">
        <v>9099</v>
      </c>
      <c r="R1169" s="17">
        <v>58.81</v>
      </c>
      <c r="S1169" s="18">
        <v>4309.9354999999996</v>
      </c>
      <c r="T1169" s="19" t="s">
        <v>36</v>
      </c>
      <c r="U1169" s="20" t="s">
        <v>749</v>
      </c>
      <c r="V1169" s="22">
        <v>41</v>
      </c>
      <c r="W1169" s="22">
        <v>1</v>
      </c>
      <c r="X1169" s="23"/>
    </row>
    <row r="1170" spans="1:24" s="1" customFormat="1" ht="26" customHeight="1" x14ac:dyDescent="0.3">
      <c r="A1170" s="24" t="s">
        <v>23</v>
      </c>
      <c r="B1170" s="24" t="s">
        <v>1255</v>
      </c>
      <c r="C1170" s="12" t="s">
        <v>1256</v>
      </c>
      <c r="D1170" s="61"/>
      <c r="E1170" s="41" t="str">
        <f>HYPERLINK("https://www.google.ru/search?q=3024878-401&amp;newwindow=1&amp;tbm=isch","Еще фото")</f>
        <v>Еще фото</v>
      </c>
      <c r="F1170" s="13"/>
      <c r="G1170" s="24" t="s">
        <v>1184</v>
      </c>
      <c r="H1170" s="24" t="s">
        <v>741</v>
      </c>
      <c r="I1170" s="24" t="s">
        <v>1185</v>
      </c>
      <c r="J1170" s="14" t="s">
        <v>29</v>
      </c>
      <c r="K1170" s="15" t="s">
        <v>30</v>
      </c>
      <c r="L1170" s="58"/>
      <c r="M1170" s="14" t="s">
        <v>1194</v>
      </c>
      <c r="N1170" s="14" t="s">
        <v>115</v>
      </c>
      <c r="O1170" s="14" t="s">
        <v>34</v>
      </c>
      <c r="P1170" s="15" t="s">
        <v>1258</v>
      </c>
      <c r="Q1170" s="16">
        <v>9099</v>
      </c>
      <c r="R1170" s="17">
        <v>58.81</v>
      </c>
      <c r="S1170" s="18">
        <v>4309.9354999999996</v>
      </c>
      <c r="T1170" s="19" t="s">
        <v>36</v>
      </c>
      <c r="U1170" s="20" t="s">
        <v>751</v>
      </c>
      <c r="V1170" s="22">
        <v>42</v>
      </c>
      <c r="W1170" s="22">
        <v>1</v>
      </c>
      <c r="X1170" s="23"/>
    </row>
    <row r="1171" spans="1:24" s="1" customFormat="1" ht="26" customHeight="1" x14ac:dyDescent="0.3">
      <c r="A1171" s="11" t="s">
        <v>23</v>
      </c>
      <c r="B1171" s="11" t="s">
        <v>1197</v>
      </c>
      <c r="C1171" s="12" t="s">
        <v>1259</v>
      </c>
      <c r="D1171" s="59"/>
      <c r="E1171" s="41" t="str">
        <f>HYPERLINK("https://www.google.ru/search?q=3024889-602&amp;newwindow=1&amp;tbm=isch","Еще фото")</f>
        <v>Еще фото</v>
      </c>
      <c r="F1171" s="13"/>
      <c r="G1171" s="11" t="s">
        <v>1184</v>
      </c>
      <c r="H1171" s="11" t="s">
        <v>741</v>
      </c>
      <c r="I1171" s="14" t="s">
        <v>1185</v>
      </c>
      <c r="J1171" s="14" t="s">
        <v>29</v>
      </c>
      <c r="K1171" s="15" t="s">
        <v>59</v>
      </c>
      <c r="L1171" s="57" t="s">
        <v>1199</v>
      </c>
      <c r="M1171" s="14" t="s">
        <v>1194</v>
      </c>
      <c r="N1171" s="14" t="s">
        <v>69</v>
      </c>
      <c r="O1171" s="14"/>
      <c r="P1171" s="15" t="s">
        <v>1202</v>
      </c>
      <c r="Q1171" s="16">
        <v>9099</v>
      </c>
      <c r="R1171" s="17">
        <v>58.81</v>
      </c>
      <c r="S1171" s="18">
        <v>4309.9354999999996</v>
      </c>
      <c r="T1171" s="19" t="s">
        <v>36</v>
      </c>
      <c r="U1171" s="20" t="s">
        <v>1190</v>
      </c>
      <c r="V1171" s="34">
        <v>35.5</v>
      </c>
      <c r="W1171" s="22">
        <v>3</v>
      </c>
      <c r="X1171" s="23"/>
    </row>
    <row r="1172" spans="1:24" s="1" customFormat="1" ht="26" customHeight="1" x14ac:dyDescent="0.3">
      <c r="A1172" s="24" t="s">
        <v>23</v>
      </c>
      <c r="B1172" s="24" t="s">
        <v>1197</v>
      </c>
      <c r="C1172" s="12" t="s">
        <v>1259</v>
      </c>
      <c r="D1172" s="60"/>
      <c r="E1172" s="41" t="str">
        <f>HYPERLINK("https://www.google.ru/search?q=3024889-602&amp;newwindow=1&amp;tbm=isch","Еще фото")</f>
        <v>Еще фото</v>
      </c>
      <c r="F1172" s="13"/>
      <c r="G1172" s="24" t="s">
        <v>1184</v>
      </c>
      <c r="H1172" s="24" t="s">
        <v>741</v>
      </c>
      <c r="I1172" s="24" t="s">
        <v>1185</v>
      </c>
      <c r="J1172" s="14" t="s">
        <v>29</v>
      </c>
      <c r="K1172" s="15" t="s">
        <v>59</v>
      </c>
      <c r="L1172" s="62"/>
      <c r="M1172" s="14" t="s">
        <v>1194</v>
      </c>
      <c r="N1172" s="14" t="s">
        <v>69</v>
      </c>
      <c r="O1172" s="14"/>
      <c r="P1172" s="15" t="s">
        <v>1202</v>
      </c>
      <c r="Q1172" s="16">
        <v>9099</v>
      </c>
      <c r="R1172" s="17">
        <v>58.81</v>
      </c>
      <c r="S1172" s="18">
        <v>4309.9354999999996</v>
      </c>
      <c r="T1172" s="19" t="s">
        <v>36</v>
      </c>
      <c r="U1172" s="20" t="s">
        <v>1196</v>
      </c>
      <c r="V1172" s="34">
        <v>36.5</v>
      </c>
      <c r="W1172" s="22">
        <v>1</v>
      </c>
      <c r="X1172" s="23"/>
    </row>
    <row r="1173" spans="1:24" s="1" customFormat="1" ht="26" customHeight="1" x14ac:dyDescent="0.3">
      <c r="A1173" s="24" t="s">
        <v>23</v>
      </c>
      <c r="B1173" s="24" t="s">
        <v>1197</v>
      </c>
      <c r="C1173" s="12" t="s">
        <v>1259</v>
      </c>
      <c r="D1173" s="60"/>
      <c r="E1173" s="41" t="str">
        <f>HYPERLINK("https://www.google.ru/search?q=3024889-602&amp;newwindow=1&amp;tbm=isch","Еще фото")</f>
        <v>Еще фото</v>
      </c>
      <c r="F1173" s="13"/>
      <c r="G1173" s="24" t="s">
        <v>1184</v>
      </c>
      <c r="H1173" s="24" t="s">
        <v>741</v>
      </c>
      <c r="I1173" s="24" t="s">
        <v>1185</v>
      </c>
      <c r="J1173" s="14" t="s">
        <v>29</v>
      </c>
      <c r="K1173" s="15" t="s">
        <v>59</v>
      </c>
      <c r="L1173" s="62"/>
      <c r="M1173" s="14" t="s">
        <v>1194</v>
      </c>
      <c r="N1173" s="14" t="s">
        <v>69</v>
      </c>
      <c r="O1173" s="14"/>
      <c r="P1173" s="15" t="s">
        <v>1202</v>
      </c>
      <c r="Q1173" s="16">
        <v>9099</v>
      </c>
      <c r="R1173" s="17">
        <v>58.81</v>
      </c>
      <c r="S1173" s="18">
        <v>4309.9354999999996</v>
      </c>
      <c r="T1173" s="19" t="s">
        <v>36</v>
      </c>
      <c r="U1173" s="20" t="s">
        <v>746</v>
      </c>
      <c r="V1173" s="22">
        <v>37</v>
      </c>
      <c r="W1173" s="22">
        <v>18</v>
      </c>
      <c r="X1173" s="23"/>
    </row>
    <row r="1174" spans="1:24" s="1" customFormat="1" ht="26" customHeight="1" x14ac:dyDescent="0.3">
      <c r="A1174" s="24" t="s">
        <v>23</v>
      </c>
      <c r="B1174" s="24" t="s">
        <v>1197</v>
      </c>
      <c r="C1174" s="12" t="s">
        <v>1259</v>
      </c>
      <c r="D1174" s="61"/>
      <c r="E1174" s="41" t="str">
        <f>HYPERLINK("https://www.google.ru/search?q=3024889-602&amp;newwindow=1&amp;tbm=isch","Еще фото")</f>
        <v>Еще фото</v>
      </c>
      <c r="F1174" s="13"/>
      <c r="G1174" s="24" t="s">
        <v>1184</v>
      </c>
      <c r="H1174" s="24" t="s">
        <v>741</v>
      </c>
      <c r="I1174" s="24" t="s">
        <v>1185</v>
      </c>
      <c r="J1174" s="14" t="s">
        <v>29</v>
      </c>
      <c r="K1174" s="15" t="s">
        <v>59</v>
      </c>
      <c r="L1174" s="58"/>
      <c r="M1174" s="14" t="s">
        <v>1194</v>
      </c>
      <c r="N1174" s="14" t="s">
        <v>69</v>
      </c>
      <c r="O1174" s="14"/>
      <c r="P1174" s="15" t="s">
        <v>1202</v>
      </c>
      <c r="Q1174" s="16">
        <v>9099</v>
      </c>
      <c r="R1174" s="17">
        <v>58.81</v>
      </c>
      <c r="S1174" s="18">
        <v>4309.9354999999996</v>
      </c>
      <c r="T1174" s="19" t="s">
        <v>36</v>
      </c>
      <c r="U1174" s="20" t="s">
        <v>747</v>
      </c>
      <c r="V1174" s="34">
        <v>37.5</v>
      </c>
      <c r="W1174" s="22">
        <v>1</v>
      </c>
      <c r="X1174" s="23"/>
    </row>
    <row r="1175" spans="1:24" s="1" customFormat="1" ht="26" customHeight="1" x14ac:dyDescent="0.3">
      <c r="A1175" s="11" t="s">
        <v>23</v>
      </c>
      <c r="B1175" s="11" t="s">
        <v>1260</v>
      </c>
      <c r="C1175" s="12" t="s">
        <v>1261</v>
      </c>
      <c r="D1175" s="59"/>
      <c r="E1175" s="41" t="str">
        <f>HYPERLINK("https://www.google.ru/search?q=3024191-001&amp;newwindow=1&amp;tbm=isch","Еще фото")</f>
        <v>Еще фото</v>
      </c>
      <c r="F1175" s="13"/>
      <c r="G1175" s="11" t="s">
        <v>1184</v>
      </c>
      <c r="H1175" s="11" t="s">
        <v>741</v>
      </c>
      <c r="I1175" s="14" t="s">
        <v>1185</v>
      </c>
      <c r="J1175" s="14" t="s">
        <v>29</v>
      </c>
      <c r="K1175" s="15" t="s">
        <v>59</v>
      </c>
      <c r="L1175" s="57" t="s">
        <v>1262</v>
      </c>
      <c r="M1175" s="14"/>
      <c r="N1175" s="14" t="s">
        <v>33</v>
      </c>
      <c r="O1175" s="14"/>
      <c r="P1175" s="15" t="s">
        <v>1263</v>
      </c>
      <c r="Q1175" s="16">
        <v>14899</v>
      </c>
      <c r="R1175" s="17">
        <v>58.8</v>
      </c>
      <c r="S1175" s="18">
        <v>7058.4354999999996</v>
      </c>
      <c r="T1175" s="19" t="s">
        <v>36</v>
      </c>
      <c r="U1175" s="20" t="s">
        <v>1203</v>
      </c>
      <c r="V1175" s="22">
        <v>36</v>
      </c>
      <c r="W1175" s="22">
        <v>4</v>
      </c>
      <c r="X1175" s="23"/>
    </row>
    <row r="1176" spans="1:24" s="1" customFormat="1" ht="26" customHeight="1" x14ac:dyDescent="0.3">
      <c r="A1176" s="24" t="s">
        <v>23</v>
      </c>
      <c r="B1176" s="24" t="s">
        <v>1260</v>
      </c>
      <c r="C1176" s="12" t="s">
        <v>1261</v>
      </c>
      <c r="D1176" s="60"/>
      <c r="E1176" s="41" t="str">
        <f>HYPERLINK("https://www.google.ru/search?q=3024191-001&amp;newwindow=1&amp;tbm=isch","Еще фото")</f>
        <v>Еще фото</v>
      </c>
      <c r="F1176" s="13"/>
      <c r="G1176" s="24" t="s">
        <v>1184</v>
      </c>
      <c r="H1176" s="24" t="s">
        <v>741</v>
      </c>
      <c r="I1176" s="24" t="s">
        <v>1185</v>
      </c>
      <c r="J1176" s="14" t="s">
        <v>29</v>
      </c>
      <c r="K1176" s="15" t="s">
        <v>59</v>
      </c>
      <c r="L1176" s="62"/>
      <c r="M1176" s="14"/>
      <c r="N1176" s="14" t="s">
        <v>33</v>
      </c>
      <c r="O1176" s="14"/>
      <c r="P1176" s="15" t="s">
        <v>1263</v>
      </c>
      <c r="Q1176" s="16">
        <v>14899</v>
      </c>
      <c r="R1176" s="17">
        <v>58.8</v>
      </c>
      <c r="S1176" s="18">
        <v>7058.4354999999996</v>
      </c>
      <c r="T1176" s="19" t="s">
        <v>36</v>
      </c>
      <c r="U1176" s="20" t="s">
        <v>1196</v>
      </c>
      <c r="V1176" s="34">
        <v>36.5</v>
      </c>
      <c r="W1176" s="22">
        <v>1</v>
      </c>
      <c r="X1176" s="23"/>
    </row>
    <row r="1177" spans="1:24" s="1" customFormat="1" ht="26" customHeight="1" x14ac:dyDescent="0.3">
      <c r="A1177" s="24" t="s">
        <v>23</v>
      </c>
      <c r="B1177" s="24" t="s">
        <v>1260</v>
      </c>
      <c r="C1177" s="12" t="s">
        <v>1261</v>
      </c>
      <c r="D1177" s="60"/>
      <c r="E1177" s="41" t="str">
        <f>HYPERLINK("https://www.google.ru/search?q=3024191-001&amp;newwindow=1&amp;tbm=isch","Еще фото")</f>
        <v>Еще фото</v>
      </c>
      <c r="F1177" s="13"/>
      <c r="G1177" s="24" t="s">
        <v>1184</v>
      </c>
      <c r="H1177" s="24" t="s">
        <v>741</v>
      </c>
      <c r="I1177" s="24" t="s">
        <v>1185</v>
      </c>
      <c r="J1177" s="14" t="s">
        <v>29</v>
      </c>
      <c r="K1177" s="15" t="s">
        <v>59</v>
      </c>
      <c r="L1177" s="62"/>
      <c r="M1177" s="14"/>
      <c r="N1177" s="14" t="s">
        <v>33</v>
      </c>
      <c r="O1177" s="14"/>
      <c r="P1177" s="15" t="s">
        <v>1263</v>
      </c>
      <c r="Q1177" s="16">
        <v>14899</v>
      </c>
      <c r="R1177" s="17">
        <v>58.8</v>
      </c>
      <c r="S1177" s="18">
        <v>7058.4354999999996</v>
      </c>
      <c r="T1177" s="19" t="s">
        <v>36</v>
      </c>
      <c r="U1177" s="20" t="s">
        <v>746</v>
      </c>
      <c r="V1177" s="22">
        <v>37</v>
      </c>
      <c r="W1177" s="22">
        <v>1</v>
      </c>
      <c r="X1177" s="23"/>
    </row>
    <row r="1178" spans="1:24" s="1" customFormat="1" ht="26" customHeight="1" x14ac:dyDescent="0.3">
      <c r="A1178" s="24" t="s">
        <v>23</v>
      </c>
      <c r="B1178" s="24" t="s">
        <v>1260</v>
      </c>
      <c r="C1178" s="12" t="s">
        <v>1261</v>
      </c>
      <c r="D1178" s="61"/>
      <c r="E1178" s="41" t="str">
        <f>HYPERLINK("https://www.google.ru/search?q=3024191-001&amp;newwindow=1&amp;tbm=isch","Еще фото")</f>
        <v>Еще фото</v>
      </c>
      <c r="F1178" s="13"/>
      <c r="G1178" s="24" t="s">
        <v>1184</v>
      </c>
      <c r="H1178" s="24" t="s">
        <v>741</v>
      </c>
      <c r="I1178" s="24" t="s">
        <v>1185</v>
      </c>
      <c r="J1178" s="14" t="s">
        <v>29</v>
      </c>
      <c r="K1178" s="15" t="s">
        <v>59</v>
      </c>
      <c r="L1178" s="58"/>
      <c r="M1178" s="14"/>
      <c r="N1178" s="14" t="s">
        <v>33</v>
      </c>
      <c r="O1178" s="14"/>
      <c r="P1178" s="15" t="s">
        <v>1263</v>
      </c>
      <c r="Q1178" s="16">
        <v>14899</v>
      </c>
      <c r="R1178" s="17">
        <v>58.8</v>
      </c>
      <c r="S1178" s="18">
        <v>7058.4354999999996</v>
      </c>
      <c r="T1178" s="19" t="s">
        <v>36</v>
      </c>
      <c r="U1178" s="20" t="s">
        <v>747</v>
      </c>
      <c r="V1178" s="34">
        <v>37.5</v>
      </c>
      <c r="W1178" s="22">
        <v>1</v>
      </c>
      <c r="X1178" s="23"/>
    </row>
    <row r="1179" spans="1:24" s="1" customFormat="1" ht="17" customHeight="1" x14ac:dyDescent="0.3">
      <c r="A1179" s="11" t="s">
        <v>23</v>
      </c>
      <c r="B1179" s="11" t="s">
        <v>1264</v>
      </c>
      <c r="C1179" s="12" t="s">
        <v>1265</v>
      </c>
      <c r="D1179" s="59"/>
      <c r="E1179" s="41" t="str">
        <f t="shared" ref="E1179:E1184" si="33">HYPERLINK("https://www.google.ru/search?q=3028003-001&amp;newwindow=1&amp;tbm=isch","Еще фото")</f>
        <v>Еще фото</v>
      </c>
      <c r="F1179" s="13" t="s">
        <v>152</v>
      </c>
      <c r="G1179" s="11" t="s">
        <v>1184</v>
      </c>
      <c r="H1179" s="11" t="s">
        <v>741</v>
      </c>
      <c r="I1179" s="14" t="s">
        <v>1185</v>
      </c>
      <c r="J1179" s="14" t="s">
        <v>29</v>
      </c>
      <c r="K1179" s="15" t="s">
        <v>59</v>
      </c>
      <c r="L1179" s="57" t="s">
        <v>1266</v>
      </c>
      <c r="M1179" s="14"/>
      <c r="N1179" s="14" t="s">
        <v>33</v>
      </c>
      <c r="O1179" s="14"/>
      <c r="P1179" s="15" t="s">
        <v>745</v>
      </c>
      <c r="Q1179" s="16">
        <v>15499</v>
      </c>
      <c r="R1179" s="17">
        <v>58.79</v>
      </c>
      <c r="S1179" s="18">
        <v>7345.9354999999996</v>
      </c>
      <c r="T1179" s="19" t="s">
        <v>36</v>
      </c>
      <c r="U1179" s="20" t="s">
        <v>1190</v>
      </c>
      <c r="V1179" s="34">
        <v>35.5</v>
      </c>
      <c r="W1179" s="22">
        <v>2</v>
      </c>
      <c r="X1179" s="23"/>
    </row>
    <row r="1180" spans="1:24" s="1" customFormat="1" ht="17" customHeight="1" x14ac:dyDescent="0.3">
      <c r="A1180" s="24" t="s">
        <v>23</v>
      </c>
      <c r="B1180" s="24" t="s">
        <v>1264</v>
      </c>
      <c r="C1180" s="12" t="s">
        <v>1265</v>
      </c>
      <c r="D1180" s="60"/>
      <c r="E1180" s="41" t="str">
        <f t="shared" si="33"/>
        <v>Еще фото</v>
      </c>
      <c r="F1180" s="13" t="s">
        <v>152</v>
      </c>
      <c r="G1180" s="24" t="s">
        <v>1184</v>
      </c>
      <c r="H1180" s="24" t="s">
        <v>741</v>
      </c>
      <c r="I1180" s="24" t="s">
        <v>1185</v>
      </c>
      <c r="J1180" s="14" t="s">
        <v>29</v>
      </c>
      <c r="K1180" s="15" t="s">
        <v>59</v>
      </c>
      <c r="L1180" s="62"/>
      <c r="M1180" s="14"/>
      <c r="N1180" s="14" t="s">
        <v>33</v>
      </c>
      <c r="O1180" s="14"/>
      <c r="P1180" s="15" t="s">
        <v>745</v>
      </c>
      <c r="Q1180" s="16">
        <v>15499</v>
      </c>
      <c r="R1180" s="17">
        <v>58.79</v>
      </c>
      <c r="S1180" s="18">
        <v>7345.9354999999996</v>
      </c>
      <c r="T1180" s="19" t="s">
        <v>36</v>
      </c>
      <c r="U1180" s="20" t="s">
        <v>1203</v>
      </c>
      <c r="V1180" s="22">
        <v>36</v>
      </c>
      <c r="W1180" s="22">
        <v>1</v>
      </c>
      <c r="X1180" s="23"/>
    </row>
    <row r="1181" spans="1:24" s="1" customFormat="1" ht="17" customHeight="1" x14ac:dyDescent="0.3">
      <c r="A1181" s="24" t="s">
        <v>23</v>
      </c>
      <c r="B1181" s="24" t="s">
        <v>1264</v>
      </c>
      <c r="C1181" s="12" t="s">
        <v>1265</v>
      </c>
      <c r="D1181" s="60"/>
      <c r="E1181" s="41" t="str">
        <f t="shared" si="33"/>
        <v>Еще фото</v>
      </c>
      <c r="F1181" s="13" t="s">
        <v>152</v>
      </c>
      <c r="G1181" s="24" t="s">
        <v>1184</v>
      </c>
      <c r="H1181" s="24" t="s">
        <v>741</v>
      </c>
      <c r="I1181" s="24" t="s">
        <v>1185</v>
      </c>
      <c r="J1181" s="14" t="s">
        <v>29</v>
      </c>
      <c r="K1181" s="15" t="s">
        <v>59</v>
      </c>
      <c r="L1181" s="62"/>
      <c r="M1181" s="14"/>
      <c r="N1181" s="14" t="s">
        <v>33</v>
      </c>
      <c r="O1181" s="14"/>
      <c r="P1181" s="15" t="s">
        <v>745</v>
      </c>
      <c r="Q1181" s="16">
        <v>15499</v>
      </c>
      <c r="R1181" s="17">
        <v>58.79</v>
      </c>
      <c r="S1181" s="18">
        <v>7345.9354999999996</v>
      </c>
      <c r="T1181" s="19" t="s">
        <v>36</v>
      </c>
      <c r="U1181" s="20" t="s">
        <v>1196</v>
      </c>
      <c r="V1181" s="34">
        <v>36.5</v>
      </c>
      <c r="W1181" s="22">
        <v>8</v>
      </c>
      <c r="X1181" s="23"/>
    </row>
    <row r="1182" spans="1:24" s="1" customFormat="1" ht="17" customHeight="1" x14ac:dyDescent="0.3">
      <c r="A1182" s="24" t="s">
        <v>23</v>
      </c>
      <c r="B1182" s="24" t="s">
        <v>1264</v>
      </c>
      <c r="C1182" s="12" t="s">
        <v>1265</v>
      </c>
      <c r="D1182" s="60"/>
      <c r="E1182" s="41" t="str">
        <f t="shared" si="33"/>
        <v>Еще фото</v>
      </c>
      <c r="F1182" s="13" t="s">
        <v>152</v>
      </c>
      <c r="G1182" s="24" t="s">
        <v>1184</v>
      </c>
      <c r="H1182" s="24" t="s">
        <v>741</v>
      </c>
      <c r="I1182" s="24" t="s">
        <v>1185</v>
      </c>
      <c r="J1182" s="14" t="s">
        <v>29</v>
      </c>
      <c r="K1182" s="15" t="s">
        <v>59</v>
      </c>
      <c r="L1182" s="62"/>
      <c r="M1182" s="14"/>
      <c r="N1182" s="14" t="s">
        <v>33</v>
      </c>
      <c r="O1182" s="14"/>
      <c r="P1182" s="15" t="s">
        <v>745</v>
      </c>
      <c r="Q1182" s="16">
        <v>15499</v>
      </c>
      <c r="R1182" s="17">
        <v>58.79</v>
      </c>
      <c r="S1182" s="18">
        <v>7345.9354999999996</v>
      </c>
      <c r="T1182" s="19" t="s">
        <v>36</v>
      </c>
      <c r="U1182" s="20" t="s">
        <v>746</v>
      </c>
      <c r="V1182" s="22">
        <v>37</v>
      </c>
      <c r="W1182" s="22">
        <v>12</v>
      </c>
      <c r="X1182" s="23"/>
    </row>
    <row r="1183" spans="1:24" s="1" customFormat="1" ht="17" customHeight="1" x14ac:dyDescent="0.3">
      <c r="A1183" s="24" t="s">
        <v>23</v>
      </c>
      <c r="B1183" s="24" t="s">
        <v>1264</v>
      </c>
      <c r="C1183" s="12" t="s">
        <v>1265</v>
      </c>
      <c r="D1183" s="60"/>
      <c r="E1183" s="41" t="str">
        <f t="shared" si="33"/>
        <v>Еще фото</v>
      </c>
      <c r="F1183" s="13" t="s">
        <v>152</v>
      </c>
      <c r="G1183" s="24" t="s">
        <v>1184</v>
      </c>
      <c r="H1183" s="24" t="s">
        <v>741</v>
      </c>
      <c r="I1183" s="24" t="s">
        <v>1185</v>
      </c>
      <c r="J1183" s="14" t="s">
        <v>29</v>
      </c>
      <c r="K1183" s="15" t="s">
        <v>59</v>
      </c>
      <c r="L1183" s="62"/>
      <c r="M1183" s="14"/>
      <c r="N1183" s="14" t="s">
        <v>33</v>
      </c>
      <c r="O1183" s="14"/>
      <c r="P1183" s="15" t="s">
        <v>745</v>
      </c>
      <c r="Q1183" s="16">
        <v>15499</v>
      </c>
      <c r="R1183" s="17">
        <v>58.79</v>
      </c>
      <c r="S1183" s="18">
        <v>7345.9354999999996</v>
      </c>
      <c r="T1183" s="19" t="s">
        <v>36</v>
      </c>
      <c r="U1183" s="20" t="s">
        <v>747</v>
      </c>
      <c r="V1183" s="34">
        <v>37.5</v>
      </c>
      <c r="W1183" s="22">
        <v>13</v>
      </c>
      <c r="X1183" s="23"/>
    </row>
    <row r="1184" spans="1:24" s="1" customFormat="1" ht="22.05" customHeight="1" x14ac:dyDescent="0.3">
      <c r="A1184" s="24" t="s">
        <v>23</v>
      </c>
      <c r="B1184" s="24" t="s">
        <v>1264</v>
      </c>
      <c r="C1184" s="12" t="s">
        <v>1265</v>
      </c>
      <c r="D1184" s="61"/>
      <c r="E1184" s="41" t="str">
        <f t="shared" si="33"/>
        <v>Еще фото</v>
      </c>
      <c r="F1184" s="13" t="s">
        <v>152</v>
      </c>
      <c r="G1184" s="24" t="s">
        <v>1184</v>
      </c>
      <c r="H1184" s="24" t="s">
        <v>741</v>
      </c>
      <c r="I1184" s="24" t="s">
        <v>1185</v>
      </c>
      <c r="J1184" s="14" t="s">
        <v>29</v>
      </c>
      <c r="K1184" s="15" t="s">
        <v>59</v>
      </c>
      <c r="L1184" s="58"/>
      <c r="M1184" s="14"/>
      <c r="N1184" s="14" t="s">
        <v>33</v>
      </c>
      <c r="O1184" s="14"/>
      <c r="P1184" s="15" t="s">
        <v>745</v>
      </c>
      <c r="Q1184" s="16">
        <v>15499</v>
      </c>
      <c r="R1184" s="17">
        <v>58.79</v>
      </c>
      <c r="S1184" s="18">
        <v>7345.9354999999996</v>
      </c>
      <c r="T1184" s="19" t="s">
        <v>36</v>
      </c>
      <c r="U1184" s="20" t="s">
        <v>748</v>
      </c>
      <c r="V1184" s="22">
        <v>38</v>
      </c>
      <c r="W1184" s="22">
        <v>8</v>
      </c>
      <c r="X1184" s="23"/>
    </row>
    <row r="1185" spans="1:24" s="1" customFormat="1" ht="52.05" customHeight="1" x14ac:dyDescent="0.3">
      <c r="A1185" s="11" t="s">
        <v>23</v>
      </c>
      <c r="B1185" s="11" t="s">
        <v>1267</v>
      </c>
      <c r="C1185" s="12" t="s">
        <v>1268</v>
      </c>
      <c r="D1185" s="55"/>
      <c r="E1185" s="41" t="str">
        <f>HYPERLINK("https://www.google.ru/search?q=3024894-103&amp;newwindow=1&amp;tbm=isch","Еще фото")</f>
        <v>Еще фото</v>
      </c>
      <c r="F1185" s="13" t="s">
        <v>152</v>
      </c>
      <c r="G1185" s="11" t="s">
        <v>1184</v>
      </c>
      <c r="H1185" s="11" t="s">
        <v>741</v>
      </c>
      <c r="I1185" s="14" t="s">
        <v>1185</v>
      </c>
      <c r="J1185" s="14" t="s">
        <v>29</v>
      </c>
      <c r="K1185" s="15" t="s">
        <v>59</v>
      </c>
      <c r="L1185" s="57" t="s">
        <v>1269</v>
      </c>
      <c r="M1185" s="14" t="s">
        <v>45</v>
      </c>
      <c r="N1185" s="14" t="s">
        <v>62</v>
      </c>
      <c r="O1185" s="14"/>
      <c r="P1185" s="15" t="s">
        <v>1270</v>
      </c>
      <c r="Q1185" s="16">
        <v>7999</v>
      </c>
      <c r="R1185" s="17">
        <v>58.77</v>
      </c>
      <c r="S1185" s="18">
        <v>3792.4354999999996</v>
      </c>
      <c r="T1185" s="19" t="s">
        <v>36</v>
      </c>
      <c r="U1185" s="20" t="s">
        <v>1203</v>
      </c>
      <c r="V1185" s="22">
        <v>36</v>
      </c>
      <c r="W1185" s="22">
        <v>5</v>
      </c>
      <c r="X1185" s="23"/>
    </row>
    <row r="1186" spans="1:24" s="1" customFormat="1" ht="61.05" customHeight="1" x14ac:dyDescent="0.3">
      <c r="A1186" s="24" t="s">
        <v>23</v>
      </c>
      <c r="B1186" s="24" t="s">
        <v>1267</v>
      </c>
      <c r="C1186" s="12" t="s">
        <v>1268</v>
      </c>
      <c r="D1186" s="56"/>
      <c r="E1186" s="41" t="str">
        <f>HYPERLINK("https://www.google.ru/search?q=3024894-103&amp;newwindow=1&amp;tbm=isch","Еще фото")</f>
        <v>Еще фото</v>
      </c>
      <c r="F1186" s="13" t="s">
        <v>152</v>
      </c>
      <c r="G1186" s="24" t="s">
        <v>1184</v>
      </c>
      <c r="H1186" s="24" t="s">
        <v>741</v>
      </c>
      <c r="I1186" s="24" t="s">
        <v>1185</v>
      </c>
      <c r="J1186" s="14" t="s">
        <v>29</v>
      </c>
      <c r="K1186" s="15" t="s">
        <v>59</v>
      </c>
      <c r="L1186" s="58"/>
      <c r="M1186" s="14" t="s">
        <v>45</v>
      </c>
      <c r="N1186" s="14" t="s">
        <v>62</v>
      </c>
      <c r="O1186" s="14"/>
      <c r="P1186" s="15" t="s">
        <v>1270</v>
      </c>
      <c r="Q1186" s="16">
        <v>7999</v>
      </c>
      <c r="R1186" s="17">
        <v>58.77</v>
      </c>
      <c r="S1186" s="18">
        <v>3792.4354999999996</v>
      </c>
      <c r="T1186" s="19" t="s">
        <v>36</v>
      </c>
      <c r="U1186" s="20" t="s">
        <v>1196</v>
      </c>
      <c r="V1186" s="34">
        <v>36.5</v>
      </c>
      <c r="W1186" s="22">
        <v>8</v>
      </c>
      <c r="X1186" s="23"/>
    </row>
    <row r="1187" spans="1:24" s="1" customFormat="1" ht="108" customHeight="1" x14ac:dyDescent="0.3">
      <c r="A1187" s="11" t="s">
        <v>23</v>
      </c>
      <c r="B1187" s="11" t="s">
        <v>1271</v>
      </c>
      <c r="C1187" s="12" t="s">
        <v>1272</v>
      </c>
      <c r="D1187" s="25"/>
      <c r="E1187" s="41" t="str">
        <f>HYPERLINK("https://www.google.ru/search?q=3026683-001&amp;newwindow=1&amp;tbm=isch","Еще фото")</f>
        <v>Еще фото</v>
      </c>
      <c r="F1187" s="13"/>
      <c r="G1187" s="11" t="s">
        <v>1184</v>
      </c>
      <c r="H1187" s="11" t="s">
        <v>741</v>
      </c>
      <c r="I1187" s="14" t="s">
        <v>1185</v>
      </c>
      <c r="J1187" s="14" t="s">
        <v>29</v>
      </c>
      <c r="K1187" s="15" t="s">
        <v>59</v>
      </c>
      <c r="L1187" s="14" t="s">
        <v>1273</v>
      </c>
      <c r="M1187" s="14" t="s">
        <v>1274</v>
      </c>
      <c r="N1187" s="14" t="s">
        <v>284</v>
      </c>
      <c r="O1187" s="14"/>
      <c r="P1187" s="15" t="s">
        <v>1275</v>
      </c>
      <c r="Q1187" s="16">
        <v>8299</v>
      </c>
      <c r="R1187" s="17">
        <v>58.7</v>
      </c>
      <c r="S1187" s="18">
        <v>3941.9354999999996</v>
      </c>
      <c r="T1187" s="19" t="s">
        <v>36</v>
      </c>
      <c r="U1187" s="20" t="s">
        <v>1196</v>
      </c>
      <c r="V1187" s="34">
        <v>36.5</v>
      </c>
      <c r="W1187" s="22">
        <v>1</v>
      </c>
      <c r="X1187" s="23"/>
    </row>
    <row r="1188" spans="1:24" s="1" customFormat="1" ht="52.05" customHeight="1" x14ac:dyDescent="0.3">
      <c r="A1188" s="11" t="s">
        <v>23</v>
      </c>
      <c r="B1188" s="11" t="s">
        <v>1276</v>
      </c>
      <c r="C1188" s="12" t="s">
        <v>1277</v>
      </c>
      <c r="D1188" s="55"/>
      <c r="E1188" s="41" t="str">
        <f>HYPERLINK("https://www.google.ru/search?q=3027099-001&amp;newwindow=1&amp;tbm=isch","Еще фото")</f>
        <v>Еще фото</v>
      </c>
      <c r="F1188" s="13"/>
      <c r="G1188" s="11" t="s">
        <v>1184</v>
      </c>
      <c r="H1188" s="11" t="s">
        <v>741</v>
      </c>
      <c r="I1188" s="14" t="s">
        <v>1185</v>
      </c>
      <c r="J1188" s="14" t="s">
        <v>29</v>
      </c>
      <c r="K1188" s="15" t="s">
        <v>50</v>
      </c>
      <c r="L1188" s="57" t="s">
        <v>1278</v>
      </c>
      <c r="M1188" s="14"/>
      <c r="N1188" s="14" t="s">
        <v>33</v>
      </c>
      <c r="O1188" s="14"/>
      <c r="P1188" s="15" t="s">
        <v>1279</v>
      </c>
      <c r="Q1188" s="16">
        <v>9899</v>
      </c>
      <c r="R1188" s="17">
        <v>56.08</v>
      </c>
      <c r="S1188" s="18">
        <v>4999.9355000000005</v>
      </c>
      <c r="T1188" s="19" t="s">
        <v>36</v>
      </c>
      <c r="U1188" s="20" t="s">
        <v>1203</v>
      </c>
      <c r="V1188" s="34">
        <v>37.5</v>
      </c>
      <c r="W1188" s="22">
        <v>7</v>
      </c>
      <c r="X1188" s="23"/>
    </row>
    <row r="1189" spans="1:24" s="1" customFormat="1" ht="61.05" customHeight="1" x14ac:dyDescent="0.3">
      <c r="A1189" s="24" t="s">
        <v>23</v>
      </c>
      <c r="B1189" s="24" t="s">
        <v>1276</v>
      </c>
      <c r="C1189" s="12" t="s">
        <v>1277</v>
      </c>
      <c r="D1189" s="56"/>
      <c r="E1189" s="41" t="str">
        <f>HYPERLINK("https://www.google.ru/search?q=3027099-001&amp;newwindow=1&amp;tbm=isch","Еще фото")</f>
        <v>Еще фото</v>
      </c>
      <c r="F1189" s="13"/>
      <c r="G1189" s="24" t="s">
        <v>1184</v>
      </c>
      <c r="H1189" s="24" t="s">
        <v>741</v>
      </c>
      <c r="I1189" s="24" t="s">
        <v>1185</v>
      </c>
      <c r="J1189" s="14" t="s">
        <v>29</v>
      </c>
      <c r="K1189" s="15" t="s">
        <v>50</v>
      </c>
      <c r="L1189" s="58"/>
      <c r="M1189" s="14"/>
      <c r="N1189" s="14" t="s">
        <v>33</v>
      </c>
      <c r="O1189" s="14"/>
      <c r="P1189" s="15" t="s">
        <v>1279</v>
      </c>
      <c r="Q1189" s="16">
        <v>9899</v>
      </c>
      <c r="R1189" s="17">
        <v>56.08</v>
      </c>
      <c r="S1189" s="18">
        <v>4999.9355000000005</v>
      </c>
      <c r="T1189" s="19" t="s">
        <v>36</v>
      </c>
      <c r="U1189" s="20" t="s">
        <v>1196</v>
      </c>
      <c r="V1189" s="22">
        <v>38</v>
      </c>
      <c r="W1189" s="22">
        <v>2</v>
      </c>
      <c r="X1189" s="23"/>
    </row>
    <row r="1190" spans="1:24" s="1" customFormat="1" ht="108" customHeight="1" x14ac:dyDescent="0.3">
      <c r="A1190" s="11" t="s">
        <v>23</v>
      </c>
      <c r="B1190" s="11" t="s">
        <v>1280</v>
      </c>
      <c r="C1190" s="12" t="s">
        <v>1281</v>
      </c>
      <c r="D1190" s="25"/>
      <c r="E1190" s="41" t="str">
        <f>HYPERLINK("https://www.google.ru/search?q=3020209-100&amp;newwindow=1&amp;tbm=isch","Еще фото")</f>
        <v>Еще фото</v>
      </c>
      <c r="F1190" s="13"/>
      <c r="G1190" s="11" t="s">
        <v>1184</v>
      </c>
      <c r="H1190" s="11" t="s">
        <v>741</v>
      </c>
      <c r="I1190" s="14" t="s">
        <v>1185</v>
      </c>
      <c r="J1190" s="14" t="s">
        <v>29</v>
      </c>
      <c r="K1190" s="15" t="s">
        <v>50</v>
      </c>
      <c r="L1190" s="14" t="s">
        <v>1282</v>
      </c>
      <c r="M1190" s="14" t="s">
        <v>1283</v>
      </c>
      <c r="N1190" s="14" t="s">
        <v>84</v>
      </c>
      <c r="O1190" s="14" t="s">
        <v>34</v>
      </c>
      <c r="P1190" s="15" t="s">
        <v>1284</v>
      </c>
      <c r="Q1190" s="16">
        <v>8790</v>
      </c>
      <c r="R1190" s="17">
        <v>55.88</v>
      </c>
      <c r="S1190" s="18">
        <v>4459.4354999999996</v>
      </c>
      <c r="T1190" s="19" t="s">
        <v>36</v>
      </c>
      <c r="U1190" s="20" t="s">
        <v>1285</v>
      </c>
      <c r="V1190" s="34">
        <v>35.5</v>
      </c>
      <c r="W1190" s="22">
        <v>1</v>
      </c>
      <c r="X1190" s="23"/>
    </row>
    <row r="1191" spans="1:24" s="1" customFormat="1" ht="21" customHeight="1" x14ac:dyDescent="0.3">
      <c r="A1191" s="11" t="s">
        <v>23</v>
      </c>
      <c r="B1191" s="11" t="s">
        <v>1238</v>
      </c>
      <c r="C1191" s="26" t="s">
        <v>1286</v>
      </c>
      <c r="D1191" s="59"/>
      <c r="E1191" s="41" t="str">
        <f>HYPERLINK("https://www.google.ru/search?q=3026525-101&amp;newwindow=1&amp;tbm=isch","Еще фото")</f>
        <v>Еще фото</v>
      </c>
      <c r="F1191" s="13" t="s">
        <v>152</v>
      </c>
      <c r="G1191" s="11" t="s">
        <v>1184</v>
      </c>
      <c r="H1191" s="11" t="s">
        <v>741</v>
      </c>
      <c r="I1191" s="14" t="s">
        <v>1185</v>
      </c>
      <c r="J1191" s="14" t="s">
        <v>29</v>
      </c>
      <c r="K1191" s="15" t="s">
        <v>59</v>
      </c>
      <c r="L1191" s="57" t="s">
        <v>1240</v>
      </c>
      <c r="M1191" s="14" t="s">
        <v>1211</v>
      </c>
      <c r="N1191" s="14" t="s">
        <v>84</v>
      </c>
      <c r="O1191" s="14"/>
      <c r="P1191" s="15" t="s">
        <v>745</v>
      </c>
      <c r="Q1191" s="16">
        <v>13499</v>
      </c>
      <c r="R1191" s="17">
        <v>55.79</v>
      </c>
      <c r="S1191" s="18">
        <v>6862.9354999999996</v>
      </c>
      <c r="T1191" s="19" t="s">
        <v>36</v>
      </c>
      <c r="U1191" s="20" t="s">
        <v>1190</v>
      </c>
      <c r="V1191" s="34">
        <v>35.5</v>
      </c>
      <c r="W1191" s="22">
        <v>1</v>
      </c>
      <c r="X1191" s="23"/>
    </row>
    <row r="1192" spans="1:24" s="1" customFormat="1" ht="21" customHeight="1" x14ac:dyDescent="0.3">
      <c r="A1192" s="24" t="s">
        <v>23</v>
      </c>
      <c r="B1192" s="24" t="s">
        <v>1238</v>
      </c>
      <c r="C1192" s="27" t="s">
        <v>1286</v>
      </c>
      <c r="D1192" s="60"/>
      <c r="E1192" s="41" t="str">
        <f>HYPERLINK("https://www.google.ru/search?q=3026525-101&amp;newwindow=1&amp;tbm=isch","Еще фото")</f>
        <v>Еще фото</v>
      </c>
      <c r="F1192" s="13" t="s">
        <v>152</v>
      </c>
      <c r="G1192" s="24" t="s">
        <v>1184</v>
      </c>
      <c r="H1192" s="24" t="s">
        <v>741</v>
      </c>
      <c r="I1192" s="24" t="s">
        <v>1185</v>
      </c>
      <c r="J1192" s="14" t="s">
        <v>29</v>
      </c>
      <c r="K1192" s="15" t="s">
        <v>59</v>
      </c>
      <c r="L1192" s="62"/>
      <c r="M1192" s="14" t="s">
        <v>1211</v>
      </c>
      <c r="N1192" s="14" t="s">
        <v>84</v>
      </c>
      <c r="O1192" s="14"/>
      <c r="P1192" s="15" t="s">
        <v>745</v>
      </c>
      <c r="Q1192" s="16">
        <v>13499</v>
      </c>
      <c r="R1192" s="17">
        <v>55.79</v>
      </c>
      <c r="S1192" s="18">
        <v>6862.9354999999996</v>
      </c>
      <c r="T1192" s="19" t="s">
        <v>36</v>
      </c>
      <c r="U1192" s="20" t="s">
        <v>1203</v>
      </c>
      <c r="V1192" s="22">
        <v>36</v>
      </c>
      <c r="W1192" s="22">
        <v>4</v>
      </c>
      <c r="X1192" s="23"/>
    </row>
    <row r="1193" spans="1:24" s="1" customFormat="1" ht="21" customHeight="1" x14ac:dyDescent="0.3">
      <c r="A1193" s="24" t="s">
        <v>23</v>
      </c>
      <c r="B1193" s="24" t="s">
        <v>1238</v>
      </c>
      <c r="C1193" s="27" t="s">
        <v>1286</v>
      </c>
      <c r="D1193" s="60"/>
      <c r="E1193" s="41" t="str">
        <f>HYPERLINK("https://www.google.ru/search?q=3026525-101&amp;newwindow=1&amp;tbm=isch","Еще фото")</f>
        <v>Еще фото</v>
      </c>
      <c r="F1193" s="13" t="s">
        <v>152</v>
      </c>
      <c r="G1193" s="24" t="s">
        <v>1184</v>
      </c>
      <c r="H1193" s="24" t="s">
        <v>741</v>
      </c>
      <c r="I1193" s="24" t="s">
        <v>1185</v>
      </c>
      <c r="J1193" s="14" t="s">
        <v>29</v>
      </c>
      <c r="K1193" s="15" t="s">
        <v>59</v>
      </c>
      <c r="L1193" s="62"/>
      <c r="M1193" s="14" t="s">
        <v>1211</v>
      </c>
      <c r="N1193" s="14" t="s">
        <v>84</v>
      </c>
      <c r="O1193" s="14"/>
      <c r="P1193" s="15" t="s">
        <v>745</v>
      </c>
      <c r="Q1193" s="16">
        <v>13499</v>
      </c>
      <c r="R1193" s="17">
        <v>55.79</v>
      </c>
      <c r="S1193" s="18">
        <v>6862.9354999999996</v>
      </c>
      <c r="T1193" s="19" t="s">
        <v>36</v>
      </c>
      <c r="U1193" s="20" t="s">
        <v>1196</v>
      </c>
      <c r="V1193" s="34">
        <v>36.5</v>
      </c>
      <c r="W1193" s="22">
        <v>3</v>
      </c>
      <c r="X1193" s="23"/>
    </row>
    <row r="1194" spans="1:24" s="1" customFormat="1" ht="21" customHeight="1" x14ac:dyDescent="0.3">
      <c r="A1194" s="24" t="s">
        <v>23</v>
      </c>
      <c r="B1194" s="24" t="s">
        <v>1238</v>
      </c>
      <c r="C1194" s="27" t="s">
        <v>1286</v>
      </c>
      <c r="D1194" s="60"/>
      <c r="E1194" s="41" t="str">
        <f>HYPERLINK("https://www.google.ru/search?q=3026525-101&amp;newwindow=1&amp;tbm=isch","Еще фото")</f>
        <v>Еще фото</v>
      </c>
      <c r="F1194" s="13" t="s">
        <v>152</v>
      </c>
      <c r="G1194" s="24" t="s">
        <v>1184</v>
      </c>
      <c r="H1194" s="24" t="s">
        <v>741</v>
      </c>
      <c r="I1194" s="24" t="s">
        <v>1185</v>
      </c>
      <c r="J1194" s="14" t="s">
        <v>29</v>
      </c>
      <c r="K1194" s="15" t="s">
        <v>59</v>
      </c>
      <c r="L1194" s="62"/>
      <c r="M1194" s="14" t="s">
        <v>1211</v>
      </c>
      <c r="N1194" s="14" t="s">
        <v>84</v>
      </c>
      <c r="O1194" s="14"/>
      <c r="P1194" s="15" t="s">
        <v>745</v>
      </c>
      <c r="Q1194" s="16">
        <v>13499</v>
      </c>
      <c r="R1194" s="17">
        <v>55.79</v>
      </c>
      <c r="S1194" s="18">
        <v>6862.9354999999996</v>
      </c>
      <c r="T1194" s="19" t="s">
        <v>36</v>
      </c>
      <c r="U1194" s="20" t="s">
        <v>746</v>
      </c>
      <c r="V1194" s="22">
        <v>37</v>
      </c>
      <c r="W1194" s="22">
        <v>14</v>
      </c>
      <c r="X1194" s="23"/>
    </row>
    <row r="1195" spans="1:24" s="1" customFormat="1" ht="32" customHeight="1" x14ac:dyDescent="0.3">
      <c r="A1195" s="24" t="s">
        <v>23</v>
      </c>
      <c r="B1195" s="24" t="s">
        <v>1238</v>
      </c>
      <c r="C1195" s="27" t="s">
        <v>1286</v>
      </c>
      <c r="D1195" s="61"/>
      <c r="E1195" s="41" t="str">
        <f>HYPERLINK("https://www.google.ru/search?q=3026525-101&amp;newwindow=1&amp;tbm=isch","Еще фото")</f>
        <v>Еще фото</v>
      </c>
      <c r="F1195" s="13" t="s">
        <v>152</v>
      </c>
      <c r="G1195" s="24" t="s">
        <v>1184</v>
      </c>
      <c r="H1195" s="24" t="s">
        <v>741</v>
      </c>
      <c r="I1195" s="24" t="s">
        <v>1185</v>
      </c>
      <c r="J1195" s="14" t="s">
        <v>29</v>
      </c>
      <c r="K1195" s="15" t="s">
        <v>59</v>
      </c>
      <c r="L1195" s="58"/>
      <c r="M1195" s="14" t="s">
        <v>1211</v>
      </c>
      <c r="N1195" s="14" t="s">
        <v>84</v>
      </c>
      <c r="O1195" s="14"/>
      <c r="P1195" s="15" t="s">
        <v>745</v>
      </c>
      <c r="Q1195" s="16">
        <v>13499</v>
      </c>
      <c r="R1195" s="17">
        <v>55.79</v>
      </c>
      <c r="S1195" s="18">
        <v>6862.9354999999996</v>
      </c>
      <c r="T1195" s="19" t="s">
        <v>36</v>
      </c>
      <c r="U1195" s="20" t="s">
        <v>747</v>
      </c>
      <c r="V1195" s="34">
        <v>37.5</v>
      </c>
      <c r="W1195" s="22">
        <v>9</v>
      </c>
      <c r="X1195" s="23"/>
    </row>
    <row r="1196" spans="1:24" s="1" customFormat="1" ht="17" customHeight="1" x14ac:dyDescent="0.3">
      <c r="A1196" s="11" t="s">
        <v>23</v>
      </c>
      <c r="B1196" s="11" t="s">
        <v>1287</v>
      </c>
      <c r="C1196" s="12" t="s">
        <v>1288</v>
      </c>
      <c r="D1196" s="59"/>
      <c r="E1196" s="41" t="str">
        <f t="shared" ref="E1196:E1201" si="34">HYPERLINK("https://www.google.ru/search?q=3025518-003&amp;newwindow=1&amp;tbm=isch","Еще фото")</f>
        <v>Еще фото</v>
      </c>
      <c r="F1196" s="13" t="s">
        <v>103</v>
      </c>
      <c r="G1196" s="11" t="s">
        <v>1184</v>
      </c>
      <c r="H1196" s="11" t="s">
        <v>741</v>
      </c>
      <c r="I1196" s="14" t="s">
        <v>1185</v>
      </c>
      <c r="J1196" s="14" t="s">
        <v>29</v>
      </c>
      <c r="K1196" s="15" t="s">
        <v>30</v>
      </c>
      <c r="L1196" s="57" t="s">
        <v>1289</v>
      </c>
      <c r="M1196" s="14" t="s">
        <v>1211</v>
      </c>
      <c r="N1196" s="14" t="s">
        <v>1076</v>
      </c>
      <c r="O1196" s="14"/>
      <c r="P1196" s="15" t="s">
        <v>1290</v>
      </c>
      <c r="Q1196" s="16">
        <v>18999</v>
      </c>
      <c r="R1196" s="17">
        <v>55.75</v>
      </c>
      <c r="S1196" s="18">
        <v>9668.9354999999996</v>
      </c>
      <c r="T1196" s="19" t="s">
        <v>36</v>
      </c>
      <c r="U1196" s="20" t="s">
        <v>746</v>
      </c>
      <c r="V1196" s="22">
        <v>39</v>
      </c>
      <c r="W1196" s="22">
        <v>1</v>
      </c>
      <c r="X1196" s="23"/>
    </row>
    <row r="1197" spans="1:24" s="1" customFormat="1" ht="17" customHeight="1" x14ac:dyDescent="0.3">
      <c r="A1197" s="24" t="s">
        <v>23</v>
      </c>
      <c r="B1197" s="24" t="s">
        <v>1287</v>
      </c>
      <c r="C1197" s="12" t="s">
        <v>1288</v>
      </c>
      <c r="D1197" s="60"/>
      <c r="E1197" s="41" t="str">
        <f t="shared" si="34"/>
        <v>Еще фото</v>
      </c>
      <c r="F1197" s="13" t="s">
        <v>103</v>
      </c>
      <c r="G1197" s="24" t="s">
        <v>1184</v>
      </c>
      <c r="H1197" s="24" t="s">
        <v>741</v>
      </c>
      <c r="I1197" s="24" t="s">
        <v>1185</v>
      </c>
      <c r="J1197" s="14" t="s">
        <v>29</v>
      </c>
      <c r="K1197" s="15" t="s">
        <v>30</v>
      </c>
      <c r="L1197" s="62"/>
      <c r="M1197" s="14" t="s">
        <v>1211</v>
      </c>
      <c r="N1197" s="14" t="s">
        <v>1076</v>
      </c>
      <c r="O1197" s="14"/>
      <c r="P1197" s="15" t="s">
        <v>1290</v>
      </c>
      <c r="Q1197" s="16">
        <v>18999</v>
      </c>
      <c r="R1197" s="17">
        <v>55.75</v>
      </c>
      <c r="S1197" s="18">
        <v>9668.9354999999996</v>
      </c>
      <c r="T1197" s="19" t="s">
        <v>36</v>
      </c>
      <c r="U1197" s="20" t="s">
        <v>748</v>
      </c>
      <c r="V1197" s="22">
        <v>40</v>
      </c>
      <c r="W1197" s="22">
        <v>12</v>
      </c>
      <c r="X1197" s="23"/>
    </row>
    <row r="1198" spans="1:24" s="1" customFormat="1" ht="17" customHeight="1" x14ac:dyDescent="0.3">
      <c r="A1198" s="24" t="s">
        <v>23</v>
      </c>
      <c r="B1198" s="24" t="s">
        <v>1287</v>
      </c>
      <c r="C1198" s="12" t="s">
        <v>1288</v>
      </c>
      <c r="D1198" s="60"/>
      <c r="E1198" s="41" t="str">
        <f t="shared" si="34"/>
        <v>Еще фото</v>
      </c>
      <c r="F1198" s="13" t="s">
        <v>103</v>
      </c>
      <c r="G1198" s="24" t="s">
        <v>1184</v>
      </c>
      <c r="H1198" s="24" t="s">
        <v>741</v>
      </c>
      <c r="I1198" s="24" t="s">
        <v>1185</v>
      </c>
      <c r="J1198" s="14" t="s">
        <v>29</v>
      </c>
      <c r="K1198" s="15" t="s">
        <v>30</v>
      </c>
      <c r="L1198" s="62"/>
      <c r="M1198" s="14" t="s">
        <v>1211</v>
      </c>
      <c r="N1198" s="14" t="s">
        <v>1076</v>
      </c>
      <c r="O1198" s="14"/>
      <c r="P1198" s="15" t="s">
        <v>1290</v>
      </c>
      <c r="Q1198" s="16">
        <v>18999</v>
      </c>
      <c r="R1198" s="17">
        <v>55.75</v>
      </c>
      <c r="S1198" s="18">
        <v>9668.9354999999996</v>
      </c>
      <c r="T1198" s="19" t="s">
        <v>36</v>
      </c>
      <c r="U1198" s="20" t="s">
        <v>749</v>
      </c>
      <c r="V1198" s="22">
        <v>41</v>
      </c>
      <c r="W1198" s="22">
        <v>11</v>
      </c>
      <c r="X1198" s="23"/>
    </row>
    <row r="1199" spans="1:24" s="1" customFormat="1" ht="17" customHeight="1" x14ac:dyDescent="0.3">
      <c r="A1199" s="24" t="s">
        <v>23</v>
      </c>
      <c r="B1199" s="24" t="s">
        <v>1287</v>
      </c>
      <c r="C1199" s="12" t="s">
        <v>1288</v>
      </c>
      <c r="D1199" s="60"/>
      <c r="E1199" s="41" t="str">
        <f t="shared" si="34"/>
        <v>Еще фото</v>
      </c>
      <c r="F1199" s="13" t="s">
        <v>103</v>
      </c>
      <c r="G1199" s="24" t="s">
        <v>1184</v>
      </c>
      <c r="H1199" s="24" t="s">
        <v>741</v>
      </c>
      <c r="I1199" s="24" t="s">
        <v>1185</v>
      </c>
      <c r="J1199" s="14" t="s">
        <v>29</v>
      </c>
      <c r="K1199" s="15" t="s">
        <v>30</v>
      </c>
      <c r="L1199" s="62"/>
      <c r="M1199" s="14" t="s">
        <v>1211</v>
      </c>
      <c r="N1199" s="14" t="s">
        <v>1076</v>
      </c>
      <c r="O1199" s="14"/>
      <c r="P1199" s="15" t="s">
        <v>1290</v>
      </c>
      <c r="Q1199" s="16">
        <v>18999</v>
      </c>
      <c r="R1199" s="17">
        <v>55.75</v>
      </c>
      <c r="S1199" s="18">
        <v>9668.9354999999996</v>
      </c>
      <c r="T1199" s="19" t="s">
        <v>36</v>
      </c>
      <c r="U1199" s="20" t="s">
        <v>750</v>
      </c>
      <c r="V1199" s="34">
        <v>41.5</v>
      </c>
      <c r="W1199" s="22">
        <v>7</v>
      </c>
      <c r="X1199" s="23"/>
    </row>
    <row r="1200" spans="1:24" s="1" customFormat="1" ht="17" customHeight="1" x14ac:dyDescent="0.3">
      <c r="A1200" s="24" t="s">
        <v>23</v>
      </c>
      <c r="B1200" s="24" t="s">
        <v>1287</v>
      </c>
      <c r="C1200" s="12" t="s">
        <v>1288</v>
      </c>
      <c r="D1200" s="60"/>
      <c r="E1200" s="41" t="str">
        <f t="shared" si="34"/>
        <v>Еще фото</v>
      </c>
      <c r="F1200" s="13" t="s">
        <v>103</v>
      </c>
      <c r="G1200" s="24" t="s">
        <v>1184</v>
      </c>
      <c r="H1200" s="24" t="s">
        <v>741</v>
      </c>
      <c r="I1200" s="24" t="s">
        <v>1185</v>
      </c>
      <c r="J1200" s="14" t="s">
        <v>29</v>
      </c>
      <c r="K1200" s="15" t="s">
        <v>30</v>
      </c>
      <c r="L1200" s="62"/>
      <c r="M1200" s="14" t="s">
        <v>1211</v>
      </c>
      <c r="N1200" s="14" t="s">
        <v>1076</v>
      </c>
      <c r="O1200" s="14"/>
      <c r="P1200" s="15" t="s">
        <v>1290</v>
      </c>
      <c r="Q1200" s="16">
        <v>18999</v>
      </c>
      <c r="R1200" s="17">
        <v>55.75</v>
      </c>
      <c r="S1200" s="18">
        <v>9668.9354999999996</v>
      </c>
      <c r="T1200" s="19" t="s">
        <v>36</v>
      </c>
      <c r="U1200" s="20" t="s">
        <v>752</v>
      </c>
      <c r="V1200" s="22">
        <v>43</v>
      </c>
      <c r="W1200" s="22">
        <v>8</v>
      </c>
      <c r="X1200" s="23"/>
    </row>
    <row r="1201" spans="1:24" s="1" customFormat="1" ht="22.05" customHeight="1" x14ac:dyDescent="0.3">
      <c r="A1201" s="24" t="s">
        <v>23</v>
      </c>
      <c r="B1201" s="24" t="s">
        <v>1287</v>
      </c>
      <c r="C1201" s="12" t="s">
        <v>1288</v>
      </c>
      <c r="D1201" s="61"/>
      <c r="E1201" s="41" t="str">
        <f t="shared" si="34"/>
        <v>Еще фото</v>
      </c>
      <c r="F1201" s="13" t="s">
        <v>103</v>
      </c>
      <c r="G1201" s="24" t="s">
        <v>1184</v>
      </c>
      <c r="H1201" s="24" t="s">
        <v>741</v>
      </c>
      <c r="I1201" s="24" t="s">
        <v>1185</v>
      </c>
      <c r="J1201" s="14" t="s">
        <v>29</v>
      </c>
      <c r="K1201" s="15" t="s">
        <v>30</v>
      </c>
      <c r="L1201" s="58"/>
      <c r="M1201" s="14" t="s">
        <v>1211</v>
      </c>
      <c r="N1201" s="14" t="s">
        <v>1076</v>
      </c>
      <c r="O1201" s="14"/>
      <c r="P1201" s="15" t="s">
        <v>1290</v>
      </c>
      <c r="Q1201" s="16">
        <v>18999</v>
      </c>
      <c r="R1201" s="17">
        <v>55.75</v>
      </c>
      <c r="S1201" s="18">
        <v>9668.9354999999996</v>
      </c>
      <c r="T1201" s="19" t="s">
        <v>36</v>
      </c>
      <c r="U1201" s="20" t="s">
        <v>754</v>
      </c>
      <c r="V1201" s="22">
        <v>44</v>
      </c>
      <c r="W1201" s="22">
        <v>5</v>
      </c>
      <c r="X1201" s="23"/>
    </row>
    <row r="1202" spans="1:24" s="1" customFormat="1" ht="35" customHeight="1" x14ac:dyDescent="0.3">
      <c r="A1202" s="11" t="s">
        <v>23</v>
      </c>
      <c r="B1202" s="11" t="s">
        <v>1291</v>
      </c>
      <c r="C1202" s="12" t="s">
        <v>1292</v>
      </c>
      <c r="D1202" s="59"/>
      <c r="E1202" s="41" t="str">
        <f>HYPERLINK("https://www.google.ru/search?q=3027006-102&amp;newwindow=1&amp;tbm=isch","Еще фото")</f>
        <v>Еще фото</v>
      </c>
      <c r="F1202" s="13" t="s">
        <v>103</v>
      </c>
      <c r="G1202" s="11" t="s">
        <v>1184</v>
      </c>
      <c r="H1202" s="11" t="s">
        <v>741</v>
      </c>
      <c r="I1202" s="14" t="s">
        <v>1185</v>
      </c>
      <c r="J1202" s="14" t="s">
        <v>29</v>
      </c>
      <c r="K1202" s="15" t="s">
        <v>59</v>
      </c>
      <c r="L1202" s="57" t="s">
        <v>1293</v>
      </c>
      <c r="M1202" s="14"/>
      <c r="N1202" s="14" t="s">
        <v>62</v>
      </c>
      <c r="O1202" s="14"/>
      <c r="P1202" s="15" t="s">
        <v>1294</v>
      </c>
      <c r="Q1202" s="16">
        <v>8399</v>
      </c>
      <c r="R1202" s="17">
        <v>55.74</v>
      </c>
      <c r="S1202" s="18">
        <v>4275.4354999999996</v>
      </c>
      <c r="T1202" s="19" t="s">
        <v>36</v>
      </c>
      <c r="U1202" s="20" t="s">
        <v>1203</v>
      </c>
      <c r="V1202" s="22">
        <v>36</v>
      </c>
      <c r="W1202" s="22">
        <v>1</v>
      </c>
      <c r="X1202" s="23"/>
    </row>
    <row r="1203" spans="1:24" s="1" customFormat="1" ht="35" customHeight="1" x14ac:dyDescent="0.3">
      <c r="A1203" s="24" t="s">
        <v>23</v>
      </c>
      <c r="B1203" s="24" t="s">
        <v>1291</v>
      </c>
      <c r="C1203" s="12" t="s">
        <v>1292</v>
      </c>
      <c r="D1203" s="60"/>
      <c r="E1203" s="41" t="str">
        <f>HYPERLINK("https://www.google.ru/search?q=3027006-102&amp;newwindow=1&amp;tbm=isch","Еще фото")</f>
        <v>Еще фото</v>
      </c>
      <c r="F1203" s="13" t="s">
        <v>103</v>
      </c>
      <c r="G1203" s="24" t="s">
        <v>1184</v>
      </c>
      <c r="H1203" s="24" t="s">
        <v>741</v>
      </c>
      <c r="I1203" s="24" t="s">
        <v>1185</v>
      </c>
      <c r="J1203" s="14" t="s">
        <v>29</v>
      </c>
      <c r="K1203" s="15" t="s">
        <v>59</v>
      </c>
      <c r="L1203" s="62"/>
      <c r="M1203" s="14"/>
      <c r="N1203" s="14" t="s">
        <v>62</v>
      </c>
      <c r="O1203" s="14"/>
      <c r="P1203" s="15" t="s">
        <v>1294</v>
      </c>
      <c r="Q1203" s="16">
        <v>8399</v>
      </c>
      <c r="R1203" s="17">
        <v>55.74</v>
      </c>
      <c r="S1203" s="18">
        <v>4275.4354999999996</v>
      </c>
      <c r="T1203" s="19" t="s">
        <v>36</v>
      </c>
      <c r="U1203" s="20" t="s">
        <v>1196</v>
      </c>
      <c r="V1203" s="34">
        <v>36.5</v>
      </c>
      <c r="W1203" s="22">
        <v>5</v>
      </c>
      <c r="X1203" s="23"/>
    </row>
    <row r="1204" spans="1:24" s="1" customFormat="1" ht="37.049999999999997" customHeight="1" x14ac:dyDescent="0.3">
      <c r="A1204" s="24" t="s">
        <v>23</v>
      </c>
      <c r="B1204" s="24" t="s">
        <v>1291</v>
      </c>
      <c r="C1204" s="12" t="s">
        <v>1292</v>
      </c>
      <c r="D1204" s="61"/>
      <c r="E1204" s="41" t="str">
        <f>HYPERLINK("https://www.google.ru/search?q=3027006-102&amp;newwindow=1&amp;tbm=isch","Еще фото")</f>
        <v>Еще фото</v>
      </c>
      <c r="F1204" s="13" t="s">
        <v>103</v>
      </c>
      <c r="G1204" s="24" t="s">
        <v>1184</v>
      </c>
      <c r="H1204" s="24" t="s">
        <v>741</v>
      </c>
      <c r="I1204" s="24" t="s">
        <v>1185</v>
      </c>
      <c r="J1204" s="14" t="s">
        <v>29</v>
      </c>
      <c r="K1204" s="15" t="s">
        <v>59</v>
      </c>
      <c r="L1204" s="58"/>
      <c r="M1204" s="14"/>
      <c r="N1204" s="14" t="s">
        <v>62</v>
      </c>
      <c r="O1204" s="14"/>
      <c r="P1204" s="15" t="s">
        <v>1294</v>
      </c>
      <c r="Q1204" s="16">
        <v>8399</v>
      </c>
      <c r="R1204" s="17">
        <v>55.74</v>
      </c>
      <c r="S1204" s="18">
        <v>4275.4354999999996</v>
      </c>
      <c r="T1204" s="19" t="s">
        <v>36</v>
      </c>
      <c r="U1204" s="20" t="s">
        <v>746</v>
      </c>
      <c r="V1204" s="22">
        <v>37</v>
      </c>
      <c r="W1204" s="22">
        <v>3</v>
      </c>
      <c r="X1204" s="23"/>
    </row>
    <row r="1205" spans="1:24" s="1" customFormat="1" ht="35" customHeight="1" x14ac:dyDescent="0.3">
      <c r="A1205" s="11" t="s">
        <v>23</v>
      </c>
      <c r="B1205" s="11" t="s">
        <v>1295</v>
      </c>
      <c r="C1205" s="12" t="s">
        <v>1296</v>
      </c>
      <c r="D1205" s="59"/>
      <c r="E1205" s="41" t="str">
        <f>HYPERLINK("https://www.google.ru/search?q=3027585-348&amp;newwindow=1&amp;tbm=isch","Еще фото")</f>
        <v>Еще фото</v>
      </c>
      <c r="F1205" s="13" t="s">
        <v>103</v>
      </c>
      <c r="G1205" s="11" t="s">
        <v>1184</v>
      </c>
      <c r="H1205" s="11" t="s">
        <v>741</v>
      </c>
      <c r="I1205" s="14" t="s">
        <v>1185</v>
      </c>
      <c r="J1205" s="14" t="s">
        <v>29</v>
      </c>
      <c r="K1205" s="15" t="s">
        <v>30</v>
      </c>
      <c r="L1205" s="57" t="s">
        <v>1297</v>
      </c>
      <c r="M1205" s="14"/>
      <c r="N1205" s="14" t="s">
        <v>127</v>
      </c>
      <c r="O1205" s="14"/>
      <c r="P1205" s="15" t="s">
        <v>1298</v>
      </c>
      <c r="Q1205" s="16">
        <v>16599</v>
      </c>
      <c r="R1205" s="17">
        <v>55.73</v>
      </c>
      <c r="S1205" s="18">
        <v>8449.9354999999996</v>
      </c>
      <c r="T1205" s="19" t="s">
        <v>36</v>
      </c>
      <c r="U1205" s="20" t="s">
        <v>746</v>
      </c>
      <c r="V1205" s="22">
        <v>39</v>
      </c>
      <c r="W1205" s="22">
        <v>2</v>
      </c>
      <c r="X1205" s="23"/>
    </row>
    <row r="1206" spans="1:24" s="1" customFormat="1" ht="35" customHeight="1" x14ac:dyDescent="0.3">
      <c r="A1206" s="24" t="s">
        <v>23</v>
      </c>
      <c r="B1206" s="24" t="s">
        <v>1295</v>
      </c>
      <c r="C1206" s="12" t="s">
        <v>1296</v>
      </c>
      <c r="D1206" s="60"/>
      <c r="E1206" s="41" t="str">
        <f>HYPERLINK("https://www.google.ru/search?q=3027585-348&amp;newwindow=1&amp;tbm=isch","Еще фото")</f>
        <v>Еще фото</v>
      </c>
      <c r="F1206" s="13" t="s">
        <v>103</v>
      </c>
      <c r="G1206" s="24" t="s">
        <v>1184</v>
      </c>
      <c r="H1206" s="24" t="s">
        <v>741</v>
      </c>
      <c r="I1206" s="24" t="s">
        <v>1185</v>
      </c>
      <c r="J1206" s="14" t="s">
        <v>29</v>
      </c>
      <c r="K1206" s="15" t="s">
        <v>30</v>
      </c>
      <c r="L1206" s="62"/>
      <c r="M1206" s="14"/>
      <c r="N1206" s="14" t="s">
        <v>127</v>
      </c>
      <c r="O1206" s="14"/>
      <c r="P1206" s="15" t="s">
        <v>1298</v>
      </c>
      <c r="Q1206" s="16">
        <v>16599</v>
      </c>
      <c r="R1206" s="17">
        <v>55.73</v>
      </c>
      <c r="S1206" s="18">
        <v>8449.9354999999996</v>
      </c>
      <c r="T1206" s="19" t="s">
        <v>36</v>
      </c>
      <c r="U1206" s="20" t="s">
        <v>747</v>
      </c>
      <c r="V1206" s="34">
        <v>39.5</v>
      </c>
      <c r="W1206" s="22">
        <v>2</v>
      </c>
      <c r="X1206" s="23"/>
    </row>
    <row r="1207" spans="1:24" s="1" customFormat="1" ht="37.049999999999997" customHeight="1" x14ac:dyDescent="0.3">
      <c r="A1207" s="24" t="s">
        <v>23</v>
      </c>
      <c r="B1207" s="24" t="s">
        <v>1295</v>
      </c>
      <c r="C1207" s="12" t="s">
        <v>1296</v>
      </c>
      <c r="D1207" s="61"/>
      <c r="E1207" s="41" t="str">
        <f>HYPERLINK("https://www.google.ru/search?q=3027585-348&amp;newwindow=1&amp;tbm=isch","Еще фото")</f>
        <v>Еще фото</v>
      </c>
      <c r="F1207" s="13" t="s">
        <v>103</v>
      </c>
      <c r="G1207" s="24" t="s">
        <v>1184</v>
      </c>
      <c r="H1207" s="24" t="s">
        <v>741</v>
      </c>
      <c r="I1207" s="24" t="s">
        <v>1185</v>
      </c>
      <c r="J1207" s="14" t="s">
        <v>29</v>
      </c>
      <c r="K1207" s="15" t="s">
        <v>30</v>
      </c>
      <c r="L1207" s="58"/>
      <c r="M1207" s="14"/>
      <c r="N1207" s="14" t="s">
        <v>127</v>
      </c>
      <c r="O1207" s="14"/>
      <c r="P1207" s="15" t="s">
        <v>1298</v>
      </c>
      <c r="Q1207" s="16">
        <v>16599</v>
      </c>
      <c r="R1207" s="17">
        <v>55.73</v>
      </c>
      <c r="S1207" s="18">
        <v>8449.9354999999996</v>
      </c>
      <c r="T1207" s="19" t="s">
        <v>36</v>
      </c>
      <c r="U1207" s="20" t="s">
        <v>748</v>
      </c>
      <c r="V1207" s="22">
        <v>40</v>
      </c>
      <c r="W1207" s="22">
        <v>1</v>
      </c>
      <c r="X1207" s="23"/>
    </row>
    <row r="1208" spans="1:24" s="1" customFormat="1" ht="14" customHeight="1" x14ac:dyDescent="0.3">
      <c r="A1208" s="11" t="s">
        <v>23</v>
      </c>
      <c r="B1208" s="11" t="s">
        <v>1299</v>
      </c>
      <c r="C1208" s="12" t="s">
        <v>1300</v>
      </c>
      <c r="D1208" s="59"/>
      <c r="E1208" s="41" t="str">
        <f t="shared" ref="E1208:E1214" si="35">HYPERLINK("https://www.google.ru/search?q=3028002-452&amp;newwindow=1&amp;tbm=isch","Еще фото")</f>
        <v>Еще фото</v>
      </c>
      <c r="F1208" s="13" t="s">
        <v>103</v>
      </c>
      <c r="G1208" s="11" t="s">
        <v>1184</v>
      </c>
      <c r="H1208" s="11" t="s">
        <v>741</v>
      </c>
      <c r="I1208" s="14" t="s">
        <v>1185</v>
      </c>
      <c r="J1208" s="14" t="s">
        <v>29</v>
      </c>
      <c r="K1208" s="15" t="s">
        <v>30</v>
      </c>
      <c r="L1208" s="57" t="s">
        <v>1301</v>
      </c>
      <c r="M1208" s="14" t="s">
        <v>1211</v>
      </c>
      <c r="N1208" s="14" t="s">
        <v>115</v>
      </c>
      <c r="O1208" s="14"/>
      <c r="P1208" s="15" t="s">
        <v>1302</v>
      </c>
      <c r="Q1208" s="16">
        <v>16599</v>
      </c>
      <c r="R1208" s="17">
        <v>55.73</v>
      </c>
      <c r="S1208" s="18">
        <v>8449.9354999999996</v>
      </c>
      <c r="T1208" s="19" t="s">
        <v>36</v>
      </c>
      <c r="U1208" s="20" t="s">
        <v>747</v>
      </c>
      <c r="V1208" s="34">
        <v>39.5</v>
      </c>
      <c r="W1208" s="22">
        <v>1</v>
      </c>
      <c r="X1208" s="23"/>
    </row>
    <row r="1209" spans="1:24" s="1" customFormat="1" ht="14" customHeight="1" x14ac:dyDescent="0.3">
      <c r="A1209" s="24" t="s">
        <v>23</v>
      </c>
      <c r="B1209" s="24" t="s">
        <v>1299</v>
      </c>
      <c r="C1209" s="12" t="s">
        <v>1300</v>
      </c>
      <c r="D1209" s="60"/>
      <c r="E1209" s="41" t="str">
        <f t="shared" si="35"/>
        <v>Еще фото</v>
      </c>
      <c r="F1209" s="13" t="s">
        <v>103</v>
      </c>
      <c r="G1209" s="24" t="s">
        <v>1184</v>
      </c>
      <c r="H1209" s="24" t="s">
        <v>741</v>
      </c>
      <c r="I1209" s="24" t="s">
        <v>1185</v>
      </c>
      <c r="J1209" s="14" t="s">
        <v>29</v>
      </c>
      <c r="K1209" s="15" t="s">
        <v>30</v>
      </c>
      <c r="L1209" s="62"/>
      <c r="M1209" s="14" t="s">
        <v>1211</v>
      </c>
      <c r="N1209" s="14" t="s">
        <v>115</v>
      </c>
      <c r="O1209" s="14"/>
      <c r="P1209" s="15" t="s">
        <v>1302</v>
      </c>
      <c r="Q1209" s="16">
        <v>16599</v>
      </c>
      <c r="R1209" s="17">
        <v>55.73</v>
      </c>
      <c r="S1209" s="18">
        <v>8449.9354999999996</v>
      </c>
      <c r="T1209" s="19" t="s">
        <v>36</v>
      </c>
      <c r="U1209" s="20" t="s">
        <v>748</v>
      </c>
      <c r="V1209" s="22">
        <v>40</v>
      </c>
      <c r="W1209" s="22">
        <v>2</v>
      </c>
      <c r="X1209" s="23"/>
    </row>
    <row r="1210" spans="1:24" s="1" customFormat="1" ht="14" customHeight="1" x14ac:dyDescent="0.3">
      <c r="A1210" s="24" t="s">
        <v>23</v>
      </c>
      <c r="B1210" s="24" t="s">
        <v>1299</v>
      </c>
      <c r="C1210" s="12" t="s">
        <v>1300</v>
      </c>
      <c r="D1210" s="60"/>
      <c r="E1210" s="41" t="str">
        <f t="shared" si="35"/>
        <v>Еще фото</v>
      </c>
      <c r="F1210" s="13" t="s">
        <v>103</v>
      </c>
      <c r="G1210" s="24" t="s">
        <v>1184</v>
      </c>
      <c r="H1210" s="24" t="s">
        <v>741</v>
      </c>
      <c r="I1210" s="24" t="s">
        <v>1185</v>
      </c>
      <c r="J1210" s="14" t="s">
        <v>29</v>
      </c>
      <c r="K1210" s="15" t="s">
        <v>30</v>
      </c>
      <c r="L1210" s="62"/>
      <c r="M1210" s="14" t="s">
        <v>1211</v>
      </c>
      <c r="N1210" s="14" t="s">
        <v>115</v>
      </c>
      <c r="O1210" s="14"/>
      <c r="P1210" s="15" t="s">
        <v>1302</v>
      </c>
      <c r="Q1210" s="16">
        <v>16599</v>
      </c>
      <c r="R1210" s="17">
        <v>55.73</v>
      </c>
      <c r="S1210" s="18">
        <v>8449.9354999999996</v>
      </c>
      <c r="T1210" s="19" t="s">
        <v>36</v>
      </c>
      <c r="U1210" s="20" t="s">
        <v>749</v>
      </c>
      <c r="V1210" s="22">
        <v>41</v>
      </c>
      <c r="W1210" s="22">
        <v>1</v>
      </c>
      <c r="X1210" s="23"/>
    </row>
    <row r="1211" spans="1:24" s="1" customFormat="1" ht="14" customHeight="1" x14ac:dyDescent="0.3">
      <c r="A1211" s="24" t="s">
        <v>23</v>
      </c>
      <c r="B1211" s="24" t="s">
        <v>1299</v>
      </c>
      <c r="C1211" s="12" t="s">
        <v>1300</v>
      </c>
      <c r="D1211" s="60"/>
      <c r="E1211" s="41" t="str">
        <f t="shared" si="35"/>
        <v>Еще фото</v>
      </c>
      <c r="F1211" s="13" t="s">
        <v>103</v>
      </c>
      <c r="G1211" s="24" t="s">
        <v>1184</v>
      </c>
      <c r="H1211" s="24" t="s">
        <v>741</v>
      </c>
      <c r="I1211" s="24" t="s">
        <v>1185</v>
      </c>
      <c r="J1211" s="14" t="s">
        <v>29</v>
      </c>
      <c r="K1211" s="15" t="s">
        <v>30</v>
      </c>
      <c r="L1211" s="62"/>
      <c r="M1211" s="14" t="s">
        <v>1211</v>
      </c>
      <c r="N1211" s="14" t="s">
        <v>115</v>
      </c>
      <c r="O1211" s="14"/>
      <c r="P1211" s="15" t="s">
        <v>1302</v>
      </c>
      <c r="Q1211" s="16">
        <v>16599</v>
      </c>
      <c r="R1211" s="17">
        <v>55.73</v>
      </c>
      <c r="S1211" s="18">
        <v>8449.9354999999996</v>
      </c>
      <c r="T1211" s="19" t="s">
        <v>36</v>
      </c>
      <c r="U1211" s="20" t="s">
        <v>750</v>
      </c>
      <c r="V1211" s="34">
        <v>41.5</v>
      </c>
      <c r="W1211" s="22">
        <v>5</v>
      </c>
      <c r="X1211" s="23"/>
    </row>
    <row r="1212" spans="1:24" s="1" customFormat="1" ht="14" customHeight="1" x14ac:dyDescent="0.3">
      <c r="A1212" s="24" t="s">
        <v>23</v>
      </c>
      <c r="B1212" s="24" t="s">
        <v>1299</v>
      </c>
      <c r="C1212" s="12" t="s">
        <v>1300</v>
      </c>
      <c r="D1212" s="60"/>
      <c r="E1212" s="41" t="str">
        <f t="shared" si="35"/>
        <v>Еще фото</v>
      </c>
      <c r="F1212" s="13" t="s">
        <v>103</v>
      </c>
      <c r="G1212" s="24" t="s">
        <v>1184</v>
      </c>
      <c r="H1212" s="24" t="s">
        <v>741</v>
      </c>
      <c r="I1212" s="24" t="s">
        <v>1185</v>
      </c>
      <c r="J1212" s="14" t="s">
        <v>29</v>
      </c>
      <c r="K1212" s="15" t="s">
        <v>30</v>
      </c>
      <c r="L1212" s="62"/>
      <c r="M1212" s="14" t="s">
        <v>1211</v>
      </c>
      <c r="N1212" s="14" t="s">
        <v>115</v>
      </c>
      <c r="O1212" s="14"/>
      <c r="P1212" s="15" t="s">
        <v>1302</v>
      </c>
      <c r="Q1212" s="16">
        <v>16599</v>
      </c>
      <c r="R1212" s="17">
        <v>55.73</v>
      </c>
      <c r="S1212" s="18">
        <v>8449.9354999999996</v>
      </c>
      <c r="T1212" s="19" t="s">
        <v>36</v>
      </c>
      <c r="U1212" s="20" t="s">
        <v>752</v>
      </c>
      <c r="V1212" s="22">
        <v>43</v>
      </c>
      <c r="W1212" s="22">
        <v>7</v>
      </c>
      <c r="X1212" s="23"/>
    </row>
    <row r="1213" spans="1:24" s="1" customFormat="1" ht="14" customHeight="1" x14ac:dyDescent="0.3">
      <c r="A1213" s="24" t="s">
        <v>23</v>
      </c>
      <c r="B1213" s="24" t="s">
        <v>1299</v>
      </c>
      <c r="C1213" s="12" t="s">
        <v>1300</v>
      </c>
      <c r="D1213" s="60"/>
      <c r="E1213" s="41" t="str">
        <f t="shared" si="35"/>
        <v>Еще фото</v>
      </c>
      <c r="F1213" s="13" t="s">
        <v>103</v>
      </c>
      <c r="G1213" s="24" t="s">
        <v>1184</v>
      </c>
      <c r="H1213" s="24" t="s">
        <v>741</v>
      </c>
      <c r="I1213" s="24" t="s">
        <v>1185</v>
      </c>
      <c r="J1213" s="14" t="s">
        <v>29</v>
      </c>
      <c r="K1213" s="15" t="s">
        <v>30</v>
      </c>
      <c r="L1213" s="62"/>
      <c r="M1213" s="14" t="s">
        <v>1211</v>
      </c>
      <c r="N1213" s="14" t="s">
        <v>115</v>
      </c>
      <c r="O1213" s="14"/>
      <c r="P1213" s="15" t="s">
        <v>1302</v>
      </c>
      <c r="Q1213" s="16">
        <v>16599</v>
      </c>
      <c r="R1213" s="17">
        <v>55.73</v>
      </c>
      <c r="S1213" s="18">
        <v>8449.9354999999996</v>
      </c>
      <c r="T1213" s="19" t="s">
        <v>36</v>
      </c>
      <c r="U1213" s="20" t="s">
        <v>753</v>
      </c>
      <c r="V1213" s="34">
        <v>43.5</v>
      </c>
      <c r="W1213" s="22">
        <v>7</v>
      </c>
      <c r="X1213" s="23"/>
    </row>
    <row r="1214" spans="1:24" s="1" customFormat="1" ht="17" customHeight="1" x14ac:dyDescent="0.3">
      <c r="A1214" s="24" t="s">
        <v>23</v>
      </c>
      <c r="B1214" s="24" t="s">
        <v>1299</v>
      </c>
      <c r="C1214" s="12" t="s">
        <v>1300</v>
      </c>
      <c r="D1214" s="61"/>
      <c r="E1214" s="41" t="str">
        <f t="shared" si="35"/>
        <v>Еще фото</v>
      </c>
      <c r="F1214" s="13" t="s">
        <v>103</v>
      </c>
      <c r="G1214" s="24" t="s">
        <v>1184</v>
      </c>
      <c r="H1214" s="24" t="s">
        <v>741</v>
      </c>
      <c r="I1214" s="24" t="s">
        <v>1185</v>
      </c>
      <c r="J1214" s="14" t="s">
        <v>29</v>
      </c>
      <c r="K1214" s="15" t="s">
        <v>30</v>
      </c>
      <c r="L1214" s="58"/>
      <c r="M1214" s="14" t="s">
        <v>1211</v>
      </c>
      <c r="N1214" s="14" t="s">
        <v>115</v>
      </c>
      <c r="O1214" s="14"/>
      <c r="P1214" s="15" t="s">
        <v>1302</v>
      </c>
      <c r="Q1214" s="16">
        <v>16599</v>
      </c>
      <c r="R1214" s="17">
        <v>55.73</v>
      </c>
      <c r="S1214" s="18">
        <v>8449.9354999999996</v>
      </c>
      <c r="T1214" s="19" t="s">
        <v>36</v>
      </c>
      <c r="U1214" s="20" t="s">
        <v>754</v>
      </c>
      <c r="V1214" s="22">
        <v>44</v>
      </c>
      <c r="W1214" s="22">
        <v>3</v>
      </c>
      <c r="X1214" s="23"/>
    </row>
    <row r="1215" spans="1:24" s="1" customFormat="1" ht="17" customHeight="1" x14ac:dyDescent="0.3">
      <c r="A1215" s="11" t="s">
        <v>23</v>
      </c>
      <c r="B1215" s="11" t="s">
        <v>1303</v>
      </c>
      <c r="C1215" s="12" t="s">
        <v>1304</v>
      </c>
      <c r="D1215" s="59"/>
      <c r="E1215" s="41" t="str">
        <f t="shared" ref="E1215:E1220" si="36">HYPERLINK("https://www.google.ru/search?q=3027523-713&amp;newwindow=1&amp;tbm=isch","Еще фото")</f>
        <v>Еще фото</v>
      </c>
      <c r="F1215" s="13" t="s">
        <v>103</v>
      </c>
      <c r="G1215" s="11" t="s">
        <v>1184</v>
      </c>
      <c r="H1215" s="11" t="s">
        <v>741</v>
      </c>
      <c r="I1215" s="14" t="s">
        <v>1185</v>
      </c>
      <c r="J1215" s="14" t="s">
        <v>29</v>
      </c>
      <c r="K1215" s="15" t="s">
        <v>30</v>
      </c>
      <c r="L1215" s="57" t="s">
        <v>1305</v>
      </c>
      <c r="M1215" s="14" t="s">
        <v>1211</v>
      </c>
      <c r="N1215" s="14" t="s">
        <v>198</v>
      </c>
      <c r="O1215" s="14"/>
      <c r="P1215" s="15" t="s">
        <v>745</v>
      </c>
      <c r="Q1215" s="16">
        <v>13299</v>
      </c>
      <c r="R1215" s="17">
        <v>55.73</v>
      </c>
      <c r="S1215" s="18">
        <v>6770.9354999999996</v>
      </c>
      <c r="T1215" s="19" t="s">
        <v>36</v>
      </c>
      <c r="U1215" s="20" t="s">
        <v>749</v>
      </c>
      <c r="V1215" s="22">
        <v>41</v>
      </c>
      <c r="W1215" s="22">
        <v>1</v>
      </c>
      <c r="X1215" s="23"/>
    </row>
    <row r="1216" spans="1:24" s="1" customFormat="1" ht="17" customHeight="1" x14ac:dyDescent="0.3">
      <c r="A1216" s="24" t="s">
        <v>23</v>
      </c>
      <c r="B1216" s="24" t="s">
        <v>1303</v>
      </c>
      <c r="C1216" s="12" t="s">
        <v>1304</v>
      </c>
      <c r="D1216" s="60"/>
      <c r="E1216" s="41" t="str">
        <f t="shared" si="36"/>
        <v>Еще фото</v>
      </c>
      <c r="F1216" s="13" t="s">
        <v>103</v>
      </c>
      <c r="G1216" s="24" t="s">
        <v>1184</v>
      </c>
      <c r="H1216" s="24" t="s">
        <v>741</v>
      </c>
      <c r="I1216" s="24" t="s">
        <v>1185</v>
      </c>
      <c r="J1216" s="14" t="s">
        <v>29</v>
      </c>
      <c r="K1216" s="15" t="s">
        <v>30</v>
      </c>
      <c r="L1216" s="62"/>
      <c r="M1216" s="14" t="s">
        <v>1211</v>
      </c>
      <c r="N1216" s="14" t="s">
        <v>198</v>
      </c>
      <c r="O1216" s="14"/>
      <c r="P1216" s="15" t="s">
        <v>745</v>
      </c>
      <c r="Q1216" s="16">
        <v>13299</v>
      </c>
      <c r="R1216" s="17">
        <v>55.73</v>
      </c>
      <c r="S1216" s="18">
        <v>6770.9354999999996</v>
      </c>
      <c r="T1216" s="19" t="s">
        <v>36</v>
      </c>
      <c r="U1216" s="20" t="s">
        <v>750</v>
      </c>
      <c r="V1216" s="34">
        <v>41.5</v>
      </c>
      <c r="W1216" s="22">
        <v>2</v>
      </c>
      <c r="X1216" s="23"/>
    </row>
    <row r="1217" spans="1:24" s="1" customFormat="1" ht="17" customHeight="1" x14ac:dyDescent="0.3">
      <c r="A1217" s="24" t="s">
        <v>23</v>
      </c>
      <c r="B1217" s="24" t="s">
        <v>1303</v>
      </c>
      <c r="C1217" s="12" t="s">
        <v>1304</v>
      </c>
      <c r="D1217" s="60"/>
      <c r="E1217" s="41" t="str">
        <f t="shared" si="36"/>
        <v>Еще фото</v>
      </c>
      <c r="F1217" s="13" t="s">
        <v>103</v>
      </c>
      <c r="G1217" s="24" t="s">
        <v>1184</v>
      </c>
      <c r="H1217" s="24" t="s">
        <v>741</v>
      </c>
      <c r="I1217" s="24" t="s">
        <v>1185</v>
      </c>
      <c r="J1217" s="14" t="s">
        <v>29</v>
      </c>
      <c r="K1217" s="15" t="s">
        <v>30</v>
      </c>
      <c r="L1217" s="62"/>
      <c r="M1217" s="14" t="s">
        <v>1211</v>
      </c>
      <c r="N1217" s="14" t="s">
        <v>198</v>
      </c>
      <c r="O1217" s="14"/>
      <c r="P1217" s="15" t="s">
        <v>745</v>
      </c>
      <c r="Q1217" s="16">
        <v>13299</v>
      </c>
      <c r="R1217" s="17">
        <v>55.73</v>
      </c>
      <c r="S1217" s="18">
        <v>6770.9354999999996</v>
      </c>
      <c r="T1217" s="19" t="s">
        <v>36</v>
      </c>
      <c r="U1217" s="20" t="s">
        <v>751</v>
      </c>
      <c r="V1217" s="22">
        <v>42</v>
      </c>
      <c r="W1217" s="22">
        <v>2</v>
      </c>
      <c r="X1217" s="23"/>
    </row>
    <row r="1218" spans="1:24" s="1" customFormat="1" ht="17" customHeight="1" x14ac:dyDescent="0.3">
      <c r="A1218" s="24" t="s">
        <v>23</v>
      </c>
      <c r="B1218" s="24" t="s">
        <v>1303</v>
      </c>
      <c r="C1218" s="12" t="s">
        <v>1304</v>
      </c>
      <c r="D1218" s="60"/>
      <c r="E1218" s="41" t="str">
        <f t="shared" si="36"/>
        <v>Еще фото</v>
      </c>
      <c r="F1218" s="13" t="s">
        <v>103</v>
      </c>
      <c r="G1218" s="24" t="s">
        <v>1184</v>
      </c>
      <c r="H1218" s="24" t="s">
        <v>741</v>
      </c>
      <c r="I1218" s="24" t="s">
        <v>1185</v>
      </c>
      <c r="J1218" s="14" t="s">
        <v>29</v>
      </c>
      <c r="K1218" s="15" t="s">
        <v>30</v>
      </c>
      <c r="L1218" s="62"/>
      <c r="M1218" s="14" t="s">
        <v>1211</v>
      </c>
      <c r="N1218" s="14" t="s">
        <v>198</v>
      </c>
      <c r="O1218" s="14"/>
      <c r="P1218" s="15" t="s">
        <v>745</v>
      </c>
      <c r="Q1218" s="16">
        <v>13299</v>
      </c>
      <c r="R1218" s="17">
        <v>55.73</v>
      </c>
      <c r="S1218" s="18">
        <v>6770.9354999999996</v>
      </c>
      <c r="T1218" s="19" t="s">
        <v>36</v>
      </c>
      <c r="U1218" s="20" t="s">
        <v>752</v>
      </c>
      <c r="V1218" s="22">
        <v>43</v>
      </c>
      <c r="W1218" s="22">
        <v>1</v>
      </c>
      <c r="X1218" s="23"/>
    </row>
    <row r="1219" spans="1:24" s="1" customFormat="1" ht="17" customHeight="1" x14ac:dyDescent="0.3">
      <c r="A1219" s="24" t="s">
        <v>23</v>
      </c>
      <c r="B1219" s="24" t="s">
        <v>1303</v>
      </c>
      <c r="C1219" s="12" t="s">
        <v>1304</v>
      </c>
      <c r="D1219" s="60"/>
      <c r="E1219" s="41" t="str">
        <f t="shared" si="36"/>
        <v>Еще фото</v>
      </c>
      <c r="F1219" s="13" t="s">
        <v>103</v>
      </c>
      <c r="G1219" s="24" t="s">
        <v>1184</v>
      </c>
      <c r="H1219" s="24" t="s">
        <v>741</v>
      </c>
      <c r="I1219" s="24" t="s">
        <v>1185</v>
      </c>
      <c r="J1219" s="14" t="s">
        <v>29</v>
      </c>
      <c r="K1219" s="15" t="s">
        <v>30</v>
      </c>
      <c r="L1219" s="62"/>
      <c r="M1219" s="14" t="s">
        <v>1211</v>
      </c>
      <c r="N1219" s="14" t="s">
        <v>198</v>
      </c>
      <c r="O1219" s="14"/>
      <c r="P1219" s="15" t="s">
        <v>745</v>
      </c>
      <c r="Q1219" s="16">
        <v>13299</v>
      </c>
      <c r="R1219" s="17">
        <v>55.73</v>
      </c>
      <c r="S1219" s="18">
        <v>6770.9354999999996</v>
      </c>
      <c r="T1219" s="19" t="s">
        <v>36</v>
      </c>
      <c r="U1219" s="20" t="s">
        <v>753</v>
      </c>
      <c r="V1219" s="34">
        <v>43.5</v>
      </c>
      <c r="W1219" s="22">
        <v>3</v>
      </c>
      <c r="X1219" s="23"/>
    </row>
    <row r="1220" spans="1:24" s="1" customFormat="1" ht="22.05" customHeight="1" x14ac:dyDescent="0.3">
      <c r="A1220" s="24" t="s">
        <v>23</v>
      </c>
      <c r="B1220" s="24" t="s">
        <v>1303</v>
      </c>
      <c r="C1220" s="12" t="s">
        <v>1304</v>
      </c>
      <c r="D1220" s="61"/>
      <c r="E1220" s="41" t="str">
        <f t="shared" si="36"/>
        <v>Еще фото</v>
      </c>
      <c r="F1220" s="13" t="s">
        <v>103</v>
      </c>
      <c r="G1220" s="24" t="s">
        <v>1184</v>
      </c>
      <c r="H1220" s="24" t="s">
        <v>741</v>
      </c>
      <c r="I1220" s="24" t="s">
        <v>1185</v>
      </c>
      <c r="J1220" s="14" t="s">
        <v>29</v>
      </c>
      <c r="K1220" s="15" t="s">
        <v>30</v>
      </c>
      <c r="L1220" s="58"/>
      <c r="M1220" s="14" t="s">
        <v>1211</v>
      </c>
      <c r="N1220" s="14" t="s">
        <v>198</v>
      </c>
      <c r="O1220" s="14"/>
      <c r="P1220" s="15" t="s">
        <v>745</v>
      </c>
      <c r="Q1220" s="16">
        <v>13299</v>
      </c>
      <c r="R1220" s="17">
        <v>55.73</v>
      </c>
      <c r="S1220" s="18">
        <v>6770.9354999999996</v>
      </c>
      <c r="T1220" s="19" t="s">
        <v>36</v>
      </c>
      <c r="U1220" s="20" t="s">
        <v>754</v>
      </c>
      <c r="V1220" s="22">
        <v>44</v>
      </c>
      <c r="W1220" s="22">
        <v>2</v>
      </c>
      <c r="X1220" s="23"/>
    </row>
    <row r="1221" spans="1:24" s="1" customFormat="1" ht="52.05" customHeight="1" x14ac:dyDescent="0.3">
      <c r="A1221" s="11" t="s">
        <v>23</v>
      </c>
      <c r="B1221" s="11" t="s">
        <v>1306</v>
      </c>
      <c r="C1221" s="12" t="s">
        <v>1307</v>
      </c>
      <c r="D1221" s="55"/>
      <c r="E1221" s="41" t="str">
        <f>HYPERLINK("https://www.google.ru/search?q=3023561-104&amp;newwindow=1&amp;tbm=isch","Еще фото")</f>
        <v>Еще фото</v>
      </c>
      <c r="F1221" s="13"/>
      <c r="G1221" s="11" t="s">
        <v>1184</v>
      </c>
      <c r="H1221" s="11" t="s">
        <v>741</v>
      </c>
      <c r="I1221" s="14" t="s">
        <v>1185</v>
      </c>
      <c r="J1221" s="14" t="s">
        <v>29</v>
      </c>
      <c r="K1221" s="15" t="s">
        <v>59</v>
      </c>
      <c r="L1221" s="57" t="s">
        <v>1308</v>
      </c>
      <c r="M1221" s="14" t="s">
        <v>1187</v>
      </c>
      <c r="N1221" s="14" t="s">
        <v>62</v>
      </c>
      <c r="O1221" s="14" t="s">
        <v>34</v>
      </c>
      <c r="P1221" s="15" t="s">
        <v>1309</v>
      </c>
      <c r="Q1221" s="16">
        <v>16099</v>
      </c>
      <c r="R1221" s="17">
        <v>55.73</v>
      </c>
      <c r="S1221" s="18">
        <v>8196.9354999999996</v>
      </c>
      <c r="T1221" s="19" t="s">
        <v>36</v>
      </c>
      <c r="U1221" s="20" t="s">
        <v>1196</v>
      </c>
      <c r="V1221" s="34">
        <v>36.5</v>
      </c>
      <c r="W1221" s="22">
        <v>3</v>
      </c>
      <c r="X1221" s="23"/>
    </row>
    <row r="1222" spans="1:24" s="1" customFormat="1" ht="61.05" customHeight="1" x14ac:dyDescent="0.3">
      <c r="A1222" s="24" t="s">
        <v>23</v>
      </c>
      <c r="B1222" s="24" t="s">
        <v>1306</v>
      </c>
      <c r="C1222" s="12" t="s">
        <v>1307</v>
      </c>
      <c r="D1222" s="56"/>
      <c r="E1222" s="41" t="str">
        <f>HYPERLINK("https://www.google.ru/search?q=3023561-104&amp;newwindow=1&amp;tbm=isch","Еще фото")</f>
        <v>Еще фото</v>
      </c>
      <c r="F1222" s="13"/>
      <c r="G1222" s="24" t="s">
        <v>1184</v>
      </c>
      <c r="H1222" s="24" t="s">
        <v>741</v>
      </c>
      <c r="I1222" s="24" t="s">
        <v>1185</v>
      </c>
      <c r="J1222" s="14" t="s">
        <v>29</v>
      </c>
      <c r="K1222" s="15" t="s">
        <v>59</v>
      </c>
      <c r="L1222" s="58"/>
      <c r="M1222" s="14" t="s">
        <v>1187</v>
      </c>
      <c r="N1222" s="14" t="s">
        <v>62</v>
      </c>
      <c r="O1222" s="14" t="s">
        <v>34</v>
      </c>
      <c r="P1222" s="15" t="s">
        <v>1309</v>
      </c>
      <c r="Q1222" s="16">
        <v>16099</v>
      </c>
      <c r="R1222" s="17">
        <v>55.73</v>
      </c>
      <c r="S1222" s="18">
        <v>8196.9354999999996</v>
      </c>
      <c r="T1222" s="19" t="s">
        <v>36</v>
      </c>
      <c r="U1222" s="20" t="s">
        <v>746</v>
      </c>
      <c r="V1222" s="22">
        <v>37</v>
      </c>
      <c r="W1222" s="22">
        <v>2</v>
      </c>
      <c r="X1222" s="23"/>
    </row>
    <row r="1223" spans="1:24" s="1" customFormat="1" ht="21" customHeight="1" x14ac:dyDescent="0.3">
      <c r="A1223" s="11" t="s">
        <v>23</v>
      </c>
      <c r="B1223" s="11" t="s">
        <v>1310</v>
      </c>
      <c r="C1223" s="26" t="s">
        <v>1311</v>
      </c>
      <c r="D1223" s="59"/>
      <c r="E1223" s="41" t="str">
        <f>HYPERLINK("https://www.google.ru/search?q=3027600-004&amp;newwindow=1&amp;tbm=isch","Еще фото")</f>
        <v>Еще фото</v>
      </c>
      <c r="F1223" s="13" t="s">
        <v>152</v>
      </c>
      <c r="G1223" s="11" t="s">
        <v>1184</v>
      </c>
      <c r="H1223" s="11" t="s">
        <v>741</v>
      </c>
      <c r="I1223" s="14" t="s">
        <v>1185</v>
      </c>
      <c r="J1223" s="14" t="s">
        <v>29</v>
      </c>
      <c r="K1223" s="15" t="s">
        <v>30</v>
      </c>
      <c r="L1223" s="57" t="s">
        <v>1312</v>
      </c>
      <c r="M1223" s="14"/>
      <c r="N1223" s="14" t="s">
        <v>33</v>
      </c>
      <c r="O1223" s="14"/>
      <c r="P1223" s="15" t="s">
        <v>1254</v>
      </c>
      <c r="Q1223" s="16">
        <v>28699</v>
      </c>
      <c r="R1223" s="17">
        <v>55.72</v>
      </c>
      <c r="S1223" s="18">
        <v>14613.9355</v>
      </c>
      <c r="T1223" s="19" t="s">
        <v>36</v>
      </c>
      <c r="U1223" s="20" t="s">
        <v>749</v>
      </c>
      <c r="V1223" s="22">
        <v>41</v>
      </c>
      <c r="W1223" s="22">
        <v>5</v>
      </c>
      <c r="X1223" s="23"/>
    </row>
    <row r="1224" spans="1:24" s="1" customFormat="1" ht="21" customHeight="1" x14ac:dyDescent="0.3">
      <c r="A1224" s="24" t="s">
        <v>23</v>
      </c>
      <c r="B1224" s="24" t="s">
        <v>1310</v>
      </c>
      <c r="C1224" s="27" t="s">
        <v>1311</v>
      </c>
      <c r="D1224" s="60"/>
      <c r="E1224" s="41" t="str">
        <f>HYPERLINK("https://www.google.ru/search?q=3027600-004&amp;newwindow=1&amp;tbm=isch","Еще фото")</f>
        <v>Еще фото</v>
      </c>
      <c r="F1224" s="13" t="s">
        <v>152</v>
      </c>
      <c r="G1224" s="24" t="s">
        <v>1184</v>
      </c>
      <c r="H1224" s="24" t="s">
        <v>741</v>
      </c>
      <c r="I1224" s="24" t="s">
        <v>1185</v>
      </c>
      <c r="J1224" s="14" t="s">
        <v>29</v>
      </c>
      <c r="K1224" s="15" t="s">
        <v>30</v>
      </c>
      <c r="L1224" s="62"/>
      <c r="M1224" s="14"/>
      <c r="N1224" s="14" t="s">
        <v>33</v>
      </c>
      <c r="O1224" s="14"/>
      <c r="P1224" s="15" t="s">
        <v>1254</v>
      </c>
      <c r="Q1224" s="16">
        <v>28699</v>
      </c>
      <c r="R1224" s="17">
        <v>55.72</v>
      </c>
      <c r="S1224" s="18">
        <v>14613.9355</v>
      </c>
      <c r="T1224" s="19" t="s">
        <v>36</v>
      </c>
      <c r="U1224" s="20" t="s">
        <v>751</v>
      </c>
      <c r="V1224" s="22">
        <v>42</v>
      </c>
      <c r="W1224" s="22">
        <v>2</v>
      </c>
      <c r="X1224" s="23"/>
    </row>
    <row r="1225" spans="1:24" s="1" customFormat="1" ht="21" customHeight="1" x14ac:dyDescent="0.3">
      <c r="A1225" s="24" t="s">
        <v>23</v>
      </c>
      <c r="B1225" s="24" t="s">
        <v>1310</v>
      </c>
      <c r="C1225" s="27" t="s">
        <v>1311</v>
      </c>
      <c r="D1225" s="60"/>
      <c r="E1225" s="41" t="str">
        <f>HYPERLINK("https://www.google.ru/search?q=3027600-004&amp;newwindow=1&amp;tbm=isch","Еще фото")</f>
        <v>Еще фото</v>
      </c>
      <c r="F1225" s="13" t="s">
        <v>152</v>
      </c>
      <c r="G1225" s="24" t="s">
        <v>1184</v>
      </c>
      <c r="H1225" s="24" t="s">
        <v>741</v>
      </c>
      <c r="I1225" s="24" t="s">
        <v>1185</v>
      </c>
      <c r="J1225" s="14" t="s">
        <v>29</v>
      </c>
      <c r="K1225" s="15" t="s">
        <v>30</v>
      </c>
      <c r="L1225" s="62"/>
      <c r="M1225" s="14"/>
      <c r="N1225" s="14" t="s">
        <v>33</v>
      </c>
      <c r="O1225" s="14"/>
      <c r="P1225" s="15" t="s">
        <v>1254</v>
      </c>
      <c r="Q1225" s="16">
        <v>28699</v>
      </c>
      <c r="R1225" s="17">
        <v>55.72</v>
      </c>
      <c r="S1225" s="18">
        <v>14613.9355</v>
      </c>
      <c r="T1225" s="19" t="s">
        <v>36</v>
      </c>
      <c r="U1225" s="20" t="s">
        <v>752</v>
      </c>
      <c r="V1225" s="22">
        <v>43</v>
      </c>
      <c r="W1225" s="22">
        <v>3</v>
      </c>
      <c r="X1225" s="23"/>
    </row>
    <row r="1226" spans="1:24" s="1" customFormat="1" ht="21" customHeight="1" x14ac:dyDescent="0.3">
      <c r="A1226" s="24" t="s">
        <v>23</v>
      </c>
      <c r="B1226" s="24" t="s">
        <v>1310</v>
      </c>
      <c r="C1226" s="27" t="s">
        <v>1311</v>
      </c>
      <c r="D1226" s="60"/>
      <c r="E1226" s="41" t="str">
        <f>HYPERLINK("https://www.google.ru/search?q=3027600-004&amp;newwindow=1&amp;tbm=isch","Еще фото")</f>
        <v>Еще фото</v>
      </c>
      <c r="F1226" s="13" t="s">
        <v>152</v>
      </c>
      <c r="G1226" s="24" t="s">
        <v>1184</v>
      </c>
      <c r="H1226" s="24" t="s">
        <v>741</v>
      </c>
      <c r="I1226" s="24" t="s">
        <v>1185</v>
      </c>
      <c r="J1226" s="14" t="s">
        <v>29</v>
      </c>
      <c r="K1226" s="15" t="s">
        <v>30</v>
      </c>
      <c r="L1226" s="62"/>
      <c r="M1226" s="14"/>
      <c r="N1226" s="14" t="s">
        <v>33</v>
      </c>
      <c r="O1226" s="14"/>
      <c r="P1226" s="15" t="s">
        <v>1254</v>
      </c>
      <c r="Q1226" s="16">
        <v>28699</v>
      </c>
      <c r="R1226" s="17">
        <v>55.72</v>
      </c>
      <c r="S1226" s="18">
        <v>14613.9355</v>
      </c>
      <c r="T1226" s="19" t="s">
        <v>36</v>
      </c>
      <c r="U1226" s="20" t="s">
        <v>754</v>
      </c>
      <c r="V1226" s="22">
        <v>44</v>
      </c>
      <c r="W1226" s="22">
        <v>5</v>
      </c>
      <c r="X1226" s="23"/>
    </row>
    <row r="1227" spans="1:24" s="1" customFormat="1" ht="32" customHeight="1" x14ac:dyDescent="0.3">
      <c r="A1227" s="24" t="s">
        <v>23</v>
      </c>
      <c r="B1227" s="24" t="s">
        <v>1310</v>
      </c>
      <c r="C1227" s="27" t="s">
        <v>1311</v>
      </c>
      <c r="D1227" s="61"/>
      <c r="E1227" s="41" t="str">
        <f>HYPERLINK("https://www.google.ru/search?q=3027600-004&amp;newwindow=1&amp;tbm=isch","Еще фото")</f>
        <v>Еще фото</v>
      </c>
      <c r="F1227" s="13" t="s">
        <v>152</v>
      </c>
      <c r="G1227" s="24" t="s">
        <v>1184</v>
      </c>
      <c r="H1227" s="24" t="s">
        <v>741</v>
      </c>
      <c r="I1227" s="24" t="s">
        <v>1185</v>
      </c>
      <c r="J1227" s="14" t="s">
        <v>29</v>
      </c>
      <c r="K1227" s="15" t="s">
        <v>30</v>
      </c>
      <c r="L1227" s="58"/>
      <c r="M1227" s="14"/>
      <c r="N1227" s="14" t="s">
        <v>33</v>
      </c>
      <c r="O1227" s="14"/>
      <c r="P1227" s="15" t="s">
        <v>1254</v>
      </c>
      <c r="Q1227" s="16">
        <v>28699</v>
      </c>
      <c r="R1227" s="17">
        <v>55.72</v>
      </c>
      <c r="S1227" s="18">
        <v>14613.9355</v>
      </c>
      <c r="T1227" s="19" t="s">
        <v>36</v>
      </c>
      <c r="U1227" s="20" t="s">
        <v>755</v>
      </c>
      <c r="V1227" s="34">
        <v>44.5</v>
      </c>
      <c r="W1227" s="22">
        <v>3</v>
      </c>
      <c r="X1227" s="23"/>
    </row>
    <row r="1228" spans="1:24" s="1" customFormat="1" ht="11" customHeight="1" x14ac:dyDescent="0.3">
      <c r="A1228" s="11" t="s">
        <v>23</v>
      </c>
      <c r="B1228" s="11" t="s">
        <v>1313</v>
      </c>
      <c r="C1228" s="12" t="s">
        <v>1314</v>
      </c>
      <c r="D1228" s="59"/>
      <c r="E1228" s="41" t="str">
        <f t="shared" ref="E1228:E1236" si="37">HYPERLINK("https://www.google.ru/search?q=3027524-001&amp;newwindow=1&amp;tbm=isch","Еще фото")</f>
        <v>Еще фото</v>
      </c>
      <c r="F1228" s="13" t="s">
        <v>103</v>
      </c>
      <c r="G1228" s="11" t="s">
        <v>1184</v>
      </c>
      <c r="H1228" s="11" t="s">
        <v>741</v>
      </c>
      <c r="I1228" s="14" t="s">
        <v>1185</v>
      </c>
      <c r="J1228" s="14" t="s">
        <v>29</v>
      </c>
      <c r="K1228" s="15" t="s">
        <v>59</v>
      </c>
      <c r="L1228" s="57" t="s">
        <v>1315</v>
      </c>
      <c r="M1228" s="14" t="s">
        <v>1211</v>
      </c>
      <c r="N1228" s="14" t="s">
        <v>33</v>
      </c>
      <c r="O1228" s="14"/>
      <c r="P1228" s="15" t="s">
        <v>745</v>
      </c>
      <c r="Q1228" s="16">
        <v>12999</v>
      </c>
      <c r="R1228" s="17">
        <v>55.71</v>
      </c>
      <c r="S1228" s="18">
        <v>6621.4354999999996</v>
      </c>
      <c r="T1228" s="19" t="s">
        <v>36</v>
      </c>
      <c r="U1228" s="20" t="s">
        <v>1190</v>
      </c>
      <c r="V1228" s="34">
        <v>35.5</v>
      </c>
      <c r="W1228" s="22">
        <v>3</v>
      </c>
      <c r="X1228" s="23"/>
    </row>
    <row r="1229" spans="1:24" s="1" customFormat="1" ht="11" customHeight="1" x14ac:dyDescent="0.3">
      <c r="A1229" s="24" t="s">
        <v>23</v>
      </c>
      <c r="B1229" s="24" t="s">
        <v>1313</v>
      </c>
      <c r="C1229" s="12" t="s">
        <v>1314</v>
      </c>
      <c r="D1229" s="60"/>
      <c r="E1229" s="41" t="str">
        <f t="shared" si="37"/>
        <v>Еще фото</v>
      </c>
      <c r="F1229" s="13" t="s">
        <v>103</v>
      </c>
      <c r="G1229" s="24" t="s">
        <v>1184</v>
      </c>
      <c r="H1229" s="24" t="s">
        <v>741</v>
      </c>
      <c r="I1229" s="24" t="s">
        <v>1185</v>
      </c>
      <c r="J1229" s="14" t="s">
        <v>29</v>
      </c>
      <c r="K1229" s="15" t="s">
        <v>59</v>
      </c>
      <c r="L1229" s="62"/>
      <c r="M1229" s="14" t="s">
        <v>1211</v>
      </c>
      <c r="N1229" s="14" t="s">
        <v>33</v>
      </c>
      <c r="O1229" s="14"/>
      <c r="P1229" s="15" t="s">
        <v>745</v>
      </c>
      <c r="Q1229" s="16">
        <v>12999</v>
      </c>
      <c r="R1229" s="17">
        <v>55.71</v>
      </c>
      <c r="S1229" s="18">
        <v>6621.4354999999996</v>
      </c>
      <c r="T1229" s="19" t="s">
        <v>36</v>
      </c>
      <c r="U1229" s="20" t="s">
        <v>1203</v>
      </c>
      <c r="V1229" s="22">
        <v>36</v>
      </c>
      <c r="W1229" s="22">
        <v>2</v>
      </c>
      <c r="X1229" s="23"/>
    </row>
    <row r="1230" spans="1:24" s="1" customFormat="1" ht="11" customHeight="1" x14ac:dyDescent="0.3">
      <c r="A1230" s="24" t="s">
        <v>23</v>
      </c>
      <c r="B1230" s="24" t="s">
        <v>1313</v>
      </c>
      <c r="C1230" s="12" t="s">
        <v>1314</v>
      </c>
      <c r="D1230" s="60"/>
      <c r="E1230" s="41" t="str">
        <f t="shared" si="37"/>
        <v>Еще фото</v>
      </c>
      <c r="F1230" s="13" t="s">
        <v>103</v>
      </c>
      <c r="G1230" s="24" t="s">
        <v>1184</v>
      </c>
      <c r="H1230" s="24" t="s">
        <v>741</v>
      </c>
      <c r="I1230" s="24" t="s">
        <v>1185</v>
      </c>
      <c r="J1230" s="14" t="s">
        <v>29</v>
      </c>
      <c r="K1230" s="15" t="s">
        <v>59</v>
      </c>
      <c r="L1230" s="62"/>
      <c r="M1230" s="14" t="s">
        <v>1211</v>
      </c>
      <c r="N1230" s="14" t="s">
        <v>33</v>
      </c>
      <c r="O1230" s="14"/>
      <c r="P1230" s="15" t="s">
        <v>745</v>
      </c>
      <c r="Q1230" s="16">
        <v>12999</v>
      </c>
      <c r="R1230" s="17">
        <v>55.71</v>
      </c>
      <c r="S1230" s="18">
        <v>6621.4354999999996</v>
      </c>
      <c r="T1230" s="19" t="s">
        <v>36</v>
      </c>
      <c r="U1230" s="20" t="s">
        <v>1196</v>
      </c>
      <c r="V1230" s="34">
        <v>36.5</v>
      </c>
      <c r="W1230" s="22">
        <v>7</v>
      </c>
      <c r="X1230" s="23"/>
    </row>
    <row r="1231" spans="1:24" s="1" customFormat="1" ht="11" customHeight="1" x14ac:dyDescent="0.3">
      <c r="A1231" s="24" t="s">
        <v>23</v>
      </c>
      <c r="B1231" s="24" t="s">
        <v>1313</v>
      </c>
      <c r="C1231" s="12" t="s">
        <v>1314</v>
      </c>
      <c r="D1231" s="60"/>
      <c r="E1231" s="41" t="str">
        <f t="shared" si="37"/>
        <v>Еще фото</v>
      </c>
      <c r="F1231" s="13" t="s">
        <v>103</v>
      </c>
      <c r="G1231" s="24" t="s">
        <v>1184</v>
      </c>
      <c r="H1231" s="24" t="s">
        <v>741</v>
      </c>
      <c r="I1231" s="24" t="s">
        <v>1185</v>
      </c>
      <c r="J1231" s="14" t="s">
        <v>29</v>
      </c>
      <c r="K1231" s="15" t="s">
        <v>59</v>
      </c>
      <c r="L1231" s="62"/>
      <c r="M1231" s="14" t="s">
        <v>1211</v>
      </c>
      <c r="N1231" s="14" t="s">
        <v>33</v>
      </c>
      <c r="O1231" s="14"/>
      <c r="P1231" s="15" t="s">
        <v>745</v>
      </c>
      <c r="Q1231" s="16">
        <v>12999</v>
      </c>
      <c r="R1231" s="17">
        <v>55.71</v>
      </c>
      <c r="S1231" s="18">
        <v>6621.4354999999996</v>
      </c>
      <c r="T1231" s="19" t="s">
        <v>36</v>
      </c>
      <c r="U1231" s="20" t="s">
        <v>746</v>
      </c>
      <c r="V1231" s="22">
        <v>37</v>
      </c>
      <c r="W1231" s="22">
        <v>17</v>
      </c>
      <c r="X1231" s="23"/>
    </row>
    <row r="1232" spans="1:24" s="1" customFormat="1" ht="11" customHeight="1" x14ac:dyDescent="0.3">
      <c r="A1232" s="24" t="s">
        <v>23</v>
      </c>
      <c r="B1232" s="24" t="s">
        <v>1313</v>
      </c>
      <c r="C1232" s="12" t="s">
        <v>1314</v>
      </c>
      <c r="D1232" s="60"/>
      <c r="E1232" s="41" t="str">
        <f t="shared" si="37"/>
        <v>Еще фото</v>
      </c>
      <c r="F1232" s="13" t="s">
        <v>103</v>
      </c>
      <c r="G1232" s="24" t="s">
        <v>1184</v>
      </c>
      <c r="H1232" s="24" t="s">
        <v>741</v>
      </c>
      <c r="I1232" s="24" t="s">
        <v>1185</v>
      </c>
      <c r="J1232" s="14" t="s">
        <v>29</v>
      </c>
      <c r="K1232" s="15" t="s">
        <v>59</v>
      </c>
      <c r="L1232" s="62"/>
      <c r="M1232" s="14" t="s">
        <v>1211</v>
      </c>
      <c r="N1232" s="14" t="s">
        <v>33</v>
      </c>
      <c r="O1232" s="14"/>
      <c r="P1232" s="15" t="s">
        <v>745</v>
      </c>
      <c r="Q1232" s="16">
        <v>12999</v>
      </c>
      <c r="R1232" s="17">
        <v>55.71</v>
      </c>
      <c r="S1232" s="18">
        <v>6621.4354999999996</v>
      </c>
      <c r="T1232" s="19" t="s">
        <v>36</v>
      </c>
      <c r="U1232" s="20" t="s">
        <v>747</v>
      </c>
      <c r="V1232" s="34">
        <v>37.5</v>
      </c>
      <c r="W1232" s="22">
        <v>20</v>
      </c>
      <c r="X1232" s="23"/>
    </row>
    <row r="1233" spans="1:24" s="1" customFormat="1" ht="11" customHeight="1" x14ac:dyDescent="0.3">
      <c r="A1233" s="24" t="s">
        <v>23</v>
      </c>
      <c r="B1233" s="24" t="s">
        <v>1313</v>
      </c>
      <c r="C1233" s="12" t="s">
        <v>1314</v>
      </c>
      <c r="D1233" s="60"/>
      <c r="E1233" s="41" t="str">
        <f t="shared" si="37"/>
        <v>Еще фото</v>
      </c>
      <c r="F1233" s="13" t="s">
        <v>103</v>
      </c>
      <c r="G1233" s="24" t="s">
        <v>1184</v>
      </c>
      <c r="H1233" s="24" t="s">
        <v>741</v>
      </c>
      <c r="I1233" s="24" t="s">
        <v>1185</v>
      </c>
      <c r="J1233" s="14" t="s">
        <v>29</v>
      </c>
      <c r="K1233" s="15" t="s">
        <v>59</v>
      </c>
      <c r="L1233" s="62"/>
      <c r="M1233" s="14" t="s">
        <v>1211</v>
      </c>
      <c r="N1233" s="14" t="s">
        <v>33</v>
      </c>
      <c r="O1233" s="14"/>
      <c r="P1233" s="15" t="s">
        <v>745</v>
      </c>
      <c r="Q1233" s="16">
        <v>12999</v>
      </c>
      <c r="R1233" s="17">
        <v>55.71</v>
      </c>
      <c r="S1233" s="18">
        <v>6621.4354999999996</v>
      </c>
      <c r="T1233" s="19" t="s">
        <v>36</v>
      </c>
      <c r="U1233" s="20" t="s">
        <v>748</v>
      </c>
      <c r="V1233" s="22">
        <v>38</v>
      </c>
      <c r="W1233" s="22">
        <v>21</v>
      </c>
      <c r="X1233" s="23"/>
    </row>
    <row r="1234" spans="1:24" s="1" customFormat="1" ht="11" customHeight="1" x14ac:dyDescent="0.3">
      <c r="A1234" s="24" t="s">
        <v>23</v>
      </c>
      <c r="B1234" s="24" t="s">
        <v>1313</v>
      </c>
      <c r="C1234" s="12" t="s">
        <v>1314</v>
      </c>
      <c r="D1234" s="60"/>
      <c r="E1234" s="41" t="str">
        <f t="shared" si="37"/>
        <v>Еще фото</v>
      </c>
      <c r="F1234" s="13" t="s">
        <v>103</v>
      </c>
      <c r="G1234" s="24" t="s">
        <v>1184</v>
      </c>
      <c r="H1234" s="24" t="s">
        <v>741</v>
      </c>
      <c r="I1234" s="24" t="s">
        <v>1185</v>
      </c>
      <c r="J1234" s="14" t="s">
        <v>29</v>
      </c>
      <c r="K1234" s="15" t="s">
        <v>59</v>
      </c>
      <c r="L1234" s="62"/>
      <c r="M1234" s="14" t="s">
        <v>1211</v>
      </c>
      <c r="N1234" s="14" t="s">
        <v>33</v>
      </c>
      <c r="O1234" s="14"/>
      <c r="P1234" s="15" t="s">
        <v>745</v>
      </c>
      <c r="Q1234" s="16">
        <v>12999</v>
      </c>
      <c r="R1234" s="17">
        <v>55.71</v>
      </c>
      <c r="S1234" s="18">
        <v>6621.4354999999996</v>
      </c>
      <c r="T1234" s="19" t="s">
        <v>36</v>
      </c>
      <c r="U1234" s="20" t="s">
        <v>749</v>
      </c>
      <c r="V1234" s="22">
        <v>39</v>
      </c>
      <c r="W1234" s="22">
        <v>11</v>
      </c>
      <c r="X1234" s="23"/>
    </row>
    <row r="1235" spans="1:24" s="1" customFormat="1" ht="11" customHeight="1" x14ac:dyDescent="0.3">
      <c r="A1235" s="24" t="s">
        <v>23</v>
      </c>
      <c r="B1235" s="24" t="s">
        <v>1313</v>
      </c>
      <c r="C1235" s="12" t="s">
        <v>1314</v>
      </c>
      <c r="D1235" s="60"/>
      <c r="E1235" s="41" t="str">
        <f t="shared" si="37"/>
        <v>Еще фото</v>
      </c>
      <c r="F1235" s="13" t="s">
        <v>103</v>
      </c>
      <c r="G1235" s="24" t="s">
        <v>1184</v>
      </c>
      <c r="H1235" s="24" t="s">
        <v>741</v>
      </c>
      <c r="I1235" s="24" t="s">
        <v>1185</v>
      </c>
      <c r="J1235" s="14" t="s">
        <v>29</v>
      </c>
      <c r="K1235" s="15" t="s">
        <v>59</v>
      </c>
      <c r="L1235" s="62"/>
      <c r="M1235" s="14" t="s">
        <v>1211</v>
      </c>
      <c r="N1235" s="14" t="s">
        <v>33</v>
      </c>
      <c r="O1235" s="14"/>
      <c r="P1235" s="15" t="s">
        <v>745</v>
      </c>
      <c r="Q1235" s="16">
        <v>12999</v>
      </c>
      <c r="R1235" s="17">
        <v>55.71</v>
      </c>
      <c r="S1235" s="18">
        <v>6621.4354999999996</v>
      </c>
      <c r="T1235" s="19" t="s">
        <v>36</v>
      </c>
      <c r="U1235" s="20" t="s">
        <v>750</v>
      </c>
      <c r="V1235" s="34">
        <v>39.5</v>
      </c>
      <c r="W1235" s="22">
        <v>4</v>
      </c>
      <c r="X1235" s="23"/>
    </row>
    <row r="1236" spans="1:24" s="1" customFormat="1" ht="11" customHeight="1" x14ac:dyDescent="0.3">
      <c r="A1236" s="24" t="s">
        <v>23</v>
      </c>
      <c r="B1236" s="24" t="s">
        <v>1313</v>
      </c>
      <c r="C1236" s="12" t="s">
        <v>1314</v>
      </c>
      <c r="D1236" s="61"/>
      <c r="E1236" s="41" t="str">
        <f t="shared" si="37"/>
        <v>Еще фото</v>
      </c>
      <c r="F1236" s="13" t="s">
        <v>103</v>
      </c>
      <c r="G1236" s="24" t="s">
        <v>1184</v>
      </c>
      <c r="H1236" s="24" t="s">
        <v>741</v>
      </c>
      <c r="I1236" s="24" t="s">
        <v>1185</v>
      </c>
      <c r="J1236" s="14" t="s">
        <v>29</v>
      </c>
      <c r="K1236" s="15" t="s">
        <v>59</v>
      </c>
      <c r="L1236" s="58"/>
      <c r="M1236" s="14" t="s">
        <v>1211</v>
      </c>
      <c r="N1236" s="14" t="s">
        <v>33</v>
      </c>
      <c r="O1236" s="14"/>
      <c r="P1236" s="15" t="s">
        <v>745</v>
      </c>
      <c r="Q1236" s="16">
        <v>12999</v>
      </c>
      <c r="R1236" s="17">
        <v>55.71</v>
      </c>
      <c r="S1236" s="18">
        <v>6621.4354999999996</v>
      </c>
      <c r="T1236" s="19" t="s">
        <v>36</v>
      </c>
      <c r="U1236" s="20" t="s">
        <v>751</v>
      </c>
      <c r="V1236" s="22">
        <v>40</v>
      </c>
      <c r="W1236" s="22">
        <v>2</v>
      </c>
      <c r="X1236" s="23"/>
    </row>
    <row r="1237" spans="1:24" s="1" customFormat="1" ht="35" customHeight="1" x14ac:dyDescent="0.3">
      <c r="A1237" s="11" t="s">
        <v>23</v>
      </c>
      <c r="B1237" s="11" t="s">
        <v>1316</v>
      </c>
      <c r="C1237" s="12" t="s">
        <v>1317</v>
      </c>
      <c r="D1237" s="59"/>
      <c r="E1237" s="41" t="str">
        <f>HYPERLINK("https://www.google.ru/search?q=3027586-104&amp;newwindow=1&amp;tbm=isch","Еще фото")</f>
        <v>Еще фото</v>
      </c>
      <c r="F1237" s="13"/>
      <c r="G1237" s="11" t="s">
        <v>1184</v>
      </c>
      <c r="H1237" s="11" t="s">
        <v>741</v>
      </c>
      <c r="I1237" s="14" t="s">
        <v>1185</v>
      </c>
      <c r="J1237" s="14" t="s">
        <v>29</v>
      </c>
      <c r="K1237" s="15" t="s">
        <v>59</v>
      </c>
      <c r="L1237" s="57" t="s">
        <v>1318</v>
      </c>
      <c r="M1237" s="14"/>
      <c r="N1237" s="14" t="s">
        <v>84</v>
      </c>
      <c r="O1237" s="14"/>
      <c r="P1237" s="15" t="s">
        <v>1298</v>
      </c>
      <c r="Q1237" s="16">
        <v>15499</v>
      </c>
      <c r="R1237" s="17">
        <v>55.69</v>
      </c>
      <c r="S1237" s="18">
        <v>7897.9354999999996</v>
      </c>
      <c r="T1237" s="19" t="s">
        <v>36</v>
      </c>
      <c r="U1237" s="20" t="s">
        <v>1196</v>
      </c>
      <c r="V1237" s="34">
        <v>36.5</v>
      </c>
      <c r="W1237" s="22">
        <v>2</v>
      </c>
      <c r="X1237" s="23"/>
    </row>
    <row r="1238" spans="1:24" s="1" customFormat="1" ht="35" customHeight="1" x14ac:dyDescent="0.3">
      <c r="A1238" s="24" t="s">
        <v>23</v>
      </c>
      <c r="B1238" s="24" t="s">
        <v>1316</v>
      </c>
      <c r="C1238" s="12" t="s">
        <v>1317</v>
      </c>
      <c r="D1238" s="60"/>
      <c r="E1238" s="41" t="str">
        <f>HYPERLINK("https://www.google.ru/search?q=3027586-104&amp;newwindow=1&amp;tbm=isch","Еще фото")</f>
        <v>Еще фото</v>
      </c>
      <c r="F1238" s="13"/>
      <c r="G1238" s="24" t="s">
        <v>1184</v>
      </c>
      <c r="H1238" s="24" t="s">
        <v>741</v>
      </c>
      <c r="I1238" s="24" t="s">
        <v>1185</v>
      </c>
      <c r="J1238" s="14" t="s">
        <v>29</v>
      </c>
      <c r="K1238" s="15" t="s">
        <v>59</v>
      </c>
      <c r="L1238" s="62"/>
      <c r="M1238" s="14"/>
      <c r="N1238" s="14" t="s">
        <v>84</v>
      </c>
      <c r="O1238" s="14"/>
      <c r="P1238" s="15" t="s">
        <v>1298</v>
      </c>
      <c r="Q1238" s="16">
        <v>15499</v>
      </c>
      <c r="R1238" s="17">
        <v>55.69</v>
      </c>
      <c r="S1238" s="18">
        <v>7897.9354999999996</v>
      </c>
      <c r="T1238" s="19" t="s">
        <v>36</v>
      </c>
      <c r="U1238" s="20" t="s">
        <v>746</v>
      </c>
      <c r="V1238" s="22">
        <v>37</v>
      </c>
      <c r="W1238" s="22">
        <v>3</v>
      </c>
      <c r="X1238" s="23"/>
    </row>
    <row r="1239" spans="1:24" s="1" customFormat="1" ht="37.049999999999997" customHeight="1" x14ac:dyDescent="0.3">
      <c r="A1239" s="24" t="s">
        <v>23</v>
      </c>
      <c r="B1239" s="24" t="s">
        <v>1316</v>
      </c>
      <c r="C1239" s="12" t="s">
        <v>1317</v>
      </c>
      <c r="D1239" s="61"/>
      <c r="E1239" s="41" t="str">
        <f>HYPERLINK("https://www.google.ru/search?q=3027586-104&amp;newwindow=1&amp;tbm=isch","Еще фото")</f>
        <v>Еще фото</v>
      </c>
      <c r="F1239" s="13"/>
      <c r="G1239" s="24" t="s">
        <v>1184</v>
      </c>
      <c r="H1239" s="24" t="s">
        <v>741</v>
      </c>
      <c r="I1239" s="24" t="s">
        <v>1185</v>
      </c>
      <c r="J1239" s="14" t="s">
        <v>29</v>
      </c>
      <c r="K1239" s="15" t="s">
        <v>59</v>
      </c>
      <c r="L1239" s="58"/>
      <c r="M1239" s="14"/>
      <c r="N1239" s="14" t="s">
        <v>84</v>
      </c>
      <c r="O1239" s="14"/>
      <c r="P1239" s="15" t="s">
        <v>1298</v>
      </c>
      <c r="Q1239" s="16">
        <v>15499</v>
      </c>
      <c r="R1239" s="17">
        <v>55.69</v>
      </c>
      <c r="S1239" s="18">
        <v>7897.9354999999996</v>
      </c>
      <c r="T1239" s="19" t="s">
        <v>36</v>
      </c>
      <c r="U1239" s="20" t="s">
        <v>747</v>
      </c>
      <c r="V1239" s="34">
        <v>37.5</v>
      </c>
      <c r="W1239" s="22">
        <v>1</v>
      </c>
      <c r="X1239" s="23"/>
    </row>
    <row r="1240" spans="1:24" s="1" customFormat="1" ht="108" customHeight="1" x14ac:dyDescent="0.3">
      <c r="A1240" s="11" t="s">
        <v>23</v>
      </c>
      <c r="B1240" s="11" t="s">
        <v>1264</v>
      </c>
      <c r="C1240" s="12" t="s">
        <v>1319</v>
      </c>
      <c r="D1240" s="25"/>
      <c r="E1240" s="41" t="str">
        <f>HYPERLINK("https://www.google.ru/search?q=3028003-494&amp;newwindow=1&amp;tbm=isch","Еще фото")</f>
        <v>Еще фото</v>
      </c>
      <c r="F1240" s="13" t="s">
        <v>152</v>
      </c>
      <c r="G1240" s="11" t="s">
        <v>1184</v>
      </c>
      <c r="H1240" s="11" t="s">
        <v>741</v>
      </c>
      <c r="I1240" s="14" t="s">
        <v>1185</v>
      </c>
      <c r="J1240" s="14" t="s">
        <v>29</v>
      </c>
      <c r="K1240" s="15" t="s">
        <v>59</v>
      </c>
      <c r="L1240" s="14" t="s">
        <v>1266</v>
      </c>
      <c r="M1240" s="14"/>
      <c r="N1240" s="14" t="s">
        <v>46</v>
      </c>
      <c r="O1240" s="14"/>
      <c r="P1240" s="15" t="s">
        <v>1302</v>
      </c>
      <c r="Q1240" s="16">
        <v>15499</v>
      </c>
      <c r="R1240" s="17">
        <v>55.69</v>
      </c>
      <c r="S1240" s="18">
        <v>7897.9354999999996</v>
      </c>
      <c r="T1240" s="19" t="s">
        <v>36</v>
      </c>
      <c r="U1240" s="20" t="s">
        <v>1196</v>
      </c>
      <c r="V1240" s="34">
        <v>36.5</v>
      </c>
      <c r="W1240" s="22">
        <v>2</v>
      </c>
      <c r="X1240" s="23"/>
    </row>
    <row r="1241" spans="1:24" s="1" customFormat="1" ht="26" customHeight="1" x14ac:dyDescent="0.3">
      <c r="A1241" s="11" t="s">
        <v>23</v>
      </c>
      <c r="B1241" s="11" t="s">
        <v>1320</v>
      </c>
      <c r="C1241" s="12" t="s">
        <v>1321</v>
      </c>
      <c r="D1241" s="59"/>
      <c r="E1241" s="41" t="str">
        <f>HYPERLINK("https://www.google.ru/search?q=3027585-001&amp;newwindow=1&amp;tbm=isch","Еще фото")</f>
        <v>Еще фото</v>
      </c>
      <c r="F1241" s="13"/>
      <c r="G1241" s="11" t="s">
        <v>1184</v>
      </c>
      <c r="H1241" s="11" t="s">
        <v>741</v>
      </c>
      <c r="I1241" s="14" t="s">
        <v>1185</v>
      </c>
      <c r="J1241" s="14" t="s">
        <v>29</v>
      </c>
      <c r="K1241" s="15" t="s">
        <v>30</v>
      </c>
      <c r="L1241" s="57" t="s">
        <v>1297</v>
      </c>
      <c r="M1241" s="14"/>
      <c r="N1241" s="14" t="s">
        <v>33</v>
      </c>
      <c r="O1241" s="14"/>
      <c r="P1241" s="15" t="s">
        <v>1298</v>
      </c>
      <c r="Q1241" s="16">
        <v>16099</v>
      </c>
      <c r="R1241" s="17">
        <v>52.43</v>
      </c>
      <c r="S1241" s="18">
        <v>8806.4354999999996</v>
      </c>
      <c r="T1241" s="19" t="s">
        <v>36</v>
      </c>
      <c r="U1241" s="20" t="s">
        <v>749</v>
      </c>
      <c r="V1241" s="22">
        <v>41</v>
      </c>
      <c r="W1241" s="22">
        <v>2</v>
      </c>
      <c r="X1241" s="23"/>
    </row>
    <row r="1242" spans="1:24" s="1" customFormat="1" ht="26" customHeight="1" x14ac:dyDescent="0.3">
      <c r="A1242" s="24" t="s">
        <v>23</v>
      </c>
      <c r="B1242" s="24" t="s">
        <v>1320</v>
      </c>
      <c r="C1242" s="12" t="s">
        <v>1321</v>
      </c>
      <c r="D1242" s="60"/>
      <c r="E1242" s="41" t="str">
        <f>HYPERLINK("https://www.google.ru/search?q=3027585-001&amp;newwindow=1&amp;tbm=isch","Еще фото")</f>
        <v>Еще фото</v>
      </c>
      <c r="F1242" s="13"/>
      <c r="G1242" s="24" t="s">
        <v>1184</v>
      </c>
      <c r="H1242" s="24" t="s">
        <v>741</v>
      </c>
      <c r="I1242" s="24" t="s">
        <v>1185</v>
      </c>
      <c r="J1242" s="14" t="s">
        <v>29</v>
      </c>
      <c r="K1242" s="15" t="s">
        <v>30</v>
      </c>
      <c r="L1242" s="62"/>
      <c r="M1242" s="14"/>
      <c r="N1242" s="14" t="s">
        <v>33</v>
      </c>
      <c r="O1242" s="14"/>
      <c r="P1242" s="15" t="s">
        <v>1298</v>
      </c>
      <c r="Q1242" s="16">
        <v>16099</v>
      </c>
      <c r="R1242" s="17">
        <v>52.43</v>
      </c>
      <c r="S1242" s="18">
        <v>8806.4354999999996</v>
      </c>
      <c r="T1242" s="19" t="s">
        <v>36</v>
      </c>
      <c r="U1242" s="20" t="s">
        <v>751</v>
      </c>
      <c r="V1242" s="22">
        <v>42</v>
      </c>
      <c r="W1242" s="22">
        <v>6</v>
      </c>
      <c r="X1242" s="23"/>
    </row>
    <row r="1243" spans="1:24" s="1" customFormat="1" ht="26" customHeight="1" x14ac:dyDescent="0.3">
      <c r="A1243" s="24" t="s">
        <v>23</v>
      </c>
      <c r="B1243" s="24" t="s">
        <v>1320</v>
      </c>
      <c r="C1243" s="12" t="s">
        <v>1321</v>
      </c>
      <c r="D1243" s="60"/>
      <c r="E1243" s="41" t="str">
        <f>HYPERLINK("https://www.google.ru/search?q=3027585-001&amp;newwindow=1&amp;tbm=isch","Еще фото")</f>
        <v>Еще фото</v>
      </c>
      <c r="F1243" s="13"/>
      <c r="G1243" s="24" t="s">
        <v>1184</v>
      </c>
      <c r="H1243" s="24" t="s">
        <v>741</v>
      </c>
      <c r="I1243" s="24" t="s">
        <v>1185</v>
      </c>
      <c r="J1243" s="14" t="s">
        <v>29</v>
      </c>
      <c r="K1243" s="15" t="s">
        <v>30</v>
      </c>
      <c r="L1243" s="62"/>
      <c r="M1243" s="14"/>
      <c r="N1243" s="14" t="s">
        <v>33</v>
      </c>
      <c r="O1243" s="14"/>
      <c r="P1243" s="15" t="s">
        <v>1298</v>
      </c>
      <c r="Q1243" s="16">
        <v>16099</v>
      </c>
      <c r="R1243" s="17">
        <v>52.43</v>
      </c>
      <c r="S1243" s="18">
        <v>8806.4354999999996</v>
      </c>
      <c r="T1243" s="19" t="s">
        <v>36</v>
      </c>
      <c r="U1243" s="20" t="s">
        <v>752</v>
      </c>
      <c r="V1243" s="22">
        <v>43</v>
      </c>
      <c r="W1243" s="22">
        <v>3</v>
      </c>
      <c r="X1243" s="23"/>
    </row>
    <row r="1244" spans="1:24" s="1" customFormat="1" ht="26" customHeight="1" x14ac:dyDescent="0.3">
      <c r="A1244" s="24" t="s">
        <v>23</v>
      </c>
      <c r="B1244" s="24" t="s">
        <v>1320</v>
      </c>
      <c r="C1244" s="12" t="s">
        <v>1321</v>
      </c>
      <c r="D1244" s="61"/>
      <c r="E1244" s="41" t="str">
        <f>HYPERLINK("https://www.google.ru/search?q=3027585-001&amp;newwindow=1&amp;tbm=isch","Еще фото")</f>
        <v>Еще фото</v>
      </c>
      <c r="F1244" s="13"/>
      <c r="G1244" s="24" t="s">
        <v>1184</v>
      </c>
      <c r="H1244" s="24" t="s">
        <v>741</v>
      </c>
      <c r="I1244" s="24" t="s">
        <v>1185</v>
      </c>
      <c r="J1244" s="14" t="s">
        <v>29</v>
      </c>
      <c r="K1244" s="15" t="s">
        <v>30</v>
      </c>
      <c r="L1244" s="58"/>
      <c r="M1244" s="14"/>
      <c r="N1244" s="14" t="s">
        <v>33</v>
      </c>
      <c r="O1244" s="14"/>
      <c r="P1244" s="15" t="s">
        <v>1298</v>
      </c>
      <c r="Q1244" s="16">
        <v>16099</v>
      </c>
      <c r="R1244" s="17">
        <v>52.43</v>
      </c>
      <c r="S1244" s="18">
        <v>8806.4354999999996</v>
      </c>
      <c r="T1244" s="19" t="s">
        <v>36</v>
      </c>
      <c r="U1244" s="20" t="s">
        <v>753</v>
      </c>
      <c r="V1244" s="34">
        <v>43.5</v>
      </c>
      <c r="W1244" s="22">
        <v>1</v>
      </c>
      <c r="X1244" s="23"/>
    </row>
    <row r="1245" spans="1:24" s="1" customFormat="1" ht="52.05" customHeight="1" x14ac:dyDescent="0.3">
      <c r="A1245" s="11" t="s">
        <v>23</v>
      </c>
      <c r="B1245" s="11" t="s">
        <v>1322</v>
      </c>
      <c r="C1245" s="12" t="s">
        <v>1323</v>
      </c>
      <c r="D1245" s="55"/>
      <c r="E1245" s="41" t="str">
        <f>HYPERLINK("https://www.google.ru/search?q=3027772-001&amp;newwindow=1&amp;tbm=isch","Еще фото")</f>
        <v>Еще фото</v>
      </c>
      <c r="F1245" s="13"/>
      <c r="G1245" s="11" t="s">
        <v>1184</v>
      </c>
      <c r="H1245" s="11" t="s">
        <v>741</v>
      </c>
      <c r="I1245" s="14" t="s">
        <v>1185</v>
      </c>
      <c r="J1245" s="14" t="s">
        <v>260</v>
      </c>
      <c r="K1245" s="15" t="s">
        <v>723</v>
      </c>
      <c r="L1245" s="57" t="s">
        <v>1324</v>
      </c>
      <c r="M1245" s="14"/>
      <c r="N1245" s="14" t="s">
        <v>33</v>
      </c>
      <c r="O1245" s="14"/>
      <c r="P1245" s="15" t="s">
        <v>1325</v>
      </c>
      <c r="Q1245" s="16">
        <v>21499</v>
      </c>
      <c r="R1245" s="17">
        <v>52.43</v>
      </c>
      <c r="S1245" s="18">
        <v>11761.9355</v>
      </c>
      <c r="T1245" s="19" t="s">
        <v>36</v>
      </c>
      <c r="U1245" s="20" t="s">
        <v>1326</v>
      </c>
      <c r="V1245" s="22">
        <v>42</v>
      </c>
      <c r="W1245" s="22">
        <v>2</v>
      </c>
      <c r="X1245" s="23"/>
    </row>
    <row r="1246" spans="1:24" s="1" customFormat="1" ht="61.05" customHeight="1" x14ac:dyDescent="0.3">
      <c r="A1246" s="24" t="s">
        <v>23</v>
      </c>
      <c r="B1246" s="24" t="s">
        <v>1322</v>
      </c>
      <c r="C1246" s="12" t="s">
        <v>1323</v>
      </c>
      <c r="D1246" s="56"/>
      <c r="E1246" s="41" t="str">
        <f>HYPERLINK("https://www.google.ru/search?q=3027772-001&amp;newwindow=1&amp;tbm=isch","Еще фото")</f>
        <v>Еще фото</v>
      </c>
      <c r="F1246" s="13"/>
      <c r="G1246" s="24" t="s">
        <v>1184</v>
      </c>
      <c r="H1246" s="24" t="s">
        <v>741</v>
      </c>
      <c r="I1246" s="24" t="s">
        <v>1185</v>
      </c>
      <c r="J1246" s="14" t="s">
        <v>260</v>
      </c>
      <c r="K1246" s="15" t="s">
        <v>723</v>
      </c>
      <c r="L1246" s="58"/>
      <c r="M1246" s="14"/>
      <c r="N1246" s="14" t="s">
        <v>33</v>
      </c>
      <c r="O1246" s="14"/>
      <c r="P1246" s="15" t="s">
        <v>1325</v>
      </c>
      <c r="Q1246" s="16">
        <v>21499</v>
      </c>
      <c r="R1246" s="17">
        <v>52.43</v>
      </c>
      <c r="S1246" s="18">
        <v>11761.9355</v>
      </c>
      <c r="T1246" s="19" t="s">
        <v>36</v>
      </c>
      <c r="U1246" s="20" t="s">
        <v>1327</v>
      </c>
      <c r="V1246" s="22">
        <v>44</v>
      </c>
      <c r="W1246" s="22">
        <v>1</v>
      </c>
      <c r="X1246" s="23"/>
    </row>
    <row r="1247" spans="1:24" s="1" customFormat="1" ht="26" customHeight="1" x14ac:dyDescent="0.3">
      <c r="A1247" s="11" t="s">
        <v>23</v>
      </c>
      <c r="B1247" s="11" t="s">
        <v>1328</v>
      </c>
      <c r="C1247" s="12" t="s">
        <v>1329</v>
      </c>
      <c r="D1247" s="59"/>
      <c r="E1247" s="41" t="str">
        <f>HYPERLINK("https://www.google.ru/search?q=3027764-500&amp;newwindow=1&amp;tbm=isch","Еще фото")</f>
        <v>Еще фото</v>
      </c>
      <c r="F1247" s="13"/>
      <c r="G1247" s="11" t="s">
        <v>1184</v>
      </c>
      <c r="H1247" s="11" t="s">
        <v>741</v>
      </c>
      <c r="I1247" s="14" t="s">
        <v>1185</v>
      </c>
      <c r="J1247" s="14" t="s">
        <v>29</v>
      </c>
      <c r="K1247" s="15" t="s">
        <v>723</v>
      </c>
      <c r="L1247" s="57" t="s">
        <v>1330</v>
      </c>
      <c r="M1247" s="14"/>
      <c r="N1247" s="14" t="s">
        <v>79</v>
      </c>
      <c r="O1247" s="14"/>
      <c r="P1247" s="15" t="s">
        <v>1331</v>
      </c>
      <c r="Q1247" s="16">
        <v>13699</v>
      </c>
      <c r="R1247" s="17">
        <v>52.42</v>
      </c>
      <c r="S1247" s="18">
        <v>7495.4354999999996</v>
      </c>
      <c r="T1247" s="19" t="s">
        <v>36</v>
      </c>
      <c r="U1247" s="20" t="s">
        <v>1332</v>
      </c>
      <c r="V1247" s="34">
        <v>35.5</v>
      </c>
      <c r="W1247" s="22">
        <v>2</v>
      </c>
      <c r="X1247" s="23"/>
    </row>
    <row r="1248" spans="1:24" s="1" customFormat="1" ht="26" customHeight="1" x14ac:dyDescent="0.3">
      <c r="A1248" s="24" t="s">
        <v>23</v>
      </c>
      <c r="B1248" s="24" t="s">
        <v>1328</v>
      </c>
      <c r="C1248" s="12" t="s">
        <v>1329</v>
      </c>
      <c r="D1248" s="60"/>
      <c r="E1248" s="41" t="str">
        <f>HYPERLINK("https://www.google.ru/search?q=3027764-500&amp;newwindow=1&amp;tbm=isch","Еще фото")</f>
        <v>Еще фото</v>
      </c>
      <c r="F1248" s="13"/>
      <c r="G1248" s="24" t="s">
        <v>1184</v>
      </c>
      <c r="H1248" s="24" t="s">
        <v>741</v>
      </c>
      <c r="I1248" s="24" t="s">
        <v>1185</v>
      </c>
      <c r="J1248" s="14" t="s">
        <v>29</v>
      </c>
      <c r="K1248" s="15" t="s">
        <v>723</v>
      </c>
      <c r="L1248" s="62"/>
      <c r="M1248" s="14"/>
      <c r="N1248" s="14" t="s">
        <v>79</v>
      </c>
      <c r="O1248" s="14"/>
      <c r="P1248" s="15" t="s">
        <v>1331</v>
      </c>
      <c r="Q1248" s="16">
        <v>13699</v>
      </c>
      <c r="R1248" s="17">
        <v>52.42</v>
      </c>
      <c r="S1248" s="18">
        <v>7495.4354999999996</v>
      </c>
      <c r="T1248" s="19" t="s">
        <v>36</v>
      </c>
      <c r="U1248" s="20" t="s">
        <v>1333</v>
      </c>
      <c r="V1248" s="22">
        <v>36</v>
      </c>
      <c r="W1248" s="22">
        <v>1</v>
      </c>
      <c r="X1248" s="23"/>
    </row>
    <row r="1249" spans="1:24" s="1" customFormat="1" ht="26" customHeight="1" x14ac:dyDescent="0.3">
      <c r="A1249" s="24" t="s">
        <v>23</v>
      </c>
      <c r="B1249" s="24" t="s">
        <v>1328</v>
      </c>
      <c r="C1249" s="12" t="s">
        <v>1329</v>
      </c>
      <c r="D1249" s="60"/>
      <c r="E1249" s="41" t="str">
        <f>HYPERLINK("https://www.google.ru/search?q=3027764-500&amp;newwindow=1&amp;tbm=isch","Еще фото")</f>
        <v>Еще фото</v>
      </c>
      <c r="F1249" s="13"/>
      <c r="G1249" s="24" t="s">
        <v>1184</v>
      </c>
      <c r="H1249" s="24" t="s">
        <v>741</v>
      </c>
      <c r="I1249" s="24" t="s">
        <v>1185</v>
      </c>
      <c r="J1249" s="14" t="s">
        <v>29</v>
      </c>
      <c r="K1249" s="15" t="s">
        <v>723</v>
      </c>
      <c r="L1249" s="62"/>
      <c r="M1249" s="14"/>
      <c r="N1249" s="14" t="s">
        <v>79</v>
      </c>
      <c r="O1249" s="14"/>
      <c r="P1249" s="15" t="s">
        <v>1331</v>
      </c>
      <c r="Q1249" s="16">
        <v>13699</v>
      </c>
      <c r="R1249" s="17">
        <v>52.42</v>
      </c>
      <c r="S1249" s="18">
        <v>7495.4354999999996</v>
      </c>
      <c r="T1249" s="19" t="s">
        <v>36</v>
      </c>
      <c r="U1249" s="20" t="s">
        <v>1334</v>
      </c>
      <c r="V1249" s="34">
        <v>36.5</v>
      </c>
      <c r="W1249" s="22">
        <v>1</v>
      </c>
      <c r="X1249" s="23"/>
    </row>
    <row r="1250" spans="1:24" s="1" customFormat="1" ht="26" customHeight="1" x14ac:dyDescent="0.3">
      <c r="A1250" s="24" t="s">
        <v>23</v>
      </c>
      <c r="B1250" s="24" t="s">
        <v>1328</v>
      </c>
      <c r="C1250" s="12" t="s">
        <v>1329</v>
      </c>
      <c r="D1250" s="61"/>
      <c r="E1250" s="41" t="str">
        <f>HYPERLINK("https://www.google.ru/search?q=3027764-500&amp;newwindow=1&amp;tbm=isch","Еще фото")</f>
        <v>Еще фото</v>
      </c>
      <c r="F1250" s="13"/>
      <c r="G1250" s="24" t="s">
        <v>1184</v>
      </c>
      <c r="H1250" s="24" t="s">
        <v>741</v>
      </c>
      <c r="I1250" s="24" t="s">
        <v>1185</v>
      </c>
      <c r="J1250" s="14" t="s">
        <v>29</v>
      </c>
      <c r="K1250" s="15" t="s">
        <v>723</v>
      </c>
      <c r="L1250" s="58"/>
      <c r="M1250" s="14"/>
      <c r="N1250" s="14" t="s">
        <v>79</v>
      </c>
      <c r="O1250" s="14"/>
      <c r="P1250" s="15" t="s">
        <v>1331</v>
      </c>
      <c r="Q1250" s="16">
        <v>13699</v>
      </c>
      <c r="R1250" s="17">
        <v>52.42</v>
      </c>
      <c r="S1250" s="18">
        <v>7495.4354999999996</v>
      </c>
      <c r="T1250" s="19" t="s">
        <v>36</v>
      </c>
      <c r="U1250" s="20" t="s">
        <v>1335</v>
      </c>
      <c r="V1250" s="22">
        <v>37</v>
      </c>
      <c r="W1250" s="22">
        <v>1</v>
      </c>
      <c r="X1250" s="23"/>
    </row>
    <row r="1251" spans="1:24" s="1" customFormat="1" ht="11" customHeight="1" x14ac:dyDescent="0.3">
      <c r="A1251" s="11" t="s">
        <v>23</v>
      </c>
      <c r="B1251" s="11" t="s">
        <v>1295</v>
      </c>
      <c r="C1251" s="12" t="s">
        <v>1336</v>
      </c>
      <c r="D1251" s="59"/>
      <c r="E1251" s="41" t="str">
        <f t="shared" ref="E1251:E1261" si="38">HYPERLINK("https://www.google.ru/search?q=3027585-003&amp;newwindow=1&amp;tbm=isch","Еще фото")</f>
        <v>Еще фото</v>
      </c>
      <c r="F1251" s="13" t="s">
        <v>103</v>
      </c>
      <c r="G1251" s="11" t="s">
        <v>1184</v>
      </c>
      <c r="H1251" s="11" t="s">
        <v>741</v>
      </c>
      <c r="I1251" s="14" t="s">
        <v>1185</v>
      </c>
      <c r="J1251" s="14" t="s">
        <v>29</v>
      </c>
      <c r="K1251" s="15" t="s">
        <v>30</v>
      </c>
      <c r="L1251" s="57" t="s">
        <v>1297</v>
      </c>
      <c r="M1251" s="14"/>
      <c r="N1251" s="14" t="s">
        <v>33</v>
      </c>
      <c r="O1251" s="14"/>
      <c r="P1251" s="15" t="s">
        <v>1298</v>
      </c>
      <c r="Q1251" s="16">
        <v>16599</v>
      </c>
      <c r="R1251" s="17">
        <v>52.42</v>
      </c>
      <c r="S1251" s="18">
        <v>9082.4354999999996</v>
      </c>
      <c r="T1251" s="19" t="s">
        <v>36</v>
      </c>
      <c r="U1251" s="20" t="s">
        <v>746</v>
      </c>
      <c r="V1251" s="22">
        <v>39</v>
      </c>
      <c r="W1251" s="22">
        <v>6</v>
      </c>
      <c r="X1251" s="23"/>
    </row>
    <row r="1252" spans="1:24" s="1" customFormat="1" ht="11" customHeight="1" x14ac:dyDescent="0.3">
      <c r="A1252" s="24" t="s">
        <v>23</v>
      </c>
      <c r="B1252" s="24" t="s">
        <v>1295</v>
      </c>
      <c r="C1252" s="12" t="s">
        <v>1336</v>
      </c>
      <c r="D1252" s="60"/>
      <c r="E1252" s="41" t="str">
        <f t="shared" si="38"/>
        <v>Еще фото</v>
      </c>
      <c r="F1252" s="13" t="s">
        <v>103</v>
      </c>
      <c r="G1252" s="24" t="s">
        <v>1184</v>
      </c>
      <c r="H1252" s="24" t="s">
        <v>741</v>
      </c>
      <c r="I1252" s="24" t="s">
        <v>1185</v>
      </c>
      <c r="J1252" s="14" t="s">
        <v>29</v>
      </c>
      <c r="K1252" s="15" t="s">
        <v>30</v>
      </c>
      <c r="L1252" s="62"/>
      <c r="M1252" s="14"/>
      <c r="N1252" s="14" t="s">
        <v>33</v>
      </c>
      <c r="O1252" s="14"/>
      <c r="P1252" s="15" t="s">
        <v>1298</v>
      </c>
      <c r="Q1252" s="16">
        <v>16599</v>
      </c>
      <c r="R1252" s="17">
        <v>52.42</v>
      </c>
      <c r="S1252" s="18">
        <v>9082.4354999999996</v>
      </c>
      <c r="T1252" s="19" t="s">
        <v>36</v>
      </c>
      <c r="U1252" s="20" t="s">
        <v>747</v>
      </c>
      <c r="V1252" s="34">
        <v>39.5</v>
      </c>
      <c r="W1252" s="22">
        <v>6</v>
      </c>
      <c r="X1252" s="23"/>
    </row>
    <row r="1253" spans="1:24" s="1" customFormat="1" ht="11" customHeight="1" x14ac:dyDescent="0.3">
      <c r="A1253" s="24" t="s">
        <v>23</v>
      </c>
      <c r="B1253" s="24" t="s">
        <v>1295</v>
      </c>
      <c r="C1253" s="12" t="s">
        <v>1336</v>
      </c>
      <c r="D1253" s="60"/>
      <c r="E1253" s="41" t="str">
        <f t="shared" si="38"/>
        <v>Еще фото</v>
      </c>
      <c r="F1253" s="13" t="s">
        <v>103</v>
      </c>
      <c r="G1253" s="24" t="s">
        <v>1184</v>
      </c>
      <c r="H1253" s="24" t="s">
        <v>741</v>
      </c>
      <c r="I1253" s="24" t="s">
        <v>1185</v>
      </c>
      <c r="J1253" s="14" t="s">
        <v>29</v>
      </c>
      <c r="K1253" s="15" t="s">
        <v>30</v>
      </c>
      <c r="L1253" s="62"/>
      <c r="M1253" s="14"/>
      <c r="N1253" s="14" t="s">
        <v>33</v>
      </c>
      <c r="O1253" s="14"/>
      <c r="P1253" s="15" t="s">
        <v>1298</v>
      </c>
      <c r="Q1253" s="16">
        <v>16599</v>
      </c>
      <c r="R1253" s="17">
        <v>52.42</v>
      </c>
      <c r="S1253" s="18">
        <v>9082.4354999999996</v>
      </c>
      <c r="T1253" s="19" t="s">
        <v>36</v>
      </c>
      <c r="U1253" s="20" t="s">
        <v>748</v>
      </c>
      <c r="V1253" s="22">
        <v>40</v>
      </c>
      <c r="W1253" s="22">
        <v>6</v>
      </c>
      <c r="X1253" s="23"/>
    </row>
    <row r="1254" spans="1:24" s="1" customFormat="1" ht="11" customHeight="1" x14ac:dyDescent="0.3">
      <c r="A1254" s="24" t="s">
        <v>23</v>
      </c>
      <c r="B1254" s="24" t="s">
        <v>1295</v>
      </c>
      <c r="C1254" s="12" t="s">
        <v>1336</v>
      </c>
      <c r="D1254" s="60"/>
      <c r="E1254" s="41" t="str">
        <f t="shared" si="38"/>
        <v>Еще фото</v>
      </c>
      <c r="F1254" s="13" t="s">
        <v>103</v>
      </c>
      <c r="G1254" s="24" t="s">
        <v>1184</v>
      </c>
      <c r="H1254" s="24" t="s">
        <v>741</v>
      </c>
      <c r="I1254" s="24" t="s">
        <v>1185</v>
      </c>
      <c r="J1254" s="14" t="s">
        <v>29</v>
      </c>
      <c r="K1254" s="15" t="s">
        <v>30</v>
      </c>
      <c r="L1254" s="62"/>
      <c r="M1254" s="14"/>
      <c r="N1254" s="14" t="s">
        <v>33</v>
      </c>
      <c r="O1254" s="14"/>
      <c r="P1254" s="15" t="s">
        <v>1298</v>
      </c>
      <c r="Q1254" s="16">
        <v>16599</v>
      </c>
      <c r="R1254" s="17">
        <v>52.42</v>
      </c>
      <c r="S1254" s="18">
        <v>9082.4354999999996</v>
      </c>
      <c r="T1254" s="19" t="s">
        <v>36</v>
      </c>
      <c r="U1254" s="20" t="s">
        <v>749</v>
      </c>
      <c r="V1254" s="22">
        <v>41</v>
      </c>
      <c r="W1254" s="22">
        <v>9</v>
      </c>
      <c r="X1254" s="23"/>
    </row>
    <row r="1255" spans="1:24" s="1" customFormat="1" ht="11" customHeight="1" x14ac:dyDescent="0.3">
      <c r="A1255" s="24" t="s">
        <v>23</v>
      </c>
      <c r="B1255" s="24" t="s">
        <v>1295</v>
      </c>
      <c r="C1255" s="12" t="s">
        <v>1336</v>
      </c>
      <c r="D1255" s="60"/>
      <c r="E1255" s="41" t="str">
        <f t="shared" si="38"/>
        <v>Еще фото</v>
      </c>
      <c r="F1255" s="13" t="s">
        <v>103</v>
      </c>
      <c r="G1255" s="24" t="s">
        <v>1184</v>
      </c>
      <c r="H1255" s="24" t="s">
        <v>741</v>
      </c>
      <c r="I1255" s="24" t="s">
        <v>1185</v>
      </c>
      <c r="J1255" s="14" t="s">
        <v>29</v>
      </c>
      <c r="K1255" s="15" t="s">
        <v>30</v>
      </c>
      <c r="L1255" s="62"/>
      <c r="M1255" s="14"/>
      <c r="N1255" s="14" t="s">
        <v>33</v>
      </c>
      <c r="O1255" s="14"/>
      <c r="P1255" s="15" t="s">
        <v>1298</v>
      </c>
      <c r="Q1255" s="16">
        <v>16599</v>
      </c>
      <c r="R1255" s="17">
        <v>52.42</v>
      </c>
      <c r="S1255" s="18">
        <v>9082.4354999999996</v>
      </c>
      <c r="T1255" s="19" t="s">
        <v>36</v>
      </c>
      <c r="U1255" s="20" t="s">
        <v>750</v>
      </c>
      <c r="V1255" s="34">
        <v>41.5</v>
      </c>
      <c r="W1255" s="22">
        <v>17</v>
      </c>
      <c r="X1255" s="23"/>
    </row>
    <row r="1256" spans="1:24" s="1" customFormat="1" ht="11" customHeight="1" x14ac:dyDescent="0.3">
      <c r="A1256" s="24" t="s">
        <v>23</v>
      </c>
      <c r="B1256" s="24" t="s">
        <v>1295</v>
      </c>
      <c r="C1256" s="12" t="s">
        <v>1336</v>
      </c>
      <c r="D1256" s="60"/>
      <c r="E1256" s="41" t="str">
        <f t="shared" si="38"/>
        <v>Еще фото</v>
      </c>
      <c r="F1256" s="13" t="s">
        <v>103</v>
      </c>
      <c r="G1256" s="24" t="s">
        <v>1184</v>
      </c>
      <c r="H1256" s="24" t="s">
        <v>741</v>
      </c>
      <c r="I1256" s="24" t="s">
        <v>1185</v>
      </c>
      <c r="J1256" s="14" t="s">
        <v>29</v>
      </c>
      <c r="K1256" s="15" t="s">
        <v>30</v>
      </c>
      <c r="L1256" s="62"/>
      <c r="M1256" s="14"/>
      <c r="N1256" s="14" t="s">
        <v>33</v>
      </c>
      <c r="O1256" s="14"/>
      <c r="P1256" s="15" t="s">
        <v>1298</v>
      </c>
      <c r="Q1256" s="16">
        <v>16599</v>
      </c>
      <c r="R1256" s="17">
        <v>52.42</v>
      </c>
      <c r="S1256" s="18">
        <v>9082.4354999999996</v>
      </c>
      <c r="T1256" s="19" t="s">
        <v>36</v>
      </c>
      <c r="U1256" s="20" t="s">
        <v>751</v>
      </c>
      <c r="V1256" s="22">
        <v>42</v>
      </c>
      <c r="W1256" s="22">
        <v>20</v>
      </c>
      <c r="X1256" s="23"/>
    </row>
    <row r="1257" spans="1:24" s="1" customFormat="1" ht="11" customHeight="1" x14ac:dyDescent="0.3">
      <c r="A1257" s="24" t="s">
        <v>23</v>
      </c>
      <c r="B1257" s="24" t="s">
        <v>1295</v>
      </c>
      <c r="C1257" s="12" t="s">
        <v>1336</v>
      </c>
      <c r="D1257" s="60"/>
      <c r="E1257" s="41" t="str">
        <f t="shared" si="38"/>
        <v>Еще фото</v>
      </c>
      <c r="F1257" s="13" t="s">
        <v>103</v>
      </c>
      <c r="G1257" s="24" t="s">
        <v>1184</v>
      </c>
      <c r="H1257" s="24" t="s">
        <v>741</v>
      </c>
      <c r="I1257" s="24" t="s">
        <v>1185</v>
      </c>
      <c r="J1257" s="14" t="s">
        <v>29</v>
      </c>
      <c r="K1257" s="15" t="s">
        <v>30</v>
      </c>
      <c r="L1257" s="62"/>
      <c r="M1257" s="14"/>
      <c r="N1257" s="14" t="s">
        <v>33</v>
      </c>
      <c r="O1257" s="14"/>
      <c r="P1257" s="15" t="s">
        <v>1298</v>
      </c>
      <c r="Q1257" s="16">
        <v>16599</v>
      </c>
      <c r="R1257" s="17">
        <v>52.42</v>
      </c>
      <c r="S1257" s="18">
        <v>9082.4354999999996</v>
      </c>
      <c r="T1257" s="19" t="s">
        <v>36</v>
      </c>
      <c r="U1257" s="20" t="s">
        <v>752</v>
      </c>
      <c r="V1257" s="22">
        <v>43</v>
      </c>
      <c r="W1257" s="22">
        <v>21</v>
      </c>
      <c r="X1257" s="23"/>
    </row>
    <row r="1258" spans="1:24" s="1" customFormat="1" ht="11" customHeight="1" x14ac:dyDescent="0.3">
      <c r="A1258" s="24" t="s">
        <v>23</v>
      </c>
      <c r="B1258" s="24" t="s">
        <v>1295</v>
      </c>
      <c r="C1258" s="12" t="s">
        <v>1336</v>
      </c>
      <c r="D1258" s="60"/>
      <c r="E1258" s="41" t="str">
        <f t="shared" si="38"/>
        <v>Еще фото</v>
      </c>
      <c r="F1258" s="13" t="s">
        <v>103</v>
      </c>
      <c r="G1258" s="24" t="s">
        <v>1184</v>
      </c>
      <c r="H1258" s="24" t="s">
        <v>741</v>
      </c>
      <c r="I1258" s="24" t="s">
        <v>1185</v>
      </c>
      <c r="J1258" s="14" t="s">
        <v>29</v>
      </c>
      <c r="K1258" s="15" t="s">
        <v>30</v>
      </c>
      <c r="L1258" s="62"/>
      <c r="M1258" s="14"/>
      <c r="N1258" s="14" t="s">
        <v>33</v>
      </c>
      <c r="O1258" s="14"/>
      <c r="P1258" s="15" t="s">
        <v>1298</v>
      </c>
      <c r="Q1258" s="16">
        <v>16599</v>
      </c>
      <c r="R1258" s="17">
        <v>52.42</v>
      </c>
      <c r="S1258" s="18">
        <v>9082.4354999999996</v>
      </c>
      <c r="T1258" s="19" t="s">
        <v>36</v>
      </c>
      <c r="U1258" s="20" t="s">
        <v>753</v>
      </c>
      <c r="V1258" s="34">
        <v>43.5</v>
      </c>
      <c r="W1258" s="22">
        <v>10</v>
      </c>
      <c r="X1258" s="23"/>
    </row>
    <row r="1259" spans="1:24" s="1" customFormat="1" ht="11" customHeight="1" x14ac:dyDescent="0.3">
      <c r="A1259" s="24" t="s">
        <v>23</v>
      </c>
      <c r="B1259" s="24" t="s">
        <v>1295</v>
      </c>
      <c r="C1259" s="12" t="s">
        <v>1336</v>
      </c>
      <c r="D1259" s="60"/>
      <c r="E1259" s="41" t="str">
        <f t="shared" si="38"/>
        <v>Еще фото</v>
      </c>
      <c r="F1259" s="13" t="s">
        <v>103</v>
      </c>
      <c r="G1259" s="24" t="s">
        <v>1184</v>
      </c>
      <c r="H1259" s="24" t="s">
        <v>741</v>
      </c>
      <c r="I1259" s="24" t="s">
        <v>1185</v>
      </c>
      <c r="J1259" s="14" t="s">
        <v>29</v>
      </c>
      <c r="K1259" s="15" t="s">
        <v>30</v>
      </c>
      <c r="L1259" s="62"/>
      <c r="M1259" s="14"/>
      <c r="N1259" s="14" t="s">
        <v>33</v>
      </c>
      <c r="O1259" s="14"/>
      <c r="P1259" s="15" t="s">
        <v>1298</v>
      </c>
      <c r="Q1259" s="16">
        <v>16599</v>
      </c>
      <c r="R1259" s="17">
        <v>52.42</v>
      </c>
      <c r="S1259" s="18">
        <v>9082.4354999999996</v>
      </c>
      <c r="T1259" s="19" t="s">
        <v>36</v>
      </c>
      <c r="U1259" s="20" t="s">
        <v>754</v>
      </c>
      <c r="V1259" s="22">
        <v>44</v>
      </c>
      <c r="W1259" s="22">
        <v>4</v>
      </c>
      <c r="X1259" s="23"/>
    </row>
    <row r="1260" spans="1:24" s="1" customFormat="1" ht="11" customHeight="1" x14ac:dyDescent="0.3">
      <c r="A1260" s="14" t="s">
        <v>23</v>
      </c>
      <c r="B1260" s="14" t="s">
        <v>1295</v>
      </c>
      <c r="C1260" s="12" t="s">
        <v>1336</v>
      </c>
      <c r="D1260" s="60"/>
      <c r="E1260" s="41" t="str">
        <f t="shared" si="38"/>
        <v>Еще фото</v>
      </c>
      <c r="F1260" s="29" t="s">
        <v>103</v>
      </c>
      <c r="G1260" s="14" t="s">
        <v>1184</v>
      </c>
      <c r="H1260" s="14" t="s">
        <v>741</v>
      </c>
      <c r="I1260" s="14" t="s">
        <v>1185</v>
      </c>
      <c r="J1260" s="14" t="s">
        <v>29</v>
      </c>
      <c r="K1260" s="14" t="s">
        <v>30</v>
      </c>
      <c r="L1260" s="62"/>
      <c r="M1260" s="14"/>
      <c r="N1260" s="14" t="s">
        <v>33</v>
      </c>
      <c r="O1260" s="14"/>
      <c r="P1260" s="14" t="s">
        <v>1298</v>
      </c>
      <c r="Q1260" s="30">
        <v>16599</v>
      </c>
      <c r="R1260" s="31">
        <v>52.42</v>
      </c>
      <c r="S1260" s="32">
        <v>9082.4354999999996</v>
      </c>
      <c r="T1260" s="19" t="s">
        <v>36</v>
      </c>
      <c r="U1260" s="20" t="s">
        <v>755</v>
      </c>
      <c r="V1260" s="34">
        <v>44.5</v>
      </c>
      <c r="W1260" s="22">
        <v>3</v>
      </c>
      <c r="X1260" s="23"/>
    </row>
    <row r="1261" spans="1:24" s="1" customFormat="1" ht="11" customHeight="1" x14ac:dyDescent="0.3">
      <c r="A1261" s="14" t="s">
        <v>23</v>
      </c>
      <c r="B1261" s="14" t="s">
        <v>1295</v>
      </c>
      <c r="C1261" s="12" t="s">
        <v>1336</v>
      </c>
      <c r="D1261" s="61"/>
      <c r="E1261" s="41" t="str">
        <f t="shared" si="38"/>
        <v>Еще фото</v>
      </c>
      <c r="F1261" s="29" t="s">
        <v>103</v>
      </c>
      <c r="G1261" s="14" t="s">
        <v>1184</v>
      </c>
      <c r="H1261" s="14" t="s">
        <v>741</v>
      </c>
      <c r="I1261" s="14" t="s">
        <v>1185</v>
      </c>
      <c r="J1261" s="14" t="s">
        <v>29</v>
      </c>
      <c r="K1261" s="14" t="s">
        <v>30</v>
      </c>
      <c r="L1261" s="58"/>
      <c r="M1261" s="14"/>
      <c r="N1261" s="14" t="s">
        <v>33</v>
      </c>
      <c r="O1261" s="14"/>
      <c r="P1261" s="14" t="s">
        <v>1298</v>
      </c>
      <c r="Q1261" s="30">
        <v>16599</v>
      </c>
      <c r="R1261" s="31">
        <v>52.42</v>
      </c>
      <c r="S1261" s="32">
        <v>9082.4354999999996</v>
      </c>
      <c r="T1261" s="19" t="s">
        <v>36</v>
      </c>
      <c r="U1261" s="20" t="s">
        <v>1337</v>
      </c>
      <c r="V1261" s="22">
        <v>45</v>
      </c>
      <c r="W1261" s="22">
        <v>3</v>
      </c>
      <c r="X1261" s="23"/>
    </row>
    <row r="1262" spans="1:24" s="1" customFormat="1" ht="26" customHeight="1" x14ac:dyDescent="0.3">
      <c r="A1262" s="11" t="s">
        <v>23</v>
      </c>
      <c r="B1262" s="11" t="s">
        <v>1338</v>
      </c>
      <c r="C1262" s="12" t="s">
        <v>1339</v>
      </c>
      <c r="D1262" s="59"/>
      <c r="E1262" s="41" t="str">
        <f>HYPERLINK("https://www.google.ru/search?q=3025459-001&amp;newwindow=1&amp;tbm=isch","Еще фото")</f>
        <v>Еще фото</v>
      </c>
      <c r="F1262" s="13"/>
      <c r="G1262" s="11" t="s">
        <v>1184</v>
      </c>
      <c r="H1262" s="11" t="s">
        <v>741</v>
      </c>
      <c r="I1262" s="14" t="s">
        <v>1185</v>
      </c>
      <c r="J1262" s="14" t="s">
        <v>29</v>
      </c>
      <c r="K1262" s="15" t="s">
        <v>59</v>
      </c>
      <c r="L1262" s="57" t="s">
        <v>1340</v>
      </c>
      <c r="M1262" s="14" t="s">
        <v>1225</v>
      </c>
      <c r="N1262" s="14" t="s">
        <v>33</v>
      </c>
      <c r="O1262" s="14"/>
      <c r="P1262" s="15" t="s">
        <v>1279</v>
      </c>
      <c r="Q1262" s="16">
        <v>21999</v>
      </c>
      <c r="R1262" s="17">
        <v>52.42</v>
      </c>
      <c r="S1262" s="18">
        <v>12037.9355</v>
      </c>
      <c r="T1262" s="19" t="s">
        <v>36</v>
      </c>
      <c r="U1262" s="20" t="s">
        <v>1190</v>
      </c>
      <c r="V1262" s="34">
        <v>35.5</v>
      </c>
      <c r="W1262" s="22">
        <v>1</v>
      </c>
      <c r="X1262" s="23"/>
    </row>
    <row r="1263" spans="1:24" s="1" customFormat="1" ht="26" customHeight="1" x14ac:dyDescent="0.3">
      <c r="A1263" s="24" t="s">
        <v>23</v>
      </c>
      <c r="B1263" s="24" t="s">
        <v>1338</v>
      </c>
      <c r="C1263" s="12" t="s">
        <v>1339</v>
      </c>
      <c r="D1263" s="60"/>
      <c r="E1263" s="41" t="str">
        <f>HYPERLINK("https://www.google.ru/search?q=3025459-001&amp;newwindow=1&amp;tbm=isch","Еще фото")</f>
        <v>Еще фото</v>
      </c>
      <c r="F1263" s="13"/>
      <c r="G1263" s="24" t="s">
        <v>1184</v>
      </c>
      <c r="H1263" s="24" t="s">
        <v>741</v>
      </c>
      <c r="I1263" s="24" t="s">
        <v>1185</v>
      </c>
      <c r="J1263" s="14" t="s">
        <v>29</v>
      </c>
      <c r="K1263" s="15" t="s">
        <v>59</v>
      </c>
      <c r="L1263" s="62"/>
      <c r="M1263" s="14" t="s">
        <v>1225</v>
      </c>
      <c r="N1263" s="14" t="s">
        <v>33</v>
      </c>
      <c r="O1263" s="14"/>
      <c r="P1263" s="15" t="s">
        <v>1279</v>
      </c>
      <c r="Q1263" s="16">
        <v>21999</v>
      </c>
      <c r="R1263" s="17">
        <v>52.42</v>
      </c>
      <c r="S1263" s="18">
        <v>12037.9355</v>
      </c>
      <c r="T1263" s="19" t="s">
        <v>36</v>
      </c>
      <c r="U1263" s="20" t="s">
        <v>1196</v>
      </c>
      <c r="V1263" s="34">
        <v>36.5</v>
      </c>
      <c r="W1263" s="22">
        <v>1</v>
      </c>
      <c r="X1263" s="23"/>
    </row>
    <row r="1264" spans="1:24" s="1" customFormat="1" ht="26" customHeight="1" x14ac:dyDescent="0.3">
      <c r="A1264" s="24" t="s">
        <v>23</v>
      </c>
      <c r="B1264" s="24" t="s">
        <v>1338</v>
      </c>
      <c r="C1264" s="12" t="s">
        <v>1339</v>
      </c>
      <c r="D1264" s="60"/>
      <c r="E1264" s="41" t="str">
        <f>HYPERLINK("https://www.google.ru/search?q=3025459-001&amp;newwindow=1&amp;tbm=isch","Еще фото")</f>
        <v>Еще фото</v>
      </c>
      <c r="F1264" s="13"/>
      <c r="G1264" s="24" t="s">
        <v>1184</v>
      </c>
      <c r="H1264" s="24" t="s">
        <v>741</v>
      </c>
      <c r="I1264" s="24" t="s">
        <v>1185</v>
      </c>
      <c r="J1264" s="14" t="s">
        <v>29</v>
      </c>
      <c r="K1264" s="15" t="s">
        <v>59</v>
      </c>
      <c r="L1264" s="62"/>
      <c r="M1264" s="14" t="s">
        <v>1225</v>
      </c>
      <c r="N1264" s="14" t="s">
        <v>33</v>
      </c>
      <c r="O1264" s="14"/>
      <c r="P1264" s="15" t="s">
        <v>1279</v>
      </c>
      <c r="Q1264" s="16">
        <v>21999</v>
      </c>
      <c r="R1264" s="17">
        <v>52.42</v>
      </c>
      <c r="S1264" s="18">
        <v>12037.9355</v>
      </c>
      <c r="T1264" s="19" t="s">
        <v>36</v>
      </c>
      <c r="U1264" s="20" t="s">
        <v>746</v>
      </c>
      <c r="V1264" s="22">
        <v>37</v>
      </c>
      <c r="W1264" s="22">
        <v>1</v>
      </c>
      <c r="X1264" s="23"/>
    </row>
    <row r="1265" spans="1:24" s="1" customFormat="1" ht="26" customHeight="1" x14ac:dyDescent="0.3">
      <c r="A1265" s="24" t="s">
        <v>23</v>
      </c>
      <c r="B1265" s="24" t="s">
        <v>1338</v>
      </c>
      <c r="C1265" s="12" t="s">
        <v>1339</v>
      </c>
      <c r="D1265" s="61"/>
      <c r="E1265" s="41" t="str">
        <f>HYPERLINK("https://www.google.ru/search?q=3025459-001&amp;newwindow=1&amp;tbm=isch","Еще фото")</f>
        <v>Еще фото</v>
      </c>
      <c r="F1265" s="13"/>
      <c r="G1265" s="24" t="s">
        <v>1184</v>
      </c>
      <c r="H1265" s="24" t="s">
        <v>741</v>
      </c>
      <c r="I1265" s="24" t="s">
        <v>1185</v>
      </c>
      <c r="J1265" s="14" t="s">
        <v>29</v>
      </c>
      <c r="K1265" s="15" t="s">
        <v>59</v>
      </c>
      <c r="L1265" s="58"/>
      <c r="M1265" s="14" t="s">
        <v>1225</v>
      </c>
      <c r="N1265" s="14" t="s">
        <v>33</v>
      </c>
      <c r="O1265" s="14"/>
      <c r="P1265" s="15" t="s">
        <v>1279</v>
      </c>
      <c r="Q1265" s="16">
        <v>21999</v>
      </c>
      <c r="R1265" s="17">
        <v>52.42</v>
      </c>
      <c r="S1265" s="18">
        <v>12037.9355</v>
      </c>
      <c r="T1265" s="19" t="s">
        <v>36</v>
      </c>
      <c r="U1265" s="20" t="s">
        <v>747</v>
      </c>
      <c r="V1265" s="34">
        <v>37.5</v>
      </c>
      <c r="W1265" s="22">
        <v>1</v>
      </c>
      <c r="X1265" s="23"/>
    </row>
    <row r="1266" spans="1:24" s="1" customFormat="1" ht="14" customHeight="1" x14ac:dyDescent="0.3">
      <c r="A1266" s="11" t="s">
        <v>23</v>
      </c>
      <c r="B1266" s="11" t="s">
        <v>1341</v>
      </c>
      <c r="C1266" s="12" t="s">
        <v>1342</v>
      </c>
      <c r="D1266" s="59"/>
      <c r="E1266" s="41" t="str">
        <f t="shared" ref="E1266:E1272" si="39">HYPERLINK("https://www.google.ru/search?q=6000018-023&amp;newwindow=1&amp;tbm=isch","Еще фото")</f>
        <v>Еще фото</v>
      </c>
      <c r="F1266" s="13"/>
      <c r="G1266" s="11" t="s">
        <v>1184</v>
      </c>
      <c r="H1266" s="11" t="s">
        <v>741</v>
      </c>
      <c r="I1266" s="14" t="s">
        <v>1185</v>
      </c>
      <c r="J1266" s="14" t="s">
        <v>29</v>
      </c>
      <c r="K1266" s="15" t="s">
        <v>723</v>
      </c>
      <c r="L1266" s="57" t="s">
        <v>1343</v>
      </c>
      <c r="M1266" s="14" t="s">
        <v>1225</v>
      </c>
      <c r="N1266" s="14" t="s">
        <v>62</v>
      </c>
      <c r="O1266" s="14"/>
      <c r="P1266" s="15" t="s">
        <v>1344</v>
      </c>
      <c r="Q1266" s="16">
        <v>21999</v>
      </c>
      <c r="R1266" s="17">
        <v>52.42</v>
      </c>
      <c r="S1266" s="18">
        <v>12037.9355</v>
      </c>
      <c r="T1266" s="19" t="s">
        <v>36</v>
      </c>
      <c r="U1266" s="20" t="s">
        <v>1345</v>
      </c>
      <c r="V1266" s="22">
        <v>41</v>
      </c>
      <c r="W1266" s="22">
        <v>2</v>
      </c>
      <c r="X1266" s="23"/>
    </row>
    <row r="1267" spans="1:24" s="1" customFormat="1" ht="14" customHeight="1" x14ac:dyDescent="0.3">
      <c r="A1267" s="24" t="s">
        <v>23</v>
      </c>
      <c r="B1267" s="24" t="s">
        <v>1341</v>
      </c>
      <c r="C1267" s="12" t="s">
        <v>1342</v>
      </c>
      <c r="D1267" s="60"/>
      <c r="E1267" s="41" t="str">
        <f t="shared" si="39"/>
        <v>Еще фото</v>
      </c>
      <c r="F1267" s="13"/>
      <c r="G1267" s="24" t="s">
        <v>1184</v>
      </c>
      <c r="H1267" s="24" t="s">
        <v>741</v>
      </c>
      <c r="I1267" s="24" t="s">
        <v>1185</v>
      </c>
      <c r="J1267" s="14" t="s">
        <v>29</v>
      </c>
      <c r="K1267" s="15" t="s">
        <v>723</v>
      </c>
      <c r="L1267" s="62"/>
      <c r="M1267" s="14" t="s">
        <v>1225</v>
      </c>
      <c r="N1267" s="14" t="s">
        <v>62</v>
      </c>
      <c r="O1267" s="14"/>
      <c r="P1267" s="15" t="s">
        <v>1344</v>
      </c>
      <c r="Q1267" s="16">
        <v>21999</v>
      </c>
      <c r="R1267" s="17">
        <v>52.42</v>
      </c>
      <c r="S1267" s="18">
        <v>12037.9355</v>
      </c>
      <c r="T1267" s="19" t="s">
        <v>36</v>
      </c>
      <c r="U1267" s="20" t="s">
        <v>1346</v>
      </c>
      <c r="V1267" s="34">
        <v>41.5</v>
      </c>
      <c r="W1267" s="22">
        <v>4</v>
      </c>
      <c r="X1267" s="23"/>
    </row>
    <row r="1268" spans="1:24" s="1" customFormat="1" ht="14" customHeight="1" x14ac:dyDescent="0.3">
      <c r="A1268" s="24" t="s">
        <v>23</v>
      </c>
      <c r="B1268" s="24" t="s">
        <v>1341</v>
      </c>
      <c r="C1268" s="12" t="s">
        <v>1342</v>
      </c>
      <c r="D1268" s="60"/>
      <c r="E1268" s="41" t="str">
        <f t="shared" si="39"/>
        <v>Еще фото</v>
      </c>
      <c r="F1268" s="13"/>
      <c r="G1268" s="24" t="s">
        <v>1184</v>
      </c>
      <c r="H1268" s="24" t="s">
        <v>741</v>
      </c>
      <c r="I1268" s="24" t="s">
        <v>1185</v>
      </c>
      <c r="J1268" s="14" t="s">
        <v>29</v>
      </c>
      <c r="K1268" s="15" t="s">
        <v>723</v>
      </c>
      <c r="L1268" s="62"/>
      <c r="M1268" s="14" t="s">
        <v>1225</v>
      </c>
      <c r="N1268" s="14" t="s">
        <v>62</v>
      </c>
      <c r="O1268" s="14"/>
      <c r="P1268" s="15" t="s">
        <v>1344</v>
      </c>
      <c r="Q1268" s="16">
        <v>21999</v>
      </c>
      <c r="R1268" s="17">
        <v>52.42</v>
      </c>
      <c r="S1268" s="18">
        <v>12037.9355</v>
      </c>
      <c r="T1268" s="19" t="s">
        <v>36</v>
      </c>
      <c r="U1268" s="20" t="s">
        <v>1326</v>
      </c>
      <c r="V1268" s="22">
        <v>42</v>
      </c>
      <c r="W1268" s="22">
        <v>6</v>
      </c>
      <c r="X1268" s="23"/>
    </row>
    <row r="1269" spans="1:24" s="1" customFormat="1" ht="14" customHeight="1" x14ac:dyDescent="0.3">
      <c r="A1269" s="24" t="s">
        <v>23</v>
      </c>
      <c r="B1269" s="24" t="s">
        <v>1341</v>
      </c>
      <c r="C1269" s="12" t="s">
        <v>1342</v>
      </c>
      <c r="D1269" s="60"/>
      <c r="E1269" s="41" t="str">
        <f t="shared" si="39"/>
        <v>Еще фото</v>
      </c>
      <c r="F1269" s="13"/>
      <c r="G1269" s="24" t="s">
        <v>1184</v>
      </c>
      <c r="H1269" s="24" t="s">
        <v>741</v>
      </c>
      <c r="I1269" s="24" t="s">
        <v>1185</v>
      </c>
      <c r="J1269" s="14" t="s">
        <v>29</v>
      </c>
      <c r="K1269" s="15" t="s">
        <v>723</v>
      </c>
      <c r="L1269" s="62"/>
      <c r="M1269" s="14" t="s">
        <v>1225</v>
      </c>
      <c r="N1269" s="14" t="s">
        <v>62</v>
      </c>
      <c r="O1269" s="14"/>
      <c r="P1269" s="15" t="s">
        <v>1344</v>
      </c>
      <c r="Q1269" s="16">
        <v>21999</v>
      </c>
      <c r="R1269" s="17">
        <v>52.42</v>
      </c>
      <c r="S1269" s="18">
        <v>12037.9355</v>
      </c>
      <c r="T1269" s="19" t="s">
        <v>36</v>
      </c>
      <c r="U1269" s="20" t="s">
        <v>1347</v>
      </c>
      <c r="V1269" s="22">
        <v>43</v>
      </c>
      <c r="W1269" s="22">
        <v>4</v>
      </c>
      <c r="X1269" s="23"/>
    </row>
    <row r="1270" spans="1:24" s="1" customFormat="1" ht="14" customHeight="1" x14ac:dyDescent="0.3">
      <c r="A1270" s="24" t="s">
        <v>23</v>
      </c>
      <c r="B1270" s="24" t="s">
        <v>1341</v>
      </c>
      <c r="C1270" s="12" t="s">
        <v>1342</v>
      </c>
      <c r="D1270" s="60"/>
      <c r="E1270" s="41" t="str">
        <f t="shared" si="39"/>
        <v>Еще фото</v>
      </c>
      <c r="F1270" s="13"/>
      <c r="G1270" s="24" t="s">
        <v>1184</v>
      </c>
      <c r="H1270" s="24" t="s">
        <v>741</v>
      </c>
      <c r="I1270" s="24" t="s">
        <v>1185</v>
      </c>
      <c r="J1270" s="14" t="s">
        <v>29</v>
      </c>
      <c r="K1270" s="15" t="s">
        <v>723</v>
      </c>
      <c r="L1270" s="62"/>
      <c r="M1270" s="14" t="s">
        <v>1225</v>
      </c>
      <c r="N1270" s="14" t="s">
        <v>62</v>
      </c>
      <c r="O1270" s="14"/>
      <c r="P1270" s="15" t="s">
        <v>1344</v>
      </c>
      <c r="Q1270" s="16">
        <v>21999</v>
      </c>
      <c r="R1270" s="17">
        <v>52.42</v>
      </c>
      <c r="S1270" s="18">
        <v>12037.9355</v>
      </c>
      <c r="T1270" s="19" t="s">
        <v>36</v>
      </c>
      <c r="U1270" s="20" t="s">
        <v>1348</v>
      </c>
      <c r="V1270" s="34">
        <v>43.5</v>
      </c>
      <c r="W1270" s="22">
        <v>5</v>
      </c>
      <c r="X1270" s="23"/>
    </row>
    <row r="1271" spans="1:24" s="1" customFormat="1" ht="14" customHeight="1" x14ac:dyDescent="0.3">
      <c r="A1271" s="24" t="s">
        <v>23</v>
      </c>
      <c r="B1271" s="24" t="s">
        <v>1341</v>
      </c>
      <c r="C1271" s="12" t="s">
        <v>1342</v>
      </c>
      <c r="D1271" s="60"/>
      <c r="E1271" s="41" t="str">
        <f t="shared" si="39"/>
        <v>Еще фото</v>
      </c>
      <c r="F1271" s="13"/>
      <c r="G1271" s="24" t="s">
        <v>1184</v>
      </c>
      <c r="H1271" s="24" t="s">
        <v>741</v>
      </c>
      <c r="I1271" s="24" t="s">
        <v>1185</v>
      </c>
      <c r="J1271" s="14" t="s">
        <v>29</v>
      </c>
      <c r="K1271" s="15" t="s">
        <v>723</v>
      </c>
      <c r="L1271" s="62"/>
      <c r="M1271" s="14" t="s">
        <v>1225</v>
      </c>
      <c r="N1271" s="14" t="s">
        <v>62</v>
      </c>
      <c r="O1271" s="14"/>
      <c r="P1271" s="15" t="s">
        <v>1344</v>
      </c>
      <c r="Q1271" s="16">
        <v>21999</v>
      </c>
      <c r="R1271" s="17">
        <v>52.42</v>
      </c>
      <c r="S1271" s="18">
        <v>12037.9355</v>
      </c>
      <c r="T1271" s="19" t="s">
        <v>36</v>
      </c>
      <c r="U1271" s="20" t="s">
        <v>1327</v>
      </c>
      <c r="V1271" s="22">
        <v>44</v>
      </c>
      <c r="W1271" s="22">
        <v>6</v>
      </c>
      <c r="X1271" s="23"/>
    </row>
    <row r="1272" spans="1:24" s="1" customFormat="1" ht="17" customHeight="1" x14ac:dyDescent="0.3">
      <c r="A1272" s="24" t="s">
        <v>23</v>
      </c>
      <c r="B1272" s="24" t="s">
        <v>1341</v>
      </c>
      <c r="C1272" s="12" t="s">
        <v>1342</v>
      </c>
      <c r="D1272" s="61"/>
      <c r="E1272" s="41" t="str">
        <f t="shared" si="39"/>
        <v>Еще фото</v>
      </c>
      <c r="F1272" s="13"/>
      <c r="G1272" s="24" t="s">
        <v>1184</v>
      </c>
      <c r="H1272" s="24" t="s">
        <v>741</v>
      </c>
      <c r="I1272" s="24" t="s">
        <v>1185</v>
      </c>
      <c r="J1272" s="14" t="s">
        <v>29</v>
      </c>
      <c r="K1272" s="15" t="s">
        <v>723</v>
      </c>
      <c r="L1272" s="58"/>
      <c r="M1272" s="14" t="s">
        <v>1225</v>
      </c>
      <c r="N1272" s="14" t="s">
        <v>62</v>
      </c>
      <c r="O1272" s="14"/>
      <c r="P1272" s="15" t="s">
        <v>1344</v>
      </c>
      <c r="Q1272" s="16">
        <v>21999</v>
      </c>
      <c r="R1272" s="17">
        <v>52.42</v>
      </c>
      <c r="S1272" s="18">
        <v>12037.9355</v>
      </c>
      <c r="T1272" s="19" t="s">
        <v>36</v>
      </c>
      <c r="U1272" s="20" t="s">
        <v>1349</v>
      </c>
      <c r="V1272" s="34">
        <v>44.5</v>
      </c>
      <c r="W1272" s="22">
        <v>4</v>
      </c>
      <c r="X1272" s="23"/>
    </row>
    <row r="1273" spans="1:24" s="1" customFormat="1" ht="14" customHeight="1" x14ac:dyDescent="0.3">
      <c r="A1273" s="11" t="s">
        <v>23</v>
      </c>
      <c r="B1273" s="11" t="s">
        <v>1316</v>
      </c>
      <c r="C1273" s="12" t="s">
        <v>1350</v>
      </c>
      <c r="D1273" s="59"/>
      <c r="E1273" s="41" t="str">
        <f t="shared" ref="E1273:E1279" si="40">HYPERLINK("https://www.google.ru/search?q=3027586-494&amp;newwindow=1&amp;tbm=isch","Еще фото")</f>
        <v>Еще фото</v>
      </c>
      <c r="F1273" s="13" t="s">
        <v>103</v>
      </c>
      <c r="G1273" s="11" t="s">
        <v>1184</v>
      </c>
      <c r="H1273" s="11" t="s">
        <v>741</v>
      </c>
      <c r="I1273" s="14" t="s">
        <v>1185</v>
      </c>
      <c r="J1273" s="14" t="s">
        <v>29</v>
      </c>
      <c r="K1273" s="15" t="s">
        <v>59</v>
      </c>
      <c r="L1273" s="57" t="s">
        <v>1318</v>
      </c>
      <c r="M1273" s="14"/>
      <c r="N1273" s="14" t="s">
        <v>46</v>
      </c>
      <c r="O1273" s="14"/>
      <c r="P1273" s="15" t="s">
        <v>1298</v>
      </c>
      <c r="Q1273" s="16">
        <v>16299</v>
      </c>
      <c r="R1273" s="17">
        <v>52.4</v>
      </c>
      <c r="S1273" s="18">
        <v>8921.4354999999996</v>
      </c>
      <c r="T1273" s="19" t="s">
        <v>36</v>
      </c>
      <c r="U1273" s="20" t="s">
        <v>1203</v>
      </c>
      <c r="V1273" s="22">
        <v>36</v>
      </c>
      <c r="W1273" s="22">
        <v>5</v>
      </c>
      <c r="X1273" s="23"/>
    </row>
    <row r="1274" spans="1:24" s="1" customFormat="1" ht="14" customHeight="1" x14ac:dyDescent="0.3">
      <c r="A1274" s="24" t="s">
        <v>23</v>
      </c>
      <c r="B1274" s="24" t="s">
        <v>1316</v>
      </c>
      <c r="C1274" s="12" t="s">
        <v>1350</v>
      </c>
      <c r="D1274" s="60"/>
      <c r="E1274" s="41" t="str">
        <f t="shared" si="40"/>
        <v>Еще фото</v>
      </c>
      <c r="F1274" s="13" t="s">
        <v>103</v>
      </c>
      <c r="G1274" s="24" t="s">
        <v>1184</v>
      </c>
      <c r="H1274" s="24" t="s">
        <v>741</v>
      </c>
      <c r="I1274" s="24" t="s">
        <v>1185</v>
      </c>
      <c r="J1274" s="14" t="s">
        <v>29</v>
      </c>
      <c r="K1274" s="15" t="s">
        <v>59</v>
      </c>
      <c r="L1274" s="62"/>
      <c r="M1274" s="14"/>
      <c r="N1274" s="14" t="s">
        <v>46</v>
      </c>
      <c r="O1274" s="14"/>
      <c r="P1274" s="15" t="s">
        <v>1298</v>
      </c>
      <c r="Q1274" s="16">
        <v>16299</v>
      </c>
      <c r="R1274" s="17">
        <v>52.4</v>
      </c>
      <c r="S1274" s="18">
        <v>8921.4354999999996</v>
      </c>
      <c r="T1274" s="19" t="s">
        <v>36</v>
      </c>
      <c r="U1274" s="20" t="s">
        <v>1196</v>
      </c>
      <c r="V1274" s="34">
        <v>36.5</v>
      </c>
      <c r="W1274" s="22">
        <v>8</v>
      </c>
      <c r="X1274" s="23"/>
    </row>
    <row r="1275" spans="1:24" s="1" customFormat="1" ht="14" customHeight="1" x14ac:dyDescent="0.3">
      <c r="A1275" s="24" t="s">
        <v>23</v>
      </c>
      <c r="B1275" s="24" t="s">
        <v>1316</v>
      </c>
      <c r="C1275" s="12" t="s">
        <v>1350</v>
      </c>
      <c r="D1275" s="60"/>
      <c r="E1275" s="41" t="str">
        <f t="shared" si="40"/>
        <v>Еще фото</v>
      </c>
      <c r="F1275" s="13" t="s">
        <v>103</v>
      </c>
      <c r="G1275" s="24" t="s">
        <v>1184</v>
      </c>
      <c r="H1275" s="24" t="s">
        <v>741</v>
      </c>
      <c r="I1275" s="24" t="s">
        <v>1185</v>
      </c>
      <c r="J1275" s="14" t="s">
        <v>29</v>
      </c>
      <c r="K1275" s="15" t="s">
        <v>59</v>
      </c>
      <c r="L1275" s="62"/>
      <c r="M1275" s="14"/>
      <c r="N1275" s="14" t="s">
        <v>46</v>
      </c>
      <c r="O1275" s="14"/>
      <c r="P1275" s="15" t="s">
        <v>1298</v>
      </c>
      <c r="Q1275" s="16">
        <v>16299</v>
      </c>
      <c r="R1275" s="17">
        <v>52.4</v>
      </c>
      <c r="S1275" s="18">
        <v>8921.4354999999996</v>
      </c>
      <c r="T1275" s="19" t="s">
        <v>36</v>
      </c>
      <c r="U1275" s="20" t="s">
        <v>746</v>
      </c>
      <c r="V1275" s="22">
        <v>37</v>
      </c>
      <c r="W1275" s="22">
        <v>6</v>
      </c>
      <c r="X1275" s="23"/>
    </row>
    <row r="1276" spans="1:24" s="1" customFormat="1" ht="14" customHeight="1" x14ac:dyDescent="0.3">
      <c r="A1276" s="24" t="s">
        <v>23</v>
      </c>
      <c r="B1276" s="24" t="s">
        <v>1316</v>
      </c>
      <c r="C1276" s="12" t="s">
        <v>1350</v>
      </c>
      <c r="D1276" s="60"/>
      <c r="E1276" s="41" t="str">
        <f t="shared" si="40"/>
        <v>Еще фото</v>
      </c>
      <c r="F1276" s="13" t="s">
        <v>103</v>
      </c>
      <c r="G1276" s="24" t="s">
        <v>1184</v>
      </c>
      <c r="H1276" s="24" t="s">
        <v>741</v>
      </c>
      <c r="I1276" s="24" t="s">
        <v>1185</v>
      </c>
      <c r="J1276" s="14" t="s">
        <v>29</v>
      </c>
      <c r="K1276" s="15" t="s">
        <v>59</v>
      </c>
      <c r="L1276" s="62"/>
      <c r="M1276" s="14"/>
      <c r="N1276" s="14" t="s">
        <v>46</v>
      </c>
      <c r="O1276" s="14"/>
      <c r="P1276" s="15" t="s">
        <v>1298</v>
      </c>
      <c r="Q1276" s="16">
        <v>16299</v>
      </c>
      <c r="R1276" s="17">
        <v>52.4</v>
      </c>
      <c r="S1276" s="18">
        <v>8921.4354999999996</v>
      </c>
      <c r="T1276" s="19" t="s">
        <v>36</v>
      </c>
      <c r="U1276" s="20" t="s">
        <v>747</v>
      </c>
      <c r="V1276" s="34">
        <v>37.5</v>
      </c>
      <c r="W1276" s="22">
        <v>5</v>
      </c>
      <c r="X1276" s="23"/>
    </row>
    <row r="1277" spans="1:24" s="1" customFormat="1" ht="14" customHeight="1" x14ac:dyDescent="0.3">
      <c r="A1277" s="24" t="s">
        <v>23</v>
      </c>
      <c r="B1277" s="24" t="s">
        <v>1316</v>
      </c>
      <c r="C1277" s="12" t="s">
        <v>1350</v>
      </c>
      <c r="D1277" s="60"/>
      <c r="E1277" s="41" t="str">
        <f t="shared" si="40"/>
        <v>Еще фото</v>
      </c>
      <c r="F1277" s="13" t="s">
        <v>103</v>
      </c>
      <c r="G1277" s="24" t="s">
        <v>1184</v>
      </c>
      <c r="H1277" s="24" t="s">
        <v>741</v>
      </c>
      <c r="I1277" s="24" t="s">
        <v>1185</v>
      </c>
      <c r="J1277" s="14" t="s">
        <v>29</v>
      </c>
      <c r="K1277" s="15" t="s">
        <v>59</v>
      </c>
      <c r="L1277" s="62"/>
      <c r="M1277" s="14"/>
      <c r="N1277" s="14" t="s">
        <v>46</v>
      </c>
      <c r="O1277" s="14"/>
      <c r="P1277" s="15" t="s">
        <v>1298</v>
      </c>
      <c r="Q1277" s="16">
        <v>16299</v>
      </c>
      <c r="R1277" s="17">
        <v>52.4</v>
      </c>
      <c r="S1277" s="18">
        <v>8921.4354999999996</v>
      </c>
      <c r="T1277" s="19" t="s">
        <v>36</v>
      </c>
      <c r="U1277" s="20" t="s">
        <v>748</v>
      </c>
      <c r="V1277" s="22">
        <v>38</v>
      </c>
      <c r="W1277" s="22">
        <v>6</v>
      </c>
      <c r="X1277" s="23"/>
    </row>
    <row r="1278" spans="1:24" s="1" customFormat="1" ht="14" customHeight="1" x14ac:dyDescent="0.3">
      <c r="A1278" s="24" t="s">
        <v>23</v>
      </c>
      <c r="B1278" s="24" t="s">
        <v>1316</v>
      </c>
      <c r="C1278" s="12" t="s">
        <v>1350</v>
      </c>
      <c r="D1278" s="60"/>
      <c r="E1278" s="41" t="str">
        <f t="shared" si="40"/>
        <v>Еще фото</v>
      </c>
      <c r="F1278" s="13" t="s">
        <v>103</v>
      </c>
      <c r="G1278" s="24" t="s">
        <v>1184</v>
      </c>
      <c r="H1278" s="24" t="s">
        <v>741</v>
      </c>
      <c r="I1278" s="24" t="s">
        <v>1185</v>
      </c>
      <c r="J1278" s="14" t="s">
        <v>29</v>
      </c>
      <c r="K1278" s="15" t="s">
        <v>59</v>
      </c>
      <c r="L1278" s="62"/>
      <c r="M1278" s="14"/>
      <c r="N1278" s="14" t="s">
        <v>46</v>
      </c>
      <c r="O1278" s="14"/>
      <c r="P1278" s="15" t="s">
        <v>1298</v>
      </c>
      <c r="Q1278" s="16">
        <v>16299</v>
      </c>
      <c r="R1278" s="17">
        <v>52.4</v>
      </c>
      <c r="S1278" s="18">
        <v>8921.4354999999996</v>
      </c>
      <c r="T1278" s="19" t="s">
        <v>36</v>
      </c>
      <c r="U1278" s="20" t="s">
        <v>749</v>
      </c>
      <c r="V1278" s="22">
        <v>39</v>
      </c>
      <c r="W1278" s="22">
        <v>7</v>
      </c>
      <c r="X1278" s="23"/>
    </row>
    <row r="1279" spans="1:24" s="1" customFormat="1" ht="17" customHeight="1" x14ac:dyDescent="0.3">
      <c r="A1279" s="24" t="s">
        <v>23</v>
      </c>
      <c r="B1279" s="24" t="s">
        <v>1316</v>
      </c>
      <c r="C1279" s="12" t="s">
        <v>1350</v>
      </c>
      <c r="D1279" s="61"/>
      <c r="E1279" s="41" t="str">
        <f t="shared" si="40"/>
        <v>Еще фото</v>
      </c>
      <c r="F1279" s="13" t="s">
        <v>103</v>
      </c>
      <c r="G1279" s="24" t="s">
        <v>1184</v>
      </c>
      <c r="H1279" s="24" t="s">
        <v>741</v>
      </c>
      <c r="I1279" s="24" t="s">
        <v>1185</v>
      </c>
      <c r="J1279" s="14" t="s">
        <v>29</v>
      </c>
      <c r="K1279" s="15" t="s">
        <v>59</v>
      </c>
      <c r="L1279" s="58"/>
      <c r="M1279" s="14"/>
      <c r="N1279" s="14" t="s">
        <v>46</v>
      </c>
      <c r="O1279" s="14"/>
      <c r="P1279" s="15" t="s">
        <v>1298</v>
      </c>
      <c r="Q1279" s="16">
        <v>16299</v>
      </c>
      <c r="R1279" s="17">
        <v>52.4</v>
      </c>
      <c r="S1279" s="18">
        <v>8921.4354999999996</v>
      </c>
      <c r="T1279" s="19" t="s">
        <v>36</v>
      </c>
      <c r="U1279" s="20" t="s">
        <v>750</v>
      </c>
      <c r="V1279" s="34">
        <v>39.5</v>
      </c>
      <c r="W1279" s="22">
        <v>1</v>
      </c>
      <c r="X1279" s="23"/>
    </row>
    <row r="1280" spans="1:24" s="1" customFormat="1" ht="21" customHeight="1" x14ac:dyDescent="0.3">
      <c r="A1280" s="11" t="s">
        <v>23</v>
      </c>
      <c r="B1280" s="11" t="s">
        <v>1351</v>
      </c>
      <c r="C1280" s="26" t="s">
        <v>1352</v>
      </c>
      <c r="D1280" s="59"/>
      <c r="E1280" s="41" t="str">
        <f>HYPERLINK("https://www.google.ru/search?q=3027005-001&amp;newwindow=1&amp;tbm=isch","Еще фото")</f>
        <v>Еще фото</v>
      </c>
      <c r="F1280" s="13"/>
      <c r="G1280" s="11" t="s">
        <v>1184</v>
      </c>
      <c r="H1280" s="11" t="s">
        <v>741</v>
      </c>
      <c r="I1280" s="14" t="s">
        <v>1185</v>
      </c>
      <c r="J1280" s="14" t="s">
        <v>29</v>
      </c>
      <c r="K1280" s="15" t="s">
        <v>59</v>
      </c>
      <c r="L1280" s="57" t="s">
        <v>1353</v>
      </c>
      <c r="M1280" s="14"/>
      <c r="N1280" s="14" t="s">
        <v>33</v>
      </c>
      <c r="O1280" s="14"/>
      <c r="P1280" s="15" t="s">
        <v>1354</v>
      </c>
      <c r="Q1280" s="16">
        <v>11099</v>
      </c>
      <c r="R1280" s="17">
        <v>52.36</v>
      </c>
      <c r="S1280" s="18">
        <v>6080.9354999999996</v>
      </c>
      <c r="T1280" s="19" t="s">
        <v>36</v>
      </c>
      <c r="U1280" s="20" t="s">
        <v>1203</v>
      </c>
      <c r="V1280" s="22">
        <v>36</v>
      </c>
      <c r="W1280" s="22">
        <v>6</v>
      </c>
      <c r="X1280" s="23"/>
    </row>
    <row r="1281" spans="1:24" s="1" customFormat="1" ht="21" customHeight="1" x14ac:dyDescent="0.3">
      <c r="A1281" s="24" t="s">
        <v>23</v>
      </c>
      <c r="B1281" s="24" t="s">
        <v>1351</v>
      </c>
      <c r="C1281" s="27" t="s">
        <v>1352</v>
      </c>
      <c r="D1281" s="60"/>
      <c r="E1281" s="41" t="str">
        <f>HYPERLINK("https://www.google.ru/search?q=3027005-001&amp;newwindow=1&amp;tbm=isch","Еще фото")</f>
        <v>Еще фото</v>
      </c>
      <c r="F1281" s="13"/>
      <c r="G1281" s="24" t="s">
        <v>1184</v>
      </c>
      <c r="H1281" s="24" t="s">
        <v>741</v>
      </c>
      <c r="I1281" s="24" t="s">
        <v>1185</v>
      </c>
      <c r="J1281" s="14" t="s">
        <v>29</v>
      </c>
      <c r="K1281" s="15" t="s">
        <v>59</v>
      </c>
      <c r="L1281" s="62"/>
      <c r="M1281" s="14"/>
      <c r="N1281" s="14" t="s">
        <v>33</v>
      </c>
      <c r="O1281" s="14"/>
      <c r="P1281" s="15" t="s">
        <v>1354</v>
      </c>
      <c r="Q1281" s="16">
        <v>11099</v>
      </c>
      <c r="R1281" s="17">
        <v>52.36</v>
      </c>
      <c r="S1281" s="18">
        <v>6080.9354999999996</v>
      </c>
      <c r="T1281" s="19" t="s">
        <v>36</v>
      </c>
      <c r="U1281" s="20" t="s">
        <v>1196</v>
      </c>
      <c r="V1281" s="34">
        <v>36.5</v>
      </c>
      <c r="W1281" s="22">
        <v>6</v>
      </c>
      <c r="X1281" s="23"/>
    </row>
    <row r="1282" spans="1:24" s="1" customFormat="1" ht="21" customHeight="1" x14ac:dyDescent="0.3">
      <c r="A1282" s="24" t="s">
        <v>23</v>
      </c>
      <c r="B1282" s="24" t="s">
        <v>1351</v>
      </c>
      <c r="C1282" s="27" t="s">
        <v>1352</v>
      </c>
      <c r="D1282" s="60"/>
      <c r="E1282" s="41" t="str">
        <f>HYPERLINK("https://www.google.ru/search?q=3027005-001&amp;newwindow=1&amp;tbm=isch","Еще фото")</f>
        <v>Еще фото</v>
      </c>
      <c r="F1282" s="13"/>
      <c r="G1282" s="24" t="s">
        <v>1184</v>
      </c>
      <c r="H1282" s="24" t="s">
        <v>741</v>
      </c>
      <c r="I1282" s="24" t="s">
        <v>1185</v>
      </c>
      <c r="J1282" s="14" t="s">
        <v>29</v>
      </c>
      <c r="K1282" s="15" t="s">
        <v>59</v>
      </c>
      <c r="L1282" s="62"/>
      <c r="M1282" s="14"/>
      <c r="N1282" s="14" t="s">
        <v>33</v>
      </c>
      <c r="O1282" s="14"/>
      <c r="P1282" s="15" t="s">
        <v>1354</v>
      </c>
      <c r="Q1282" s="16">
        <v>11099</v>
      </c>
      <c r="R1282" s="17">
        <v>52.36</v>
      </c>
      <c r="S1282" s="18">
        <v>6080.9354999999996</v>
      </c>
      <c r="T1282" s="19" t="s">
        <v>36</v>
      </c>
      <c r="U1282" s="20" t="s">
        <v>746</v>
      </c>
      <c r="V1282" s="22">
        <v>37</v>
      </c>
      <c r="W1282" s="22">
        <v>8</v>
      </c>
      <c r="X1282" s="23"/>
    </row>
    <row r="1283" spans="1:24" s="1" customFormat="1" ht="21" customHeight="1" x14ac:dyDescent="0.3">
      <c r="A1283" s="24" t="s">
        <v>23</v>
      </c>
      <c r="B1283" s="24" t="s">
        <v>1351</v>
      </c>
      <c r="C1283" s="27" t="s">
        <v>1352</v>
      </c>
      <c r="D1283" s="60"/>
      <c r="E1283" s="41" t="str">
        <f>HYPERLINK("https://www.google.ru/search?q=3027005-001&amp;newwindow=1&amp;tbm=isch","Еще фото")</f>
        <v>Еще фото</v>
      </c>
      <c r="F1283" s="13"/>
      <c r="G1283" s="24" t="s">
        <v>1184</v>
      </c>
      <c r="H1283" s="24" t="s">
        <v>741</v>
      </c>
      <c r="I1283" s="24" t="s">
        <v>1185</v>
      </c>
      <c r="J1283" s="14" t="s">
        <v>29</v>
      </c>
      <c r="K1283" s="15" t="s">
        <v>59</v>
      </c>
      <c r="L1283" s="62"/>
      <c r="M1283" s="14"/>
      <c r="N1283" s="14" t="s">
        <v>33</v>
      </c>
      <c r="O1283" s="14"/>
      <c r="P1283" s="15" t="s">
        <v>1354</v>
      </c>
      <c r="Q1283" s="16">
        <v>11099</v>
      </c>
      <c r="R1283" s="17">
        <v>52.36</v>
      </c>
      <c r="S1283" s="18">
        <v>6080.9354999999996</v>
      </c>
      <c r="T1283" s="19" t="s">
        <v>36</v>
      </c>
      <c r="U1283" s="20" t="s">
        <v>747</v>
      </c>
      <c r="V1283" s="34">
        <v>37.5</v>
      </c>
      <c r="W1283" s="22">
        <v>4</v>
      </c>
      <c r="X1283" s="23"/>
    </row>
    <row r="1284" spans="1:24" s="1" customFormat="1" ht="32" customHeight="1" x14ac:dyDescent="0.3">
      <c r="A1284" s="24" t="s">
        <v>23</v>
      </c>
      <c r="B1284" s="24" t="s">
        <v>1351</v>
      </c>
      <c r="C1284" s="27" t="s">
        <v>1352</v>
      </c>
      <c r="D1284" s="61"/>
      <c r="E1284" s="41" t="str">
        <f>HYPERLINK("https://www.google.ru/search?q=3027005-001&amp;newwindow=1&amp;tbm=isch","Еще фото")</f>
        <v>Еще фото</v>
      </c>
      <c r="F1284" s="13"/>
      <c r="G1284" s="24" t="s">
        <v>1184</v>
      </c>
      <c r="H1284" s="24" t="s">
        <v>741</v>
      </c>
      <c r="I1284" s="24" t="s">
        <v>1185</v>
      </c>
      <c r="J1284" s="14" t="s">
        <v>29</v>
      </c>
      <c r="K1284" s="15" t="s">
        <v>59</v>
      </c>
      <c r="L1284" s="58"/>
      <c r="M1284" s="14"/>
      <c r="N1284" s="14" t="s">
        <v>33</v>
      </c>
      <c r="O1284" s="14"/>
      <c r="P1284" s="15" t="s">
        <v>1354</v>
      </c>
      <c r="Q1284" s="16">
        <v>11099</v>
      </c>
      <c r="R1284" s="17">
        <v>52.36</v>
      </c>
      <c r="S1284" s="18">
        <v>6080.9354999999996</v>
      </c>
      <c r="T1284" s="19" t="s">
        <v>36</v>
      </c>
      <c r="U1284" s="20" t="s">
        <v>748</v>
      </c>
      <c r="V1284" s="22">
        <v>38</v>
      </c>
      <c r="W1284" s="22">
        <v>1</v>
      </c>
      <c r="X1284" s="23"/>
    </row>
    <row r="1285" spans="1:24" s="1" customFormat="1" ht="108" customHeight="1" x14ac:dyDescent="0.3">
      <c r="A1285" s="11" t="s">
        <v>23</v>
      </c>
      <c r="B1285" s="11" t="s">
        <v>1355</v>
      </c>
      <c r="C1285" s="12" t="s">
        <v>1356</v>
      </c>
      <c r="D1285" s="25"/>
      <c r="E1285" s="41" t="str">
        <f>HYPERLINK("https://www.google.ru/search?q=6000760-418&amp;newwindow=1&amp;tbm=isch","Еще фото")</f>
        <v>Еще фото</v>
      </c>
      <c r="F1285" s="13"/>
      <c r="G1285" s="11" t="s">
        <v>1184</v>
      </c>
      <c r="H1285" s="11" t="s">
        <v>741</v>
      </c>
      <c r="I1285" s="14" t="s">
        <v>1185</v>
      </c>
      <c r="J1285" s="14" t="s">
        <v>29</v>
      </c>
      <c r="K1285" s="15" t="s">
        <v>59</v>
      </c>
      <c r="L1285" s="14" t="s">
        <v>1357</v>
      </c>
      <c r="M1285" s="14"/>
      <c r="N1285" s="14" t="s">
        <v>115</v>
      </c>
      <c r="O1285" s="14"/>
      <c r="P1285" s="15" t="s">
        <v>745</v>
      </c>
      <c r="Q1285" s="16">
        <v>8899</v>
      </c>
      <c r="R1285" s="17">
        <v>49.79</v>
      </c>
      <c r="S1285" s="18">
        <v>5137.9355000000005</v>
      </c>
      <c r="T1285" s="19" t="s">
        <v>36</v>
      </c>
      <c r="U1285" s="20" t="s">
        <v>747</v>
      </c>
      <c r="V1285" s="34">
        <v>37.5</v>
      </c>
      <c r="W1285" s="22">
        <v>1</v>
      </c>
      <c r="X1285" s="23"/>
    </row>
    <row r="1286" spans="1:24" s="1" customFormat="1" ht="35" customHeight="1" x14ac:dyDescent="0.3">
      <c r="A1286" s="11" t="s">
        <v>23</v>
      </c>
      <c r="B1286" s="11" t="s">
        <v>1358</v>
      </c>
      <c r="C1286" s="12" t="s">
        <v>1359</v>
      </c>
      <c r="D1286" s="59"/>
      <c r="E1286" s="41" t="str">
        <f>HYPERLINK("https://www.google.ru/search?q=3028076-308&amp;newwindow=1&amp;tbm=isch","Еще фото")</f>
        <v>Еще фото</v>
      </c>
      <c r="F1286" s="13"/>
      <c r="G1286" s="11" t="s">
        <v>1184</v>
      </c>
      <c r="H1286" s="11" t="s">
        <v>741</v>
      </c>
      <c r="I1286" s="14" t="s">
        <v>1185</v>
      </c>
      <c r="J1286" s="14" t="s">
        <v>29</v>
      </c>
      <c r="K1286" s="15" t="s">
        <v>30</v>
      </c>
      <c r="L1286" s="57" t="s">
        <v>1360</v>
      </c>
      <c r="M1286" s="14"/>
      <c r="N1286" s="14" t="s">
        <v>127</v>
      </c>
      <c r="O1286" s="14"/>
      <c r="P1286" s="15" t="s">
        <v>745</v>
      </c>
      <c r="Q1286" s="16">
        <v>13699</v>
      </c>
      <c r="R1286" s="17">
        <v>49.79</v>
      </c>
      <c r="S1286" s="18">
        <v>7909.4354999999996</v>
      </c>
      <c r="T1286" s="19" t="s">
        <v>36</v>
      </c>
      <c r="U1286" s="20" t="s">
        <v>749</v>
      </c>
      <c r="V1286" s="22">
        <v>41</v>
      </c>
      <c r="W1286" s="22">
        <v>2</v>
      </c>
      <c r="X1286" s="23"/>
    </row>
    <row r="1287" spans="1:24" s="1" customFormat="1" ht="35" customHeight="1" x14ac:dyDescent="0.3">
      <c r="A1287" s="24" t="s">
        <v>23</v>
      </c>
      <c r="B1287" s="24" t="s">
        <v>1358</v>
      </c>
      <c r="C1287" s="12" t="s">
        <v>1359</v>
      </c>
      <c r="D1287" s="60"/>
      <c r="E1287" s="41" t="str">
        <f>HYPERLINK("https://www.google.ru/search?q=3028076-308&amp;newwindow=1&amp;tbm=isch","Еще фото")</f>
        <v>Еще фото</v>
      </c>
      <c r="F1287" s="13"/>
      <c r="G1287" s="24" t="s">
        <v>1184</v>
      </c>
      <c r="H1287" s="24" t="s">
        <v>741</v>
      </c>
      <c r="I1287" s="24" t="s">
        <v>1185</v>
      </c>
      <c r="J1287" s="14" t="s">
        <v>29</v>
      </c>
      <c r="K1287" s="15" t="s">
        <v>30</v>
      </c>
      <c r="L1287" s="62"/>
      <c r="M1287" s="14"/>
      <c r="N1287" s="14" t="s">
        <v>127</v>
      </c>
      <c r="O1287" s="14"/>
      <c r="P1287" s="15" t="s">
        <v>745</v>
      </c>
      <c r="Q1287" s="16">
        <v>13699</v>
      </c>
      <c r="R1287" s="17">
        <v>49.79</v>
      </c>
      <c r="S1287" s="18">
        <v>7909.4354999999996</v>
      </c>
      <c r="T1287" s="19" t="s">
        <v>36</v>
      </c>
      <c r="U1287" s="20" t="s">
        <v>751</v>
      </c>
      <c r="V1287" s="22">
        <v>42</v>
      </c>
      <c r="W1287" s="22">
        <v>1</v>
      </c>
      <c r="X1287" s="23"/>
    </row>
    <row r="1288" spans="1:24" s="1" customFormat="1" ht="37.049999999999997" customHeight="1" x14ac:dyDescent="0.3">
      <c r="A1288" s="24" t="s">
        <v>23</v>
      </c>
      <c r="B1288" s="24" t="s">
        <v>1358</v>
      </c>
      <c r="C1288" s="12" t="s">
        <v>1359</v>
      </c>
      <c r="D1288" s="61"/>
      <c r="E1288" s="41" t="str">
        <f>HYPERLINK("https://www.google.ru/search?q=3028076-308&amp;newwindow=1&amp;tbm=isch","Еще фото")</f>
        <v>Еще фото</v>
      </c>
      <c r="F1288" s="13"/>
      <c r="G1288" s="24" t="s">
        <v>1184</v>
      </c>
      <c r="H1288" s="24" t="s">
        <v>741</v>
      </c>
      <c r="I1288" s="24" t="s">
        <v>1185</v>
      </c>
      <c r="J1288" s="14" t="s">
        <v>29</v>
      </c>
      <c r="K1288" s="15" t="s">
        <v>30</v>
      </c>
      <c r="L1288" s="58"/>
      <c r="M1288" s="14"/>
      <c r="N1288" s="14" t="s">
        <v>127</v>
      </c>
      <c r="O1288" s="14"/>
      <c r="P1288" s="15" t="s">
        <v>745</v>
      </c>
      <c r="Q1288" s="16">
        <v>13699</v>
      </c>
      <c r="R1288" s="17">
        <v>49.79</v>
      </c>
      <c r="S1288" s="18">
        <v>7909.4354999999996</v>
      </c>
      <c r="T1288" s="19" t="s">
        <v>36</v>
      </c>
      <c r="U1288" s="20" t="s">
        <v>753</v>
      </c>
      <c r="V1288" s="34">
        <v>43.5</v>
      </c>
      <c r="W1288" s="22">
        <v>1</v>
      </c>
      <c r="X1288" s="23"/>
    </row>
    <row r="1289" spans="1:24" s="1" customFormat="1" ht="26" customHeight="1" x14ac:dyDescent="0.3">
      <c r="A1289" s="11" t="s">
        <v>23</v>
      </c>
      <c r="B1289" s="11" t="s">
        <v>1361</v>
      </c>
      <c r="C1289" s="12" t="s">
        <v>1362</v>
      </c>
      <c r="D1289" s="59"/>
      <c r="E1289" s="41" t="str">
        <f>HYPERLINK("https://www.google.ru/search?q=3028334-001&amp;newwindow=1&amp;tbm=isch","Еще фото")</f>
        <v>Еще фото</v>
      </c>
      <c r="F1289" s="13"/>
      <c r="G1289" s="11" t="s">
        <v>1184</v>
      </c>
      <c r="H1289" s="11" t="s">
        <v>741</v>
      </c>
      <c r="I1289" s="14" t="s">
        <v>1185</v>
      </c>
      <c r="J1289" s="14" t="s">
        <v>260</v>
      </c>
      <c r="K1289" s="15" t="s">
        <v>723</v>
      </c>
      <c r="L1289" s="57" t="s">
        <v>1363</v>
      </c>
      <c r="M1289" s="14"/>
      <c r="N1289" s="14" t="s">
        <v>33</v>
      </c>
      <c r="O1289" s="14"/>
      <c r="P1289" s="15" t="s">
        <v>1364</v>
      </c>
      <c r="Q1289" s="16">
        <v>25199</v>
      </c>
      <c r="R1289" s="17">
        <v>49.77</v>
      </c>
      <c r="S1289" s="18">
        <v>14556.4355</v>
      </c>
      <c r="T1289" s="19" t="s">
        <v>36</v>
      </c>
      <c r="U1289" s="20" t="s">
        <v>1346</v>
      </c>
      <c r="V1289" s="34">
        <v>41.5</v>
      </c>
      <c r="W1289" s="22">
        <v>1</v>
      </c>
      <c r="X1289" s="23"/>
    </row>
    <row r="1290" spans="1:24" s="1" customFormat="1" ht="26" customHeight="1" x14ac:dyDescent="0.3">
      <c r="A1290" s="24" t="s">
        <v>23</v>
      </c>
      <c r="B1290" s="24" t="s">
        <v>1361</v>
      </c>
      <c r="C1290" s="12" t="s">
        <v>1362</v>
      </c>
      <c r="D1290" s="60"/>
      <c r="E1290" s="41" t="str">
        <f>HYPERLINK("https://www.google.ru/search?q=3028334-001&amp;newwindow=1&amp;tbm=isch","Еще фото")</f>
        <v>Еще фото</v>
      </c>
      <c r="F1290" s="13"/>
      <c r="G1290" s="24" t="s">
        <v>1184</v>
      </c>
      <c r="H1290" s="24" t="s">
        <v>741</v>
      </c>
      <c r="I1290" s="24" t="s">
        <v>1185</v>
      </c>
      <c r="J1290" s="14" t="s">
        <v>260</v>
      </c>
      <c r="K1290" s="15" t="s">
        <v>723</v>
      </c>
      <c r="L1290" s="62"/>
      <c r="M1290" s="14"/>
      <c r="N1290" s="14" t="s">
        <v>33</v>
      </c>
      <c r="O1290" s="14"/>
      <c r="P1290" s="15" t="s">
        <v>1364</v>
      </c>
      <c r="Q1290" s="16">
        <v>25199</v>
      </c>
      <c r="R1290" s="17">
        <v>49.77</v>
      </c>
      <c r="S1290" s="18">
        <v>14556.4355</v>
      </c>
      <c r="T1290" s="19" t="s">
        <v>36</v>
      </c>
      <c r="U1290" s="20" t="s">
        <v>1326</v>
      </c>
      <c r="V1290" s="22">
        <v>42</v>
      </c>
      <c r="W1290" s="22">
        <v>1</v>
      </c>
      <c r="X1290" s="23"/>
    </row>
    <row r="1291" spans="1:24" s="1" customFormat="1" ht="26" customHeight="1" x14ac:dyDescent="0.3">
      <c r="A1291" s="24" t="s">
        <v>23</v>
      </c>
      <c r="B1291" s="24" t="s">
        <v>1361</v>
      </c>
      <c r="C1291" s="12" t="s">
        <v>1362</v>
      </c>
      <c r="D1291" s="60"/>
      <c r="E1291" s="41" t="str">
        <f>HYPERLINK("https://www.google.ru/search?q=3028334-001&amp;newwindow=1&amp;tbm=isch","Еще фото")</f>
        <v>Еще фото</v>
      </c>
      <c r="F1291" s="13"/>
      <c r="G1291" s="24" t="s">
        <v>1184</v>
      </c>
      <c r="H1291" s="24" t="s">
        <v>741</v>
      </c>
      <c r="I1291" s="24" t="s">
        <v>1185</v>
      </c>
      <c r="J1291" s="14" t="s">
        <v>260</v>
      </c>
      <c r="K1291" s="15" t="s">
        <v>723</v>
      </c>
      <c r="L1291" s="62"/>
      <c r="M1291" s="14"/>
      <c r="N1291" s="14" t="s">
        <v>33</v>
      </c>
      <c r="O1291" s="14"/>
      <c r="P1291" s="15" t="s">
        <v>1364</v>
      </c>
      <c r="Q1291" s="16">
        <v>25199</v>
      </c>
      <c r="R1291" s="17">
        <v>49.77</v>
      </c>
      <c r="S1291" s="18">
        <v>14556.4355</v>
      </c>
      <c r="T1291" s="19" t="s">
        <v>36</v>
      </c>
      <c r="U1291" s="20" t="s">
        <v>1347</v>
      </c>
      <c r="V1291" s="22">
        <v>43</v>
      </c>
      <c r="W1291" s="22">
        <v>1</v>
      </c>
      <c r="X1291" s="23"/>
    </row>
    <row r="1292" spans="1:24" s="1" customFormat="1" ht="26" customHeight="1" x14ac:dyDescent="0.3">
      <c r="A1292" s="24" t="s">
        <v>23</v>
      </c>
      <c r="B1292" s="24" t="s">
        <v>1361</v>
      </c>
      <c r="C1292" s="12" t="s">
        <v>1362</v>
      </c>
      <c r="D1292" s="61"/>
      <c r="E1292" s="41" t="str">
        <f>HYPERLINK("https://www.google.ru/search?q=3028334-001&amp;newwindow=1&amp;tbm=isch","Еще фото")</f>
        <v>Еще фото</v>
      </c>
      <c r="F1292" s="13"/>
      <c r="G1292" s="24" t="s">
        <v>1184</v>
      </c>
      <c r="H1292" s="24" t="s">
        <v>741</v>
      </c>
      <c r="I1292" s="24" t="s">
        <v>1185</v>
      </c>
      <c r="J1292" s="14" t="s">
        <v>260</v>
      </c>
      <c r="K1292" s="15" t="s">
        <v>723</v>
      </c>
      <c r="L1292" s="58"/>
      <c r="M1292" s="14"/>
      <c r="N1292" s="14" t="s">
        <v>33</v>
      </c>
      <c r="O1292" s="14"/>
      <c r="P1292" s="15" t="s">
        <v>1364</v>
      </c>
      <c r="Q1292" s="16">
        <v>25199</v>
      </c>
      <c r="R1292" s="17">
        <v>49.77</v>
      </c>
      <c r="S1292" s="18">
        <v>14556.4355</v>
      </c>
      <c r="T1292" s="19" t="s">
        <v>36</v>
      </c>
      <c r="U1292" s="20" t="s">
        <v>1349</v>
      </c>
      <c r="V1292" s="34">
        <v>44.5</v>
      </c>
      <c r="W1292" s="22">
        <v>1</v>
      </c>
      <c r="X1292" s="23"/>
    </row>
    <row r="1293" spans="1:24" s="1" customFormat="1" ht="26" customHeight="1" x14ac:dyDescent="0.3">
      <c r="A1293" s="11" t="s">
        <v>23</v>
      </c>
      <c r="B1293" s="11" t="s">
        <v>1365</v>
      </c>
      <c r="C1293" s="12" t="s">
        <v>1366</v>
      </c>
      <c r="D1293" s="59"/>
      <c r="E1293" s="41" t="str">
        <f>HYPERLINK("https://www.google.ru/search?q=3028262-016&amp;newwindow=1&amp;tbm=isch","Еще фото")</f>
        <v>Еще фото</v>
      </c>
      <c r="F1293" s="13" t="s">
        <v>103</v>
      </c>
      <c r="G1293" s="11" t="s">
        <v>1184</v>
      </c>
      <c r="H1293" s="11" t="s">
        <v>741</v>
      </c>
      <c r="I1293" s="14" t="s">
        <v>1185</v>
      </c>
      <c r="J1293" s="14" t="s">
        <v>29</v>
      </c>
      <c r="K1293" s="15" t="s">
        <v>59</v>
      </c>
      <c r="L1293" s="57" t="s">
        <v>1367</v>
      </c>
      <c r="M1293" s="14"/>
      <c r="N1293" s="14" t="s">
        <v>62</v>
      </c>
      <c r="O1293" s="14"/>
      <c r="P1293" s="15" t="s">
        <v>745</v>
      </c>
      <c r="Q1293" s="16">
        <v>12199</v>
      </c>
      <c r="R1293" s="17">
        <v>49.77</v>
      </c>
      <c r="S1293" s="18">
        <v>7046.9354999999996</v>
      </c>
      <c r="T1293" s="19" t="s">
        <v>36</v>
      </c>
      <c r="U1293" s="20" t="s">
        <v>1196</v>
      </c>
      <c r="V1293" s="34">
        <v>36.5</v>
      </c>
      <c r="W1293" s="22">
        <v>3</v>
      </c>
      <c r="X1293" s="23"/>
    </row>
    <row r="1294" spans="1:24" s="1" customFormat="1" ht="26" customHeight="1" x14ac:dyDescent="0.3">
      <c r="A1294" s="24" t="s">
        <v>23</v>
      </c>
      <c r="B1294" s="24" t="s">
        <v>1365</v>
      </c>
      <c r="C1294" s="12" t="s">
        <v>1366</v>
      </c>
      <c r="D1294" s="60"/>
      <c r="E1294" s="41" t="str">
        <f>HYPERLINK("https://www.google.ru/search?q=3028262-016&amp;newwindow=1&amp;tbm=isch","Еще фото")</f>
        <v>Еще фото</v>
      </c>
      <c r="F1294" s="13" t="s">
        <v>103</v>
      </c>
      <c r="G1294" s="24" t="s">
        <v>1184</v>
      </c>
      <c r="H1294" s="24" t="s">
        <v>741</v>
      </c>
      <c r="I1294" s="24" t="s">
        <v>1185</v>
      </c>
      <c r="J1294" s="14" t="s">
        <v>29</v>
      </c>
      <c r="K1294" s="15" t="s">
        <v>59</v>
      </c>
      <c r="L1294" s="62"/>
      <c r="M1294" s="14"/>
      <c r="N1294" s="14" t="s">
        <v>62</v>
      </c>
      <c r="O1294" s="14"/>
      <c r="P1294" s="15" t="s">
        <v>745</v>
      </c>
      <c r="Q1294" s="16">
        <v>12199</v>
      </c>
      <c r="R1294" s="17">
        <v>49.77</v>
      </c>
      <c r="S1294" s="18">
        <v>7046.9354999999996</v>
      </c>
      <c r="T1294" s="19" t="s">
        <v>36</v>
      </c>
      <c r="U1294" s="20" t="s">
        <v>746</v>
      </c>
      <c r="V1294" s="22">
        <v>37</v>
      </c>
      <c r="W1294" s="22">
        <v>3</v>
      </c>
      <c r="X1294" s="23"/>
    </row>
    <row r="1295" spans="1:24" s="1" customFormat="1" ht="26" customHeight="1" x14ac:dyDescent="0.3">
      <c r="A1295" s="24" t="s">
        <v>23</v>
      </c>
      <c r="B1295" s="24" t="s">
        <v>1365</v>
      </c>
      <c r="C1295" s="12" t="s">
        <v>1366</v>
      </c>
      <c r="D1295" s="60"/>
      <c r="E1295" s="41" t="str">
        <f>HYPERLINK("https://www.google.ru/search?q=3028262-016&amp;newwindow=1&amp;tbm=isch","Еще фото")</f>
        <v>Еще фото</v>
      </c>
      <c r="F1295" s="13" t="s">
        <v>103</v>
      </c>
      <c r="G1295" s="24" t="s">
        <v>1184</v>
      </c>
      <c r="H1295" s="24" t="s">
        <v>741</v>
      </c>
      <c r="I1295" s="24" t="s">
        <v>1185</v>
      </c>
      <c r="J1295" s="14" t="s">
        <v>29</v>
      </c>
      <c r="K1295" s="15" t="s">
        <v>59</v>
      </c>
      <c r="L1295" s="62"/>
      <c r="M1295" s="14"/>
      <c r="N1295" s="14" t="s">
        <v>62</v>
      </c>
      <c r="O1295" s="14"/>
      <c r="P1295" s="15" t="s">
        <v>745</v>
      </c>
      <c r="Q1295" s="16">
        <v>12199</v>
      </c>
      <c r="R1295" s="17">
        <v>49.77</v>
      </c>
      <c r="S1295" s="18">
        <v>7046.9354999999996</v>
      </c>
      <c r="T1295" s="19" t="s">
        <v>36</v>
      </c>
      <c r="U1295" s="20" t="s">
        <v>747</v>
      </c>
      <c r="V1295" s="34">
        <v>37.5</v>
      </c>
      <c r="W1295" s="22">
        <v>3</v>
      </c>
      <c r="X1295" s="23"/>
    </row>
    <row r="1296" spans="1:24" s="1" customFormat="1" ht="26" customHeight="1" x14ac:dyDescent="0.3">
      <c r="A1296" s="24" t="s">
        <v>23</v>
      </c>
      <c r="B1296" s="24" t="s">
        <v>1365</v>
      </c>
      <c r="C1296" s="12" t="s">
        <v>1366</v>
      </c>
      <c r="D1296" s="61"/>
      <c r="E1296" s="41" t="str">
        <f>HYPERLINK("https://www.google.ru/search?q=3028262-016&amp;newwindow=1&amp;tbm=isch","Еще фото")</f>
        <v>Еще фото</v>
      </c>
      <c r="F1296" s="13" t="s">
        <v>103</v>
      </c>
      <c r="G1296" s="24" t="s">
        <v>1184</v>
      </c>
      <c r="H1296" s="24" t="s">
        <v>741</v>
      </c>
      <c r="I1296" s="24" t="s">
        <v>1185</v>
      </c>
      <c r="J1296" s="14" t="s">
        <v>29</v>
      </c>
      <c r="K1296" s="15" t="s">
        <v>59</v>
      </c>
      <c r="L1296" s="58"/>
      <c r="M1296" s="14"/>
      <c r="N1296" s="14" t="s">
        <v>62</v>
      </c>
      <c r="O1296" s="14"/>
      <c r="P1296" s="15" t="s">
        <v>745</v>
      </c>
      <c r="Q1296" s="16">
        <v>12199</v>
      </c>
      <c r="R1296" s="17">
        <v>49.77</v>
      </c>
      <c r="S1296" s="18">
        <v>7046.9354999999996</v>
      </c>
      <c r="T1296" s="19" t="s">
        <v>36</v>
      </c>
      <c r="U1296" s="20" t="s">
        <v>748</v>
      </c>
      <c r="V1296" s="22">
        <v>38</v>
      </c>
      <c r="W1296" s="22">
        <v>1</v>
      </c>
      <c r="X1296" s="23"/>
    </row>
    <row r="1297" spans="1:24" s="1" customFormat="1" ht="26" customHeight="1" x14ac:dyDescent="0.3">
      <c r="A1297" s="11" t="s">
        <v>23</v>
      </c>
      <c r="B1297" s="11" t="s">
        <v>1368</v>
      </c>
      <c r="C1297" s="12" t="s">
        <v>1369</v>
      </c>
      <c r="D1297" s="59"/>
      <c r="E1297" s="41" t="str">
        <f>HYPERLINK("https://www.google.ru/search?q=3023703-001&amp;newwindow=1&amp;tbm=isch","Еще фото")</f>
        <v>Еще фото</v>
      </c>
      <c r="F1297" s="13" t="s">
        <v>152</v>
      </c>
      <c r="G1297" s="11" t="s">
        <v>1184</v>
      </c>
      <c r="H1297" s="11" t="s">
        <v>741</v>
      </c>
      <c r="I1297" s="14" t="s">
        <v>1185</v>
      </c>
      <c r="J1297" s="14" t="s">
        <v>29</v>
      </c>
      <c r="K1297" s="15" t="s">
        <v>30</v>
      </c>
      <c r="L1297" s="57" t="s">
        <v>1370</v>
      </c>
      <c r="M1297" s="14" t="s">
        <v>1274</v>
      </c>
      <c r="N1297" s="14" t="s">
        <v>33</v>
      </c>
      <c r="O1297" s="14"/>
      <c r="P1297" s="15" t="s">
        <v>1371</v>
      </c>
      <c r="Q1297" s="16">
        <v>11999</v>
      </c>
      <c r="R1297" s="17">
        <v>49.76</v>
      </c>
      <c r="S1297" s="18">
        <v>6931.9354999999996</v>
      </c>
      <c r="T1297" s="19" t="s">
        <v>36</v>
      </c>
      <c r="U1297" s="20" t="s">
        <v>747</v>
      </c>
      <c r="V1297" s="34">
        <v>39.5</v>
      </c>
      <c r="W1297" s="22">
        <v>1</v>
      </c>
      <c r="X1297" s="23"/>
    </row>
    <row r="1298" spans="1:24" s="1" customFormat="1" ht="26" customHeight="1" x14ac:dyDescent="0.3">
      <c r="A1298" s="24" t="s">
        <v>23</v>
      </c>
      <c r="B1298" s="24" t="s">
        <v>1368</v>
      </c>
      <c r="C1298" s="12" t="s">
        <v>1369</v>
      </c>
      <c r="D1298" s="60"/>
      <c r="E1298" s="41" t="str">
        <f>HYPERLINK("https://www.google.ru/search?q=3023703-001&amp;newwindow=1&amp;tbm=isch","Еще фото")</f>
        <v>Еще фото</v>
      </c>
      <c r="F1298" s="13" t="s">
        <v>152</v>
      </c>
      <c r="G1298" s="24" t="s">
        <v>1184</v>
      </c>
      <c r="H1298" s="24" t="s">
        <v>741</v>
      </c>
      <c r="I1298" s="24" t="s">
        <v>1185</v>
      </c>
      <c r="J1298" s="14" t="s">
        <v>29</v>
      </c>
      <c r="K1298" s="15" t="s">
        <v>30</v>
      </c>
      <c r="L1298" s="62"/>
      <c r="M1298" s="14" t="s">
        <v>1274</v>
      </c>
      <c r="N1298" s="14" t="s">
        <v>33</v>
      </c>
      <c r="O1298" s="14"/>
      <c r="P1298" s="15" t="s">
        <v>1371</v>
      </c>
      <c r="Q1298" s="16">
        <v>11999</v>
      </c>
      <c r="R1298" s="17">
        <v>49.76</v>
      </c>
      <c r="S1298" s="18">
        <v>6931.9354999999996</v>
      </c>
      <c r="T1298" s="19" t="s">
        <v>36</v>
      </c>
      <c r="U1298" s="20" t="s">
        <v>748</v>
      </c>
      <c r="V1298" s="22">
        <v>40</v>
      </c>
      <c r="W1298" s="22">
        <v>3</v>
      </c>
      <c r="X1298" s="23"/>
    </row>
    <row r="1299" spans="1:24" s="1" customFormat="1" ht="26" customHeight="1" x14ac:dyDescent="0.3">
      <c r="A1299" s="24" t="s">
        <v>23</v>
      </c>
      <c r="B1299" s="24" t="s">
        <v>1368</v>
      </c>
      <c r="C1299" s="12" t="s">
        <v>1369</v>
      </c>
      <c r="D1299" s="60"/>
      <c r="E1299" s="41" t="str">
        <f>HYPERLINK("https://www.google.ru/search?q=3023703-001&amp;newwindow=1&amp;tbm=isch","Еще фото")</f>
        <v>Еще фото</v>
      </c>
      <c r="F1299" s="13" t="s">
        <v>152</v>
      </c>
      <c r="G1299" s="24" t="s">
        <v>1184</v>
      </c>
      <c r="H1299" s="24" t="s">
        <v>741</v>
      </c>
      <c r="I1299" s="24" t="s">
        <v>1185</v>
      </c>
      <c r="J1299" s="14" t="s">
        <v>29</v>
      </c>
      <c r="K1299" s="15" t="s">
        <v>30</v>
      </c>
      <c r="L1299" s="62"/>
      <c r="M1299" s="14" t="s">
        <v>1274</v>
      </c>
      <c r="N1299" s="14" t="s">
        <v>33</v>
      </c>
      <c r="O1299" s="14"/>
      <c r="P1299" s="15" t="s">
        <v>1371</v>
      </c>
      <c r="Q1299" s="16">
        <v>11999</v>
      </c>
      <c r="R1299" s="17">
        <v>49.76</v>
      </c>
      <c r="S1299" s="18">
        <v>6931.9354999999996</v>
      </c>
      <c r="T1299" s="19" t="s">
        <v>36</v>
      </c>
      <c r="U1299" s="20" t="s">
        <v>749</v>
      </c>
      <c r="V1299" s="22">
        <v>41</v>
      </c>
      <c r="W1299" s="22">
        <v>3</v>
      </c>
      <c r="X1299" s="23"/>
    </row>
    <row r="1300" spans="1:24" s="1" customFormat="1" ht="26" customHeight="1" x14ac:dyDescent="0.3">
      <c r="A1300" s="24" t="s">
        <v>23</v>
      </c>
      <c r="B1300" s="24" t="s">
        <v>1368</v>
      </c>
      <c r="C1300" s="12" t="s">
        <v>1369</v>
      </c>
      <c r="D1300" s="61"/>
      <c r="E1300" s="41" t="str">
        <f>HYPERLINK("https://www.google.ru/search?q=3023703-001&amp;newwindow=1&amp;tbm=isch","Еще фото")</f>
        <v>Еще фото</v>
      </c>
      <c r="F1300" s="13" t="s">
        <v>152</v>
      </c>
      <c r="G1300" s="24" t="s">
        <v>1184</v>
      </c>
      <c r="H1300" s="24" t="s">
        <v>741</v>
      </c>
      <c r="I1300" s="24" t="s">
        <v>1185</v>
      </c>
      <c r="J1300" s="14" t="s">
        <v>29</v>
      </c>
      <c r="K1300" s="15" t="s">
        <v>30</v>
      </c>
      <c r="L1300" s="58"/>
      <c r="M1300" s="14" t="s">
        <v>1274</v>
      </c>
      <c r="N1300" s="14" t="s">
        <v>33</v>
      </c>
      <c r="O1300" s="14"/>
      <c r="P1300" s="15" t="s">
        <v>1371</v>
      </c>
      <c r="Q1300" s="16">
        <v>11999</v>
      </c>
      <c r="R1300" s="17">
        <v>49.76</v>
      </c>
      <c r="S1300" s="18">
        <v>6931.9354999999996</v>
      </c>
      <c r="T1300" s="19" t="s">
        <v>36</v>
      </c>
      <c r="U1300" s="20" t="s">
        <v>750</v>
      </c>
      <c r="V1300" s="34">
        <v>41.5</v>
      </c>
      <c r="W1300" s="22">
        <v>1</v>
      </c>
      <c r="X1300" s="23"/>
    </row>
    <row r="1301" spans="1:24" s="1" customFormat="1" ht="52.05" customHeight="1" x14ac:dyDescent="0.3">
      <c r="A1301" s="11" t="s">
        <v>23</v>
      </c>
      <c r="B1301" s="11" t="s">
        <v>1372</v>
      </c>
      <c r="C1301" s="12" t="s">
        <v>1373</v>
      </c>
      <c r="D1301" s="55"/>
      <c r="E1301" s="41" t="str">
        <f>HYPERLINK("https://www.google.ru/search?q=3026679-401&amp;newwindow=1&amp;tbm=isch","Еще фото")</f>
        <v>Еще фото</v>
      </c>
      <c r="F1301" s="13"/>
      <c r="G1301" s="11" t="s">
        <v>1184</v>
      </c>
      <c r="H1301" s="11" t="s">
        <v>741</v>
      </c>
      <c r="I1301" s="14" t="s">
        <v>1185</v>
      </c>
      <c r="J1301" s="14" t="s">
        <v>29</v>
      </c>
      <c r="K1301" s="15" t="s">
        <v>30</v>
      </c>
      <c r="L1301" s="57" t="s">
        <v>1374</v>
      </c>
      <c r="M1301" s="14" t="s">
        <v>1194</v>
      </c>
      <c r="N1301" s="14" t="s">
        <v>115</v>
      </c>
      <c r="O1301" s="14"/>
      <c r="P1301" s="15" t="s">
        <v>1275</v>
      </c>
      <c r="Q1301" s="16">
        <v>11999</v>
      </c>
      <c r="R1301" s="17">
        <v>49.76</v>
      </c>
      <c r="S1301" s="18">
        <v>6931.9354999999996</v>
      </c>
      <c r="T1301" s="19" t="s">
        <v>36</v>
      </c>
      <c r="U1301" s="20" t="s">
        <v>747</v>
      </c>
      <c r="V1301" s="34">
        <v>39.5</v>
      </c>
      <c r="W1301" s="22">
        <v>2</v>
      </c>
      <c r="X1301" s="23"/>
    </row>
    <row r="1302" spans="1:24" s="1" customFormat="1" ht="61.05" customHeight="1" x14ac:dyDescent="0.3">
      <c r="A1302" s="24" t="s">
        <v>23</v>
      </c>
      <c r="B1302" s="24" t="s">
        <v>1372</v>
      </c>
      <c r="C1302" s="12" t="s">
        <v>1373</v>
      </c>
      <c r="D1302" s="56"/>
      <c r="E1302" s="41" t="str">
        <f>HYPERLINK("https://www.google.ru/search?q=3026679-401&amp;newwindow=1&amp;tbm=isch","Еще фото")</f>
        <v>Еще фото</v>
      </c>
      <c r="F1302" s="13"/>
      <c r="G1302" s="24" t="s">
        <v>1184</v>
      </c>
      <c r="H1302" s="24" t="s">
        <v>741</v>
      </c>
      <c r="I1302" s="24" t="s">
        <v>1185</v>
      </c>
      <c r="J1302" s="14" t="s">
        <v>29</v>
      </c>
      <c r="K1302" s="15" t="s">
        <v>30</v>
      </c>
      <c r="L1302" s="58"/>
      <c r="M1302" s="14" t="s">
        <v>1194</v>
      </c>
      <c r="N1302" s="14" t="s">
        <v>115</v>
      </c>
      <c r="O1302" s="14"/>
      <c r="P1302" s="15" t="s">
        <v>1275</v>
      </c>
      <c r="Q1302" s="16">
        <v>11999</v>
      </c>
      <c r="R1302" s="17">
        <v>49.76</v>
      </c>
      <c r="S1302" s="18">
        <v>6931.9354999999996</v>
      </c>
      <c r="T1302" s="19" t="s">
        <v>36</v>
      </c>
      <c r="U1302" s="20" t="s">
        <v>752</v>
      </c>
      <c r="V1302" s="22">
        <v>43</v>
      </c>
      <c r="W1302" s="22">
        <v>1</v>
      </c>
      <c r="X1302" s="23"/>
    </row>
    <row r="1303" spans="1:24" s="1" customFormat="1" ht="35" customHeight="1" x14ac:dyDescent="0.3">
      <c r="A1303" s="11" t="s">
        <v>23</v>
      </c>
      <c r="B1303" s="11" t="s">
        <v>1375</v>
      </c>
      <c r="C1303" s="12" t="s">
        <v>1376</v>
      </c>
      <c r="D1303" s="59"/>
      <c r="E1303" s="41" t="str">
        <f>HYPERLINK("https://www.google.ru/search?q=3027776-104&amp;newwindow=1&amp;tbm=isch","Еще фото")</f>
        <v>Еще фото</v>
      </c>
      <c r="F1303" s="13"/>
      <c r="G1303" s="11" t="s">
        <v>1184</v>
      </c>
      <c r="H1303" s="11" t="s">
        <v>741</v>
      </c>
      <c r="I1303" s="14" t="s">
        <v>1185</v>
      </c>
      <c r="J1303" s="14" t="s">
        <v>29</v>
      </c>
      <c r="K1303" s="15" t="s">
        <v>30</v>
      </c>
      <c r="L1303" s="57" t="s">
        <v>1377</v>
      </c>
      <c r="M1303" s="14"/>
      <c r="N1303" s="14" t="s">
        <v>84</v>
      </c>
      <c r="O1303" s="14"/>
      <c r="P1303" s="15" t="s">
        <v>1378</v>
      </c>
      <c r="Q1303" s="16">
        <v>15999</v>
      </c>
      <c r="R1303" s="17">
        <v>49.76</v>
      </c>
      <c r="S1303" s="18">
        <v>9243.4354999999996</v>
      </c>
      <c r="T1303" s="19" t="s">
        <v>36</v>
      </c>
      <c r="U1303" s="20" t="s">
        <v>747</v>
      </c>
      <c r="V1303" s="34">
        <v>39.5</v>
      </c>
      <c r="W1303" s="22">
        <v>1</v>
      </c>
      <c r="X1303" s="23"/>
    </row>
    <row r="1304" spans="1:24" s="1" customFormat="1" ht="35" customHeight="1" x14ac:dyDescent="0.3">
      <c r="A1304" s="24" t="s">
        <v>23</v>
      </c>
      <c r="B1304" s="24" t="s">
        <v>1375</v>
      </c>
      <c r="C1304" s="12" t="s">
        <v>1376</v>
      </c>
      <c r="D1304" s="60"/>
      <c r="E1304" s="41" t="str">
        <f>HYPERLINK("https://www.google.ru/search?q=3027776-104&amp;newwindow=1&amp;tbm=isch","Еще фото")</f>
        <v>Еще фото</v>
      </c>
      <c r="F1304" s="13"/>
      <c r="G1304" s="24" t="s">
        <v>1184</v>
      </c>
      <c r="H1304" s="24" t="s">
        <v>741</v>
      </c>
      <c r="I1304" s="24" t="s">
        <v>1185</v>
      </c>
      <c r="J1304" s="14" t="s">
        <v>29</v>
      </c>
      <c r="K1304" s="15" t="s">
        <v>30</v>
      </c>
      <c r="L1304" s="62"/>
      <c r="M1304" s="14"/>
      <c r="N1304" s="14" t="s">
        <v>84</v>
      </c>
      <c r="O1304" s="14"/>
      <c r="P1304" s="15" t="s">
        <v>1378</v>
      </c>
      <c r="Q1304" s="16">
        <v>15999</v>
      </c>
      <c r="R1304" s="17">
        <v>49.76</v>
      </c>
      <c r="S1304" s="18">
        <v>9243.4354999999996</v>
      </c>
      <c r="T1304" s="19" t="s">
        <v>36</v>
      </c>
      <c r="U1304" s="20" t="s">
        <v>752</v>
      </c>
      <c r="V1304" s="22">
        <v>43</v>
      </c>
      <c r="W1304" s="22">
        <v>3</v>
      </c>
      <c r="X1304" s="23"/>
    </row>
    <row r="1305" spans="1:24" s="1" customFormat="1" ht="37.049999999999997" customHeight="1" x14ac:dyDescent="0.3">
      <c r="A1305" s="24" t="s">
        <v>23</v>
      </c>
      <c r="B1305" s="24" t="s">
        <v>1375</v>
      </c>
      <c r="C1305" s="12" t="s">
        <v>1376</v>
      </c>
      <c r="D1305" s="61"/>
      <c r="E1305" s="41" t="str">
        <f>HYPERLINK("https://www.google.ru/search?q=3027776-104&amp;newwindow=1&amp;tbm=isch","Еще фото")</f>
        <v>Еще фото</v>
      </c>
      <c r="F1305" s="13"/>
      <c r="G1305" s="24" t="s">
        <v>1184</v>
      </c>
      <c r="H1305" s="24" t="s">
        <v>741</v>
      </c>
      <c r="I1305" s="24" t="s">
        <v>1185</v>
      </c>
      <c r="J1305" s="14" t="s">
        <v>29</v>
      </c>
      <c r="K1305" s="15" t="s">
        <v>30</v>
      </c>
      <c r="L1305" s="58"/>
      <c r="M1305" s="14"/>
      <c r="N1305" s="14" t="s">
        <v>84</v>
      </c>
      <c r="O1305" s="14"/>
      <c r="P1305" s="15" t="s">
        <v>1378</v>
      </c>
      <c r="Q1305" s="16">
        <v>15999</v>
      </c>
      <c r="R1305" s="17">
        <v>49.76</v>
      </c>
      <c r="S1305" s="18">
        <v>9243.4354999999996</v>
      </c>
      <c r="T1305" s="19" t="s">
        <v>36</v>
      </c>
      <c r="U1305" s="20" t="s">
        <v>754</v>
      </c>
      <c r="V1305" s="22">
        <v>44</v>
      </c>
      <c r="W1305" s="22">
        <v>1</v>
      </c>
      <c r="X1305" s="23"/>
    </row>
    <row r="1306" spans="1:24" s="1" customFormat="1" ht="17" customHeight="1" x14ac:dyDescent="0.3">
      <c r="A1306" s="11" t="s">
        <v>23</v>
      </c>
      <c r="B1306" s="11" t="s">
        <v>1379</v>
      </c>
      <c r="C1306" s="12" t="s">
        <v>1380</v>
      </c>
      <c r="D1306" s="59"/>
      <c r="E1306" s="41" t="str">
        <f t="shared" ref="E1306:E1311" si="41">HYPERLINK("https://www.google.ru/search?q=3024131-002&amp;newwindow=1&amp;tbm=isch","Еще фото")</f>
        <v>Еще фото</v>
      </c>
      <c r="F1306" s="13"/>
      <c r="G1306" s="11" t="s">
        <v>1184</v>
      </c>
      <c r="H1306" s="11" t="s">
        <v>741</v>
      </c>
      <c r="I1306" s="14" t="s">
        <v>1185</v>
      </c>
      <c r="J1306" s="14" t="s">
        <v>29</v>
      </c>
      <c r="K1306" s="15" t="s">
        <v>59</v>
      </c>
      <c r="L1306" s="57" t="s">
        <v>1381</v>
      </c>
      <c r="M1306" s="14" t="s">
        <v>45</v>
      </c>
      <c r="N1306" s="14" t="s">
        <v>33</v>
      </c>
      <c r="O1306" s="14" t="s">
        <v>34</v>
      </c>
      <c r="P1306" s="15" t="s">
        <v>1382</v>
      </c>
      <c r="Q1306" s="16">
        <v>7499</v>
      </c>
      <c r="R1306" s="17">
        <v>49.76</v>
      </c>
      <c r="S1306" s="18">
        <v>4332.9354999999996</v>
      </c>
      <c r="T1306" s="19" t="s">
        <v>36</v>
      </c>
      <c r="U1306" s="20" t="s">
        <v>1190</v>
      </c>
      <c r="V1306" s="34">
        <v>35.5</v>
      </c>
      <c r="W1306" s="22">
        <v>3</v>
      </c>
      <c r="X1306" s="23"/>
    </row>
    <row r="1307" spans="1:24" s="1" customFormat="1" ht="17" customHeight="1" x14ac:dyDescent="0.3">
      <c r="A1307" s="24" t="s">
        <v>23</v>
      </c>
      <c r="B1307" s="24" t="s">
        <v>1379</v>
      </c>
      <c r="C1307" s="12" t="s">
        <v>1380</v>
      </c>
      <c r="D1307" s="60"/>
      <c r="E1307" s="41" t="str">
        <f t="shared" si="41"/>
        <v>Еще фото</v>
      </c>
      <c r="F1307" s="13"/>
      <c r="G1307" s="24" t="s">
        <v>1184</v>
      </c>
      <c r="H1307" s="24" t="s">
        <v>741</v>
      </c>
      <c r="I1307" s="24" t="s">
        <v>1185</v>
      </c>
      <c r="J1307" s="14" t="s">
        <v>29</v>
      </c>
      <c r="K1307" s="15" t="s">
        <v>59</v>
      </c>
      <c r="L1307" s="62"/>
      <c r="M1307" s="14" t="s">
        <v>45</v>
      </c>
      <c r="N1307" s="14" t="s">
        <v>33</v>
      </c>
      <c r="O1307" s="14" t="s">
        <v>34</v>
      </c>
      <c r="P1307" s="15" t="s">
        <v>1382</v>
      </c>
      <c r="Q1307" s="16">
        <v>7499</v>
      </c>
      <c r="R1307" s="17">
        <v>49.76</v>
      </c>
      <c r="S1307" s="18">
        <v>4332.9354999999996</v>
      </c>
      <c r="T1307" s="19" t="s">
        <v>36</v>
      </c>
      <c r="U1307" s="20" t="s">
        <v>1203</v>
      </c>
      <c r="V1307" s="22">
        <v>36</v>
      </c>
      <c r="W1307" s="22">
        <v>1</v>
      </c>
      <c r="X1307" s="23"/>
    </row>
    <row r="1308" spans="1:24" s="1" customFormat="1" ht="17" customHeight="1" x14ac:dyDescent="0.3">
      <c r="A1308" s="24" t="s">
        <v>23</v>
      </c>
      <c r="B1308" s="24" t="s">
        <v>1379</v>
      </c>
      <c r="C1308" s="12" t="s">
        <v>1380</v>
      </c>
      <c r="D1308" s="60"/>
      <c r="E1308" s="41" t="str">
        <f t="shared" si="41"/>
        <v>Еще фото</v>
      </c>
      <c r="F1308" s="13"/>
      <c r="G1308" s="24" t="s">
        <v>1184</v>
      </c>
      <c r="H1308" s="24" t="s">
        <v>741</v>
      </c>
      <c r="I1308" s="24" t="s">
        <v>1185</v>
      </c>
      <c r="J1308" s="14" t="s">
        <v>29</v>
      </c>
      <c r="K1308" s="15" t="s">
        <v>59</v>
      </c>
      <c r="L1308" s="62"/>
      <c r="M1308" s="14" t="s">
        <v>45</v>
      </c>
      <c r="N1308" s="14" t="s">
        <v>33</v>
      </c>
      <c r="O1308" s="14" t="s">
        <v>34</v>
      </c>
      <c r="P1308" s="15" t="s">
        <v>1382</v>
      </c>
      <c r="Q1308" s="16">
        <v>7499</v>
      </c>
      <c r="R1308" s="17">
        <v>49.76</v>
      </c>
      <c r="S1308" s="18">
        <v>4332.9354999999996</v>
      </c>
      <c r="T1308" s="19" t="s">
        <v>36</v>
      </c>
      <c r="U1308" s="20" t="s">
        <v>1196</v>
      </c>
      <c r="V1308" s="34">
        <v>36.5</v>
      </c>
      <c r="W1308" s="22">
        <v>4</v>
      </c>
      <c r="X1308" s="23"/>
    </row>
    <row r="1309" spans="1:24" s="1" customFormat="1" ht="17" customHeight="1" x14ac:dyDescent="0.3">
      <c r="A1309" s="24" t="s">
        <v>23</v>
      </c>
      <c r="B1309" s="24" t="s">
        <v>1379</v>
      </c>
      <c r="C1309" s="12" t="s">
        <v>1380</v>
      </c>
      <c r="D1309" s="60"/>
      <c r="E1309" s="41" t="str">
        <f t="shared" si="41"/>
        <v>Еще фото</v>
      </c>
      <c r="F1309" s="13"/>
      <c r="G1309" s="24" t="s">
        <v>1184</v>
      </c>
      <c r="H1309" s="24" t="s">
        <v>741</v>
      </c>
      <c r="I1309" s="24" t="s">
        <v>1185</v>
      </c>
      <c r="J1309" s="14" t="s">
        <v>29</v>
      </c>
      <c r="K1309" s="15" t="s">
        <v>59</v>
      </c>
      <c r="L1309" s="62"/>
      <c r="M1309" s="14" t="s">
        <v>45</v>
      </c>
      <c r="N1309" s="14" t="s">
        <v>33</v>
      </c>
      <c r="O1309" s="14" t="s">
        <v>34</v>
      </c>
      <c r="P1309" s="15" t="s">
        <v>1382</v>
      </c>
      <c r="Q1309" s="16">
        <v>7499</v>
      </c>
      <c r="R1309" s="17">
        <v>49.76</v>
      </c>
      <c r="S1309" s="18">
        <v>4332.9354999999996</v>
      </c>
      <c r="T1309" s="19" t="s">
        <v>36</v>
      </c>
      <c r="U1309" s="20" t="s">
        <v>746</v>
      </c>
      <c r="V1309" s="22">
        <v>37</v>
      </c>
      <c r="W1309" s="22">
        <v>4</v>
      </c>
      <c r="X1309" s="23"/>
    </row>
    <row r="1310" spans="1:24" s="1" customFormat="1" ht="17" customHeight="1" x14ac:dyDescent="0.3">
      <c r="A1310" s="24" t="s">
        <v>23</v>
      </c>
      <c r="B1310" s="24" t="s">
        <v>1379</v>
      </c>
      <c r="C1310" s="12" t="s">
        <v>1380</v>
      </c>
      <c r="D1310" s="60"/>
      <c r="E1310" s="41" t="str">
        <f t="shared" si="41"/>
        <v>Еще фото</v>
      </c>
      <c r="F1310" s="13"/>
      <c r="G1310" s="24" t="s">
        <v>1184</v>
      </c>
      <c r="H1310" s="24" t="s">
        <v>741</v>
      </c>
      <c r="I1310" s="24" t="s">
        <v>1185</v>
      </c>
      <c r="J1310" s="14" t="s">
        <v>29</v>
      </c>
      <c r="K1310" s="15" t="s">
        <v>59</v>
      </c>
      <c r="L1310" s="62"/>
      <c r="M1310" s="14" t="s">
        <v>45</v>
      </c>
      <c r="N1310" s="14" t="s">
        <v>33</v>
      </c>
      <c r="O1310" s="14" t="s">
        <v>34</v>
      </c>
      <c r="P1310" s="15" t="s">
        <v>1382</v>
      </c>
      <c r="Q1310" s="16">
        <v>7499</v>
      </c>
      <c r="R1310" s="17">
        <v>49.76</v>
      </c>
      <c r="S1310" s="18">
        <v>4332.9354999999996</v>
      </c>
      <c r="T1310" s="19" t="s">
        <v>36</v>
      </c>
      <c r="U1310" s="20" t="s">
        <v>747</v>
      </c>
      <c r="V1310" s="34">
        <v>37.5</v>
      </c>
      <c r="W1310" s="22">
        <v>5</v>
      </c>
      <c r="X1310" s="23"/>
    </row>
    <row r="1311" spans="1:24" s="1" customFormat="1" ht="22.05" customHeight="1" x14ac:dyDescent="0.3">
      <c r="A1311" s="24" t="s">
        <v>23</v>
      </c>
      <c r="B1311" s="24" t="s">
        <v>1379</v>
      </c>
      <c r="C1311" s="12" t="s">
        <v>1380</v>
      </c>
      <c r="D1311" s="61"/>
      <c r="E1311" s="41" t="str">
        <f t="shared" si="41"/>
        <v>Еще фото</v>
      </c>
      <c r="F1311" s="13"/>
      <c r="G1311" s="24" t="s">
        <v>1184</v>
      </c>
      <c r="H1311" s="24" t="s">
        <v>741</v>
      </c>
      <c r="I1311" s="24" t="s">
        <v>1185</v>
      </c>
      <c r="J1311" s="14" t="s">
        <v>29</v>
      </c>
      <c r="K1311" s="15" t="s">
        <v>59</v>
      </c>
      <c r="L1311" s="58"/>
      <c r="M1311" s="14" t="s">
        <v>45</v>
      </c>
      <c r="N1311" s="14" t="s">
        <v>33</v>
      </c>
      <c r="O1311" s="14" t="s">
        <v>34</v>
      </c>
      <c r="P1311" s="15" t="s">
        <v>1382</v>
      </c>
      <c r="Q1311" s="16">
        <v>7499</v>
      </c>
      <c r="R1311" s="17">
        <v>49.76</v>
      </c>
      <c r="S1311" s="18">
        <v>4332.9354999999996</v>
      </c>
      <c r="T1311" s="19" t="s">
        <v>36</v>
      </c>
      <c r="U1311" s="20" t="s">
        <v>748</v>
      </c>
      <c r="V1311" s="22">
        <v>38</v>
      </c>
      <c r="W1311" s="22">
        <v>1</v>
      </c>
      <c r="X1311" s="23"/>
    </row>
    <row r="1312" spans="1:24" s="1" customFormat="1" ht="14" customHeight="1" x14ac:dyDescent="0.3">
      <c r="A1312" s="11" t="s">
        <v>23</v>
      </c>
      <c r="B1312" s="11" t="s">
        <v>1383</v>
      </c>
      <c r="C1312" s="12" t="s">
        <v>1384</v>
      </c>
      <c r="D1312" s="59"/>
      <c r="E1312" s="41" t="str">
        <f t="shared" ref="E1312:E1318" si="42">HYPERLINK("https://www.google.ru/search?q=6001585-402&amp;newwindow=1&amp;tbm=isch","Еще фото")</f>
        <v>Еще фото</v>
      </c>
      <c r="F1312" s="13" t="s">
        <v>103</v>
      </c>
      <c r="G1312" s="11" t="s">
        <v>1184</v>
      </c>
      <c r="H1312" s="11" t="s">
        <v>741</v>
      </c>
      <c r="I1312" s="14" t="s">
        <v>1185</v>
      </c>
      <c r="J1312" s="14" t="s">
        <v>260</v>
      </c>
      <c r="K1312" s="15" t="s">
        <v>723</v>
      </c>
      <c r="L1312" s="57" t="s">
        <v>1385</v>
      </c>
      <c r="M1312" s="14"/>
      <c r="N1312" s="14" t="s">
        <v>115</v>
      </c>
      <c r="O1312" s="14"/>
      <c r="P1312" s="15" t="s">
        <v>745</v>
      </c>
      <c r="Q1312" s="16">
        <v>11099</v>
      </c>
      <c r="R1312" s="17">
        <v>49.75</v>
      </c>
      <c r="S1312" s="18">
        <v>6414.4354999999996</v>
      </c>
      <c r="T1312" s="19" t="s">
        <v>36</v>
      </c>
      <c r="U1312" s="20" t="s">
        <v>1345</v>
      </c>
      <c r="V1312" s="22">
        <v>41</v>
      </c>
      <c r="W1312" s="22">
        <v>11</v>
      </c>
      <c r="X1312" s="23"/>
    </row>
    <row r="1313" spans="1:24" s="1" customFormat="1" ht="14" customHeight="1" x14ac:dyDescent="0.3">
      <c r="A1313" s="24" t="s">
        <v>23</v>
      </c>
      <c r="B1313" s="24" t="s">
        <v>1383</v>
      </c>
      <c r="C1313" s="12" t="s">
        <v>1384</v>
      </c>
      <c r="D1313" s="60"/>
      <c r="E1313" s="41" t="str">
        <f t="shared" si="42"/>
        <v>Еще фото</v>
      </c>
      <c r="F1313" s="13" t="s">
        <v>103</v>
      </c>
      <c r="G1313" s="24" t="s">
        <v>1184</v>
      </c>
      <c r="H1313" s="24" t="s">
        <v>741</v>
      </c>
      <c r="I1313" s="24" t="s">
        <v>1185</v>
      </c>
      <c r="J1313" s="14" t="s">
        <v>260</v>
      </c>
      <c r="K1313" s="15" t="s">
        <v>723</v>
      </c>
      <c r="L1313" s="62"/>
      <c r="M1313" s="14"/>
      <c r="N1313" s="14" t="s">
        <v>115</v>
      </c>
      <c r="O1313" s="14"/>
      <c r="P1313" s="15" t="s">
        <v>745</v>
      </c>
      <c r="Q1313" s="16">
        <v>11099</v>
      </c>
      <c r="R1313" s="17">
        <v>49.75</v>
      </c>
      <c r="S1313" s="18">
        <v>6414.4354999999996</v>
      </c>
      <c r="T1313" s="19" t="s">
        <v>36</v>
      </c>
      <c r="U1313" s="20" t="s">
        <v>1346</v>
      </c>
      <c r="V1313" s="34">
        <v>41.5</v>
      </c>
      <c r="W1313" s="22">
        <v>11</v>
      </c>
      <c r="X1313" s="23"/>
    </row>
    <row r="1314" spans="1:24" s="1" customFormat="1" ht="14" customHeight="1" x14ac:dyDescent="0.3">
      <c r="A1314" s="24" t="s">
        <v>23</v>
      </c>
      <c r="B1314" s="24" t="s">
        <v>1383</v>
      </c>
      <c r="C1314" s="12" t="s">
        <v>1384</v>
      </c>
      <c r="D1314" s="60"/>
      <c r="E1314" s="41" t="str">
        <f t="shared" si="42"/>
        <v>Еще фото</v>
      </c>
      <c r="F1314" s="13" t="s">
        <v>103</v>
      </c>
      <c r="G1314" s="24" t="s">
        <v>1184</v>
      </c>
      <c r="H1314" s="24" t="s">
        <v>741</v>
      </c>
      <c r="I1314" s="24" t="s">
        <v>1185</v>
      </c>
      <c r="J1314" s="14" t="s">
        <v>260</v>
      </c>
      <c r="K1314" s="15" t="s">
        <v>723</v>
      </c>
      <c r="L1314" s="62"/>
      <c r="M1314" s="14"/>
      <c r="N1314" s="14" t="s">
        <v>115</v>
      </c>
      <c r="O1314" s="14"/>
      <c r="P1314" s="15" t="s">
        <v>745</v>
      </c>
      <c r="Q1314" s="16">
        <v>11099</v>
      </c>
      <c r="R1314" s="17">
        <v>49.75</v>
      </c>
      <c r="S1314" s="18">
        <v>6414.4354999999996</v>
      </c>
      <c r="T1314" s="19" t="s">
        <v>36</v>
      </c>
      <c r="U1314" s="20" t="s">
        <v>1326</v>
      </c>
      <c r="V1314" s="22">
        <v>42</v>
      </c>
      <c r="W1314" s="22">
        <v>15</v>
      </c>
      <c r="X1314" s="23"/>
    </row>
    <row r="1315" spans="1:24" s="1" customFormat="1" ht="14" customHeight="1" x14ac:dyDescent="0.3">
      <c r="A1315" s="24" t="s">
        <v>23</v>
      </c>
      <c r="B1315" s="24" t="s">
        <v>1383</v>
      </c>
      <c r="C1315" s="12" t="s">
        <v>1384</v>
      </c>
      <c r="D1315" s="60"/>
      <c r="E1315" s="41" t="str">
        <f t="shared" si="42"/>
        <v>Еще фото</v>
      </c>
      <c r="F1315" s="13" t="s">
        <v>103</v>
      </c>
      <c r="G1315" s="24" t="s">
        <v>1184</v>
      </c>
      <c r="H1315" s="24" t="s">
        <v>741</v>
      </c>
      <c r="I1315" s="24" t="s">
        <v>1185</v>
      </c>
      <c r="J1315" s="14" t="s">
        <v>260</v>
      </c>
      <c r="K1315" s="15" t="s">
        <v>723</v>
      </c>
      <c r="L1315" s="62"/>
      <c r="M1315" s="14"/>
      <c r="N1315" s="14" t="s">
        <v>115</v>
      </c>
      <c r="O1315" s="14"/>
      <c r="P1315" s="15" t="s">
        <v>745</v>
      </c>
      <c r="Q1315" s="16">
        <v>11099</v>
      </c>
      <c r="R1315" s="17">
        <v>49.75</v>
      </c>
      <c r="S1315" s="18">
        <v>6414.4354999999996</v>
      </c>
      <c r="T1315" s="19" t="s">
        <v>36</v>
      </c>
      <c r="U1315" s="20" t="s">
        <v>1347</v>
      </c>
      <c r="V1315" s="22">
        <v>43</v>
      </c>
      <c r="W1315" s="22">
        <v>18</v>
      </c>
      <c r="X1315" s="23"/>
    </row>
    <row r="1316" spans="1:24" s="1" customFormat="1" ht="14" customHeight="1" x14ac:dyDescent="0.3">
      <c r="A1316" s="24" t="s">
        <v>23</v>
      </c>
      <c r="B1316" s="24" t="s">
        <v>1383</v>
      </c>
      <c r="C1316" s="12" t="s">
        <v>1384</v>
      </c>
      <c r="D1316" s="60"/>
      <c r="E1316" s="41" t="str">
        <f t="shared" si="42"/>
        <v>Еще фото</v>
      </c>
      <c r="F1316" s="13" t="s">
        <v>103</v>
      </c>
      <c r="G1316" s="24" t="s">
        <v>1184</v>
      </c>
      <c r="H1316" s="24" t="s">
        <v>741</v>
      </c>
      <c r="I1316" s="24" t="s">
        <v>1185</v>
      </c>
      <c r="J1316" s="14" t="s">
        <v>260</v>
      </c>
      <c r="K1316" s="15" t="s">
        <v>723</v>
      </c>
      <c r="L1316" s="62"/>
      <c r="M1316" s="14"/>
      <c r="N1316" s="14" t="s">
        <v>115</v>
      </c>
      <c r="O1316" s="14"/>
      <c r="P1316" s="15" t="s">
        <v>745</v>
      </c>
      <c r="Q1316" s="16">
        <v>11099</v>
      </c>
      <c r="R1316" s="17">
        <v>49.75</v>
      </c>
      <c r="S1316" s="18">
        <v>6414.4354999999996</v>
      </c>
      <c r="T1316" s="19" t="s">
        <v>36</v>
      </c>
      <c r="U1316" s="20" t="s">
        <v>1348</v>
      </c>
      <c r="V1316" s="34">
        <v>43.5</v>
      </c>
      <c r="W1316" s="22">
        <v>16</v>
      </c>
      <c r="X1316" s="23"/>
    </row>
    <row r="1317" spans="1:24" s="1" customFormat="1" ht="14" customHeight="1" x14ac:dyDescent="0.3">
      <c r="A1317" s="24" t="s">
        <v>23</v>
      </c>
      <c r="B1317" s="24" t="s">
        <v>1383</v>
      </c>
      <c r="C1317" s="12" t="s">
        <v>1384</v>
      </c>
      <c r="D1317" s="60"/>
      <c r="E1317" s="41" t="str">
        <f t="shared" si="42"/>
        <v>Еще фото</v>
      </c>
      <c r="F1317" s="13" t="s">
        <v>103</v>
      </c>
      <c r="G1317" s="24" t="s">
        <v>1184</v>
      </c>
      <c r="H1317" s="24" t="s">
        <v>741</v>
      </c>
      <c r="I1317" s="24" t="s">
        <v>1185</v>
      </c>
      <c r="J1317" s="14" t="s">
        <v>260</v>
      </c>
      <c r="K1317" s="15" t="s">
        <v>723</v>
      </c>
      <c r="L1317" s="62"/>
      <c r="M1317" s="14"/>
      <c r="N1317" s="14" t="s">
        <v>115</v>
      </c>
      <c r="O1317" s="14"/>
      <c r="P1317" s="15" t="s">
        <v>745</v>
      </c>
      <c r="Q1317" s="16">
        <v>11099</v>
      </c>
      <c r="R1317" s="17">
        <v>49.75</v>
      </c>
      <c r="S1317" s="18">
        <v>6414.4354999999996</v>
      </c>
      <c r="T1317" s="19" t="s">
        <v>36</v>
      </c>
      <c r="U1317" s="20" t="s">
        <v>1327</v>
      </c>
      <c r="V1317" s="22">
        <v>44</v>
      </c>
      <c r="W1317" s="22">
        <v>14</v>
      </c>
      <c r="X1317" s="23"/>
    </row>
    <row r="1318" spans="1:24" s="1" customFormat="1" ht="17" customHeight="1" x14ac:dyDescent="0.3">
      <c r="A1318" s="24" t="s">
        <v>23</v>
      </c>
      <c r="B1318" s="24" t="s">
        <v>1383</v>
      </c>
      <c r="C1318" s="12" t="s">
        <v>1384</v>
      </c>
      <c r="D1318" s="61"/>
      <c r="E1318" s="41" t="str">
        <f t="shared" si="42"/>
        <v>Еще фото</v>
      </c>
      <c r="F1318" s="13" t="s">
        <v>103</v>
      </c>
      <c r="G1318" s="24" t="s">
        <v>1184</v>
      </c>
      <c r="H1318" s="24" t="s">
        <v>741</v>
      </c>
      <c r="I1318" s="24" t="s">
        <v>1185</v>
      </c>
      <c r="J1318" s="14" t="s">
        <v>260</v>
      </c>
      <c r="K1318" s="15" t="s">
        <v>723</v>
      </c>
      <c r="L1318" s="58"/>
      <c r="M1318" s="14"/>
      <c r="N1318" s="14" t="s">
        <v>115</v>
      </c>
      <c r="O1318" s="14"/>
      <c r="P1318" s="15" t="s">
        <v>745</v>
      </c>
      <c r="Q1318" s="16">
        <v>11099</v>
      </c>
      <c r="R1318" s="17">
        <v>49.75</v>
      </c>
      <c r="S1318" s="18">
        <v>6414.4354999999996</v>
      </c>
      <c r="T1318" s="19" t="s">
        <v>36</v>
      </c>
      <c r="U1318" s="20" t="s">
        <v>1349</v>
      </c>
      <c r="V1318" s="34">
        <v>44.5</v>
      </c>
      <c r="W1318" s="22">
        <v>5</v>
      </c>
      <c r="X1318" s="23"/>
    </row>
    <row r="1319" spans="1:24" s="1" customFormat="1" ht="52.05" customHeight="1" x14ac:dyDescent="0.3">
      <c r="A1319" s="11" t="s">
        <v>23</v>
      </c>
      <c r="B1319" s="11" t="s">
        <v>1255</v>
      </c>
      <c r="C1319" s="12" t="s">
        <v>1386</v>
      </c>
      <c r="D1319" s="55"/>
      <c r="E1319" s="41" t="str">
        <f>HYPERLINK("https://www.google.ru/search?q=3024878-001&amp;newwindow=1&amp;tbm=isch","Еще фото")</f>
        <v>Еще фото</v>
      </c>
      <c r="F1319" s="13" t="s">
        <v>103</v>
      </c>
      <c r="G1319" s="11" t="s">
        <v>1184</v>
      </c>
      <c r="H1319" s="11" t="s">
        <v>741</v>
      </c>
      <c r="I1319" s="14" t="s">
        <v>1185</v>
      </c>
      <c r="J1319" s="14" t="s">
        <v>29</v>
      </c>
      <c r="K1319" s="15" t="s">
        <v>30</v>
      </c>
      <c r="L1319" s="57" t="s">
        <v>1257</v>
      </c>
      <c r="M1319" s="14" t="s">
        <v>1194</v>
      </c>
      <c r="N1319" s="14" t="s">
        <v>33</v>
      </c>
      <c r="O1319" s="14" t="s">
        <v>34</v>
      </c>
      <c r="P1319" s="15" t="s">
        <v>1258</v>
      </c>
      <c r="Q1319" s="16">
        <v>10699</v>
      </c>
      <c r="R1319" s="17">
        <v>49.74</v>
      </c>
      <c r="S1319" s="18">
        <v>6184.4354999999996</v>
      </c>
      <c r="T1319" s="19" t="s">
        <v>36</v>
      </c>
      <c r="U1319" s="20" t="s">
        <v>746</v>
      </c>
      <c r="V1319" s="22">
        <v>39</v>
      </c>
      <c r="W1319" s="22">
        <v>7</v>
      </c>
      <c r="X1319" s="23"/>
    </row>
    <row r="1320" spans="1:24" s="1" customFormat="1" ht="61.05" customHeight="1" x14ac:dyDescent="0.3">
      <c r="A1320" s="24" t="s">
        <v>23</v>
      </c>
      <c r="B1320" s="24" t="s">
        <v>1255</v>
      </c>
      <c r="C1320" s="12" t="s">
        <v>1386</v>
      </c>
      <c r="D1320" s="56"/>
      <c r="E1320" s="41" t="str">
        <f>HYPERLINK("https://www.google.ru/search?q=3024878-001&amp;newwindow=1&amp;tbm=isch","Еще фото")</f>
        <v>Еще фото</v>
      </c>
      <c r="F1320" s="13" t="s">
        <v>103</v>
      </c>
      <c r="G1320" s="24" t="s">
        <v>1184</v>
      </c>
      <c r="H1320" s="24" t="s">
        <v>741</v>
      </c>
      <c r="I1320" s="24" t="s">
        <v>1185</v>
      </c>
      <c r="J1320" s="14" t="s">
        <v>29</v>
      </c>
      <c r="K1320" s="15" t="s">
        <v>30</v>
      </c>
      <c r="L1320" s="58"/>
      <c r="M1320" s="14" t="s">
        <v>1194</v>
      </c>
      <c r="N1320" s="14" t="s">
        <v>33</v>
      </c>
      <c r="O1320" s="14" t="s">
        <v>34</v>
      </c>
      <c r="P1320" s="15" t="s">
        <v>1258</v>
      </c>
      <c r="Q1320" s="16">
        <v>10699</v>
      </c>
      <c r="R1320" s="17">
        <v>49.74</v>
      </c>
      <c r="S1320" s="18">
        <v>6184.4354999999996</v>
      </c>
      <c r="T1320" s="19" t="s">
        <v>36</v>
      </c>
      <c r="U1320" s="20" t="s">
        <v>747</v>
      </c>
      <c r="V1320" s="34">
        <v>39.5</v>
      </c>
      <c r="W1320" s="22">
        <v>15</v>
      </c>
      <c r="X1320" s="23"/>
    </row>
    <row r="1321" spans="1:24" s="1" customFormat="1" ht="21" customHeight="1" x14ac:dyDescent="0.3">
      <c r="A1321" s="11" t="s">
        <v>23</v>
      </c>
      <c r="B1321" s="11" t="s">
        <v>1358</v>
      </c>
      <c r="C1321" s="26" t="s">
        <v>1387</v>
      </c>
      <c r="D1321" s="59"/>
      <c r="E1321" s="41" t="str">
        <f>HYPERLINK("https://www.google.ru/search?q=3028076-014&amp;newwindow=1&amp;tbm=isch","Еще фото")</f>
        <v>Еще фото</v>
      </c>
      <c r="F1321" s="13"/>
      <c r="G1321" s="11" t="s">
        <v>1184</v>
      </c>
      <c r="H1321" s="11" t="s">
        <v>741</v>
      </c>
      <c r="I1321" s="14" t="s">
        <v>1185</v>
      </c>
      <c r="J1321" s="14" t="s">
        <v>29</v>
      </c>
      <c r="K1321" s="15" t="s">
        <v>30</v>
      </c>
      <c r="L1321" s="57" t="s">
        <v>1360</v>
      </c>
      <c r="M1321" s="14"/>
      <c r="N1321" s="14" t="s">
        <v>62</v>
      </c>
      <c r="O1321" s="14"/>
      <c r="P1321" s="15" t="s">
        <v>745</v>
      </c>
      <c r="Q1321" s="16">
        <v>14199</v>
      </c>
      <c r="R1321" s="17">
        <v>49.73</v>
      </c>
      <c r="S1321" s="18">
        <v>8208.4354999999996</v>
      </c>
      <c r="T1321" s="19" t="s">
        <v>36</v>
      </c>
      <c r="U1321" s="20" t="s">
        <v>748</v>
      </c>
      <c r="V1321" s="22">
        <v>40</v>
      </c>
      <c r="W1321" s="22">
        <v>4</v>
      </c>
      <c r="X1321" s="23"/>
    </row>
    <row r="1322" spans="1:24" s="1" customFormat="1" ht="21" customHeight="1" x14ac:dyDescent="0.3">
      <c r="A1322" s="24" t="s">
        <v>23</v>
      </c>
      <c r="B1322" s="24" t="s">
        <v>1358</v>
      </c>
      <c r="C1322" s="27" t="s">
        <v>1387</v>
      </c>
      <c r="D1322" s="60"/>
      <c r="E1322" s="41" t="str">
        <f>HYPERLINK("https://www.google.ru/search?q=3028076-014&amp;newwindow=1&amp;tbm=isch","Еще фото")</f>
        <v>Еще фото</v>
      </c>
      <c r="F1322" s="13"/>
      <c r="G1322" s="24" t="s">
        <v>1184</v>
      </c>
      <c r="H1322" s="24" t="s">
        <v>741</v>
      </c>
      <c r="I1322" s="24" t="s">
        <v>1185</v>
      </c>
      <c r="J1322" s="14" t="s">
        <v>29</v>
      </c>
      <c r="K1322" s="15" t="s">
        <v>30</v>
      </c>
      <c r="L1322" s="62"/>
      <c r="M1322" s="14"/>
      <c r="N1322" s="14" t="s">
        <v>62</v>
      </c>
      <c r="O1322" s="14"/>
      <c r="P1322" s="15" t="s">
        <v>745</v>
      </c>
      <c r="Q1322" s="16">
        <v>14199</v>
      </c>
      <c r="R1322" s="17">
        <v>49.73</v>
      </c>
      <c r="S1322" s="18">
        <v>8208.4354999999996</v>
      </c>
      <c r="T1322" s="19" t="s">
        <v>36</v>
      </c>
      <c r="U1322" s="20" t="s">
        <v>749</v>
      </c>
      <c r="V1322" s="22">
        <v>41</v>
      </c>
      <c r="W1322" s="22">
        <v>2</v>
      </c>
      <c r="X1322" s="23"/>
    </row>
    <row r="1323" spans="1:24" s="1" customFormat="1" ht="21" customHeight="1" x14ac:dyDescent="0.3">
      <c r="A1323" s="24" t="s">
        <v>23</v>
      </c>
      <c r="B1323" s="24" t="s">
        <v>1358</v>
      </c>
      <c r="C1323" s="27" t="s">
        <v>1387</v>
      </c>
      <c r="D1323" s="60"/>
      <c r="E1323" s="41" t="str">
        <f>HYPERLINK("https://www.google.ru/search?q=3028076-014&amp;newwindow=1&amp;tbm=isch","Еще фото")</f>
        <v>Еще фото</v>
      </c>
      <c r="F1323" s="13"/>
      <c r="G1323" s="24" t="s">
        <v>1184</v>
      </c>
      <c r="H1323" s="24" t="s">
        <v>741</v>
      </c>
      <c r="I1323" s="24" t="s">
        <v>1185</v>
      </c>
      <c r="J1323" s="14" t="s">
        <v>29</v>
      </c>
      <c r="K1323" s="15" t="s">
        <v>30</v>
      </c>
      <c r="L1323" s="62"/>
      <c r="M1323" s="14"/>
      <c r="N1323" s="14" t="s">
        <v>62</v>
      </c>
      <c r="O1323" s="14"/>
      <c r="P1323" s="15" t="s">
        <v>745</v>
      </c>
      <c r="Q1323" s="16">
        <v>14199</v>
      </c>
      <c r="R1323" s="17">
        <v>49.73</v>
      </c>
      <c r="S1323" s="18">
        <v>8208.4354999999996</v>
      </c>
      <c r="T1323" s="19" t="s">
        <v>36</v>
      </c>
      <c r="U1323" s="20" t="s">
        <v>750</v>
      </c>
      <c r="V1323" s="34">
        <v>41.5</v>
      </c>
      <c r="W1323" s="22">
        <v>3</v>
      </c>
      <c r="X1323" s="23"/>
    </row>
    <row r="1324" spans="1:24" s="1" customFormat="1" ht="21" customHeight="1" x14ac:dyDescent="0.3">
      <c r="A1324" s="24" t="s">
        <v>23</v>
      </c>
      <c r="B1324" s="24" t="s">
        <v>1358</v>
      </c>
      <c r="C1324" s="27" t="s">
        <v>1387</v>
      </c>
      <c r="D1324" s="60"/>
      <c r="E1324" s="41" t="str">
        <f>HYPERLINK("https://www.google.ru/search?q=3028076-014&amp;newwindow=1&amp;tbm=isch","Еще фото")</f>
        <v>Еще фото</v>
      </c>
      <c r="F1324" s="13"/>
      <c r="G1324" s="24" t="s">
        <v>1184</v>
      </c>
      <c r="H1324" s="24" t="s">
        <v>741</v>
      </c>
      <c r="I1324" s="24" t="s">
        <v>1185</v>
      </c>
      <c r="J1324" s="14" t="s">
        <v>29</v>
      </c>
      <c r="K1324" s="15" t="s">
        <v>30</v>
      </c>
      <c r="L1324" s="62"/>
      <c r="M1324" s="14"/>
      <c r="N1324" s="14" t="s">
        <v>62</v>
      </c>
      <c r="O1324" s="14"/>
      <c r="P1324" s="15" t="s">
        <v>745</v>
      </c>
      <c r="Q1324" s="16">
        <v>14199</v>
      </c>
      <c r="R1324" s="17">
        <v>49.73</v>
      </c>
      <c r="S1324" s="18">
        <v>8208.4354999999996</v>
      </c>
      <c r="T1324" s="19" t="s">
        <v>36</v>
      </c>
      <c r="U1324" s="20" t="s">
        <v>752</v>
      </c>
      <c r="V1324" s="22">
        <v>43</v>
      </c>
      <c r="W1324" s="22">
        <v>5</v>
      </c>
      <c r="X1324" s="23"/>
    </row>
    <row r="1325" spans="1:24" s="1" customFormat="1" ht="32" customHeight="1" x14ac:dyDescent="0.3">
      <c r="A1325" s="24" t="s">
        <v>23</v>
      </c>
      <c r="B1325" s="24" t="s">
        <v>1358</v>
      </c>
      <c r="C1325" s="27" t="s">
        <v>1387</v>
      </c>
      <c r="D1325" s="61"/>
      <c r="E1325" s="41" t="str">
        <f>HYPERLINK("https://www.google.ru/search?q=3028076-014&amp;newwindow=1&amp;tbm=isch","Еще фото")</f>
        <v>Еще фото</v>
      </c>
      <c r="F1325" s="13"/>
      <c r="G1325" s="24" t="s">
        <v>1184</v>
      </c>
      <c r="H1325" s="24" t="s">
        <v>741</v>
      </c>
      <c r="I1325" s="24" t="s">
        <v>1185</v>
      </c>
      <c r="J1325" s="14" t="s">
        <v>29</v>
      </c>
      <c r="K1325" s="15" t="s">
        <v>30</v>
      </c>
      <c r="L1325" s="58"/>
      <c r="M1325" s="14"/>
      <c r="N1325" s="14" t="s">
        <v>62</v>
      </c>
      <c r="O1325" s="14"/>
      <c r="P1325" s="15" t="s">
        <v>745</v>
      </c>
      <c r="Q1325" s="16">
        <v>14199</v>
      </c>
      <c r="R1325" s="17">
        <v>49.73</v>
      </c>
      <c r="S1325" s="18">
        <v>8208.4354999999996</v>
      </c>
      <c r="T1325" s="19" t="s">
        <v>36</v>
      </c>
      <c r="U1325" s="20" t="s">
        <v>754</v>
      </c>
      <c r="V1325" s="22">
        <v>44</v>
      </c>
      <c r="W1325" s="22">
        <v>4</v>
      </c>
      <c r="X1325" s="23"/>
    </row>
    <row r="1326" spans="1:24" s="1" customFormat="1" ht="26" customHeight="1" x14ac:dyDescent="0.3">
      <c r="A1326" s="11" t="s">
        <v>23</v>
      </c>
      <c r="B1326" s="11" t="s">
        <v>1388</v>
      </c>
      <c r="C1326" s="12" t="s">
        <v>1389</v>
      </c>
      <c r="D1326" s="59"/>
      <c r="E1326" s="41" t="str">
        <f>HYPERLINK("https://www.google.ru/search?q=3026550-002&amp;newwindow=1&amp;tbm=isch","Еще фото")</f>
        <v>Еще фото</v>
      </c>
      <c r="F1326" s="13"/>
      <c r="G1326" s="11" t="s">
        <v>1184</v>
      </c>
      <c r="H1326" s="11" t="s">
        <v>741</v>
      </c>
      <c r="I1326" s="14" t="s">
        <v>1185</v>
      </c>
      <c r="J1326" s="14" t="s">
        <v>29</v>
      </c>
      <c r="K1326" s="15" t="s">
        <v>59</v>
      </c>
      <c r="L1326" s="57" t="s">
        <v>1390</v>
      </c>
      <c r="M1326" s="14" t="s">
        <v>1211</v>
      </c>
      <c r="N1326" s="14" t="s">
        <v>33</v>
      </c>
      <c r="O1326" s="14"/>
      <c r="P1326" s="15" t="s">
        <v>1391</v>
      </c>
      <c r="Q1326" s="16">
        <v>16899</v>
      </c>
      <c r="R1326" s="17">
        <v>49.36</v>
      </c>
      <c r="S1326" s="18">
        <v>9841.4354999999996</v>
      </c>
      <c r="T1326" s="19" t="s">
        <v>36</v>
      </c>
      <c r="U1326" s="20" t="s">
        <v>1241</v>
      </c>
      <c r="V1326" s="22">
        <v>35</v>
      </c>
      <c r="W1326" s="22">
        <v>3</v>
      </c>
      <c r="X1326" s="23"/>
    </row>
    <row r="1327" spans="1:24" s="1" customFormat="1" ht="26" customHeight="1" x14ac:dyDescent="0.3">
      <c r="A1327" s="24" t="s">
        <v>23</v>
      </c>
      <c r="B1327" s="24" t="s">
        <v>1388</v>
      </c>
      <c r="C1327" s="12" t="s">
        <v>1389</v>
      </c>
      <c r="D1327" s="60"/>
      <c r="E1327" s="41" t="str">
        <f>HYPERLINK("https://www.google.ru/search?q=3026550-002&amp;newwindow=1&amp;tbm=isch","Еще фото")</f>
        <v>Еще фото</v>
      </c>
      <c r="F1327" s="13"/>
      <c r="G1327" s="24" t="s">
        <v>1184</v>
      </c>
      <c r="H1327" s="24" t="s">
        <v>741</v>
      </c>
      <c r="I1327" s="24" t="s">
        <v>1185</v>
      </c>
      <c r="J1327" s="14" t="s">
        <v>29</v>
      </c>
      <c r="K1327" s="15" t="s">
        <v>59</v>
      </c>
      <c r="L1327" s="62"/>
      <c r="M1327" s="14" t="s">
        <v>1211</v>
      </c>
      <c r="N1327" s="14" t="s">
        <v>33</v>
      </c>
      <c r="O1327" s="14"/>
      <c r="P1327" s="15" t="s">
        <v>1391</v>
      </c>
      <c r="Q1327" s="16">
        <v>16899</v>
      </c>
      <c r="R1327" s="17">
        <v>49.36</v>
      </c>
      <c r="S1327" s="18">
        <v>9841.4354999999996</v>
      </c>
      <c r="T1327" s="19" t="s">
        <v>36</v>
      </c>
      <c r="U1327" s="20" t="s">
        <v>1190</v>
      </c>
      <c r="V1327" s="34">
        <v>35.5</v>
      </c>
      <c r="W1327" s="22">
        <v>1</v>
      </c>
      <c r="X1327" s="23"/>
    </row>
    <row r="1328" spans="1:24" s="1" customFormat="1" ht="26" customHeight="1" x14ac:dyDescent="0.3">
      <c r="A1328" s="24" t="s">
        <v>23</v>
      </c>
      <c r="B1328" s="24" t="s">
        <v>1388</v>
      </c>
      <c r="C1328" s="12" t="s">
        <v>1389</v>
      </c>
      <c r="D1328" s="60"/>
      <c r="E1328" s="41" t="str">
        <f>HYPERLINK("https://www.google.ru/search?q=3026550-002&amp;newwindow=1&amp;tbm=isch","Еще фото")</f>
        <v>Еще фото</v>
      </c>
      <c r="F1328" s="13"/>
      <c r="G1328" s="24" t="s">
        <v>1184</v>
      </c>
      <c r="H1328" s="24" t="s">
        <v>741</v>
      </c>
      <c r="I1328" s="24" t="s">
        <v>1185</v>
      </c>
      <c r="J1328" s="14" t="s">
        <v>29</v>
      </c>
      <c r="K1328" s="15" t="s">
        <v>59</v>
      </c>
      <c r="L1328" s="62"/>
      <c r="M1328" s="14" t="s">
        <v>1211</v>
      </c>
      <c r="N1328" s="14" t="s">
        <v>33</v>
      </c>
      <c r="O1328" s="14"/>
      <c r="P1328" s="15" t="s">
        <v>1391</v>
      </c>
      <c r="Q1328" s="16">
        <v>16899</v>
      </c>
      <c r="R1328" s="17">
        <v>49.36</v>
      </c>
      <c r="S1328" s="18">
        <v>9841.4354999999996</v>
      </c>
      <c r="T1328" s="19" t="s">
        <v>36</v>
      </c>
      <c r="U1328" s="20" t="s">
        <v>1203</v>
      </c>
      <c r="V1328" s="22">
        <v>36</v>
      </c>
      <c r="W1328" s="22">
        <v>4</v>
      </c>
      <c r="X1328" s="23"/>
    </row>
    <row r="1329" spans="1:24" s="1" customFormat="1" ht="26" customHeight="1" x14ac:dyDescent="0.3">
      <c r="A1329" s="24" t="s">
        <v>23</v>
      </c>
      <c r="B1329" s="24" t="s">
        <v>1388</v>
      </c>
      <c r="C1329" s="12" t="s">
        <v>1389</v>
      </c>
      <c r="D1329" s="61"/>
      <c r="E1329" s="41" t="str">
        <f>HYPERLINK("https://www.google.ru/search?q=3026550-002&amp;newwindow=1&amp;tbm=isch","Еще фото")</f>
        <v>Еще фото</v>
      </c>
      <c r="F1329" s="13"/>
      <c r="G1329" s="24" t="s">
        <v>1184</v>
      </c>
      <c r="H1329" s="24" t="s">
        <v>741</v>
      </c>
      <c r="I1329" s="24" t="s">
        <v>1185</v>
      </c>
      <c r="J1329" s="14" t="s">
        <v>29</v>
      </c>
      <c r="K1329" s="15" t="s">
        <v>59</v>
      </c>
      <c r="L1329" s="58"/>
      <c r="M1329" s="14" t="s">
        <v>1211</v>
      </c>
      <c r="N1329" s="14" t="s">
        <v>33</v>
      </c>
      <c r="O1329" s="14"/>
      <c r="P1329" s="15" t="s">
        <v>1391</v>
      </c>
      <c r="Q1329" s="16">
        <v>16899</v>
      </c>
      <c r="R1329" s="17">
        <v>49.36</v>
      </c>
      <c r="S1329" s="18">
        <v>9841.4354999999996</v>
      </c>
      <c r="T1329" s="19" t="s">
        <v>36</v>
      </c>
      <c r="U1329" s="20" t="s">
        <v>1196</v>
      </c>
      <c r="V1329" s="34">
        <v>36.5</v>
      </c>
      <c r="W1329" s="22">
        <v>4</v>
      </c>
      <c r="X1329" s="23"/>
    </row>
    <row r="1330" spans="1:24" s="1" customFormat="1" ht="108" customHeight="1" x14ac:dyDescent="0.3">
      <c r="A1330" s="11" t="s">
        <v>23</v>
      </c>
      <c r="B1330" s="11" t="s">
        <v>1392</v>
      </c>
      <c r="C1330" s="12" t="s">
        <v>1393</v>
      </c>
      <c r="D1330" s="25"/>
      <c r="E1330" s="41" t="str">
        <f>HYPERLINK("https://www.google.ru/search?q=1285482-002&amp;newwindow=1&amp;tbm=isch","Еще фото")</f>
        <v>Еще фото</v>
      </c>
      <c r="F1330" s="13"/>
      <c r="G1330" s="11" t="s">
        <v>1184</v>
      </c>
      <c r="H1330" s="11" t="s">
        <v>741</v>
      </c>
      <c r="I1330" s="14" t="s">
        <v>1185</v>
      </c>
      <c r="J1330" s="14" t="s">
        <v>29</v>
      </c>
      <c r="K1330" s="15" t="s">
        <v>59</v>
      </c>
      <c r="L1330" s="14" t="s">
        <v>1394</v>
      </c>
      <c r="M1330" s="14" t="s">
        <v>1283</v>
      </c>
      <c r="N1330" s="14" t="s">
        <v>33</v>
      </c>
      <c r="O1330" s="14" t="s">
        <v>34</v>
      </c>
      <c r="P1330" s="15" t="s">
        <v>1395</v>
      </c>
      <c r="Q1330" s="16">
        <v>12999</v>
      </c>
      <c r="R1330" s="17">
        <v>49.17</v>
      </c>
      <c r="S1330" s="18">
        <v>7598.9354999999996</v>
      </c>
      <c r="T1330" s="19" t="s">
        <v>36</v>
      </c>
      <c r="U1330" s="20" t="s">
        <v>1190</v>
      </c>
      <c r="V1330" s="34">
        <v>35.5</v>
      </c>
      <c r="W1330" s="22">
        <v>1</v>
      </c>
      <c r="X1330" s="23"/>
    </row>
    <row r="1331" spans="1:24" s="1" customFormat="1" ht="26" customHeight="1" x14ac:dyDescent="0.3">
      <c r="A1331" s="11" t="s">
        <v>23</v>
      </c>
      <c r="B1331" s="11" t="s">
        <v>1388</v>
      </c>
      <c r="C1331" s="12" t="s">
        <v>1396</v>
      </c>
      <c r="D1331" s="59"/>
      <c r="E1331" s="41" t="str">
        <f>HYPERLINK("https://www.google.ru/search?q=3026550-300&amp;newwindow=1&amp;tbm=isch","Еще фото")</f>
        <v>Еще фото</v>
      </c>
      <c r="F1331" s="13"/>
      <c r="G1331" s="11" t="s">
        <v>1184</v>
      </c>
      <c r="H1331" s="11" t="s">
        <v>741</v>
      </c>
      <c r="I1331" s="14" t="s">
        <v>1185</v>
      </c>
      <c r="J1331" s="14" t="s">
        <v>29</v>
      </c>
      <c r="K1331" s="15" t="s">
        <v>59</v>
      </c>
      <c r="L1331" s="57" t="s">
        <v>1390</v>
      </c>
      <c r="M1331" s="14" t="s">
        <v>1211</v>
      </c>
      <c r="N1331" s="14" t="s">
        <v>46</v>
      </c>
      <c r="O1331" s="14"/>
      <c r="P1331" s="15" t="s">
        <v>1397</v>
      </c>
      <c r="Q1331" s="16">
        <v>16999</v>
      </c>
      <c r="R1331" s="17">
        <v>49.13</v>
      </c>
      <c r="S1331" s="18">
        <v>9944.9354999999996</v>
      </c>
      <c r="T1331" s="19" t="s">
        <v>36</v>
      </c>
      <c r="U1331" s="20" t="s">
        <v>1190</v>
      </c>
      <c r="V1331" s="34">
        <v>35.5</v>
      </c>
      <c r="W1331" s="22">
        <v>3</v>
      </c>
      <c r="X1331" s="23"/>
    </row>
    <row r="1332" spans="1:24" s="1" customFormat="1" ht="26" customHeight="1" x14ac:dyDescent="0.3">
      <c r="A1332" s="24" t="s">
        <v>23</v>
      </c>
      <c r="B1332" s="24" t="s">
        <v>1388</v>
      </c>
      <c r="C1332" s="12" t="s">
        <v>1396</v>
      </c>
      <c r="D1332" s="60"/>
      <c r="E1332" s="41" t="str">
        <f>HYPERLINK("https://www.google.ru/search?q=3026550-300&amp;newwindow=1&amp;tbm=isch","Еще фото")</f>
        <v>Еще фото</v>
      </c>
      <c r="F1332" s="13"/>
      <c r="G1332" s="24" t="s">
        <v>1184</v>
      </c>
      <c r="H1332" s="24" t="s">
        <v>741</v>
      </c>
      <c r="I1332" s="24" t="s">
        <v>1185</v>
      </c>
      <c r="J1332" s="14" t="s">
        <v>29</v>
      </c>
      <c r="K1332" s="15" t="s">
        <v>59</v>
      </c>
      <c r="L1332" s="62"/>
      <c r="M1332" s="14" t="s">
        <v>1211</v>
      </c>
      <c r="N1332" s="14" t="s">
        <v>46</v>
      </c>
      <c r="O1332" s="14"/>
      <c r="P1332" s="15" t="s">
        <v>1397</v>
      </c>
      <c r="Q1332" s="16">
        <v>16999</v>
      </c>
      <c r="R1332" s="17">
        <v>49.13</v>
      </c>
      <c r="S1332" s="18">
        <v>9944.9354999999996</v>
      </c>
      <c r="T1332" s="19" t="s">
        <v>36</v>
      </c>
      <c r="U1332" s="20" t="s">
        <v>1203</v>
      </c>
      <c r="V1332" s="22">
        <v>36</v>
      </c>
      <c r="W1332" s="22">
        <v>8</v>
      </c>
      <c r="X1332" s="23"/>
    </row>
    <row r="1333" spans="1:24" s="1" customFormat="1" ht="26" customHeight="1" x14ac:dyDescent="0.3">
      <c r="A1333" s="24" t="s">
        <v>23</v>
      </c>
      <c r="B1333" s="24" t="s">
        <v>1388</v>
      </c>
      <c r="C1333" s="12" t="s">
        <v>1396</v>
      </c>
      <c r="D1333" s="60"/>
      <c r="E1333" s="41" t="str">
        <f>HYPERLINK("https://www.google.ru/search?q=3026550-300&amp;newwindow=1&amp;tbm=isch","Еще фото")</f>
        <v>Еще фото</v>
      </c>
      <c r="F1333" s="13"/>
      <c r="G1333" s="24" t="s">
        <v>1184</v>
      </c>
      <c r="H1333" s="24" t="s">
        <v>741</v>
      </c>
      <c r="I1333" s="24" t="s">
        <v>1185</v>
      </c>
      <c r="J1333" s="14" t="s">
        <v>29</v>
      </c>
      <c r="K1333" s="15" t="s">
        <v>59</v>
      </c>
      <c r="L1333" s="62"/>
      <c r="M1333" s="14" t="s">
        <v>1211</v>
      </c>
      <c r="N1333" s="14" t="s">
        <v>46</v>
      </c>
      <c r="O1333" s="14"/>
      <c r="P1333" s="15" t="s">
        <v>1397</v>
      </c>
      <c r="Q1333" s="16">
        <v>16999</v>
      </c>
      <c r="R1333" s="17">
        <v>49.13</v>
      </c>
      <c r="S1333" s="18">
        <v>9944.9354999999996</v>
      </c>
      <c r="T1333" s="19" t="s">
        <v>36</v>
      </c>
      <c r="U1333" s="20" t="s">
        <v>1196</v>
      </c>
      <c r="V1333" s="34">
        <v>36.5</v>
      </c>
      <c r="W1333" s="22">
        <v>2</v>
      </c>
      <c r="X1333" s="23"/>
    </row>
    <row r="1334" spans="1:24" s="1" customFormat="1" ht="26" customHeight="1" x14ac:dyDescent="0.3">
      <c r="A1334" s="24" t="s">
        <v>23</v>
      </c>
      <c r="B1334" s="24" t="s">
        <v>1388</v>
      </c>
      <c r="C1334" s="12" t="s">
        <v>1396</v>
      </c>
      <c r="D1334" s="61"/>
      <c r="E1334" s="41" t="str">
        <f>HYPERLINK("https://www.google.ru/search?q=3026550-300&amp;newwindow=1&amp;tbm=isch","Еще фото")</f>
        <v>Еще фото</v>
      </c>
      <c r="F1334" s="13"/>
      <c r="G1334" s="24" t="s">
        <v>1184</v>
      </c>
      <c r="H1334" s="24" t="s">
        <v>741</v>
      </c>
      <c r="I1334" s="24" t="s">
        <v>1185</v>
      </c>
      <c r="J1334" s="14" t="s">
        <v>29</v>
      </c>
      <c r="K1334" s="15" t="s">
        <v>59</v>
      </c>
      <c r="L1334" s="58"/>
      <c r="M1334" s="14" t="s">
        <v>1211</v>
      </c>
      <c r="N1334" s="14" t="s">
        <v>46</v>
      </c>
      <c r="O1334" s="14"/>
      <c r="P1334" s="15" t="s">
        <v>1397</v>
      </c>
      <c r="Q1334" s="16">
        <v>16999</v>
      </c>
      <c r="R1334" s="17">
        <v>49.13</v>
      </c>
      <c r="S1334" s="18">
        <v>9944.9354999999996</v>
      </c>
      <c r="T1334" s="19" t="s">
        <v>36</v>
      </c>
      <c r="U1334" s="20" t="s">
        <v>747</v>
      </c>
      <c r="V1334" s="34">
        <v>37.5</v>
      </c>
      <c r="W1334" s="22">
        <v>1</v>
      </c>
      <c r="X1334" s="23"/>
    </row>
    <row r="1335" spans="1:24" s="1" customFormat="1" ht="21" customHeight="1" x14ac:dyDescent="0.3">
      <c r="A1335" s="11" t="s">
        <v>23</v>
      </c>
      <c r="B1335" s="11" t="s">
        <v>1398</v>
      </c>
      <c r="C1335" s="26" t="s">
        <v>1399</v>
      </c>
      <c r="D1335" s="59"/>
      <c r="E1335" s="41" t="str">
        <f>HYPERLINK("https://www.google.ru/search?q=3027386-001&amp;newwindow=1&amp;tbm=isch","Еще фото")</f>
        <v>Еще фото</v>
      </c>
      <c r="F1335" s="13"/>
      <c r="G1335" s="11" t="s">
        <v>740</v>
      </c>
      <c r="H1335" s="11" t="s">
        <v>741</v>
      </c>
      <c r="I1335" s="14" t="s">
        <v>1185</v>
      </c>
      <c r="J1335" s="14" t="s">
        <v>743</v>
      </c>
      <c r="K1335" s="15" t="s">
        <v>59</v>
      </c>
      <c r="L1335" s="57" t="s">
        <v>1400</v>
      </c>
      <c r="M1335" s="14"/>
      <c r="N1335" s="14" t="s">
        <v>33</v>
      </c>
      <c r="O1335" s="14"/>
      <c r="P1335" s="15" t="s">
        <v>745</v>
      </c>
      <c r="Q1335" s="16">
        <v>18599</v>
      </c>
      <c r="R1335" s="17">
        <v>49</v>
      </c>
      <c r="S1335" s="18">
        <v>10908.313499999998</v>
      </c>
      <c r="T1335" s="19" t="s">
        <v>36</v>
      </c>
      <c r="U1335" s="20" t="s">
        <v>1203</v>
      </c>
      <c r="V1335" s="22">
        <v>36</v>
      </c>
      <c r="W1335" s="22">
        <v>6</v>
      </c>
      <c r="X1335" s="23"/>
    </row>
    <row r="1336" spans="1:24" s="1" customFormat="1" ht="21" customHeight="1" x14ac:dyDescent="0.3">
      <c r="A1336" s="24" t="s">
        <v>23</v>
      </c>
      <c r="B1336" s="24" t="s">
        <v>1398</v>
      </c>
      <c r="C1336" s="27" t="s">
        <v>1399</v>
      </c>
      <c r="D1336" s="60"/>
      <c r="E1336" s="41" t="str">
        <f>HYPERLINK("https://www.google.ru/search?q=3027386-001&amp;newwindow=1&amp;tbm=isch","Еще фото")</f>
        <v>Еще фото</v>
      </c>
      <c r="F1336" s="13"/>
      <c r="G1336" s="24" t="s">
        <v>740</v>
      </c>
      <c r="H1336" s="24" t="s">
        <v>741</v>
      </c>
      <c r="I1336" s="24" t="s">
        <v>1185</v>
      </c>
      <c r="J1336" s="14" t="s">
        <v>743</v>
      </c>
      <c r="K1336" s="15" t="s">
        <v>59</v>
      </c>
      <c r="L1336" s="62"/>
      <c r="M1336" s="14"/>
      <c r="N1336" s="14" t="s">
        <v>33</v>
      </c>
      <c r="O1336" s="14"/>
      <c r="P1336" s="15" t="s">
        <v>745</v>
      </c>
      <c r="Q1336" s="16">
        <v>18599</v>
      </c>
      <c r="R1336" s="17">
        <v>49</v>
      </c>
      <c r="S1336" s="18">
        <v>10908.313499999998</v>
      </c>
      <c r="T1336" s="19" t="s">
        <v>36</v>
      </c>
      <c r="U1336" s="20" t="s">
        <v>746</v>
      </c>
      <c r="V1336" s="22">
        <v>37</v>
      </c>
      <c r="W1336" s="22">
        <v>6</v>
      </c>
      <c r="X1336" s="23"/>
    </row>
    <row r="1337" spans="1:24" s="1" customFormat="1" ht="21" customHeight="1" x14ac:dyDescent="0.3">
      <c r="A1337" s="24" t="s">
        <v>23</v>
      </c>
      <c r="B1337" s="24" t="s">
        <v>1398</v>
      </c>
      <c r="C1337" s="27" t="s">
        <v>1399</v>
      </c>
      <c r="D1337" s="60"/>
      <c r="E1337" s="41" t="str">
        <f>HYPERLINK("https://www.google.ru/search?q=3027386-001&amp;newwindow=1&amp;tbm=isch","Еще фото")</f>
        <v>Еще фото</v>
      </c>
      <c r="F1337" s="13"/>
      <c r="G1337" s="24" t="s">
        <v>740</v>
      </c>
      <c r="H1337" s="24" t="s">
        <v>741</v>
      </c>
      <c r="I1337" s="24" t="s">
        <v>1185</v>
      </c>
      <c r="J1337" s="14" t="s">
        <v>743</v>
      </c>
      <c r="K1337" s="15" t="s">
        <v>59</v>
      </c>
      <c r="L1337" s="62"/>
      <c r="M1337" s="14"/>
      <c r="N1337" s="14" t="s">
        <v>33</v>
      </c>
      <c r="O1337" s="14"/>
      <c r="P1337" s="15" t="s">
        <v>745</v>
      </c>
      <c r="Q1337" s="16">
        <v>18599</v>
      </c>
      <c r="R1337" s="17">
        <v>49</v>
      </c>
      <c r="S1337" s="18">
        <v>10908.313499999998</v>
      </c>
      <c r="T1337" s="19" t="s">
        <v>36</v>
      </c>
      <c r="U1337" s="20" t="s">
        <v>747</v>
      </c>
      <c r="V1337" s="34">
        <v>37.5</v>
      </c>
      <c r="W1337" s="22">
        <v>12</v>
      </c>
      <c r="X1337" s="23"/>
    </row>
    <row r="1338" spans="1:24" s="1" customFormat="1" ht="21" customHeight="1" x14ac:dyDescent="0.3">
      <c r="A1338" s="24" t="s">
        <v>23</v>
      </c>
      <c r="B1338" s="24" t="s">
        <v>1398</v>
      </c>
      <c r="C1338" s="27" t="s">
        <v>1399</v>
      </c>
      <c r="D1338" s="60"/>
      <c r="E1338" s="41" t="str">
        <f>HYPERLINK("https://www.google.ru/search?q=3027386-001&amp;newwindow=1&amp;tbm=isch","Еще фото")</f>
        <v>Еще фото</v>
      </c>
      <c r="F1338" s="13"/>
      <c r="G1338" s="24" t="s">
        <v>740</v>
      </c>
      <c r="H1338" s="24" t="s">
        <v>741</v>
      </c>
      <c r="I1338" s="24" t="s">
        <v>1185</v>
      </c>
      <c r="J1338" s="14" t="s">
        <v>743</v>
      </c>
      <c r="K1338" s="15" t="s">
        <v>59</v>
      </c>
      <c r="L1338" s="62"/>
      <c r="M1338" s="14"/>
      <c r="N1338" s="14" t="s">
        <v>33</v>
      </c>
      <c r="O1338" s="14"/>
      <c r="P1338" s="15" t="s">
        <v>745</v>
      </c>
      <c r="Q1338" s="16">
        <v>18599</v>
      </c>
      <c r="R1338" s="17">
        <v>49</v>
      </c>
      <c r="S1338" s="18">
        <v>10908.313499999998</v>
      </c>
      <c r="T1338" s="19" t="s">
        <v>36</v>
      </c>
      <c r="U1338" s="20" t="s">
        <v>748</v>
      </c>
      <c r="V1338" s="22">
        <v>38</v>
      </c>
      <c r="W1338" s="22">
        <v>5</v>
      </c>
      <c r="X1338" s="23"/>
    </row>
    <row r="1339" spans="1:24" s="1" customFormat="1" ht="32" customHeight="1" x14ac:dyDescent="0.3">
      <c r="A1339" s="24" t="s">
        <v>23</v>
      </c>
      <c r="B1339" s="24" t="s">
        <v>1398</v>
      </c>
      <c r="C1339" s="27" t="s">
        <v>1399</v>
      </c>
      <c r="D1339" s="61"/>
      <c r="E1339" s="41" t="str">
        <f>HYPERLINK("https://www.google.ru/search?q=3027386-001&amp;newwindow=1&amp;tbm=isch","Еще фото")</f>
        <v>Еще фото</v>
      </c>
      <c r="F1339" s="13"/>
      <c r="G1339" s="24" t="s">
        <v>740</v>
      </c>
      <c r="H1339" s="24" t="s">
        <v>741</v>
      </c>
      <c r="I1339" s="24" t="s">
        <v>1185</v>
      </c>
      <c r="J1339" s="14" t="s">
        <v>743</v>
      </c>
      <c r="K1339" s="15" t="s">
        <v>59</v>
      </c>
      <c r="L1339" s="58"/>
      <c r="M1339" s="14"/>
      <c r="N1339" s="14" t="s">
        <v>33</v>
      </c>
      <c r="O1339" s="14"/>
      <c r="P1339" s="15" t="s">
        <v>745</v>
      </c>
      <c r="Q1339" s="16">
        <v>18599</v>
      </c>
      <c r="R1339" s="17">
        <v>49</v>
      </c>
      <c r="S1339" s="18">
        <v>10908.313499999998</v>
      </c>
      <c r="T1339" s="19" t="s">
        <v>36</v>
      </c>
      <c r="U1339" s="20" t="s">
        <v>749</v>
      </c>
      <c r="V1339" s="22">
        <v>39</v>
      </c>
      <c r="W1339" s="22">
        <v>5</v>
      </c>
      <c r="X1339" s="23"/>
    </row>
    <row r="1340" spans="1:24" s="1" customFormat="1" ht="35" customHeight="1" x14ac:dyDescent="0.3">
      <c r="A1340" s="11" t="s">
        <v>23</v>
      </c>
      <c r="B1340" s="11" t="s">
        <v>1379</v>
      </c>
      <c r="C1340" s="12" t="s">
        <v>1401</v>
      </c>
      <c r="D1340" s="59"/>
      <c r="E1340" s="41" t="str">
        <f>HYPERLINK("https://www.google.ru/search?q=3024131-501&amp;newwindow=1&amp;tbm=isch","Еще фото")</f>
        <v>Еще фото</v>
      </c>
      <c r="F1340" s="13"/>
      <c r="G1340" s="11" t="s">
        <v>1184</v>
      </c>
      <c r="H1340" s="11" t="s">
        <v>741</v>
      </c>
      <c r="I1340" s="14" t="s">
        <v>1185</v>
      </c>
      <c r="J1340" s="14" t="s">
        <v>29</v>
      </c>
      <c r="K1340" s="15" t="s">
        <v>59</v>
      </c>
      <c r="L1340" s="57" t="s">
        <v>1381</v>
      </c>
      <c r="M1340" s="14" t="s">
        <v>45</v>
      </c>
      <c r="N1340" s="14" t="s">
        <v>62</v>
      </c>
      <c r="O1340" s="14" t="s">
        <v>34</v>
      </c>
      <c r="P1340" s="15" t="s">
        <v>1382</v>
      </c>
      <c r="Q1340" s="16">
        <v>7499</v>
      </c>
      <c r="R1340" s="17">
        <v>48.96</v>
      </c>
      <c r="S1340" s="18">
        <v>4401.9354999999996</v>
      </c>
      <c r="T1340" s="19" t="s">
        <v>36</v>
      </c>
      <c r="U1340" s="20" t="s">
        <v>1190</v>
      </c>
      <c r="V1340" s="34">
        <v>35.5</v>
      </c>
      <c r="W1340" s="22">
        <v>8</v>
      </c>
      <c r="X1340" s="23"/>
    </row>
    <row r="1341" spans="1:24" s="1" customFormat="1" ht="35" customHeight="1" x14ac:dyDescent="0.3">
      <c r="A1341" s="24" t="s">
        <v>23</v>
      </c>
      <c r="B1341" s="24" t="s">
        <v>1379</v>
      </c>
      <c r="C1341" s="12" t="s">
        <v>1401</v>
      </c>
      <c r="D1341" s="60"/>
      <c r="E1341" s="41" t="str">
        <f>HYPERLINK("https://www.google.ru/search?q=3024131-501&amp;newwindow=1&amp;tbm=isch","Еще фото")</f>
        <v>Еще фото</v>
      </c>
      <c r="F1341" s="13"/>
      <c r="G1341" s="24" t="s">
        <v>1184</v>
      </c>
      <c r="H1341" s="24" t="s">
        <v>741</v>
      </c>
      <c r="I1341" s="24" t="s">
        <v>1185</v>
      </c>
      <c r="J1341" s="14" t="s">
        <v>29</v>
      </c>
      <c r="K1341" s="15" t="s">
        <v>59</v>
      </c>
      <c r="L1341" s="62"/>
      <c r="M1341" s="14" t="s">
        <v>45</v>
      </c>
      <c r="N1341" s="14" t="s">
        <v>62</v>
      </c>
      <c r="O1341" s="14" t="s">
        <v>34</v>
      </c>
      <c r="P1341" s="15" t="s">
        <v>1382</v>
      </c>
      <c r="Q1341" s="16">
        <v>7499</v>
      </c>
      <c r="R1341" s="17">
        <v>48.96</v>
      </c>
      <c r="S1341" s="18">
        <v>4401.9354999999996</v>
      </c>
      <c r="T1341" s="19" t="s">
        <v>36</v>
      </c>
      <c r="U1341" s="20" t="s">
        <v>1203</v>
      </c>
      <c r="V1341" s="22">
        <v>36</v>
      </c>
      <c r="W1341" s="22">
        <v>3</v>
      </c>
      <c r="X1341" s="23"/>
    </row>
    <row r="1342" spans="1:24" s="1" customFormat="1" ht="37.049999999999997" customHeight="1" x14ac:dyDescent="0.3">
      <c r="A1342" s="24" t="s">
        <v>23</v>
      </c>
      <c r="B1342" s="24" t="s">
        <v>1379</v>
      </c>
      <c r="C1342" s="12" t="s">
        <v>1401</v>
      </c>
      <c r="D1342" s="61"/>
      <c r="E1342" s="41" t="str">
        <f>HYPERLINK("https://www.google.ru/search?q=3024131-501&amp;newwindow=1&amp;tbm=isch","Еще фото")</f>
        <v>Еще фото</v>
      </c>
      <c r="F1342" s="13"/>
      <c r="G1342" s="24" t="s">
        <v>1184</v>
      </c>
      <c r="H1342" s="24" t="s">
        <v>741</v>
      </c>
      <c r="I1342" s="24" t="s">
        <v>1185</v>
      </c>
      <c r="J1342" s="14" t="s">
        <v>29</v>
      </c>
      <c r="K1342" s="15" t="s">
        <v>59</v>
      </c>
      <c r="L1342" s="58"/>
      <c r="M1342" s="14" t="s">
        <v>45</v>
      </c>
      <c r="N1342" s="14" t="s">
        <v>62</v>
      </c>
      <c r="O1342" s="14" t="s">
        <v>34</v>
      </c>
      <c r="P1342" s="15" t="s">
        <v>1382</v>
      </c>
      <c r="Q1342" s="16">
        <v>7499</v>
      </c>
      <c r="R1342" s="17">
        <v>48.96</v>
      </c>
      <c r="S1342" s="18">
        <v>4401.9354999999996</v>
      </c>
      <c r="T1342" s="19" t="s">
        <v>36</v>
      </c>
      <c r="U1342" s="20" t="s">
        <v>1196</v>
      </c>
      <c r="V1342" s="34">
        <v>36.5</v>
      </c>
      <c r="W1342" s="22">
        <v>10</v>
      </c>
      <c r="X1342" s="23"/>
    </row>
    <row r="1343" spans="1:24" s="1" customFormat="1" ht="21" customHeight="1" x14ac:dyDescent="0.3">
      <c r="A1343" s="11" t="s">
        <v>23</v>
      </c>
      <c r="B1343" s="11" t="s">
        <v>1402</v>
      </c>
      <c r="C1343" s="26" t="s">
        <v>1403</v>
      </c>
      <c r="D1343" s="59"/>
      <c r="E1343" s="41" t="str">
        <f>HYPERLINK("https://www.google.ru/search?q=1285455-003&amp;newwindow=1&amp;tbm=isch","Еще фото")</f>
        <v>Еще фото</v>
      </c>
      <c r="F1343" s="13"/>
      <c r="G1343" s="11" t="s">
        <v>1184</v>
      </c>
      <c r="H1343" s="11" t="s">
        <v>741</v>
      </c>
      <c r="I1343" s="14" t="s">
        <v>1185</v>
      </c>
      <c r="J1343" s="14" t="s">
        <v>260</v>
      </c>
      <c r="K1343" s="15" t="s">
        <v>50</v>
      </c>
      <c r="L1343" s="57" t="s">
        <v>1404</v>
      </c>
      <c r="M1343" s="14" t="s">
        <v>1405</v>
      </c>
      <c r="N1343" s="14" t="s">
        <v>33</v>
      </c>
      <c r="O1343" s="14" t="s">
        <v>34</v>
      </c>
      <c r="P1343" s="15" t="s">
        <v>1406</v>
      </c>
      <c r="Q1343" s="16">
        <v>9099</v>
      </c>
      <c r="R1343" s="17">
        <v>48.92</v>
      </c>
      <c r="S1343" s="18">
        <v>5344.9355000000005</v>
      </c>
      <c r="T1343" s="19" t="s">
        <v>36</v>
      </c>
      <c r="U1343" s="20" t="s">
        <v>1407</v>
      </c>
      <c r="V1343" s="22">
        <v>35</v>
      </c>
      <c r="W1343" s="22">
        <v>1</v>
      </c>
      <c r="X1343" s="23"/>
    </row>
    <row r="1344" spans="1:24" s="1" customFormat="1" ht="21" customHeight="1" x14ac:dyDescent="0.3">
      <c r="A1344" s="24" t="s">
        <v>23</v>
      </c>
      <c r="B1344" s="24" t="s">
        <v>1402</v>
      </c>
      <c r="C1344" s="27" t="s">
        <v>1403</v>
      </c>
      <c r="D1344" s="60"/>
      <c r="E1344" s="41" t="str">
        <f>HYPERLINK("https://www.google.ru/search?q=1285455-003&amp;newwindow=1&amp;tbm=isch","Еще фото")</f>
        <v>Еще фото</v>
      </c>
      <c r="F1344" s="13"/>
      <c r="G1344" s="24" t="s">
        <v>1184</v>
      </c>
      <c r="H1344" s="24" t="s">
        <v>741</v>
      </c>
      <c r="I1344" s="24" t="s">
        <v>1185</v>
      </c>
      <c r="J1344" s="14" t="s">
        <v>260</v>
      </c>
      <c r="K1344" s="15" t="s">
        <v>50</v>
      </c>
      <c r="L1344" s="62"/>
      <c r="M1344" s="14" t="s">
        <v>1405</v>
      </c>
      <c r="N1344" s="14" t="s">
        <v>33</v>
      </c>
      <c r="O1344" s="14" t="s">
        <v>34</v>
      </c>
      <c r="P1344" s="15" t="s">
        <v>1406</v>
      </c>
      <c r="Q1344" s="16">
        <v>9099</v>
      </c>
      <c r="R1344" s="17">
        <v>48.92</v>
      </c>
      <c r="S1344" s="18">
        <v>5344.9355000000005</v>
      </c>
      <c r="T1344" s="19" t="s">
        <v>36</v>
      </c>
      <c r="U1344" s="20" t="s">
        <v>1285</v>
      </c>
      <c r="V1344" s="34">
        <v>35.5</v>
      </c>
      <c r="W1344" s="22">
        <v>6</v>
      </c>
      <c r="X1344" s="23"/>
    </row>
    <row r="1345" spans="1:24" s="1" customFormat="1" ht="21" customHeight="1" x14ac:dyDescent="0.3">
      <c r="A1345" s="24" t="s">
        <v>23</v>
      </c>
      <c r="B1345" s="24" t="s">
        <v>1402</v>
      </c>
      <c r="C1345" s="27" t="s">
        <v>1403</v>
      </c>
      <c r="D1345" s="60"/>
      <c r="E1345" s="41" t="str">
        <f>HYPERLINK("https://www.google.ru/search?q=1285455-003&amp;newwindow=1&amp;tbm=isch","Еще фото")</f>
        <v>Еще фото</v>
      </c>
      <c r="F1345" s="13"/>
      <c r="G1345" s="24" t="s">
        <v>1184</v>
      </c>
      <c r="H1345" s="24" t="s">
        <v>741</v>
      </c>
      <c r="I1345" s="24" t="s">
        <v>1185</v>
      </c>
      <c r="J1345" s="14" t="s">
        <v>260</v>
      </c>
      <c r="K1345" s="15" t="s">
        <v>50</v>
      </c>
      <c r="L1345" s="62"/>
      <c r="M1345" s="14" t="s">
        <v>1405</v>
      </c>
      <c r="N1345" s="14" t="s">
        <v>33</v>
      </c>
      <c r="O1345" s="14" t="s">
        <v>34</v>
      </c>
      <c r="P1345" s="15" t="s">
        <v>1406</v>
      </c>
      <c r="Q1345" s="16">
        <v>9099</v>
      </c>
      <c r="R1345" s="17">
        <v>48.92</v>
      </c>
      <c r="S1345" s="18">
        <v>5344.9355000000005</v>
      </c>
      <c r="T1345" s="19" t="s">
        <v>36</v>
      </c>
      <c r="U1345" s="20" t="s">
        <v>1408</v>
      </c>
      <c r="V1345" s="22">
        <v>36</v>
      </c>
      <c r="W1345" s="22">
        <v>1</v>
      </c>
      <c r="X1345" s="23"/>
    </row>
    <row r="1346" spans="1:24" s="1" customFormat="1" ht="21" customHeight="1" x14ac:dyDescent="0.3">
      <c r="A1346" s="24" t="s">
        <v>23</v>
      </c>
      <c r="B1346" s="24" t="s">
        <v>1402</v>
      </c>
      <c r="C1346" s="27" t="s">
        <v>1403</v>
      </c>
      <c r="D1346" s="60"/>
      <c r="E1346" s="41" t="str">
        <f>HYPERLINK("https://www.google.ru/search?q=1285455-003&amp;newwindow=1&amp;tbm=isch","Еще фото")</f>
        <v>Еще фото</v>
      </c>
      <c r="F1346" s="13"/>
      <c r="G1346" s="24" t="s">
        <v>1184</v>
      </c>
      <c r="H1346" s="24" t="s">
        <v>741</v>
      </c>
      <c r="I1346" s="24" t="s">
        <v>1185</v>
      </c>
      <c r="J1346" s="14" t="s">
        <v>260</v>
      </c>
      <c r="K1346" s="15" t="s">
        <v>50</v>
      </c>
      <c r="L1346" s="62"/>
      <c r="M1346" s="14" t="s">
        <v>1405</v>
      </c>
      <c r="N1346" s="14" t="s">
        <v>33</v>
      </c>
      <c r="O1346" s="14" t="s">
        <v>34</v>
      </c>
      <c r="P1346" s="15" t="s">
        <v>1406</v>
      </c>
      <c r="Q1346" s="16">
        <v>9099</v>
      </c>
      <c r="R1346" s="17">
        <v>48.92</v>
      </c>
      <c r="S1346" s="18">
        <v>5344.9355000000005</v>
      </c>
      <c r="T1346" s="19" t="s">
        <v>36</v>
      </c>
      <c r="U1346" s="20" t="s">
        <v>1409</v>
      </c>
      <c r="V1346" s="34">
        <v>36.5</v>
      </c>
      <c r="W1346" s="22">
        <v>3</v>
      </c>
      <c r="X1346" s="23"/>
    </row>
    <row r="1347" spans="1:24" s="1" customFormat="1" ht="32" customHeight="1" x14ac:dyDescent="0.3">
      <c r="A1347" s="24" t="s">
        <v>23</v>
      </c>
      <c r="B1347" s="24" t="s">
        <v>1402</v>
      </c>
      <c r="C1347" s="27" t="s">
        <v>1403</v>
      </c>
      <c r="D1347" s="61"/>
      <c r="E1347" s="41" t="str">
        <f>HYPERLINK("https://www.google.ru/search?q=1285455-003&amp;newwindow=1&amp;tbm=isch","Еще фото")</f>
        <v>Еще фото</v>
      </c>
      <c r="F1347" s="13"/>
      <c r="G1347" s="24" t="s">
        <v>1184</v>
      </c>
      <c r="H1347" s="24" t="s">
        <v>741</v>
      </c>
      <c r="I1347" s="24" t="s">
        <v>1185</v>
      </c>
      <c r="J1347" s="14" t="s">
        <v>260</v>
      </c>
      <c r="K1347" s="15" t="s">
        <v>50</v>
      </c>
      <c r="L1347" s="58"/>
      <c r="M1347" s="14" t="s">
        <v>1405</v>
      </c>
      <c r="N1347" s="14" t="s">
        <v>33</v>
      </c>
      <c r="O1347" s="14" t="s">
        <v>34</v>
      </c>
      <c r="P1347" s="15" t="s">
        <v>1406</v>
      </c>
      <c r="Q1347" s="16">
        <v>9099</v>
      </c>
      <c r="R1347" s="17">
        <v>48.92</v>
      </c>
      <c r="S1347" s="18">
        <v>5344.9355000000005</v>
      </c>
      <c r="T1347" s="19" t="s">
        <v>36</v>
      </c>
      <c r="U1347" s="20" t="s">
        <v>1410</v>
      </c>
      <c r="V1347" s="22">
        <v>38</v>
      </c>
      <c r="W1347" s="22">
        <v>1</v>
      </c>
      <c r="X1347" s="23"/>
    </row>
    <row r="1348" spans="1:24" s="1" customFormat="1" ht="26" customHeight="1" x14ac:dyDescent="0.3">
      <c r="A1348" s="11" t="s">
        <v>23</v>
      </c>
      <c r="B1348" s="11" t="s">
        <v>1197</v>
      </c>
      <c r="C1348" s="12" t="s">
        <v>1411</v>
      </c>
      <c r="D1348" s="59"/>
      <c r="E1348" s="41" t="str">
        <f>HYPERLINK("https://www.google.ru/search?q=3024889-003&amp;newwindow=1&amp;tbm=isch","Еще фото")</f>
        <v>Еще фото</v>
      </c>
      <c r="F1348" s="13"/>
      <c r="G1348" s="11" t="s">
        <v>1184</v>
      </c>
      <c r="H1348" s="11" t="s">
        <v>741</v>
      </c>
      <c r="I1348" s="14" t="s">
        <v>1185</v>
      </c>
      <c r="J1348" s="14" t="s">
        <v>29</v>
      </c>
      <c r="K1348" s="15" t="s">
        <v>59</v>
      </c>
      <c r="L1348" s="57" t="s">
        <v>1199</v>
      </c>
      <c r="M1348" s="14" t="s">
        <v>1194</v>
      </c>
      <c r="N1348" s="14" t="s">
        <v>33</v>
      </c>
      <c r="O1348" s="14"/>
      <c r="P1348" s="15" t="s">
        <v>1202</v>
      </c>
      <c r="Q1348" s="16">
        <v>9099</v>
      </c>
      <c r="R1348" s="17">
        <v>48.92</v>
      </c>
      <c r="S1348" s="18">
        <v>5344.9355000000005</v>
      </c>
      <c r="T1348" s="19" t="s">
        <v>36</v>
      </c>
      <c r="U1348" s="20" t="s">
        <v>1196</v>
      </c>
      <c r="V1348" s="34">
        <v>36.5</v>
      </c>
      <c r="W1348" s="22">
        <v>4</v>
      </c>
      <c r="X1348" s="23"/>
    </row>
    <row r="1349" spans="1:24" s="1" customFormat="1" ht="26" customHeight="1" x14ac:dyDescent="0.3">
      <c r="A1349" s="24" t="s">
        <v>23</v>
      </c>
      <c r="B1349" s="24" t="s">
        <v>1197</v>
      </c>
      <c r="C1349" s="12" t="s">
        <v>1411</v>
      </c>
      <c r="D1349" s="60"/>
      <c r="E1349" s="41" t="str">
        <f>HYPERLINK("https://www.google.ru/search?q=3024889-003&amp;newwindow=1&amp;tbm=isch","Еще фото")</f>
        <v>Еще фото</v>
      </c>
      <c r="F1349" s="13"/>
      <c r="G1349" s="24" t="s">
        <v>1184</v>
      </c>
      <c r="H1349" s="24" t="s">
        <v>741</v>
      </c>
      <c r="I1349" s="24" t="s">
        <v>1185</v>
      </c>
      <c r="J1349" s="14" t="s">
        <v>29</v>
      </c>
      <c r="K1349" s="15" t="s">
        <v>59</v>
      </c>
      <c r="L1349" s="62"/>
      <c r="M1349" s="14" t="s">
        <v>1194</v>
      </c>
      <c r="N1349" s="14" t="s">
        <v>33</v>
      </c>
      <c r="O1349" s="14"/>
      <c r="P1349" s="15" t="s">
        <v>1202</v>
      </c>
      <c r="Q1349" s="16">
        <v>9099</v>
      </c>
      <c r="R1349" s="17">
        <v>48.92</v>
      </c>
      <c r="S1349" s="18">
        <v>5344.9355000000005</v>
      </c>
      <c r="T1349" s="19" t="s">
        <v>36</v>
      </c>
      <c r="U1349" s="20" t="s">
        <v>746</v>
      </c>
      <c r="V1349" s="22">
        <v>37</v>
      </c>
      <c r="W1349" s="22">
        <v>2</v>
      </c>
      <c r="X1349" s="23"/>
    </row>
    <row r="1350" spans="1:24" s="1" customFormat="1" ht="26" customHeight="1" x14ac:dyDescent="0.3">
      <c r="A1350" s="24" t="s">
        <v>23</v>
      </c>
      <c r="B1350" s="24" t="s">
        <v>1197</v>
      </c>
      <c r="C1350" s="12" t="s">
        <v>1411</v>
      </c>
      <c r="D1350" s="60"/>
      <c r="E1350" s="41" t="str">
        <f>HYPERLINK("https://www.google.ru/search?q=3024889-003&amp;newwindow=1&amp;tbm=isch","Еще фото")</f>
        <v>Еще фото</v>
      </c>
      <c r="F1350" s="13"/>
      <c r="G1350" s="24" t="s">
        <v>1184</v>
      </c>
      <c r="H1350" s="24" t="s">
        <v>741</v>
      </c>
      <c r="I1350" s="24" t="s">
        <v>1185</v>
      </c>
      <c r="J1350" s="14" t="s">
        <v>29</v>
      </c>
      <c r="K1350" s="15" t="s">
        <v>59</v>
      </c>
      <c r="L1350" s="62"/>
      <c r="M1350" s="14" t="s">
        <v>1194</v>
      </c>
      <c r="N1350" s="14" t="s">
        <v>33</v>
      </c>
      <c r="O1350" s="14"/>
      <c r="P1350" s="15" t="s">
        <v>1202</v>
      </c>
      <c r="Q1350" s="16">
        <v>9099</v>
      </c>
      <c r="R1350" s="17">
        <v>48.92</v>
      </c>
      <c r="S1350" s="18">
        <v>5344.9355000000005</v>
      </c>
      <c r="T1350" s="19" t="s">
        <v>36</v>
      </c>
      <c r="U1350" s="20" t="s">
        <v>747</v>
      </c>
      <c r="V1350" s="34">
        <v>37.5</v>
      </c>
      <c r="W1350" s="22">
        <v>2</v>
      </c>
      <c r="X1350" s="23"/>
    </row>
    <row r="1351" spans="1:24" s="1" customFormat="1" ht="26" customHeight="1" x14ac:dyDescent="0.3">
      <c r="A1351" s="24" t="s">
        <v>23</v>
      </c>
      <c r="B1351" s="24" t="s">
        <v>1197</v>
      </c>
      <c r="C1351" s="12" t="s">
        <v>1411</v>
      </c>
      <c r="D1351" s="61"/>
      <c r="E1351" s="41" t="str">
        <f>HYPERLINK("https://www.google.ru/search?q=3024889-003&amp;newwindow=1&amp;tbm=isch","Еще фото")</f>
        <v>Еще фото</v>
      </c>
      <c r="F1351" s="13"/>
      <c r="G1351" s="24" t="s">
        <v>1184</v>
      </c>
      <c r="H1351" s="24" t="s">
        <v>741</v>
      </c>
      <c r="I1351" s="24" t="s">
        <v>1185</v>
      </c>
      <c r="J1351" s="14" t="s">
        <v>29</v>
      </c>
      <c r="K1351" s="15" t="s">
        <v>59</v>
      </c>
      <c r="L1351" s="58"/>
      <c r="M1351" s="14" t="s">
        <v>1194</v>
      </c>
      <c r="N1351" s="14" t="s">
        <v>33</v>
      </c>
      <c r="O1351" s="14"/>
      <c r="P1351" s="15" t="s">
        <v>1202</v>
      </c>
      <c r="Q1351" s="16">
        <v>9099</v>
      </c>
      <c r="R1351" s="17">
        <v>48.92</v>
      </c>
      <c r="S1351" s="18">
        <v>5344.9355000000005</v>
      </c>
      <c r="T1351" s="19" t="s">
        <v>36</v>
      </c>
      <c r="U1351" s="20" t="s">
        <v>748</v>
      </c>
      <c r="V1351" s="22">
        <v>38</v>
      </c>
      <c r="W1351" s="22">
        <v>3</v>
      </c>
      <c r="X1351" s="23"/>
    </row>
    <row r="1352" spans="1:24" s="1" customFormat="1" ht="108" customHeight="1" x14ac:dyDescent="0.3">
      <c r="A1352" s="11" t="s">
        <v>23</v>
      </c>
      <c r="B1352" s="11" t="s">
        <v>1412</v>
      </c>
      <c r="C1352" s="12" t="s">
        <v>1413</v>
      </c>
      <c r="D1352" s="25"/>
      <c r="E1352" s="41" t="str">
        <f>HYPERLINK("https://www.google.ru/search?q=3026692-400&amp;newwindow=1&amp;tbm=isch","Еще фото")</f>
        <v>Еще фото</v>
      </c>
      <c r="F1352" s="13"/>
      <c r="G1352" s="11" t="s">
        <v>1184</v>
      </c>
      <c r="H1352" s="11" t="s">
        <v>741</v>
      </c>
      <c r="I1352" s="14" t="s">
        <v>1185</v>
      </c>
      <c r="J1352" s="14" t="s">
        <v>29</v>
      </c>
      <c r="K1352" s="15" t="s">
        <v>59</v>
      </c>
      <c r="L1352" s="14" t="s">
        <v>1414</v>
      </c>
      <c r="M1352" s="14" t="s">
        <v>1194</v>
      </c>
      <c r="N1352" s="14" t="s">
        <v>115</v>
      </c>
      <c r="O1352" s="14"/>
      <c r="P1352" s="15" t="s">
        <v>1415</v>
      </c>
      <c r="Q1352" s="16">
        <v>9099</v>
      </c>
      <c r="R1352" s="17">
        <v>48.92</v>
      </c>
      <c r="S1352" s="18">
        <v>5344.9355000000005</v>
      </c>
      <c r="T1352" s="19" t="s">
        <v>36</v>
      </c>
      <c r="U1352" s="20" t="s">
        <v>1203</v>
      </c>
      <c r="V1352" s="22">
        <v>36</v>
      </c>
      <c r="W1352" s="22">
        <v>1</v>
      </c>
      <c r="X1352" s="23"/>
    </row>
    <row r="1353" spans="1:24" s="1" customFormat="1" ht="108" customHeight="1" x14ac:dyDescent="0.3">
      <c r="A1353" s="11" t="s">
        <v>23</v>
      </c>
      <c r="B1353" s="11" t="s">
        <v>1247</v>
      </c>
      <c r="C1353" s="12" t="s">
        <v>1416</v>
      </c>
      <c r="D1353" s="25"/>
      <c r="E1353" s="41" t="str">
        <f>HYPERLINK("https://www.google.ru/search?q=3027189-102&amp;newwindow=1&amp;tbm=isch","Еще фото")</f>
        <v>Еще фото</v>
      </c>
      <c r="F1353" s="13"/>
      <c r="G1353" s="11" t="s">
        <v>1184</v>
      </c>
      <c r="H1353" s="11" t="s">
        <v>741</v>
      </c>
      <c r="I1353" s="14" t="s">
        <v>1185</v>
      </c>
      <c r="J1353" s="14" t="s">
        <v>29</v>
      </c>
      <c r="K1353" s="15" t="s">
        <v>30</v>
      </c>
      <c r="L1353" s="14" t="s">
        <v>1249</v>
      </c>
      <c r="M1353" s="14"/>
      <c r="N1353" s="14" t="s">
        <v>62</v>
      </c>
      <c r="O1353" s="14"/>
      <c r="P1353" s="15" t="s">
        <v>1250</v>
      </c>
      <c r="Q1353" s="16">
        <v>19499</v>
      </c>
      <c r="R1353" s="17">
        <v>48.88</v>
      </c>
      <c r="S1353" s="18">
        <v>11462.9355</v>
      </c>
      <c r="T1353" s="19" t="s">
        <v>36</v>
      </c>
      <c r="U1353" s="20" t="s">
        <v>749</v>
      </c>
      <c r="V1353" s="22">
        <v>41</v>
      </c>
      <c r="W1353" s="22">
        <v>1</v>
      </c>
      <c r="X1353" s="23"/>
    </row>
    <row r="1354" spans="1:24" s="1" customFormat="1" ht="108" customHeight="1" x14ac:dyDescent="0.3">
      <c r="A1354" s="11" t="s">
        <v>23</v>
      </c>
      <c r="B1354" s="11" t="s">
        <v>1417</v>
      </c>
      <c r="C1354" s="12" t="s">
        <v>1418</v>
      </c>
      <c r="D1354" s="25"/>
      <c r="E1354" s="41" t="str">
        <f>HYPERLINK("https://www.google.ru/search?q=3024249-702&amp;newwindow=1&amp;tbm=isch","Еще фото")</f>
        <v>Еще фото</v>
      </c>
      <c r="F1354" s="13"/>
      <c r="G1354" s="11" t="s">
        <v>1184</v>
      </c>
      <c r="H1354" s="11" t="s">
        <v>741</v>
      </c>
      <c r="I1354" s="14" t="s">
        <v>1185</v>
      </c>
      <c r="J1354" s="14" t="s">
        <v>260</v>
      </c>
      <c r="K1354" s="15" t="s">
        <v>50</v>
      </c>
      <c r="L1354" s="14" t="s">
        <v>1419</v>
      </c>
      <c r="M1354" s="14" t="s">
        <v>1187</v>
      </c>
      <c r="N1354" s="14" t="s">
        <v>1165</v>
      </c>
      <c r="O1354" s="14" t="s">
        <v>34</v>
      </c>
      <c r="P1354" s="15" t="s">
        <v>1420</v>
      </c>
      <c r="Q1354" s="16">
        <v>13999</v>
      </c>
      <c r="R1354" s="17">
        <v>48.87</v>
      </c>
      <c r="S1354" s="18">
        <v>8231.4354999999996</v>
      </c>
      <c r="T1354" s="19" t="s">
        <v>36</v>
      </c>
      <c r="U1354" s="20" t="s">
        <v>1421</v>
      </c>
      <c r="V1354" s="22">
        <v>35</v>
      </c>
      <c r="W1354" s="22">
        <v>1</v>
      </c>
      <c r="X1354" s="23"/>
    </row>
    <row r="1355" spans="1:24" s="1" customFormat="1" ht="35" customHeight="1" x14ac:dyDescent="0.3">
      <c r="A1355" s="11" t="s">
        <v>23</v>
      </c>
      <c r="B1355" s="11" t="s">
        <v>1422</v>
      </c>
      <c r="C1355" s="12" t="s">
        <v>1423</v>
      </c>
      <c r="D1355" s="59"/>
      <c r="E1355" s="41" t="str">
        <f>HYPERLINK("https://www.google.ru/search?q=3027588-600&amp;newwindow=1&amp;tbm=isch","Еще фото")</f>
        <v>Еще фото</v>
      </c>
      <c r="F1355" s="13"/>
      <c r="G1355" s="11" t="s">
        <v>1184</v>
      </c>
      <c r="H1355" s="11" t="s">
        <v>741</v>
      </c>
      <c r="I1355" s="14" t="s">
        <v>1185</v>
      </c>
      <c r="J1355" s="14" t="s">
        <v>29</v>
      </c>
      <c r="K1355" s="15" t="s">
        <v>723</v>
      </c>
      <c r="L1355" s="57" t="s">
        <v>1424</v>
      </c>
      <c r="M1355" s="14" t="s">
        <v>32</v>
      </c>
      <c r="N1355" s="14" t="s">
        <v>198</v>
      </c>
      <c r="O1355" s="14"/>
      <c r="P1355" s="15" t="s">
        <v>1425</v>
      </c>
      <c r="Q1355" s="16">
        <v>23699</v>
      </c>
      <c r="R1355" s="17">
        <v>48.87</v>
      </c>
      <c r="S1355" s="18">
        <v>13935.4355</v>
      </c>
      <c r="T1355" s="19" t="s">
        <v>36</v>
      </c>
      <c r="U1355" s="20" t="s">
        <v>1326</v>
      </c>
      <c r="V1355" s="22">
        <v>42</v>
      </c>
      <c r="W1355" s="22">
        <v>14</v>
      </c>
      <c r="X1355" s="23"/>
    </row>
    <row r="1356" spans="1:24" s="1" customFormat="1" ht="35" customHeight="1" x14ac:dyDescent="0.3">
      <c r="A1356" s="24" t="s">
        <v>23</v>
      </c>
      <c r="B1356" s="24" t="s">
        <v>1422</v>
      </c>
      <c r="C1356" s="12" t="s">
        <v>1423</v>
      </c>
      <c r="D1356" s="60"/>
      <c r="E1356" s="41" t="str">
        <f>HYPERLINK("https://www.google.ru/search?q=3027588-600&amp;newwindow=1&amp;tbm=isch","Еще фото")</f>
        <v>Еще фото</v>
      </c>
      <c r="F1356" s="13"/>
      <c r="G1356" s="24" t="s">
        <v>1184</v>
      </c>
      <c r="H1356" s="24" t="s">
        <v>741</v>
      </c>
      <c r="I1356" s="24" t="s">
        <v>1185</v>
      </c>
      <c r="J1356" s="14" t="s">
        <v>29</v>
      </c>
      <c r="K1356" s="15" t="s">
        <v>723</v>
      </c>
      <c r="L1356" s="62"/>
      <c r="M1356" s="14" t="s">
        <v>32</v>
      </c>
      <c r="N1356" s="14" t="s">
        <v>198</v>
      </c>
      <c r="O1356" s="14"/>
      <c r="P1356" s="15" t="s">
        <v>1425</v>
      </c>
      <c r="Q1356" s="16">
        <v>23699</v>
      </c>
      <c r="R1356" s="17">
        <v>48.87</v>
      </c>
      <c r="S1356" s="18">
        <v>13935.4355</v>
      </c>
      <c r="T1356" s="19" t="s">
        <v>36</v>
      </c>
      <c r="U1356" s="20" t="s">
        <v>1347</v>
      </c>
      <c r="V1356" s="22">
        <v>43</v>
      </c>
      <c r="W1356" s="22">
        <v>3</v>
      </c>
      <c r="X1356" s="23"/>
    </row>
    <row r="1357" spans="1:24" s="1" customFormat="1" ht="37.049999999999997" customHeight="1" x14ac:dyDescent="0.3">
      <c r="A1357" s="24" t="s">
        <v>23</v>
      </c>
      <c r="B1357" s="24" t="s">
        <v>1422</v>
      </c>
      <c r="C1357" s="12" t="s">
        <v>1423</v>
      </c>
      <c r="D1357" s="61"/>
      <c r="E1357" s="41" t="str">
        <f>HYPERLINK("https://www.google.ru/search?q=3027588-600&amp;newwindow=1&amp;tbm=isch","Еще фото")</f>
        <v>Еще фото</v>
      </c>
      <c r="F1357" s="13"/>
      <c r="G1357" s="24" t="s">
        <v>1184</v>
      </c>
      <c r="H1357" s="24" t="s">
        <v>741</v>
      </c>
      <c r="I1357" s="24" t="s">
        <v>1185</v>
      </c>
      <c r="J1357" s="14" t="s">
        <v>29</v>
      </c>
      <c r="K1357" s="15" t="s">
        <v>723</v>
      </c>
      <c r="L1357" s="58"/>
      <c r="M1357" s="14" t="s">
        <v>32</v>
      </c>
      <c r="N1357" s="14" t="s">
        <v>198</v>
      </c>
      <c r="O1357" s="14"/>
      <c r="P1357" s="15" t="s">
        <v>1425</v>
      </c>
      <c r="Q1357" s="16">
        <v>23699</v>
      </c>
      <c r="R1357" s="17">
        <v>48.87</v>
      </c>
      <c r="S1357" s="18">
        <v>13935.4355</v>
      </c>
      <c r="T1357" s="19" t="s">
        <v>36</v>
      </c>
      <c r="U1357" s="20" t="s">
        <v>1348</v>
      </c>
      <c r="V1357" s="34">
        <v>43.5</v>
      </c>
      <c r="W1357" s="22">
        <v>2</v>
      </c>
      <c r="X1357" s="23"/>
    </row>
    <row r="1358" spans="1:24" s="1" customFormat="1" ht="108" customHeight="1" x14ac:dyDescent="0.3">
      <c r="A1358" s="11" t="s">
        <v>23</v>
      </c>
      <c r="B1358" s="11" t="s">
        <v>1426</v>
      </c>
      <c r="C1358" s="12" t="s">
        <v>1427</v>
      </c>
      <c r="D1358" s="25"/>
      <c r="E1358" s="41" t="str">
        <f>HYPERLINK("https://www.google.ru/search?q=3027199-500&amp;newwindow=1&amp;tbm=isch","Еще фото")</f>
        <v>Еще фото</v>
      </c>
      <c r="F1358" s="13"/>
      <c r="G1358" s="11" t="s">
        <v>1184</v>
      </c>
      <c r="H1358" s="11" t="s">
        <v>741</v>
      </c>
      <c r="I1358" s="14" t="s">
        <v>1185</v>
      </c>
      <c r="J1358" s="14" t="s">
        <v>29</v>
      </c>
      <c r="K1358" s="15" t="s">
        <v>59</v>
      </c>
      <c r="L1358" s="14" t="s">
        <v>1249</v>
      </c>
      <c r="M1358" s="14"/>
      <c r="N1358" s="14" t="s">
        <v>115</v>
      </c>
      <c r="O1358" s="14"/>
      <c r="P1358" s="15" t="s">
        <v>1250</v>
      </c>
      <c r="Q1358" s="16">
        <v>20999</v>
      </c>
      <c r="R1358" s="17">
        <v>48.87</v>
      </c>
      <c r="S1358" s="18">
        <v>12348.4355</v>
      </c>
      <c r="T1358" s="19" t="s">
        <v>36</v>
      </c>
      <c r="U1358" s="20" t="s">
        <v>746</v>
      </c>
      <c r="V1358" s="22">
        <v>37</v>
      </c>
      <c r="W1358" s="22">
        <v>4</v>
      </c>
      <c r="X1358" s="23"/>
    </row>
    <row r="1359" spans="1:24" s="1" customFormat="1" ht="17" customHeight="1" x14ac:dyDescent="0.3">
      <c r="A1359" s="11" t="s">
        <v>23</v>
      </c>
      <c r="B1359" s="11" t="s">
        <v>1428</v>
      </c>
      <c r="C1359" s="12" t="s">
        <v>1429</v>
      </c>
      <c r="D1359" s="59"/>
      <c r="E1359" s="41" t="str">
        <f t="shared" ref="E1359:E1364" si="43">HYPERLINK("https://www.google.ru/search?q=3025799-002&amp;newwindow=1&amp;tbm=isch","Еще фото")</f>
        <v>Еще фото</v>
      </c>
      <c r="F1359" s="13" t="s">
        <v>103</v>
      </c>
      <c r="G1359" s="11" t="s">
        <v>1184</v>
      </c>
      <c r="H1359" s="11" t="s">
        <v>741</v>
      </c>
      <c r="I1359" s="14" t="s">
        <v>1185</v>
      </c>
      <c r="J1359" s="14" t="s">
        <v>29</v>
      </c>
      <c r="K1359" s="15" t="s">
        <v>59</v>
      </c>
      <c r="L1359" s="57" t="s">
        <v>1430</v>
      </c>
      <c r="M1359" s="14" t="s">
        <v>1225</v>
      </c>
      <c r="N1359" s="14" t="s">
        <v>115</v>
      </c>
      <c r="O1359" s="14"/>
      <c r="P1359" s="15" t="s">
        <v>1279</v>
      </c>
      <c r="Q1359" s="16">
        <v>28799</v>
      </c>
      <c r="R1359" s="17">
        <v>48.86</v>
      </c>
      <c r="S1359" s="18">
        <v>16936.9355</v>
      </c>
      <c r="T1359" s="19" t="s">
        <v>36</v>
      </c>
      <c r="U1359" s="20" t="s">
        <v>1196</v>
      </c>
      <c r="V1359" s="34">
        <v>36.5</v>
      </c>
      <c r="W1359" s="22">
        <v>5</v>
      </c>
      <c r="X1359" s="23"/>
    </row>
    <row r="1360" spans="1:24" s="1" customFormat="1" ht="17" customHeight="1" x14ac:dyDescent="0.3">
      <c r="A1360" s="24" t="s">
        <v>23</v>
      </c>
      <c r="B1360" s="24" t="s">
        <v>1428</v>
      </c>
      <c r="C1360" s="12" t="s">
        <v>1429</v>
      </c>
      <c r="D1360" s="60"/>
      <c r="E1360" s="41" t="str">
        <f t="shared" si="43"/>
        <v>Еще фото</v>
      </c>
      <c r="F1360" s="13" t="s">
        <v>103</v>
      </c>
      <c r="G1360" s="24" t="s">
        <v>1184</v>
      </c>
      <c r="H1360" s="24" t="s">
        <v>741</v>
      </c>
      <c r="I1360" s="24" t="s">
        <v>1185</v>
      </c>
      <c r="J1360" s="14" t="s">
        <v>29</v>
      </c>
      <c r="K1360" s="15" t="s">
        <v>59</v>
      </c>
      <c r="L1360" s="62"/>
      <c r="M1360" s="14" t="s">
        <v>1225</v>
      </c>
      <c r="N1360" s="14" t="s">
        <v>115</v>
      </c>
      <c r="O1360" s="14"/>
      <c r="P1360" s="15" t="s">
        <v>1279</v>
      </c>
      <c r="Q1360" s="16">
        <v>28799</v>
      </c>
      <c r="R1360" s="17">
        <v>48.86</v>
      </c>
      <c r="S1360" s="18">
        <v>16936.9355</v>
      </c>
      <c r="T1360" s="19" t="s">
        <v>36</v>
      </c>
      <c r="U1360" s="20" t="s">
        <v>746</v>
      </c>
      <c r="V1360" s="22">
        <v>37</v>
      </c>
      <c r="W1360" s="22">
        <v>5</v>
      </c>
      <c r="X1360" s="23"/>
    </row>
    <row r="1361" spans="1:24" s="1" customFormat="1" ht="17" customHeight="1" x14ac:dyDescent="0.3">
      <c r="A1361" s="24" t="s">
        <v>23</v>
      </c>
      <c r="B1361" s="24" t="s">
        <v>1428</v>
      </c>
      <c r="C1361" s="12" t="s">
        <v>1429</v>
      </c>
      <c r="D1361" s="60"/>
      <c r="E1361" s="41" t="str">
        <f t="shared" si="43"/>
        <v>Еще фото</v>
      </c>
      <c r="F1361" s="13" t="s">
        <v>103</v>
      </c>
      <c r="G1361" s="24" t="s">
        <v>1184</v>
      </c>
      <c r="H1361" s="24" t="s">
        <v>741</v>
      </c>
      <c r="I1361" s="24" t="s">
        <v>1185</v>
      </c>
      <c r="J1361" s="14" t="s">
        <v>29</v>
      </c>
      <c r="K1361" s="15" t="s">
        <v>59</v>
      </c>
      <c r="L1361" s="62"/>
      <c r="M1361" s="14" t="s">
        <v>1225</v>
      </c>
      <c r="N1361" s="14" t="s">
        <v>115</v>
      </c>
      <c r="O1361" s="14"/>
      <c r="P1361" s="15" t="s">
        <v>1279</v>
      </c>
      <c r="Q1361" s="16">
        <v>28799</v>
      </c>
      <c r="R1361" s="17">
        <v>48.86</v>
      </c>
      <c r="S1361" s="18">
        <v>16936.9355</v>
      </c>
      <c r="T1361" s="19" t="s">
        <v>36</v>
      </c>
      <c r="U1361" s="20" t="s">
        <v>747</v>
      </c>
      <c r="V1361" s="34">
        <v>37.5</v>
      </c>
      <c r="W1361" s="22">
        <v>8</v>
      </c>
      <c r="X1361" s="23"/>
    </row>
    <row r="1362" spans="1:24" s="1" customFormat="1" ht="17" customHeight="1" x14ac:dyDescent="0.3">
      <c r="A1362" s="24" t="s">
        <v>23</v>
      </c>
      <c r="B1362" s="24" t="s">
        <v>1428</v>
      </c>
      <c r="C1362" s="12" t="s">
        <v>1429</v>
      </c>
      <c r="D1362" s="60"/>
      <c r="E1362" s="41" t="str">
        <f t="shared" si="43"/>
        <v>Еще фото</v>
      </c>
      <c r="F1362" s="13" t="s">
        <v>103</v>
      </c>
      <c r="G1362" s="24" t="s">
        <v>1184</v>
      </c>
      <c r="H1362" s="24" t="s">
        <v>741</v>
      </c>
      <c r="I1362" s="24" t="s">
        <v>1185</v>
      </c>
      <c r="J1362" s="14" t="s">
        <v>29</v>
      </c>
      <c r="K1362" s="15" t="s">
        <v>59</v>
      </c>
      <c r="L1362" s="62"/>
      <c r="M1362" s="14" t="s">
        <v>1225</v>
      </c>
      <c r="N1362" s="14" t="s">
        <v>115</v>
      </c>
      <c r="O1362" s="14"/>
      <c r="P1362" s="15" t="s">
        <v>1279</v>
      </c>
      <c r="Q1362" s="16">
        <v>28799</v>
      </c>
      <c r="R1362" s="17">
        <v>48.86</v>
      </c>
      <c r="S1362" s="18">
        <v>16936.9355</v>
      </c>
      <c r="T1362" s="19" t="s">
        <v>36</v>
      </c>
      <c r="U1362" s="20" t="s">
        <v>748</v>
      </c>
      <c r="V1362" s="22">
        <v>38</v>
      </c>
      <c r="W1362" s="22">
        <v>9</v>
      </c>
      <c r="X1362" s="23"/>
    </row>
    <row r="1363" spans="1:24" s="1" customFormat="1" ht="17" customHeight="1" x14ac:dyDescent="0.3">
      <c r="A1363" s="24" t="s">
        <v>23</v>
      </c>
      <c r="B1363" s="24" t="s">
        <v>1428</v>
      </c>
      <c r="C1363" s="12" t="s">
        <v>1429</v>
      </c>
      <c r="D1363" s="60"/>
      <c r="E1363" s="41" t="str">
        <f t="shared" si="43"/>
        <v>Еще фото</v>
      </c>
      <c r="F1363" s="13" t="s">
        <v>103</v>
      </c>
      <c r="G1363" s="24" t="s">
        <v>1184</v>
      </c>
      <c r="H1363" s="24" t="s">
        <v>741</v>
      </c>
      <c r="I1363" s="24" t="s">
        <v>1185</v>
      </c>
      <c r="J1363" s="14" t="s">
        <v>29</v>
      </c>
      <c r="K1363" s="15" t="s">
        <v>59</v>
      </c>
      <c r="L1363" s="62"/>
      <c r="M1363" s="14" t="s">
        <v>1225</v>
      </c>
      <c r="N1363" s="14" t="s">
        <v>115</v>
      </c>
      <c r="O1363" s="14"/>
      <c r="P1363" s="15" t="s">
        <v>1279</v>
      </c>
      <c r="Q1363" s="16">
        <v>28799</v>
      </c>
      <c r="R1363" s="17">
        <v>48.86</v>
      </c>
      <c r="S1363" s="18">
        <v>16936.9355</v>
      </c>
      <c r="T1363" s="19" t="s">
        <v>36</v>
      </c>
      <c r="U1363" s="20" t="s">
        <v>750</v>
      </c>
      <c r="V1363" s="34">
        <v>39.5</v>
      </c>
      <c r="W1363" s="22">
        <v>6</v>
      </c>
      <c r="X1363" s="23"/>
    </row>
    <row r="1364" spans="1:24" s="1" customFormat="1" ht="22.05" customHeight="1" x14ac:dyDescent="0.3">
      <c r="A1364" s="24" t="s">
        <v>23</v>
      </c>
      <c r="B1364" s="24" t="s">
        <v>1428</v>
      </c>
      <c r="C1364" s="12" t="s">
        <v>1429</v>
      </c>
      <c r="D1364" s="61"/>
      <c r="E1364" s="41" t="str">
        <f t="shared" si="43"/>
        <v>Еще фото</v>
      </c>
      <c r="F1364" s="13" t="s">
        <v>103</v>
      </c>
      <c r="G1364" s="24" t="s">
        <v>1184</v>
      </c>
      <c r="H1364" s="24" t="s">
        <v>741</v>
      </c>
      <c r="I1364" s="24" t="s">
        <v>1185</v>
      </c>
      <c r="J1364" s="14" t="s">
        <v>29</v>
      </c>
      <c r="K1364" s="15" t="s">
        <v>59</v>
      </c>
      <c r="L1364" s="58"/>
      <c r="M1364" s="14" t="s">
        <v>1225</v>
      </c>
      <c r="N1364" s="14" t="s">
        <v>115</v>
      </c>
      <c r="O1364" s="14"/>
      <c r="P1364" s="15" t="s">
        <v>1279</v>
      </c>
      <c r="Q1364" s="16">
        <v>28799</v>
      </c>
      <c r="R1364" s="17">
        <v>48.86</v>
      </c>
      <c r="S1364" s="18">
        <v>16936.9355</v>
      </c>
      <c r="T1364" s="19" t="s">
        <v>36</v>
      </c>
      <c r="U1364" s="20" t="s">
        <v>751</v>
      </c>
      <c r="V1364" s="22">
        <v>40</v>
      </c>
      <c r="W1364" s="22">
        <v>1</v>
      </c>
      <c r="X1364" s="23"/>
    </row>
    <row r="1365" spans="1:24" s="1" customFormat="1" ht="35" customHeight="1" x14ac:dyDescent="0.3">
      <c r="A1365" s="11" t="s">
        <v>23</v>
      </c>
      <c r="B1365" s="11" t="s">
        <v>1299</v>
      </c>
      <c r="C1365" s="12" t="s">
        <v>1431</v>
      </c>
      <c r="D1365" s="59"/>
      <c r="E1365" s="41" t="str">
        <f>HYPERLINK("https://www.google.ru/search?q=3028002-403&amp;newwindow=1&amp;tbm=isch","Еще фото")</f>
        <v>Еще фото</v>
      </c>
      <c r="F1365" s="13" t="s">
        <v>103</v>
      </c>
      <c r="G1365" s="11" t="s">
        <v>1184</v>
      </c>
      <c r="H1365" s="11" t="s">
        <v>741</v>
      </c>
      <c r="I1365" s="14" t="s">
        <v>1185</v>
      </c>
      <c r="J1365" s="14" t="s">
        <v>29</v>
      </c>
      <c r="K1365" s="15" t="s">
        <v>30</v>
      </c>
      <c r="L1365" s="57" t="s">
        <v>1301</v>
      </c>
      <c r="M1365" s="14" t="s">
        <v>1211</v>
      </c>
      <c r="N1365" s="14" t="s">
        <v>115</v>
      </c>
      <c r="O1365" s="14"/>
      <c r="P1365" s="15" t="s">
        <v>1302</v>
      </c>
      <c r="Q1365" s="16">
        <v>15599</v>
      </c>
      <c r="R1365" s="17">
        <v>48.86</v>
      </c>
      <c r="S1365" s="18">
        <v>9174.4354999999996</v>
      </c>
      <c r="T1365" s="19" t="s">
        <v>36</v>
      </c>
      <c r="U1365" s="20" t="s">
        <v>750</v>
      </c>
      <c r="V1365" s="34">
        <v>41.5</v>
      </c>
      <c r="W1365" s="22">
        <v>4</v>
      </c>
      <c r="X1365" s="23"/>
    </row>
    <row r="1366" spans="1:24" s="1" customFormat="1" ht="35" customHeight="1" x14ac:dyDescent="0.3">
      <c r="A1366" s="24" t="s">
        <v>23</v>
      </c>
      <c r="B1366" s="24" t="s">
        <v>1299</v>
      </c>
      <c r="C1366" s="12" t="s">
        <v>1431</v>
      </c>
      <c r="D1366" s="60"/>
      <c r="E1366" s="41" t="str">
        <f>HYPERLINK("https://www.google.ru/search?q=3028002-403&amp;newwindow=1&amp;tbm=isch","Еще фото")</f>
        <v>Еще фото</v>
      </c>
      <c r="F1366" s="13" t="s">
        <v>103</v>
      </c>
      <c r="G1366" s="24" t="s">
        <v>1184</v>
      </c>
      <c r="H1366" s="24" t="s">
        <v>741</v>
      </c>
      <c r="I1366" s="24" t="s">
        <v>1185</v>
      </c>
      <c r="J1366" s="14" t="s">
        <v>29</v>
      </c>
      <c r="K1366" s="15" t="s">
        <v>30</v>
      </c>
      <c r="L1366" s="62"/>
      <c r="M1366" s="14" t="s">
        <v>1211</v>
      </c>
      <c r="N1366" s="14" t="s">
        <v>115</v>
      </c>
      <c r="O1366" s="14"/>
      <c r="P1366" s="15" t="s">
        <v>1302</v>
      </c>
      <c r="Q1366" s="16">
        <v>15599</v>
      </c>
      <c r="R1366" s="17">
        <v>48.86</v>
      </c>
      <c r="S1366" s="18">
        <v>9174.4354999999996</v>
      </c>
      <c r="T1366" s="19" t="s">
        <v>36</v>
      </c>
      <c r="U1366" s="20" t="s">
        <v>751</v>
      </c>
      <c r="V1366" s="22">
        <v>42</v>
      </c>
      <c r="W1366" s="22">
        <v>3</v>
      </c>
      <c r="X1366" s="23"/>
    </row>
    <row r="1367" spans="1:24" s="1" customFormat="1" ht="37.049999999999997" customHeight="1" x14ac:dyDescent="0.3">
      <c r="A1367" s="24" t="s">
        <v>23</v>
      </c>
      <c r="B1367" s="24" t="s">
        <v>1299</v>
      </c>
      <c r="C1367" s="12" t="s">
        <v>1431</v>
      </c>
      <c r="D1367" s="61"/>
      <c r="E1367" s="41" t="str">
        <f>HYPERLINK("https://www.google.ru/search?q=3028002-403&amp;newwindow=1&amp;tbm=isch","Еще фото")</f>
        <v>Еще фото</v>
      </c>
      <c r="F1367" s="13" t="s">
        <v>103</v>
      </c>
      <c r="G1367" s="24" t="s">
        <v>1184</v>
      </c>
      <c r="H1367" s="24" t="s">
        <v>741</v>
      </c>
      <c r="I1367" s="24" t="s">
        <v>1185</v>
      </c>
      <c r="J1367" s="14" t="s">
        <v>29</v>
      </c>
      <c r="K1367" s="15" t="s">
        <v>30</v>
      </c>
      <c r="L1367" s="58"/>
      <c r="M1367" s="14" t="s">
        <v>1211</v>
      </c>
      <c r="N1367" s="14" t="s">
        <v>115</v>
      </c>
      <c r="O1367" s="14"/>
      <c r="P1367" s="15" t="s">
        <v>1302</v>
      </c>
      <c r="Q1367" s="16">
        <v>15599</v>
      </c>
      <c r="R1367" s="17">
        <v>48.86</v>
      </c>
      <c r="S1367" s="18">
        <v>9174.4354999999996</v>
      </c>
      <c r="T1367" s="19" t="s">
        <v>36</v>
      </c>
      <c r="U1367" s="20" t="s">
        <v>752</v>
      </c>
      <c r="V1367" s="22">
        <v>43</v>
      </c>
      <c r="W1367" s="22">
        <v>2</v>
      </c>
      <c r="X1367" s="23"/>
    </row>
    <row r="1368" spans="1:24" s="1" customFormat="1" ht="26" customHeight="1" x14ac:dyDescent="0.3">
      <c r="A1368" s="11" t="s">
        <v>23</v>
      </c>
      <c r="B1368" s="11" t="s">
        <v>1310</v>
      </c>
      <c r="C1368" s="12" t="s">
        <v>1432</v>
      </c>
      <c r="D1368" s="59"/>
      <c r="E1368" s="41" t="str">
        <f>HYPERLINK("https://www.google.ru/search?q=3027600-310&amp;newwindow=1&amp;tbm=isch","Еще фото")</f>
        <v>Еще фото</v>
      </c>
      <c r="F1368" s="13" t="s">
        <v>103</v>
      </c>
      <c r="G1368" s="11" t="s">
        <v>1184</v>
      </c>
      <c r="H1368" s="11" t="s">
        <v>741</v>
      </c>
      <c r="I1368" s="14" t="s">
        <v>1185</v>
      </c>
      <c r="J1368" s="14" t="s">
        <v>29</v>
      </c>
      <c r="K1368" s="15" t="s">
        <v>30</v>
      </c>
      <c r="L1368" s="57" t="s">
        <v>1312</v>
      </c>
      <c r="M1368" s="14"/>
      <c r="N1368" s="14" t="s">
        <v>127</v>
      </c>
      <c r="O1368" s="14"/>
      <c r="P1368" s="15" t="s">
        <v>1254</v>
      </c>
      <c r="Q1368" s="16">
        <v>28699</v>
      </c>
      <c r="R1368" s="17">
        <v>48.86</v>
      </c>
      <c r="S1368" s="18">
        <v>16879.4355</v>
      </c>
      <c r="T1368" s="19" t="s">
        <v>36</v>
      </c>
      <c r="U1368" s="20" t="s">
        <v>750</v>
      </c>
      <c r="V1368" s="34">
        <v>41.5</v>
      </c>
      <c r="W1368" s="22">
        <v>4</v>
      </c>
      <c r="X1368" s="23"/>
    </row>
    <row r="1369" spans="1:24" s="1" customFormat="1" ht="26" customHeight="1" x14ac:dyDescent="0.3">
      <c r="A1369" s="24" t="s">
        <v>23</v>
      </c>
      <c r="B1369" s="24" t="s">
        <v>1310</v>
      </c>
      <c r="C1369" s="12" t="s">
        <v>1432</v>
      </c>
      <c r="D1369" s="60"/>
      <c r="E1369" s="41" t="str">
        <f>HYPERLINK("https://www.google.ru/search?q=3027600-310&amp;newwindow=1&amp;tbm=isch","Еще фото")</f>
        <v>Еще фото</v>
      </c>
      <c r="F1369" s="13" t="s">
        <v>103</v>
      </c>
      <c r="G1369" s="24" t="s">
        <v>1184</v>
      </c>
      <c r="H1369" s="24" t="s">
        <v>741</v>
      </c>
      <c r="I1369" s="24" t="s">
        <v>1185</v>
      </c>
      <c r="J1369" s="14" t="s">
        <v>29</v>
      </c>
      <c r="K1369" s="15" t="s">
        <v>30</v>
      </c>
      <c r="L1369" s="62"/>
      <c r="M1369" s="14"/>
      <c r="N1369" s="14" t="s">
        <v>127</v>
      </c>
      <c r="O1369" s="14"/>
      <c r="P1369" s="15" t="s">
        <v>1254</v>
      </c>
      <c r="Q1369" s="16">
        <v>28699</v>
      </c>
      <c r="R1369" s="17">
        <v>48.86</v>
      </c>
      <c r="S1369" s="18">
        <v>16879.4355</v>
      </c>
      <c r="T1369" s="19" t="s">
        <v>36</v>
      </c>
      <c r="U1369" s="20" t="s">
        <v>751</v>
      </c>
      <c r="V1369" s="22">
        <v>42</v>
      </c>
      <c r="W1369" s="22">
        <v>4</v>
      </c>
      <c r="X1369" s="23"/>
    </row>
    <row r="1370" spans="1:24" s="1" customFormat="1" ht="26" customHeight="1" x14ac:dyDescent="0.3">
      <c r="A1370" s="24" t="s">
        <v>23</v>
      </c>
      <c r="B1370" s="24" t="s">
        <v>1310</v>
      </c>
      <c r="C1370" s="12" t="s">
        <v>1432</v>
      </c>
      <c r="D1370" s="60"/>
      <c r="E1370" s="41" t="str">
        <f>HYPERLINK("https://www.google.ru/search?q=3027600-310&amp;newwindow=1&amp;tbm=isch","Еще фото")</f>
        <v>Еще фото</v>
      </c>
      <c r="F1370" s="13" t="s">
        <v>103</v>
      </c>
      <c r="G1370" s="24" t="s">
        <v>1184</v>
      </c>
      <c r="H1370" s="24" t="s">
        <v>741</v>
      </c>
      <c r="I1370" s="24" t="s">
        <v>1185</v>
      </c>
      <c r="J1370" s="14" t="s">
        <v>29</v>
      </c>
      <c r="K1370" s="15" t="s">
        <v>30</v>
      </c>
      <c r="L1370" s="62"/>
      <c r="M1370" s="14"/>
      <c r="N1370" s="14" t="s">
        <v>127</v>
      </c>
      <c r="O1370" s="14"/>
      <c r="P1370" s="15" t="s">
        <v>1254</v>
      </c>
      <c r="Q1370" s="16">
        <v>28699</v>
      </c>
      <c r="R1370" s="17">
        <v>48.86</v>
      </c>
      <c r="S1370" s="18">
        <v>16879.4355</v>
      </c>
      <c r="T1370" s="19" t="s">
        <v>36</v>
      </c>
      <c r="U1370" s="20" t="s">
        <v>753</v>
      </c>
      <c r="V1370" s="34">
        <v>43.5</v>
      </c>
      <c r="W1370" s="22">
        <v>2</v>
      </c>
      <c r="X1370" s="23"/>
    </row>
    <row r="1371" spans="1:24" s="1" customFormat="1" ht="26" customHeight="1" x14ac:dyDescent="0.3">
      <c r="A1371" s="24" t="s">
        <v>23</v>
      </c>
      <c r="B1371" s="24" t="s">
        <v>1310</v>
      </c>
      <c r="C1371" s="12" t="s">
        <v>1432</v>
      </c>
      <c r="D1371" s="61"/>
      <c r="E1371" s="41" t="str">
        <f>HYPERLINK("https://www.google.ru/search?q=3027600-310&amp;newwindow=1&amp;tbm=isch","Еще фото")</f>
        <v>Еще фото</v>
      </c>
      <c r="F1371" s="13" t="s">
        <v>103</v>
      </c>
      <c r="G1371" s="24" t="s">
        <v>1184</v>
      </c>
      <c r="H1371" s="24" t="s">
        <v>741</v>
      </c>
      <c r="I1371" s="24" t="s">
        <v>1185</v>
      </c>
      <c r="J1371" s="14" t="s">
        <v>29</v>
      </c>
      <c r="K1371" s="15" t="s">
        <v>30</v>
      </c>
      <c r="L1371" s="58"/>
      <c r="M1371" s="14"/>
      <c r="N1371" s="14" t="s">
        <v>127</v>
      </c>
      <c r="O1371" s="14"/>
      <c r="P1371" s="15" t="s">
        <v>1254</v>
      </c>
      <c r="Q1371" s="16">
        <v>28699</v>
      </c>
      <c r="R1371" s="17">
        <v>48.86</v>
      </c>
      <c r="S1371" s="18">
        <v>16879.4355</v>
      </c>
      <c r="T1371" s="19" t="s">
        <v>36</v>
      </c>
      <c r="U1371" s="20" t="s">
        <v>755</v>
      </c>
      <c r="V1371" s="34">
        <v>44.5</v>
      </c>
      <c r="W1371" s="22">
        <v>7</v>
      </c>
      <c r="X1371" s="23"/>
    </row>
    <row r="1372" spans="1:24" s="1" customFormat="1" ht="35" customHeight="1" x14ac:dyDescent="0.3">
      <c r="A1372" s="11" t="s">
        <v>23</v>
      </c>
      <c r="B1372" s="11" t="s">
        <v>1433</v>
      </c>
      <c r="C1372" s="12" t="s">
        <v>1434</v>
      </c>
      <c r="D1372" s="59"/>
      <c r="E1372" s="41" t="str">
        <f>HYPERLINK("https://www.google.ru/search?q=3020139-100&amp;newwindow=1&amp;tbm=isch","Еще фото")</f>
        <v>Еще фото</v>
      </c>
      <c r="F1372" s="13"/>
      <c r="G1372" s="11" t="s">
        <v>1184</v>
      </c>
      <c r="H1372" s="11" t="s">
        <v>741</v>
      </c>
      <c r="I1372" s="14" t="s">
        <v>1185</v>
      </c>
      <c r="J1372" s="14" t="s">
        <v>29</v>
      </c>
      <c r="K1372" s="15" t="s">
        <v>59</v>
      </c>
      <c r="L1372" s="57" t="s">
        <v>1435</v>
      </c>
      <c r="M1372" s="14" t="s">
        <v>1283</v>
      </c>
      <c r="N1372" s="14" t="s">
        <v>62</v>
      </c>
      <c r="O1372" s="14" t="s">
        <v>34</v>
      </c>
      <c r="P1372" s="15" t="s">
        <v>1284</v>
      </c>
      <c r="Q1372" s="16">
        <v>7699</v>
      </c>
      <c r="R1372" s="17">
        <v>48.85</v>
      </c>
      <c r="S1372" s="18">
        <v>4528.4354999999996</v>
      </c>
      <c r="T1372" s="19" t="s">
        <v>36</v>
      </c>
      <c r="U1372" s="20" t="s">
        <v>1203</v>
      </c>
      <c r="V1372" s="22">
        <v>36</v>
      </c>
      <c r="W1372" s="22">
        <v>3</v>
      </c>
      <c r="X1372" s="23"/>
    </row>
    <row r="1373" spans="1:24" s="1" customFormat="1" ht="35" customHeight="1" x14ac:dyDescent="0.3">
      <c r="A1373" s="24" t="s">
        <v>23</v>
      </c>
      <c r="B1373" s="24" t="s">
        <v>1433</v>
      </c>
      <c r="C1373" s="12" t="s">
        <v>1434</v>
      </c>
      <c r="D1373" s="60"/>
      <c r="E1373" s="41" t="str">
        <f>HYPERLINK("https://www.google.ru/search?q=3020139-100&amp;newwindow=1&amp;tbm=isch","Еще фото")</f>
        <v>Еще фото</v>
      </c>
      <c r="F1373" s="13"/>
      <c r="G1373" s="24" t="s">
        <v>1184</v>
      </c>
      <c r="H1373" s="24" t="s">
        <v>741</v>
      </c>
      <c r="I1373" s="24" t="s">
        <v>1185</v>
      </c>
      <c r="J1373" s="14" t="s">
        <v>29</v>
      </c>
      <c r="K1373" s="15" t="s">
        <v>59</v>
      </c>
      <c r="L1373" s="62"/>
      <c r="M1373" s="14" t="s">
        <v>1283</v>
      </c>
      <c r="N1373" s="14" t="s">
        <v>62</v>
      </c>
      <c r="O1373" s="14" t="s">
        <v>34</v>
      </c>
      <c r="P1373" s="15" t="s">
        <v>1284</v>
      </c>
      <c r="Q1373" s="16">
        <v>7699</v>
      </c>
      <c r="R1373" s="17">
        <v>48.85</v>
      </c>
      <c r="S1373" s="18">
        <v>4528.4354999999996</v>
      </c>
      <c r="T1373" s="19" t="s">
        <v>36</v>
      </c>
      <c r="U1373" s="20" t="s">
        <v>1196</v>
      </c>
      <c r="V1373" s="34">
        <v>36.5</v>
      </c>
      <c r="W1373" s="22">
        <v>1</v>
      </c>
      <c r="X1373" s="23"/>
    </row>
    <row r="1374" spans="1:24" s="1" customFormat="1" ht="37.049999999999997" customHeight="1" x14ac:dyDescent="0.3">
      <c r="A1374" s="24" t="s">
        <v>23</v>
      </c>
      <c r="B1374" s="24" t="s">
        <v>1433</v>
      </c>
      <c r="C1374" s="12" t="s">
        <v>1434</v>
      </c>
      <c r="D1374" s="61"/>
      <c r="E1374" s="41" t="str">
        <f>HYPERLINK("https://www.google.ru/search?q=3020139-100&amp;newwindow=1&amp;tbm=isch","Еще фото")</f>
        <v>Еще фото</v>
      </c>
      <c r="F1374" s="13"/>
      <c r="G1374" s="24" t="s">
        <v>1184</v>
      </c>
      <c r="H1374" s="24" t="s">
        <v>741</v>
      </c>
      <c r="I1374" s="24" t="s">
        <v>1185</v>
      </c>
      <c r="J1374" s="14" t="s">
        <v>29</v>
      </c>
      <c r="K1374" s="15" t="s">
        <v>59</v>
      </c>
      <c r="L1374" s="58"/>
      <c r="M1374" s="14" t="s">
        <v>1283</v>
      </c>
      <c r="N1374" s="14" t="s">
        <v>62</v>
      </c>
      <c r="O1374" s="14" t="s">
        <v>34</v>
      </c>
      <c r="P1374" s="15" t="s">
        <v>1284</v>
      </c>
      <c r="Q1374" s="16">
        <v>7699</v>
      </c>
      <c r="R1374" s="17">
        <v>48.85</v>
      </c>
      <c r="S1374" s="18">
        <v>4528.4354999999996</v>
      </c>
      <c r="T1374" s="19" t="s">
        <v>36</v>
      </c>
      <c r="U1374" s="20" t="s">
        <v>747</v>
      </c>
      <c r="V1374" s="34">
        <v>37.5</v>
      </c>
      <c r="W1374" s="22">
        <v>1</v>
      </c>
      <c r="X1374" s="23"/>
    </row>
    <row r="1375" spans="1:24" s="1" customFormat="1" ht="26" customHeight="1" x14ac:dyDescent="0.3">
      <c r="A1375" s="11" t="s">
        <v>23</v>
      </c>
      <c r="B1375" s="11" t="s">
        <v>1436</v>
      </c>
      <c r="C1375" s="12" t="s">
        <v>1437</v>
      </c>
      <c r="D1375" s="59"/>
      <c r="E1375" s="41" t="str">
        <f>HYPERLINK("https://www.google.ru/search?q=3027777-001&amp;newwindow=1&amp;tbm=isch","Еще фото")</f>
        <v>Еще фото</v>
      </c>
      <c r="F1375" s="13"/>
      <c r="G1375" s="11" t="s">
        <v>1184</v>
      </c>
      <c r="H1375" s="11" t="s">
        <v>741</v>
      </c>
      <c r="I1375" s="14" t="s">
        <v>1185</v>
      </c>
      <c r="J1375" s="14" t="s">
        <v>29</v>
      </c>
      <c r="K1375" s="15" t="s">
        <v>59</v>
      </c>
      <c r="L1375" s="57" t="s">
        <v>1438</v>
      </c>
      <c r="M1375" s="14"/>
      <c r="N1375" s="14" t="s">
        <v>33</v>
      </c>
      <c r="O1375" s="14"/>
      <c r="P1375" s="15" t="s">
        <v>1439</v>
      </c>
      <c r="Q1375" s="16">
        <v>13799</v>
      </c>
      <c r="R1375" s="17">
        <v>48.85</v>
      </c>
      <c r="S1375" s="18">
        <v>8116.4354999999996</v>
      </c>
      <c r="T1375" s="19" t="s">
        <v>36</v>
      </c>
      <c r="U1375" s="20" t="s">
        <v>1203</v>
      </c>
      <c r="V1375" s="22">
        <v>36</v>
      </c>
      <c r="W1375" s="22">
        <v>1</v>
      </c>
      <c r="X1375" s="23"/>
    </row>
    <row r="1376" spans="1:24" s="1" customFormat="1" ht="26" customHeight="1" x14ac:dyDescent="0.3">
      <c r="A1376" s="24" t="s">
        <v>23</v>
      </c>
      <c r="B1376" s="24" t="s">
        <v>1436</v>
      </c>
      <c r="C1376" s="12" t="s">
        <v>1437</v>
      </c>
      <c r="D1376" s="60"/>
      <c r="E1376" s="41" t="str">
        <f>HYPERLINK("https://www.google.ru/search?q=3027777-001&amp;newwindow=1&amp;tbm=isch","Еще фото")</f>
        <v>Еще фото</v>
      </c>
      <c r="F1376" s="13"/>
      <c r="G1376" s="24" t="s">
        <v>1184</v>
      </c>
      <c r="H1376" s="24" t="s">
        <v>741</v>
      </c>
      <c r="I1376" s="24" t="s">
        <v>1185</v>
      </c>
      <c r="J1376" s="14" t="s">
        <v>29</v>
      </c>
      <c r="K1376" s="15" t="s">
        <v>59</v>
      </c>
      <c r="L1376" s="62"/>
      <c r="M1376" s="14"/>
      <c r="N1376" s="14" t="s">
        <v>33</v>
      </c>
      <c r="O1376" s="14"/>
      <c r="P1376" s="15" t="s">
        <v>1439</v>
      </c>
      <c r="Q1376" s="16">
        <v>13799</v>
      </c>
      <c r="R1376" s="17">
        <v>48.85</v>
      </c>
      <c r="S1376" s="18">
        <v>8116.4354999999996</v>
      </c>
      <c r="T1376" s="19" t="s">
        <v>36</v>
      </c>
      <c r="U1376" s="20" t="s">
        <v>746</v>
      </c>
      <c r="V1376" s="22">
        <v>37</v>
      </c>
      <c r="W1376" s="22">
        <v>2</v>
      </c>
      <c r="X1376" s="23"/>
    </row>
    <row r="1377" spans="1:24" s="1" customFormat="1" ht="26" customHeight="1" x14ac:dyDescent="0.3">
      <c r="A1377" s="24" t="s">
        <v>23</v>
      </c>
      <c r="B1377" s="24" t="s">
        <v>1436</v>
      </c>
      <c r="C1377" s="12" t="s">
        <v>1437</v>
      </c>
      <c r="D1377" s="60"/>
      <c r="E1377" s="41" t="str">
        <f>HYPERLINK("https://www.google.ru/search?q=3027777-001&amp;newwindow=1&amp;tbm=isch","Еще фото")</f>
        <v>Еще фото</v>
      </c>
      <c r="F1377" s="13"/>
      <c r="G1377" s="24" t="s">
        <v>1184</v>
      </c>
      <c r="H1377" s="24" t="s">
        <v>741</v>
      </c>
      <c r="I1377" s="24" t="s">
        <v>1185</v>
      </c>
      <c r="J1377" s="14" t="s">
        <v>29</v>
      </c>
      <c r="K1377" s="15" t="s">
        <v>59</v>
      </c>
      <c r="L1377" s="62"/>
      <c r="M1377" s="14"/>
      <c r="N1377" s="14" t="s">
        <v>33</v>
      </c>
      <c r="O1377" s="14"/>
      <c r="P1377" s="15" t="s">
        <v>1439</v>
      </c>
      <c r="Q1377" s="16">
        <v>13799</v>
      </c>
      <c r="R1377" s="17">
        <v>48.85</v>
      </c>
      <c r="S1377" s="18">
        <v>8116.4354999999996</v>
      </c>
      <c r="T1377" s="19" t="s">
        <v>36</v>
      </c>
      <c r="U1377" s="20" t="s">
        <v>750</v>
      </c>
      <c r="V1377" s="34">
        <v>39.5</v>
      </c>
      <c r="W1377" s="22">
        <v>1</v>
      </c>
      <c r="X1377" s="23"/>
    </row>
    <row r="1378" spans="1:24" s="1" customFormat="1" ht="26" customHeight="1" x14ac:dyDescent="0.3">
      <c r="A1378" s="24" t="s">
        <v>23</v>
      </c>
      <c r="B1378" s="24" t="s">
        <v>1436</v>
      </c>
      <c r="C1378" s="12" t="s">
        <v>1437</v>
      </c>
      <c r="D1378" s="61"/>
      <c r="E1378" s="41" t="str">
        <f>HYPERLINK("https://www.google.ru/search?q=3027777-001&amp;newwindow=1&amp;tbm=isch","Еще фото")</f>
        <v>Еще фото</v>
      </c>
      <c r="F1378" s="13"/>
      <c r="G1378" s="24" t="s">
        <v>1184</v>
      </c>
      <c r="H1378" s="24" t="s">
        <v>741</v>
      </c>
      <c r="I1378" s="24" t="s">
        <v>1185</v>
      </c>
      <c r="J1378" s="14" t="s">
        <v>29</v>
      </c>
      <c r="K1378" s="15" t="s">
        <v>59</v>
      </c>
      <c r="L1378" s="58"/>
      <c r="M1378" s="14"/>
      <c r="N1378" s="14" t="s">
        <v>33</v>
      </c>
      <c r="O1378" s="14"/>
      <c r="P1378" s="15" t="s">
        <v>1439</v>
      </c>
      <c r="Q1378" s="16">
        <v>13799</v>
      </c>
      <c r="R1378" s="17">
        <v>48.85</v>
      </c>
      <c r="S1378" s="18">
        <v>8116.4354999999996</v>
      </c>
      <c r="T1378" s="19" t="s">
        <v>36</v>
      </c>
      <c r="U1378" s="20" t="s">
        <v>751</v>
      </c>
      <c r="V1378" s="22">
        <v>40</v>
      </c>
      <c r="W1378" s="22">
        <v>1</v>
      </c>
      <c r="X1378" s="23"/>
    </row>
    <row r="1379" spans="1:24" s="1" customFormat="1" ht="108" customHeight="1" x14ac:dyDescent="0.3">
      <c r="A1379" s="11" t="s">
        <v>23</v>
      </c>
      <c r="B1379" s="11" t="s">
        <v>1264</v>
      </c>
      <c r="C1379" s="12" t="s">
        <v>1440</v>
      </c>
      <c r="D1379" s="25"/>
      <c r="E1379" s="41" t="str">
        <f>HYPERLINK("https://www.google.ru/search?q=3028003-014&amp;newwindow=1&amp;tbm=isch","Еще фото")</f>
        <v>Еще фото</v>
      </c>
      <c r="F1379" s="13" t="s">
        <v>152</v>
      </c>
      <c r="G1379" s="11" t="s">
        <v>1184</v>
      </c>
      <c r="H1379" s="11" t="s">
        <v>741</v>
      </c>
      <c r="I1379" s="14" t="s">
        <v>1185</v>
      </c>
      <c r="J1379" s="14" t="s">
        <v>29</v>
      </c>
      <c r="K1379" s="15" t="s">
        <v>59</v>
      </c>
      <c r="L1379" s="14" t="s">
        <v>1266</v>
      </c>
      <c r="M1379" s="14"/>
      <c r="N1379" s="14" t="s">
        <v>62</v>
      </c>
      <c r="O1379" s="14"/>
      <c r="P1379" s="15" t="s">
        <v>1302</v>
      </c>
      <c r="Q1379" s="16">
        <v>15499</v>
      </c>
      <c r="R1379" s="17">
        <v>48.85</v>
      </c>
      <c r="S1379" s="18">
        <v>9116.9354999999996</v>
      </c>
      <c r="T1379" s="19" t="s">
        <v>36</v>
      </c>
      <c r="U1379" s="20" t="s">
        <v>1203</v>
      </c>
      <c r="V1379" s="22">
        <v>36</v>
      </c>
      <c r="W1379" s="22">
        <v>1</v>
      </c>
      <c r="X1379" s="23"/>
    </row>
    <row r="1380" spans="1:24" s="1" customFormat="1" ht="13.05" customHeight="1" x14ac:dyDescent="0.3">
      <c r="A1380" s="11" t="s">
        <v>23</v>
      </c>
      <c r="B1380" s="11" t="s">
        <v>1441</v>
      </c>
      <c r="C1380" s="12" t="s">
        <v>1442</v>
      </c>
      <c r="D1380" s="59"/>
      <c r="E1380" s="41" t="str">
        <f t="shared" ref="E1380:E1387" si="44">HYPERLINK("https://www.google.ru/search?q=3027212-201&amp;newwindow=1&amp;tbm=isch","Еще фото")</f>
        <v>Еще фото</v>
      </c>
      <c r="F1380" s="13"/>
      <c r="G1380" s="11" t="s">
        <v>1184</v>
      </c>
      <c r="H1380" s="11" t="s">
        <v>741</v>
      </c>
      <c r="I1380" s="14" t="s">
        <v>1185</v>
      </c>
      <c r="J1380" s="14" t="s">
        <v>674</v>
      </c>
      <c r="K1380" s="15" t="s">
        <v>723</v>
      </c>
      <c r="L1380" s="57" t="s">
        <v>1443</v>
      </c>
      <c r="M1380" s="14" t="s">
        <v>1211</v>
      </c>
      <c r="N1380" s="14" t="s">
        <v>332</v>
      </c>
      <c r="O1380" s="14"/>
      <c r="P1380" s="15" t="s">
        <v>1444</v>
      </c>
      <c r="Q1380" s="16">
        <v>21499</v>
      </c>
      <c r="R1380" s="17">
        <v>48.85</v>
      </c>
      <c r="S1380" s="18">
        <v>12647.4355</v>
      </c>
      <c r="T1380" s="19" t="s">
        <v>36</v>
      </c>
      <c r="U1380" s="33" t="s">
        <v>1445</v>
      </c>
      <c r="V1380" s="34">
        <v>39.5</v>
      </c>
      <c r="W1380" s="22">
        <v>6</v>
      </c>
      <c r="X1380" s="23"/>
    </row>
    <row r="1381" spans="1:24" s="1" customFormat="1" ht="13.05" customHeight="1" x14ac:dyDescent="0.3">
      <c r="A1381" s="24" t="s">
        <v>23</v>
      </c>
      <c r="B1381" s="24" t="s">
        <v>1441</v>
      </c>
      <c r="C1381" s="12" t="s">
        <v>1442</v>
      </c>
      <c r="D1381" s="60"/>
      <c r="E1381" s="41" t="str">
        <f t="shared" si="44"/>
        <v>Еще фото</v>
      </c>
      <c r="F1381" s="13"/>
      <c r="G1381" s="24" t="s">
        <v>1184</v>
      </c>
      <c r="H1381" s="24" t="s">
        <v>741</v>
      </c>
      <c r="I1381" s="24" t="s">
        <v>1185</v>
      </c>
      <c r="J1381" s="14" t="s">
        <v>674</v>
      </c>
      <c r="K1381" s="15" t="s">
        <v>723</v>
      </c>
      <c r="L1381" s="62"/>
      <c r="M1381" s="14" t="s">
        <v>1211</v>
      </c>
      <c r="N1381" s="14" t="s">
        <v>332</v>
      </c>
      <c r="O1381" s="14"/>
      <c r="P1381" s="15" t="s">
        <v>1444</v>
      </c>
      <c r="Q1381" s="16">
        <v>21499</v>
      </c>
      <c r="R1381" s="17">
        <v>48.85</v>
      </c>
      <c r="S1381" s="18">
        <v>12647.4355</v>
      </c>
      <c r="T1381" s="19" t="s">
        <v>36</v>
      </c>
      <c r="U1381" s="20" t="s">
        <v>1446</v>
      </c>
      <c r="V1381" s="22">
        <v>40</v>
      </c>
      <c r="W1381" s="22">
        <v>10</v>
      </c>
      <c r="X1381" s="23"/>
    </row>
    <row r="1382" spans="1:24" s="1" customFormat="1" ht="13.05" customHeight="1" x14ac:dyDescent="0.3">
      <c r="A1382" s="24" t="s">
        <v>23</v>
      </c>
      <c r="B1382" s="24" t="s">
        <v>1441</v>
      </c>
      <c r="C1382" s="12" t="s">
        <v>1442</v>
      </c>
      <c r="D1382" s="60"/>
      <c r="E1382" s="41" t="str">
        <f t="shared" si="44"/>
        <v>Еще фото</v>
      </c>
      <c r="F1382" s="13"/>
      <c r="G1382" s="24" t="s">
        <v>1184</v>
      </c>
      <c r="H1382" s="24" t="s">
        <v>741</v>
      </c>
      <c r="I1382" s="24" t="s">
        <v>1185</v>
      </c>
      <c r="J1382" s="14" t="s">
        <v>674</v>
      </c>
      <c r="K1382" s="15" t="s">
        <v>723</v>
      </c>
      <c r="L1382" s="62"/>
      <c r="M1382" s="14" t="s">
        <v>1211</v>
      </c>
      <c r="N1382" s="14" t="s">
        <v>332</v>
      </c>
      <c r="O1382" s="14"/>
      <c r="P1382" s="15" t="s">
        <v>1444</v>
      </c>
      <c r="Q1382" s="16">
        <v>21499</v>
      </c>
      <c r="R1382" s="17">
        <v>48.85</v>
      </c>
      <c r="S1382" s="18">
        <v>12647.4355</v>
      </c>
      <c r="T1382" s="19" t="s">
        <v>36</v>
      </c>
      <c r="U1382" s="20" t="s">
        <v>1345</v>
      </c>
      <c r="V1382" s="22">
        <v>41</v>
      </c>
      <c r="W1382" s="22">
        <v>12</v>
      </c>
      <c r="X1382" s="23"/>
    </row>
    <row r="1383" spans="1:24" s="1" customFormat="1" ht="13.05" customHeight="1" x14ac:dyDescent="0.3">
      <c r="A1383" s="24" t="s">
        <v>23</v>
      </c>
      <c r="B1383" s="24" t="s">
        <v>1441</v>
      </c>
      <c r="C1383" s="12" t="s">
        <v>1442</v>
      </c>
      <c r="D1383" s="60"/>
      <c r="E1383" s="41" t="str">
        <f t="shared" si="44"/>
        <v>Еще фото</v>
      </c>
      <c r="F1383" s="13"/>
      <c r="G1383" s="24" t="s">
        <v>1184</v>
      </c>
      <c r="H1383" s="24" t="s">
        <v>741</v>
      </c>
      <c r="I1383" s="24" t="s">
        <v>1185</v>
      </c>
      <c r="J1383" s="14" t="s">
        <v>674</v>
      </c>
      <c r="K1383" s="15" t="s">
        <v>723</v>
      </c>
      <c r="L1383" s="62"/>
      <c r="M1383" s="14" t="s">
        <v>1211</v>
      </c>
      <c r="N1383" s="14" t="s">
        <v>332</v>
      </c>
      <c r="O1383" s="14"/>
      <c r="P1383" s="15" t="s">
        <v>1444</v>
      </c>
      <c r="Q1383" s="16">
        <v>21499</v>
      </c>
      <c r="R1383" s="17">
        <v>48.85</v>
      </c>
      <c r="S1383" s="18">
        <v>12647.4355</v>
      </c>
      <c r="T1383" s="19" t="s">
        <v>36</v>
      </c>
      <c r="U1383" s="20" t="s">
        <v>1346</v>
      </c>
      <c r="V1383" s="34">
        <v>41.5</v>
      </c>
      <c r="W1383" s="22">
        <v>10</v>
      </c>
      <c r="X1383" s="23"/>
    </row>
    <row r="1384" spans="1:24" s="1" customFormat="1" ht="13.05" customHeight="1" x14ac:dyDescent="0.3">
      <c r="A1384" s="24" t="s">
        <v>23</v>
      </c>
      <c r="B1384" s="24" t="s">
        <v>1441</v>
      </c>
      <c r="C1384" s="12" t="s">
        <v>1442</v>
      </c>
      <c r="D1384" s="60"/>
      <c r="E1384" s="41" t="str">
        <f t="shared" si="44"/>
        <v>Еще фото</v>
      </c>
      <c r="F1384" s="13"/>
      <c r="G1384" s="24" t="s">
        <v>1184</v>
      </c>
      <c r="H1384" s="24" t="s">
        <v>741</v>
      </c>
      <c r="I1384" s="24" t="s">
        <v>1185</v>
      </c>
      <c r="J1384" s="14" t="s">
        <v>674</v>
      </c>
      <c r="K1384" s="15" t="s">
        <v>723</v>
      </c>
      <c r="L1384" s="62"/>
      <c r="M1384" s="14" t="s">
        <v>1211</v>
      </c>
      <c r="N1384" s="14" t="s">
        <v>332</v>
      </c>
      <c r="O1384" s="14"/>
      <c r="P1384" s="15" t="s">
        <v>1444</v>
      </c>
      <c r="Q1384" s="16">
        <v>21499</v>
      </c>
      <c r="R1384" s="17">
        <v>48.85</v>
      </c>
      <c r="S1384" s="18">
        <v>12647.4355</v>
      </c>
      <c r="T1384" s="19" t="s">
        <v>36</v>
      </c>
      <c r="U1384" s="20" t="s">
        <v>1326</v>
      </c>
      <c r="V1384" s="22">
        <v>42</v>
      </c>
      <c r="W1384" s="22">
        <v>15</v>
      </c>
      <c r="X1384" s="23"/>
    </row>
    <row r="1385" spans="1:24" s="1" customFormat="1" ht="13.05" customHeight="1" x14ac:dyDescent="0.3">
      <c r="A1385" s="24" t="s">
        <v>23</v>
      </c>
      <c r="B1385" s="24" t="s">
        <v>1441</v>
      </c>
      <c r="C1385" s="12" t="s">
        <v>1442</v>
      </c>
      <c r="D1385" s="60"/>
      <c r="E1385" s="41" t="str">
        <f t="shared" si="44"/>
        <v>Еще фото</v>
      </c>
      <c r="F1385" s="13"/>
      <c r="G1385" s="24" t="s">
        <v>1184</v>
      </c>
      <c r="H1385" s="24" t="s">
        <v>741</v>
      </c>
      <c r="I1385" s="24" t="s">
        <v>1185</v>
      </c>
      <c r="J1385" s="14" t="s">
        <v>674</v>
      </c>
      <c r="K1385" s="15" t="s">
        <v>723</v>
      </c>
      <c r="L1385" s="62"/>
      <c r="M1385" s="14" t="s">
        <v>1211</v>
      </c>
      <c r="N1385" s="14" t="s">
        <v>332</v>
      </c>
      <c r="O1385" s="14"/>
      <c r="P1385" s="15" t="s">
        <v>1444</v>
      </c>
      <c r="Q1385" s="16">
        <v>21499</v>
      </c>
      <c r="R1385" s="17">
        <v>48.85</v>
      </c>
      <c r="S1385" s="18">
        <v>12647.4355</v>
      </c>
      <c r="T1385" s="19" t="s">
        <v>36</v>
      </c>
      <c r="U1385" s="20" t="s">
        <v>1347</v>
      </c>
      <c r="V1385" s="22">
        <v>43</v>
      </c>
      <c r="W1385" s="22">
        <v>12</v>
      </c>
      <c r="X1385" s="23"/>
    </row>
    <row r="1386" spans="1:24" s="1" customFormat="1" ht="13.05" customHeight="1" x14ac:dyDescent="0.3">
      <c r="A1386" s="24" t="s">
        <v>23</v>
      </c>
      <c r="B1386" s="24" t="s">
        <v>1441</v>
      </c>
      <c r="C1386" s="12" t="s">
        <v>1442</v>
      </c>
      <c r="D1386" s="60"/>
      <c r="E1386" s="41" t="str">
        <f t="shared" si="44"/>
        <v>Еще фото</v>
      </c>
      <c r="F1386" s="13"/>
      <c r="G1386" s="24" t="s">
        <v>1184</v>
      </c>
      <c r="H1386" s="24" t="s">
        <v>741</v>
      </c>
      <c r="I1386" s="24" t="s">
        <v>1185</v>
      </c>
      <c r="J1386" s="14" t="s">
        <v>674</v>
      </c>
      <c r="K1386" s="15" t="s">
        <v>723</v>
      </c>
      <c r="L1386" s="62"/>
      <c r="M1386" s="14" t="s">
        <v>1211</v>
      </c>
      <c r="N1386" s="14" t="s">
        <v>332</v>
      </c>
      <c r="O1386" s="14"/>
      <c r="P1386" s="15" t="s">
        <v>1444</v>
      </c>
      <c r="Q1386" s="16">
        <v>21499</v>
      </c>
      <c r="R1386" s="17">
        <v>48.85</v>
      </c>
      <c r="S1386" s="18">
        <v>12647.4355</v>
      </c>
      <c r="T1386" s="19" t="s">
        <v>36</v>
      </c>
      <c r="U1386" s="20" t="s">
        <v>1348</v>
      </c>
      <c r="V1386" s="34">
        <v>43.5</v>
      </c>
      <c r="W1386" s="22">
        <v>9</v>
      </c>
      <c r="X1386" s="23"/>
    </row>
    <row r="1387" spans="1:24" s="1" customFormat="1" ht="18" customHeight="1" x14ac:dyDescent="0.3">
      <c r="A1387" s="24" t="s">
        <v>23</v>
      </c>
      <c r="B1387" s="24" t="s">
        <v>1441</v>
      </c>
      <c r="C1387" s="12" t="s">
        <v>1442</v>
      </c>
      <c r="D1387" s="61"/>
      <c r="E1387" s="41" t="str">
        <f t="shared" si="44"/>
        <v>Еще фото</v>
      </c>
      <c r="F1387" s="13"/>
      <c r="G1387" s="24" t="s">
        <v>1184</v>
      </c>
      <c r="H1387" s="24" t="s">
        <v>741</v>
      </c>
      <c r="I1387" s="24" t="s">
        <v>1185</v>
      </c>
      <c r="J1387" s="14" t="s">
        <v>674</v>
      </c>
      <c r="K1387" s="15" t="s">
        <v>723</v>
      </c>
      <c r="L1387" s="58"/>
      <c r="M1387" s="14" t="s">
        <v>1211</v>
      </c>
      <c r="N1387" s="14" t="s">
        <v>332</v>
      </c>
      <c r="O1387" s="14"/>
      <c r="P1387" s="15" t="s">
        <v>1444</v>
      </c>
      <c r="Q1387" s="16">
        <v>21499</v>
      </c>
      <c r="R1387" s="17">
        <v>48.85</v>
      </c>
      <c r="S1387" s="18">
        <v>12647.4355</v>
      </c>
      <c r="T1387" s="19" t="s">
        <v>36</v>
      </c>
      <c r="U1387" s="20" t="s">
        <v>1327</v>
      </c>
      <c r="V1387" s="22">
        <v>44</v>
      </c>
      <c r="W1387" s="22">
        <v>7</v>
      </c>
      <c r="X1387" s="23"/>
    </row>
    <row r="1388" spans="1:24" s="1" customFormat="1" ht="11" customHeight="1" x14ac:dyDescent="0.3">
      <c r="A1388" s="11" t="s">
        <v>23</v>
      </c>
      <c r="B1388" s="11" t="s">
        <v>1291</v>
      </c>
      <c r="C1388" s="12" t="s">
        <v>1447</v>
      </c>
      <c r="D1388" s="59"/>
      <c r="E1388" s="41" t="str">
        <f t="shared" ref="E1388:E1396" si="45">HYPERLINK("https://www.google.ru/search?q=3027006-001&amp;newwindow=1&amp;tbm=isch","Еще фото")</f>
        <v>Еще фото</v>
      </c>
      <c r="F1388" s="13" t="s">
        <v>103</v>
      </c>
      <c r="G1388" s="11" t="s">
        <v>1184</v>
      </c>
      <c r="H1388" s="11" t="s">
        <v>741</v>
      </c>
      <c r="I1388" s="14" t="s">
        <v>1185</v>
      </c>
      <c r="J1388" s="14" t="s">
        <v>29</v>
      </c>
      <c r="K1388" s="15" t="s">
        <v>59</v>
      </c>
      <c r="L1388" s="57" t="s">
        <v>1293</v>
      </c>
      <c r="M1388" s="14"/>
      <c r="N1388" s="14" t="s">
        <v>33</v>
      </c>
      <c r="O1388" s="14"/>
      <c r="P1388" s="15" t="s">
        <v>1294</v>
      </c>
      <c r="Q1388" s="16">
        <v>8399</v>
      </c>
      <c r="R1388" s="17">
        <v>48.83</v>
      </c>
      <c r="S1388" s="18">
        <v>4942.4355000000005</v>
      </c>
      <c r="T1388" s="19" t="s">
        <v>36</v>
      </c>
      <c r="U1388" s="20" t="s">
        <v>1190</v>
      </c>
      <c r="V1388" s="34">
        <v>35.5</v>
      </c>
      <c r="W1388" s="22">
        <v>5</v>
      </c>
      <c r="X1388" s="23"/>
    </row>
    <row r="1389" spans="1:24" s="1" customFormat="1" ht="11" customHeight="1" x14ac:dyDescent="0.3">
      <c r="A1389" s="24" t="s">
        <v>23</v>
      </c>
      <c r="B1389" s="24" t="s">
        <v>1291</v>
      </c>
      <c r="C1389" s="12" t="s">
        <v>1447</v>
      </c>
      <c r="D1389" s="60"/>
      <c r="E1389" s="41" t="str">
        <f t="shared" si="45"/>
        <v>Еще фото</v>
      </c>
      <c r="F1389" s="13" t="s">
        <v>103</v>
      </c>
      <c r="G1389" s="24" t="s">
        <v>1184</v>
      </c>
      <c r="H1389" s="24" t="s">
        <v>741</v>
      </c>
      <c r="I1389" s="24" t="s">
        <v>1185</v>
      </c>
      <c r="J1389" s="14" t="s">
        <v>29</v>
      </c>
      <c r="K1389" s="15" t="s">
        <v>59</v>
      </c>
      <c r="L1389" s="62"/>
      <c r="M1389" s="14"/>
      <c r="N1389" s="14" t="s">
        <v>33</v>
      </c>
      <c r="O1389" s="14"/>
      <c r="P1389" s="15" t="s">
        <v>1294</v>
      </c>
      <c r="Q1389" s="16">
        <v>8399</v>
      </c>
      <c r="R1389" s="17">
        <v>48.83</v>
      </c>
      <c r="S1389" s="18">
        <v>4942.4355000000005</v>
      </c>
      <c r="T1389" s="19" t="s">
        <v>36</v>
      </c>
      <c r="U1389" s="20" t="s">
        <v>1203</v>
      </c>
      <c r="V1389" s="22">
        <v>36</v>
      </c>
      <c r="W1389" s="22">
        <v>11</v>
      </c>
      <c r="X1389" s="23"/>
    </row>
    <row r="1390" spans="1:24" s="1" customFormat="1" ht="11" customHeight="1" x14ac:dyDescent="0.3">
      <c r="A1390" s="24" t="s">
        <v>23</v>
      </c>
      <c r="B1390" s="24" t="s">
        <v>1291</v>
      </c>
      <c r="C1390" s="12" t="s">
        <v>1447</v>
      </c>
      <c r="D1390" s="60"/>
      <c r="E1390" s="41" t="str">
        <f t="shared" si="45"/>
        <v>Еще фото</v>
      </c>
      <c r="F1390" s="13" t="s">
        <v>103</v>
      </c>
      <c r="G1390" s="24" t="s">
        <v>1184</v>
      </c>
      <c r="H1390" s="24" t="s">
        <v>741</v>
      </c>
      <c r="I1390" s="24" t="s">
        <v>1185</v>
      </c>
      <c r="J1390" s="14" t="s">
        <v>29</v>
      </c>
      <c r="K1390" s="15" t="s">
        <v>59</v>
      </c>
      <c r="L1390" s="62"/>
      <c r="M1390" s="14"/>
      <c r="N1390" s="14" t="s">
        <v>33</v>
      </c>
      <c r="O1390" s="14"/>
      <c r="P1390" s="15" t="s">
        <v>1294</v>
      </c>
      <c r="Q1390" s="16">
        <v>8399</v>
      </c>
      <c r="R1390" s="17">
        <v>48.83</v>
      </c>
      <c r="S1390" s="18">
        <v>4942.4355000000005</v>
      </c>
      <c r="T1390" s="19" t="s">
        <v>36</v>
      </c>
      <c r="U1390" s="20" t="s">
        <v>1196</v>
      </c>
      <c r="V1390" s="34">
        <v>36.5</v>
      </c>
      <c r="W1390" s="22">
        <v>15</v>
      </c>
      <c r="X1390" s="23"/>
    </row>
    <row r="1391" spans="1:24" s="1" customFormat="1" ht="11" customHeight="1" x14ac:dyDescent="0.3">
      <c r="A1391" s="24" t="s">
        <v>23</v>
      </c>
      <c r="B1391" s="24" t="s">
        <v>1291</v>
      </c>
      <c r="C1391" s="12" t="s">
        <v>1447</v>
      </c>
      <c r="D1391" s="60"/>
      <c r="E1391" s="41" t="str">
        <f t="shared" si="45"/>
        <v>Еще фото</v>
      </c>
      <c r="F1391" s="13" t="s">
        <v>103</v>
      </c>
      <c r="G1391" s="24" t="s">
        <v>1184</v>
      </c>
      <c r="H1391" s="24" t="s">
        <v>741</v>
      </c>
      <c r="I1391" s="24" t="s">
        <v>1185</v>
      </c>
      <c r="J1391" s="14" t="s">
        <v>29</v>
      </c>
      <c r="K1391" s="15" t="s">
        <v>59</v>
      </c>
      <c r="L1391" s="62"/>
      <c r="M1391" s="14"/>
      <c r="N1391" s="14" t="s">
        <v>33</v>
      </c>
      <c r="O1391" s="14"/>
      <c r="P1391" s="15" t="s">
        <v>1294</v>
      </c>
      <c r="Q1391" s="16">
        <v>8399</v>
      </c>
      <c r="R1391" s="17">
        <v>48.83</v>
      </c>
      <c r="S1391" s="18">
        <v>4942.4355000000005</v>
      </c>
      <c r="T1391" s="19" t="s">
        <v>36</v>
      </c>
      <c r="U1391" s="20" t="s">
        <v>746</v>
      </c>
      <c r="V1391" s="22">
        <v>37</v>
      </c>
      <c r="W1391" s="22">
        <v>21</v>
      </c>
      <c r="X1391" s="23"/>
    </row>
    <row r="1392" spans="1:24" s="1" customFormat="1" ht="11" customHeight="1" x14ac:dyDescent="0.3">
      <c r="A1392" s="24" t="s">
        <v>23</v>
      </c>
      <c r="B1392" s="24" t="s">
        <v>1291</v>
      </c>
      <c r="C1392" s="12" t="s">
        <v>1447</v>
      </c>
      <c r="D1392" s="60"/>
      <c r="E1392" s="41" t="str">
        <f t="shared" si="45"/>
        <v>Еще фото</v>
      </c>
      <c r="F1392" s="13" t="s">
        <v>103</v>
      </c>
      <c r="G1392" s="24" t="s">
        <v>1184</v>
      </c>
      <c r="H1392" s="24" t="s">
        <v>741</v>
      </c>
      <c r="I1392" s="24" t="s">
        <v>1185</v>
      </c>
      <c r="J1392" s="14" t="s">
        <v>29</v>
      </c>
      <c r="K1392" s="15" t="s">
        <v>59</v>
      </c>
      <c r="L1392" s="62"/>
      <c r="M1392" s="14"/>
      <c r="N1392" s="14" t="s">
        <v>33</v>
      </c>
      <c r="O1392" s="14"/>
      <c r="P1392" s="15" t="s">
        <v>1294</v>
      </c>
      <c r="Q1392" s="16">
        <v>8399</v>
      </c>
      <c r="R1392" s="17">
        <v>48.83</v>
      </c>
      <c r="S1392" s="18">
        <v>4942.4355000000005</v>
      </c>
      <c r="T1392" s="19" t="s">
        <v>36</v>
      </c>
      <c r="U1392" s="20" t="s">
        <v>747</v>
      </c>
      <c r="V1392" s="34">
        <v>37.5</v>
      </c>
      <c r="W1392" s="22">
        <v>15</v>
      </c>
      <c r="X1392" s="23"/>
    </row>
    <row r="1393" spans="1:24" s="1" customFormat="1" ht="11" customHeight="1" x14ac:dyDescent="0.3">
      <c r="A1393" s="24" t="s">
        <v>23</v>
      </c>
      <c r="B1393" s="24" t="s">
        <v>1291</v>
      </c>
      <c r="C1393" s="12" t="s">
        <v>1447</v>
      </c>
      <c r="D1393" s="60"/>
      <c r="E1393" s="41" t="str">
        <f t="shared" si="45"/>
        <v>Еще фото</v>
      </c>
      <c r="F1393" s="13" t="s">
        <v>103</v>
      </c>
      <c r="G1393" s="24" t="s">
        <v>1184</v>
      </c>
      <c r="H1393" s="24" t="s">
        <v>741</v>
      </c>
      <c r="I1393" s="24" t="s">
        <v>1185</v>
      </c>
      <c r="J1393" s="14" t="s">
        <v>29</v>
      </c>
      <c r="K1393" s="15" t="s">
        <v>59</v>
      </c>
      <c r="L1393" s="62"/>
      <c r="M1393" s="14"/>
      <c r="N1393" s="14" t="s">
        <v>33</v>
      </c>
      <c r="O1393" s="14"/>
      <c r="P1393" s="15" t="s">
        <v>1294</v>
      </c>
      <c r="Q1393" s="16">
        <v>8399</v>
      </c>
      <c r="R1393" s="17">
        <v>48.83</v>
      </c>
      <c r="S1393" s="18">
        <v>4942.4355000000005</v>
      </c>
      <c r="T1393" s="19" t="s">
        <v>36</v>
      </c>
      <c r="U1393" s="20" t="s">
        <v>748</v>
      </c>
      <c r="V1393" s="22">
        <v>38</v>
      </c>
      <c r="W1393" s="22">
        <v>20</v>
      </c>
      <c r="X1393" s="23"/>
    </row>
    <row r="1394" spans="1:24" s="1" customFormat="1" ht="11" customHeight="1" x14ac:dyDescent="0.3">
      <c r="A1394" s="24" t="s">
        <v>23</v>
      </c>
      <c r="B1394" s="24" t="s">
        <v>1291</v>
      </c>
      <c r="C1394" s="12" t="s">
        <v>1447</v>
      </c>
      <c r="D1394" s="60"/>
      <c r="E1394" s="41" t="str">
        <f t="shared" si="45"/>
        <v>Еще фото</v>
      </c>
      <c r="F1394" s="13" t="s">
        <v>103</v>
      </c>
      <c r="G1394" s="24" t="s">
        <v>1184</v>
      </c>
      <c r="H1394" s="24" t="s">
        <v>741</v>
      </c>
      <c r="I1394" s="24" t="s">
        <v>1185</v>
      </c>
      <c r="J1394" s="14" t="s">
        <v>29</v>
      </c>
      <c r="K1394" s="15" t="s">
        <v>59</v>
      </c>
      <c r="L1394" s="62"/>
      <c r="M1394" s="14"/>
      <c r="N1394" s="14" t="s">
        <v>33</v>
      </c>
      <c r="O1394" s="14"/>
      <c r="P1394" s="15" t="s">
        <v>1294</v>
      </c>
      <c r="Q1394" s="16">
        <v>8399</v>
      </c>
      <c r="R1394" s="17">
        <v>48.83</v>
      </c>
      <c r="S1394" s="18">
        <v>4942.4355000000005</v>
      </c>
      <c r="T1394" s="19" t="s">
        <v>36</v>
      </c>
      <c r="U1394" s="20" t="s">
        <v>749</v>
      </c>
      <c r="V1394" s="22">
        <v>39</v>
      </c>
      <c r="W1394" s="22">
        <v>10</v>
      </c>
      <c r="X1394" s="23"/>
    </row>
    <row r="1395" spans="1:24" s="1" customFormat="1" ht="11" customHeight="1" x14ac:dyDescent="0.3">
      <c r="A1395" s="24" t="s">
        <v>23</v>
      </c>
      <c r="B1395" s="24" t="s">
        <v>1291</v>
      </c>
      <c r="C1395" s="12" t="s">
        <v>1447</v>
      </c>
      <c r="D1395" s="60"/>
      <c r="E1395" s="41" t="str">
        <f t="shared" si="45"/>
        <v>Еще фото</v>
      </c>
      <c r="F1395" s="13" t="s">
        <v>103</v>
      </c>
      <c r="G1395" s="24" t="s">
        <v>1184</v>
      </c>
      <c r="H1395" s="24" t="s">
        <v>741</v>
      </c>
      <c r="I1395" s="24" t="s">
        <v>1185</v>
      </c>
      <c r="J1395" s="14" t="s">
        <v>29</v>
      </c>
      <c r="K1395" s="15" t="s">
        <v>59</v>
      </c>
      <c r="L1395" s="62"/>
      <c r="M1395" s="14"/>
      <c r="N1395" s="14" t="s">
        <v>33</v>
      </c>
      <c r="O1395" s="14"/>
      <c r="P1395" s="15" t="s">
        <v>1294</v>
      </c>
      <c r="Q1395" s="16">
        <v>8399</v>
      </c>
      <c r="R1395" s="17">
        <v>48.83</v>
      </c>
      <c r="S1395" s="18">
        <v>4942.4355000000005</v>
      </c>
      <c r="T1395" s="19" t="s">
        <v>36</v>
      </c>
      <c r="U1395" s="20" t="s">
        <v>750</v>
      </c>
      <c r="V1395" s="34">
        <v>39.5</v>
      </c>
      <c r="W1395" s="22">
        <v>14</v>
      </c>
      <c r="X1395" s="23"/>
    </row>
    <row r="1396" spans="1:24" s="1" customFormat="1" ht="11" customHeight="1" x14ac:dyDescent="0.3">
      <c r="A1396" s="24" t="s">
        <v>23</v>
      </c>
      <c r="B1396" s="24" t="s">
        <v>1291</v>
      </c>
      <c r="C1396" s="12" t="s">
        <v>1447</v>
      </c>
      <c r="D1396" s="61"/>
      <c r="E1396" s="41" t="str">
        <f t="shared" si="45"/>
        <v>Еще фото</v>
      </c>
      <c r="F1396" s="13" t="s">
        <v>103</v>
      </c>
      <c r="G1396" s="24" t="s">
        <v>1184</v>
      </c>
      <c r="H1396" s="24" t="s">
        <v>741</v>
      </c>
      <c r="I1396" s="24" t="s">
        <v>1185</v>
      </c>
      <c r="J1396" s="14" t="s">
        <v>29</v>
      </c>
      <c r="K1396" s="15" t="s">
        <v>59</v>
      </c>
      <c r="L1396" s="58"/>
      <c r="M1396" s="14"/>
      <c r="N1396" s="14" t="s">
        <v>33</v>
      </c>
      <c r="O1396" s="14"/>
      <c r="P1396" s="15" t="s">
        <v>1294</v>
      </c>
      <c r="Q1396" s="16">
        <v>8399</v>
      </c>
      <c r="R1396" s="17">
        <v>48.83</v>
      </c>
      <c r="S1396" s="18">
        <v>4942.4355000000005</v>
      </c>
      <c r="T1396" s="19" t="s">
        <v>36</v>
      </c>
      <c r="U1396" s="20" t="s">
        <v>751</v>
      </c>
      <c r="V1396" s="22">
        <v>40</v>
      </c>
      <c r="W1396" s="22">
        <v>5</v>
      </c>
      <c r="X1396" s="23"/>
    </row>
    <row r="1397" spans="1:24" s="1" customFormat="1" ht="35" customHeight="1" x14ac:dyDescent="0.3">
      <c r="A1397" s="11" t="s">
        <v>23</v>
      </c>
      <c r="B1397" s="11" t="s">
        <v>1247</v>
      </c>
      <c r="C1397" s="12" t="s">
        <v>1448</v>
      </c>
      <c r="D1397" s="59"/>
      <c r="E1397" s="41" t="str">
        <f>HYPERLINK("https://www.google.ru/search?q=3027189-002&amp;newwindow=1&amp;tbm=isch","Еще фото")</f>
        <v>Еще фото</v>
      </c>
      <c r="F1397" s="13" t="s">
        <v>152</v>
      </c>
      <c r="G1397" s="11" t="s">
        <v>1184</v>
      </c>
      <c r="H1397" s="11" t="s">
        <v>741</v>
      </c>
      <c r="I1397" s="14" t="s">
        <v>1185</v>
      </c>
      <c r="J1397" s="14" t="s">
        <v>29</v>
      </c>
      <c r="K1397" s="15" t="s">
        <v>30</v>
      </c>
      <c r="L1397" s="57" t="s">
        <v>1249</v>
      </c>
      <c r="M1397" s="14"/>
      <c r="N1397" s="14" t="s">
        <v>33</v>
      </c>
      <c r="O1397" s="14"/>
      <c r="P1397" s="15" t="s">
        <v>1250</v>
      </c>
      <c r="Q1397" s="16">
        <v>21999</v>
      </c>
      <c r="R1397" s="17">
        <v>48.83</v>
      </c>
      <c r="S1397" s="18">
        <v>12946.4355</v>
      </c>
      <c r="T1397" s="19" t="s">
        <v>36</v>
      </c>
      <c r="U1397" s="20" t="s">
        <v>749</v>
      </c>
      <c r="V1397" s="22">
        <v>41</v>
      </c>
      <c r="W1397" s="22">
        <v>4</v>
      </c>
      <c r="X1397" s="23"/>
    </row>
    <row r="1398" spans="1:24" s="1" customFormat="1" ht="35" customHeight="1" x14ac:dyDescent="0.3">
      <c r="A1398" s="24" t="s">
        <v>23</v>
      </c>
      <c r="B1398" s="24" t="s">
        <v>1247</v>
      </c>
      <c r="C1398" s="12" t="s">
        <v>1448</v>
      </c>
      <c r="D1398" s="60"/>
      <c r="E1398" s="41" t="str">
        <f>HYPERLINK("https://www.google.ru/search?q=3027189-002&amp;newwindow=1&amp;tbm=isch","Еще фото")</f>
        <v>Еще фото</v>
      </c>
      <c r="F1398" s="13" t="s">
        <v>152</v>
      </c>
      <c r="G1398" s="24" t="s">
        <v>1184</v>
      </c>
      <c r="H1398" s="24" t="s">
        <v>741</v>
      </c>
      <c r="I1398" s="24" t="s">
        <v>1185</v>
      </c>
      <c r="J1398" s="14" t="s">
        <v>29</v>
      </c>
      <c r="K1398" s="15" t="s">
        <v>30</v>
      </c>
      <c r="L1398" s="62"/>
      <c r="M1398" s="14"/>
      <c r="N1398" s="14" t="s">
        <v>33</v>
      </c>
      <c r="O1398" s="14"/>
      <c r="P1398" s="15" t="s">
        <v>1250</v>
      </c>
      <c r="Q1398" s="16">
        <v>21999</v>
      </c>
      <c r="R1398" s="17">
        <v>48.83</v>
      </c>
      <c r="S1398" s="18">
        <v>12946.4355</v>
      </c>
      <c r="T1398" s="19" t="s">
        <v>36</v>
      </c>
      <c r="U1398" s="20" t="s">
        <v>750</v>
      </c>
      <c r="V1398" s="34">
        <v>41.5</v>
      </c>
      <c r="W1398" s="22">
        <v>1</v>
      </c>
      <c r="X1398" s="23"/>
    </row>
    <row r="1399" spans="1:24" s="1" customFormat="1" ht="37.049999999999997" customHeight="1" x14ac:dyDescent="0.3">
      <c r="A1399" s="24" t="s">
        <v>23</v>
      </c>
      <c r="B1399" s="24" t="s">
        <v>1247</v>
      </c>
      <c r="C1399" s="12" t="s">
        <v>1448</v>
      </c>
      <c r="D1399" s="61"/>
      <c r="E1399" s="41" t="str">
        <f>HYPERLINK("https://www.google.ru/search?q=3027189-002&amp;newwindow=1&amp;tbm=isch","Еще фото")</f>
        <v>Еще фото</v>
      </c>
      <c r="F1399" s="13" t="s">
        <v>152</v>
      </c>
      <c r="G1399" s="24" t="s">
        <v>1184</v>
      </c>
      <c r="H1399" s="24" t="s">
        <v>741</v>
      </c>
      <c r="I1399" s="24" t="s">
        <v>1185</v>
      </c>
      <c r="J1399" s="14" t="s">
        <v>29</v>
      </c>
      <c r="K1399" s="15" t="s">
        <v>30</v>
      </c>
      <c r="L1399" s="58"/>
      <c r="M1399" s="14"/>
      <c r="N1399" s="14" t="s">
        <v>33</v>
      </c>
      <c r="O1399" s="14"/>
      <c r="P1399" s="15" t="s">
        <v>1250</v>
      </c>
      <c r="Q1399" s="16">
        <v>21999</v>
      </c>
      <c r="R1399" s="17">
        <v>48.83</v>
      </c>
      <c r="S1399" s="18">
        <v>12946.4355</v>
      </c>
      <c r="T1399" s="19" t="s">
        <v>36</v>
      </c>
      <c r="U1399" s="20" t="s">
        <v>753</v>
      </c>
      <c r="V1399" s="34">
        <v>43.5</v>
      </c>
      <c r="W1399" s="22">
        <v>1</v>
      </c>
      <c r="X1399" s="23"/>
    </row>
    <row r="1400" spans="1:24" s="1" customFormat="1" ht="26" customHeight="1" x14ac:dyDescent="0.3">
      <c r="A1400" s="11" t="s">
        <v>23</v>
      </c>
      <c r="B1400" s="11" t="s">
        <v>1449</v>
      </c>
      <c r="C1400" s="12" t="s">
        <v>1450</v>
      </c>
      <c r="D1400" s="59"/>
      <c r="E1400" s="41" t="str">
        <f>HYPERLINK("https://www.google.ru/search?q=3026135-001&amp;newwindow=1&amp;tbm=isch","Еще фото")</f>
        <v>Еще фото</v>
      </c>
      <c r="F1400" s="13"/>
      <c r="G1400" s="11" t="s">
        <v>1184</v>
      </c>
      <c r="H1400" s="11" t="s">
        <v>741</v>
      </c>
      <c r="I1400" s="14" t="s">
        <v>1185</v>
      </c>
      <c r="J1400" s="14" t="s">
        <v>29</v>
      </c>
      <c r="K1400" s="15" t="s">
        <v>30</v>
      </c>
      <c r="L1400" s="57" t="s">
        <v>1451</v>
      </c>
      <c r="M1400" s="14" t="s">
        <v>1194</v>
      </c>
      <c r="N1400" s="14" t="s">
        <v>33</v>
      </c>
      <c r="O1400" s="14"/>
      <c r="P1400" s="15" t="s">
        <v>1452</v>
      </c>
      <c r="Q1400" s="16">
        <v>12299</v>
      </c>
      <c r="R1400" s="17">
        <v>47.01</v>
      </c>
      <c r="S1400" s="18">
        <v>7495.4354999999996</v>
      </c>
      <c r="T1400" s="19" t="s">
        <v>36</v>
      </c>
      <c r="U1400" s="20" t="s">
        <v>746</v>
      </c>
      <c r="V1400" s="22">
        <v>39</v>
      </c>
      <c r="W1400" s="22">
        <v>6</v>
      </c>
      <c r="X1400" s="23"/>
    </row>
    <row r="1401" spans="1:24" s="1" customFormat="1" ht="26" customHeight="1" x14ac:dyDescent="0.3">
      <c r="A1401" s="24" t="s">
        <v>23</v>
      </c>
      <c r="B1401" s="24" t="s">
        <v>1449</v>
      </c>
      <c r="C1401" s="12" t="s">
        <v>1450</v>
      </c>
      <c r="D1401" s="60"/>
      <c r="E1401" s="41" t="str">
        <f>HYPERLINK("https://www.google.ru/search?q=3026135-001&amp;newwindow=1&amp;tbm=isch","Еще фото")</f>
        <v>Еще фото</v>
      </c>
      <c r="F1401" s="13"/>
      <c r="G1401" s="24" t="s">
        <v>1184</v>
      </c>
      <c r="H1401" s="24" t="s">
        <v>741</v>
      </c>
      <c r="I1401" s="24" t="s">
        <v>1185</v>
      </c>
      <c r="J1401" s="14" t="s">
        <v>29</v>
      </c>
      <c r="K1401" s="15" t="s">
        <v>30</v>
      </c>
      <c r="L1401" s="62"/>
      <c r="M1401" s="14" t="s">
        <v>1194</v>
      </c>
      <c r="N1401" s="14" t="s">
        <v>33</v>
      </c>
      <c r="O1401" s="14"/>
      <c r="P1401" s="15" t="s">
        <v>1452</v>
      </c>
      <c r="Q1401" s="16">
        <v>12299</v>
      </c>
      <c r="R1401" s="17">
        <v>47.01</v>
      </c>
      <c r="S1401" s="18">
        <v>7495.4354999999996</v>
      </c>
      <c r="T1401" s="19" t="s">
        <v>36</v>
      </c>
      <c r="U1401" s="20" t="s">
        <v>747</v>
      </c>
      <c r="V1401" s="34">
        <v>39.5</v>
      </c>
      <c r="W1401" s="22">
        <v>13</v>
      </c>
      <c r="X1401" s="23"/>
    </row>
    <row r="1402" spans="1:24" s="1" customFormat="1" ht="26" customHeight="1" x14ac:dyDescent="0.3">
      <c r="A1402" s="24" t="s">
        <v>23</v>
      </c>
      <c r="B1402" s="24" t="s">
        <v>1449</v>
      </c>
      <c r="C1402" s="12" t="s">
        <v>1450</v>
      </c>
      <c r="D1402" s="60"/>
      <c r="E1402" s="41" t="str">
        <f>HYPERLINK("https://www.google.ru/search?q=3026135-001&amp;newwindow=1&amp;tbm=isch","Еще фото")</f>
        <v>Еще фото</v>
      </c>
      <c r="F1402" s="13"/>
      <c r="G1402" s="24" t="s">
        <v>1184</v>
      </c>
      <c r="H1402" s="24" t="s">
        <v>741</v>
      </c>
      <c r="I1402" s="24" t="s">
        <v>1185</v>
      </c>
      <c r="J1402" s="14" t="s">
        <v>29</v>
      </c>
      <c r="K1402" s="15" t="s">
        <v>30</v>
      </c>
      <c r="L1402" s="62"/>
      <c r="M1402" s="14" t="s">
        <v>1194</v>
      </c>
      <c r="N1402" s="14" t="s">
        <v>33</v>
      </c>
      <c r="O1402" s="14"/>
      <c r="P1402" s="15" t="s">
        <v>1452</v>
      </c>
      <c r="Q1402" s="16">
        <v>12299</v>
      </c>
      <c r="R1402" s="17">
        <v>47.01</v>
      </c>
      <c r="S1402" s="18">
        <v>7495.4354999999996</v>
      </c>
      <c r="T1402" s="19" t="s">
        <v>36</v>
      </c>
      <c r="U1402" s="20" t="s">
        <v>748</v>
      </c>
      <c r="V1402" s="22">
        <v>40</v>
      </c>
      <c r="W1402" s="22">
        <v>2</v>
      </c>
      <c r="X1402" s="23"/>
    </row>
    <row r="1403" spans="1:24" s="1" customFormat="1" ht="26" customHeight="1" x14ac:dyDescent="0.3">
      <c r="A1403" s="24" t="s">
        <v>23</v>
      </c>
      <c r="B1403" s="24" t="s">
        <v>1449</v>
      </c>
      <c r="C1403" s="12" t="s">
        <v>1450</v>
      </c>
      <c r="D1403" s="61"/>
      <c r="E1403" s="41" t="str">
        <f>HYPERLINK("https://www.google.ru/search?q=3026135-001&amp;newwindow=1&amp;tbm=isch","Еще фото")</f>
        <v>Еще фото</v>
      </c>
      <c r="F1403" s="13"/>
      <c r="G1403" s="24" t="s">
        <v>1184</v>
      </c>
      <c r="H1403" s="24" t="s">
        <v>741</v>
      </c>
      <c r="I1403" s="24" t="s">
        <v>1185</v>
      </c>
      <c r="J1403" s="14" t="s">
        <v>29</v>
      </c>
      <c r="K1403" s="15" t="s">
        <v>30</v>
      </c>
      <c r="L1403" s="58"/>
      <c r="M1403" s="14" t="s">
        <v>1194</v>
      </c>
      <c r="N1403" s="14" t="s">
        <v>33</v>
      </c>
      <c r="O1403" s="14"/>
      <c r="P1403" s="15" t="s">
        <v>1452</v>
      </c>
      <c r="Q1403" s="16">
        <v>12299</v>
      </c>
      <c r="R1403" s="17">
        <v>47.01</v>
      </c>
      <c r="S1403" s="18">
        <v>7495.4354999999996</v>
      </c>
      <c r="T1403" s="19" t="s">
        <v>36</v>
      </c>
      <c r="U1403" s="20" t="s">
        <v>755</v>
      </c>
      <c r="V1403" s="34">
        <v>44.5</v>
      </c>
      <c r="W1403" s="22">
        <v>2</v>
      </c>
      <c r="X1403" s="23"/>
    </row>
    <row r="1404" spans="1:24" s="1" customFormat="1" ht="14" customHeight="1" x14ac:dyDescent="0.3">
      <c r="A1404" s="11" t="s">
        <v>23</v>
      </c>
      <c r="B1404" s="11" t="s">
        <v>1441</v>
      </c>
      <c r="C1404" s="12" t="s">
        <v>1453</v>
      </c>
      <c r="D1404" s="59"/>
      <c r="E1404" s="41" t="str">
        <f t="shared" ref="E1404:E1410" si="46">HYPERLINK("https://www.google.ru/search?q=3027212-004&amp;newwindow=1&amp;tbm=isch","Еще фото")</f>
        <v>Еще фото</v>
      </c>
      <c r="F1404" s="13"/>
      <c r="G1404" s="11" t="s">
        <v>1184</v>
      </c>
      <c r="H1404" s="11" t="s">
        <v>741</v>
      </c>
      <c r="I1404" s="14" t="s">
        <v>1185</v>
      </c>
      <c r="J1404" s="14" t="s">
        <v>674</v>
      </c>
      <c r="K1404" s="15" t="s">
        <v>723</v>
      </c>
      <c r="L1404" s="57" t="s">
        <v>1443</v>
      </c>
      <c r="M1404" s="14" t="s">
        <v>1211</v>
      </c>
      <c r="N1404" s="14" t="s">
        <v>33</v>
      </c>
      <c r="O1404" s="14"/>
      <c r="P1404" s="15" t="s">
        <v>1444</v>
      </c>
      <c r="Q1404" s="16">
        <v>21499</v>
      </c>
      <c r="R1404" s="17">
        <v>46.98</v>
      </c>
      <c r="S1404" s="18">
        <v>13107.4355</v>
      </c>
      <c r="T1404" s="19" t="s">
        <v>36</v>
      </c>
      <c r="U1404" s="20" t="s">
        <v>1445</v>
      </c>
      <c r="V1404" s="34">
        <v>39.5</v>
      </c>
      <c r="W1404" s="22">
        <v>6</v>
      </c>
      <c r="X1404" s="23"/>
    </row>
    <row r="1405" spans="1:24" s="1" customFormat="1" ht="14" customHeight="1" x14ac:dyDescent="0.3">
      <c r="A1405" s="24" t="s">
        <v>23</v>
      </c>
      <c r="B1405" s="24" t="s">
        <v>1441</v>
      </c>
      <c r="C1405" s="12" t="s">
        <v>1453</v>
      </c>
      <c r="D1405" s="60"/>
      <c r="E1405" s="41" t="str">
        <f t="shared" si="46"/>
        <v>Еще фото</v>
      </c>
      <c r="F1405" s="13"/>
      <c r="G1405" s="24" t="s">
        <v>1184</v>
      </c>
      <c r="H1405" s="24" t="s">
        <v>741</v>
      </c>
      <c r="I1405" s="24" t="s">
        <v>1185</v>
      </c>
      <c r="J1405" s="14" t="s">
        <v>674</v>
      </c>
      <c r="K1405" s="15" t="s">
        <v>723</v>
      </c>
      <c r="L1405" s="62"/>
      <c r="M1405" s="14" t="s">
        <v>1211</v>
      </c>
      <c r="N1405" s="14" t="s">
        <v>33</v>
      </c>
      <c r="O1405" s="14"/>
      <c r="P1405" s="15" t="s">
        <v>1444</v>
      </c>
      <c r="Q1405" s="16">
        <v>21499</v>
      </c>
      <c r="R1405" s="17">
        <v>46.98</v>
      </c>
      <c r="S1405" s="18">
        <v>13107.4355</v>
      </c>
      <c r="T1405" s="19" t="s">
        <v>36</v>
      </c>
      <c r="U1405" s="20" t="s">
        <v>1446</v>
      </c>
      <c r="V1405" s="22">
        <v>40</v>
      </c>
      <c r="W1405" s="22">
        <v>4</v>
      </c>
      <c r="X1405" s="23"/>
    </row>
    <row r="1406" spans="1:24" s="1" customFormat="1" ht="14" customHeight="1" x14ac:dyDescent="0.3">
      <c r="A1406" s="24" t="s">
        <v>23</v>
      </c>
      <c r="B1406" s="24" t="s">
        <v>1441</v>
      </c>
      <c r="C1406" s="12" t="s">
        <v>1453</v>
      </c>
      <c r="D1406" s="60"/>
      <c r="E1406" s="41" t="str">
        <f t="shared" si="46"/>
        <v>Еще фото</v>
      </c>
      <c r="F1406" s="13"/>
      <c r="G1406" s="24" t="s">
        <v>1184</v>
      </c>
      <c r="H1406" s="24" t="s">
        <v>741</v>
      </c>
      <c r="I1406" s="24" t="s">
        <v>1185</v>
      </c>
      <c r="J1406" s="14" t="s">
        <v>674</v>
      </c>
      <c r="K1406" s="15" t="s">
        <v>723</v>
      </c>
      <c r="L1406" s="62"/>
      <c r="M1406" s="14" t="s">
        <v>1211</v>
      </c>
      <c r="N1406" s="14" t="s">
        <v>33</v>
      </c>
      <c r="O1406" s="14"/>
      <c r="P1406" s="15" t="s">
        <v>1444</v>
      </c>
      <c r="Q1406" s="16">
        <v>21499</v>
      </c>
      <c r="R1406" s="17">
        <v>46.98</v>
      </c>
      <c r="S1406" s="18">
        <v>13107.4355</v>
      </c>
      <c r="T1406" s="19" t="s">
        <v>36</v>
      </c>
      <c r="U1406" s="20" t="s">
        <v>1345</v>
      </c>
      <c r="V1406" s="22">
        <v>41</v>
      </c>
      <c r="W1406" s="22">
        <v>9</v>
      </c>
      <c r="X1406" s="23"/>
    </row>
    <row r="1407" spans="1:24" s="1" customFormat="1" ht="14" customHeight="1" x14ac:dyDescent="0.3">
      <c r="A1407" s="24" t="s">
        <v>23</v>
      </c>
      <c r="B1407" s="24" t="s">
        <v>1441</v>
      </c>
      <c r="C1407" s="12" t="s">
        <v>1453</v>
      </c>
      <c r="D1407" s="60"/>
      <c r="E1407" s="41" t="str">
        <f t="shared" si="46"/>
        <v>Еще фото</v>
      </c>
      <c r="F1407" s="13"/>
      <c r="G1407" s="24" t="s">
        <v>1184</v>
      </c>
      <c r="H1407" s="24" t="s">
        <v>741</v>
      </c>
      <c r="I1407" s="24" t="s">
        <v>1185</v>
      </c>
      <c r="J1407" s="14" t="s">
        <v>674</v>
      </c>
      <c r="K1407" s="15" t="s">
        <v>723</v>
      </c>
      <c r="L1407" s="62"/>
      <c r="M1407" s="14" t="s">
        <v>1211</v>
      </c>
      <c r="N1407" s="14" t="s">
        <v>33</v>
      </c>
      <c r="O1407" s="14"/>
      <c r="P1407" s="15" t="s">
        <v>1444</v>
      </c>
      <c r="Q1407" s="16">
        <v>21499</v>
      </c>
      <c r="R1407" s="17">
        <v>46.98</v>
      </c>
      <c r="S1407" s="18">
        <v>13107.4355</v>
      </c>
      <c r="T1407" s="19" t="s">
        <v>36</v>
      </c>
      <c r="U1407" s="20" t="s">
        <v>1346</v>
      </c>
      <c r="V1407" s="34">
        <v>41.5</v>
      </c>
      <c r="W1407" s="22">
        <v>10</v>
      </c>
      <c r="X1407" s="23"/>
    </row>
    <row r="1408" spans="1:24" s="1" customFormat="1" ht="14" customHeight="1" x14ac:dyDescent="0.3">
      <c r="A1408" s="24" t="s">
        <v>23</v>
      </c>
      <c r="B1408" s="24" t="s">
        <v>1441</v>
      </c>
      <c r="C1408" s="12" t="s">
        <v>1453</v>
      </c>
      <c r="D1408" s="60"/>
      <c r="E1408" s="41" t="str">
        <f t="shared" si="46"/>
        <v>Еще фото</v>
      </c>
      <c r="F1408" s="13"/>
      <c r="G1408" s="24" t="s">
        <v>1184</v>
      </c>
      <c r="H1408" s="24" t="s">
        <v>741</v>
      </c>
      <c r="I1408" s="24" t="s">
        <v>1185</v>
      </c>
      <c r="J1408" s="14" t="s">
        <v>674</v>
      </c>
      <c r="K1408" s="15" t="s">
        <v>723</v>
      </c>
      <c r="L1408" s="62"/>
      <c r="M1408" s="14" t="s">
        <v>1211</v>
      </c>
      <c r="N1408" s="14" t="s">
        <v>33</v>
      </c>
      <c r="O1408" s="14"/>
      <c r="P1408" s="15" t="s">
        <v>1444</v>
      </c>
      <c r="Q1408" s="16">
        <v>21499</v>
      </c>
      <c r="R1408" s="17">
        <v>46.98</v>
      </c>
      <c r="S1408" s="18">
        <v>13107.4355</v>
      </c>
      <c r="T1408" s="19" t="s">
        <v>36</v>
      </c>
      <c r="U1408" s="20" t="s">
        <v>1326</v>
      </c>
      <c r="V1408" s="22">
        <v>42</v>
      </c>
      <c r="W1408" s="22">
        <v>10</v>
      </c>
      <c r="X1408" s="23"/>
    </row>
    <row r="1409" spans="1:24" s="1" customFormat="1" ht="14" customHeight="1" x14ac:dyDescent="0.3">
      <c r="A1409" s="24" t="s">
        <v>23</v>
      </c>
      <c r="B1409" s="24" t="s">
        <v>1441</v>
      </c>
      <c r="C1409" s="12" t="s">
        <v>1453</v>
      </c>
      <c r="D1409" s="60"/>
      <c r="E1409" s="41" t="str">
        <f t="shared" si="46"/>
        <v>Еще фото</v>
      </c>
      <c r="F1409" s="13"/>
      <c r="G1409" s="24" t="s">
        <v>1184</v>
      </c>
      <c r="H1409" s="24" t="s">
        <v>741</v>
      </c>
      <c r="I1409" s="24" t="s">
        <v>1185</v>
      </c>
      <c r="J1409" s="14" t="s">
        <v>674</v>
      </c>
      <c r="K1409" s="15" t="s">
        <v>723</v>
      </c>
      <c r="L1409" s="62"/>
      <c r="M1409" s="14" t="s">
        <v>1211</v>
      </c>
      <c r="N1409" s="14" t="s">
        <v>33</v>
      </c>
      <c r="O1409" s="14"/>
      <c r="P1409" s="15" t="s">
        <v>1444</v>
      </c>
      <c r="Q1409" s="16">
        <v>21499</v>
      </c>
      <c r="R1409" s="17">
        <v>46.98</v>
      </c>
      <c r="S1409" s="18">
        <v>13107.4355</v>
      </c>
      <c r="T1409" s="19" t="s">
        <v>36</v>
      </c>
      <c r="U1409" s="20" t="s">
        <v>1347</v>
      </c>
      <c r="V1409" s="22">
        <v>43</v>
      </c>
      <c r="W1409" s="22">
        <v>6</v>
      </c>
      <c r="X1409" s="23"/>
    </row>
    <row r="1410" spans="1:24" s="1" customFormat="1" ht="17" customHeight="1" x14ac:dyDescent="0.3">
      <c r="A1410" s="24" t="s">
        <v>23</v>
      </c>
      <c r="B1410" s="24" t="s">
        <v>1441</v>
      </c>
      <c r="C1410" s="12" t="s">
        <v>1453</v>
      </c>
      <c r="D1410" s="61"/>
      <c r="E1410" s="41" t="str">
        <f t="shared" si="46"/>
        <v>Еще фото</v>
      </c>
      <c r="F1410" s="13"/>
      <c r="G1410" s="24" t="s">
        <v>1184</v>
      </c>
      <c r="H1410" s="24" t="s">
        <v>741</v>
      </c>
      <c r="I1410" s="24" t="s">
        <v>1185</v>
      </c>
      <c r="J1410" s="14" t="s">
        <v>674</v>
      </c>
      <c r="K1410" s="15" t="s">
        <v>723</v>
      </c>
      <c r="L1410" s="58"/>
      <c r="M1410" s="14" t="s">
        <v>1211</v>
      </c>
      <c r="N1410" s="14" t="s">
        <v>33</v>
      </c>
      <c r="O1410" s="14"/>
      <c r="P1410" s="15" t="s">
        <v>1444</v>
      </c>
      <c r="Q1410" s="16">
        <v>21499</v>
      </c>
      <c r="R1410" s="17">
        <v>46.98</v>
      </c>
      <c r="S1410" s="18">
        <v>13107.4355</v>
      </c>
      <c r="T1410" s="19" t="s">
        <v>36</v>
      </c>
      <c r="U1410" s="20" t="s">
        <v>1348</v>
      </c>
      <c r="V1410" s="34">
        <v>43.5</v>
      </c>
      <c r="W1410" s="22">
        <v>2</v>
      </c>
      <c r="X1410" s="23"/>
    </row>
    <row r="1411" spans="1:24" s="1" customFormat="1" ht="11" customHeight="1" x14ac:dyDescent="0.3">
      <c r="A1411" s="11" t="s">
        <v>23</v>
      </c>
      <c r="B1411" s="11" t="s">
        <v>1454</v>
      </c>
      <c r="C1411" s="12" t="s">
        <v>1455</v>
      </c>
      <c r="D1411" s="59"/>
      <c r="E1411" s="41" t="str">
        <f t="shared" ref="E1411:E1421" si="47">HYPERLINK("https://www.google.ru/search?q=3027679-001&amp;newwindow=1&amp;tbm=isch","Еще фото")</f>
        <v>Еще фото</v>
      </c>
      <c r="F1411" s="13" t="s">
        <v>103</v>
      </c>
      <c r="G1411" s="11" t="s">
        <v>740</v>
      </c>
      <c r="H1411" s="11" t="s">
        <v>741</v>
      </c>
      <c r="I1411" s="14" t="s">
        <v>1185</v>
      </c>
      <c r="J1411" s="14" t="s">
        <v>743</v>
      </c>
      <c r="K1411" s="15" t="s">
        <v>30</v>
      </c>
      <c r="L1411" s="57" t="s">
        <v>1456</v>
      </c>
      <c r="M1411" s="14"/>
      <c r="N1411" s="14" t="s">
        <v>33</v>
      </c>
      <c r="O1411" s="14"/>
      <c r="P1411" s="15" t="s">
        <v>1457</v>
      </c>
      <c r="Q1411" s="16">
        <v>23399</v>
      </c>
      <c r="R1411" s="17">
        <v>46.97</v>
      </c>
      <c r="S1411" s="18">
        <v>14268.9355</v>
      </c>
      <c r="T1411" s="19" t="s">
        <v>36</v>
      </c>
      <c r="U1411" s="20" t="s">
        <v>746</v>
      </c>
      <c r="V1411" s="22">
        <v>39</v>
      </c>
      <c r="W1411" s="22">
        <v>4</v>
      </c>
      <c r="X1411" s="23"/>
    </row>
    <row r="1412" spans="1:24" s="1" customFormat="1" ht="11" customHeight="1" x14ac:dyDescent="0.3">
      <c r="A1412" s="24" t="s">
        <v>23</v>
      </c>
      <c r="B1412" s="24" t="s">
        <v>1454</v>
      </c>
      <c r="C1412" s="12" t="s">
        <v>1455</v>
      </c>
      <c r="D1412" s="60"/>
      <c r="E1412" s="41" t="str">
        <f t="shared" si="47"/>
        <v>Еще фото</v>
      </c>
      <c r="F1412" s="13" t="s">
        <v>103</v>
      </c>
      <c r="G1412" s="24" t="s">
        <v>740</v>
      </c>
      <c r="H1412" s="24" t="s">
        <v>741</v>
      </c>
      <c r="I1412" s="24" t="s">
        <v>1185</v>
      </c>
      <c r="J1412" s="14" t="s">
        <v>743</v>
      </c>
      <c r="K1412" s="15" t="s">
        <v>30</v>
      </c>
      <c r="L1412" s="62"/>
      <c r="M1412" s="14"/>
      <c r="N1412" s="14" t="s">
        <v>33</v>
      </c>
      <c r="O1412" s="14"/>
      <c r="P1412" s="15" t="s">
        <v>1457</v>
      </c>
      <c r="Q1412" s="16">
        <v>23399</v>
      </c>
      <c r="R1412" s="17">
        <v>46.97</v>
      </c>
      <c r="S1412" s="18">
        <v>14268.9355</v>
      </c>
      <c r="T1412" s="19" t="s">
        <v>36</v>
      </c>
      <c r="U1412" s="20" t="s">
        <v>747</v>
      </c>
      <c r="V1412" s="34">
        <v>39.5</v>
      </c>
      <c r="W1412" s="22">
        <v>5</v>
      </c>
      <c r="X1412" s="23"/>
    </row>
    <row r="1413" spans="1:24" s="1" customFormat="1" ht="11" customHeight="1" x14ac:dyDescent="0.3">
      <c r="A1413" s="24" t="s">
        <v>23</v>
      </c>
      <c r="B1413" s="24" t="s">
        <v>1454</v>
      </c>
      <c r="C1413" s="12" t="s">
        <v>1455</v>
      </c>
      <c r="D1413" s="60"/>
      <c r="E1413" s="41" t="str">
        <f t="shared" si="47"/>
        <v>Еще фото</v>
      </c>
      <c r="F1413" s="13" t="s">
        <v>103</v>
      </c>
      <c r="G1413" s="24" t="s">
        <v>740</v>
      </c>
      <c r="H1413" s="24" t="s">
        <v>741</v>
      </c>
      <c r="I1413" s="24" t="s">
        <v>1185</v>
      </c>
      <c r="J1413" s="14" t="s">
        <v>743</v>
      </c>
      <c r="K1413" s="15" t="s">
        <v>30</v>
      </c>
      <c r="L1413" s="62"/>
      <c r="M1413" s="14"/>
      <c r="N1413" s="14" t="s">
        <v>33</v>
      </c>
      <c r="O1413" s="14"/>
      <c r="P1413" s="15" t="s">
        <v>1457</v>
      </c>
      <c r="Q1413" s="16">
        <v>23399</v>
      </c>
      <c r="R1413" s="17">
        <v>46.97</v>
      </c>
      <c r="S1413" s="18">
        <v>14268.9355</v>
      </c>
      <c r="T1413" s="19" t="s">
        <v>36</v>
      </c>
      <c r="U1413" s="20" t="s">
        <v>748</v>
      </c>
      <c r="V1413" s="22">
        <v>40</v>
      </c>
      <c r="W1413" s="22">
        <v>8</v>
      </c>
      <c r="X1413" s="23"/>
    </row>
    <row r="1414" spans="1:24" s="1" customFormat="1" ht="11" customHeight="1" x14ac:dyDescent="0.3">
      <c r="A1414" s="24" t="s">
        <v>23</v>
      </c>
      <c r="B1414" s="24" t="s">
        <v>1454</v>
      </c>
      <c r="C1414" s="12" t="s">
        <v>1455</v>
      </c>
      <c r="D1414" s="60"/>
      <c r="E1414" s="41" t="str">
        <f t="shared" si="47"/>
        <v>Еще фото</v>
      </c>
      <c r="F1414" s="13" t="s">
        <v>103</v>
      </c>
      <c r="G1414" s="24" t="s">
        <v>740</v>
      </c>
      <c r="H1414" s="24" t="s">
        <v>741</v>
      </c>
      <c r="I1414" s="24" t="s">
        <v>1185</v>
      </c>
      <c r="J1414" s="14" t="s">
        <v>743</v>
      </c>
      <c r="K1414" s="15" t="s">
        <v>30</v>
      </c>
      <c r="L1414" s="62"/>
      <c r="M1414" s="14"/>
      <c r="N1414" s="14" t="s">
        <v>33</v>
      </c>
      <c r="O1414" s="14"/>
      <c r="P1414" s="15" t="s">
        <v>1457</v>
      </c>
      <c r="Q1414" s="16">
        <v>23399</v>
      </c>
      <c r="R1414" s="17">
        <v>46.97</v>
      </c>
      <c r="S1414" s="18">
        <v>14268.9355</v>
      </c>
      <c r="T1414" s="19" t="s">
        <v>36</v>
      </c>
      <c r="U1414" s="20" t="s">
        <v>749</v>
      </c>
      <c r="V1414" s="22">
        <v>41</v>
      </c>
      <c r="W1414" s="22">
        <v>8</v>
      </c>
      <c r="X1414" s="23"/>
    </row>
    <row r="1415" spans="1:24" s="1" customFormat="1" ht="11" customHeight="1" x14ac:dyDescent="0.3">
      <c r="A1415" s="24" t="s">
        <v>23</v>
      </c>
      <c r="B1415" s="24" t="s">
        <v>1454</v>
      </c>
      <c r="C1415" s="12" t="s">
        <v>1455</v>
      </c>
      <c r="D1415" s="60"/>
      <c r="E1415" s="41" t="str">
        <f t="shared" si="47"/>
        <v>Еще фото</v>
      </c>
      <c r="F1415" s="13" t="s">
        <v>103</v>
      </c>
      <c r="G1415" s="24" t="s">
        <v>740</v>
      </c>
      <c r="H1415" s="24" t="s">
        <v>741</v>
      </c>
      <c r="I1415" s="24" t="s">
        <v>1185</v>
      </c>
      <c r="J1415" s="14" t="s">
        <v>743</v>
      </c>
      <c r="K1415" s="15" t="s">
        <v>30</v>
      </c>
      <c r="L1415" s="62"/>
      <c r="M1415" s="14"/>
      <c r="N1415" s="14" t="s">
        <v>33</v>
      </c>
      <c r="O1415" s="14"/>
      <c r="P1415" s="15" t="s">
        <v>1457</v>
      </c>
      <c r="Q1415" s="16">
        <v>23399</v>
      </c>
      <c r="R1415" s="17">
        <v>46.97</v>
      </c>
      <c r="S1415" s="18">
        <v>14268.9355</v>
      </c>
      <c r="T1415" s="19" t="s">
        <v>36</v>
      </c>
      <c r="U1415" s="20" t="s">
        <v>750</v>
      </c>
      <c r="V1415" s="34">
        <v>41.5</v>
      </c>
      <c r="W1415" s="22">
        <v>12</v>
      </c>
      <c r="X1415" s="23"/>
    </row>
    <row r="1416" spans="1:24" s="1" customFormat="1" ht="11" customHeight="1" x14ac:dyDescent="0.3">
      <c r="A1416" s="24" t="s">
        <v>23</v>
      </c>
      <c r="B1416" s="24" t="s">
        <v>1454</v>
      </c>
      <c r="C1416" s="12" t="s">
        <v>1455</v>
      </c>
      <c r="D1416" s="60"/>
      <c r="E1416" s="41" t="str">
        <f t="shared" si="47"/>
        <v>Еще фото</v>
      </c>
      <c r="F1416" s="13" t="s">
        <v>103</v>
      </c>
      <c r="G1416" s="24" t="s">
        <v>740</v>
      </c>
      <c r="H1416" s="24" t="s">
        <v>741</v>
      </c>
      <c r="I1416" s="24" t="s">
        <v>1185</v>
      </c>
      <c r="J1416" s="14" t="s">
        <v>743</v>
      </c>
      <c r="K1416" s="15" t="s">
        <v>30</v>
      </c>
      <c r="L1416" s="62"/>
      <c r="M1416" s="14"/>
      <c r="N1416" s="14" t="s">
        <v>33</v>
      </c>
      <c r="O1416" s="14"/>
      <c r="P1416" s="15" t="s">
        <v>1457</v>
      </c>
      <c r="Q1416" s="16">
        <v>23399</v>
      </c>
      <c r="R1416" s="17">
        <v>46.97</v>
      </c>
      <c r="S1416" s="18">
        <v>14268.9355</v>
      </c>
      <c r="T1416" s="19" t="s">
        <v>36</v>
      </c>
      <c r="U1416" s="20" t="s">
        <v>751</v>
      </c>
      <c r="V1416" s="22">
        <v>42</v>
      </c>
      <c r="W1416" s="22">
        <v>16</v>
      </c>
      <c r="X1416" s="23"/>
    </row>
    <row r="1417" spans="1:24" s="1" customFormat="1" ht="11" customHeight="1" x14ac:dyDescent="0.3">
      <c r="A1417" s="24" t="s">
        <v>23</v>
      </c>
      <c r="B1417" s="24" t="s">
        <v>1454</v>
      </c>
      <c r="C1417" s="12" t="s">
        <v>1455</v>
      </c>
      <c r="D1417" s="60"/>
      <c r="E1417" s="41" t="str">
        <f t="shared" si="47"/>
        <v>Еще фото</v>
      </c>
      <c r="F1417" s="13" t="s">
        <v>103</v>
      </c>
      <c r="G1417" s="24" t="s">
        <v>740</v>
      </c>
      <c r="H1417" s="24" t="s">
        <v>741</v>
      </c>
      <c r="I1417" s="24" t="s">
        <v>1185</v>
      </c>
      <c r="J1417" s="14" t="s">
        <v>743</v>
      </c>
      <c r="K1417" s="15" t="s">
        <v>30</v>
      </c>
      <c r="L1417" s="62"/>
      <c r="M1417" s="14"/>
      <c r="N1417" s="14" t="s">
        <v>33</v>
      </c>
      <c r="O1417" s="14"/>
      <c r="P1417" s="15" t="s">
        <v>1457</v>
      </c>
      <c r="Q1417" s="16">
        <v>23399</v>
      </c>
      <c r="R1417" s="17">
        <v>46.97</v>
      </c>
      <c r="S1417" s="18">
        <v>14268.9355</v>
      </c>
      <c r="T1417" s="19" t="s">
        <v>36</v>
      </c>
      <c r="U1417" s="20" t="s">
        <v>752</v>
      </c>
      <c r="V1417" s="22">
        <v>43</v>
      </c>
      <c r="W1417" s="22">
        <v>8</v>
      </c>
      <c r="X1417" s="23"/>
    </row>
    <row r="1418" spans="1:24" s="1" customFormat="1" ht="11" customHeight="1" x14ac:dyDescent="0.3">
      <c r="A1418" s="24" t="s">
        <v>23</v>
      </c>
      <c r="B1418" s="24" t="s">
        <v>1454</v>
      </c>
      <c r="C1418" s="12" t="s">
        <v>1455</v>
      </c>
      <c r="D1418" s="60"/>
      <c r="E1418" s="41" t="str">
        <f t="shared" si="47"/>
        <v>Еще фото</v>
      </c>
      <c r="F1418" s="13" t="s">
        <v>103</v>
      </c>
      <c r="G1418" s="24" t="s">
        <v>740</v>
      </c>
      <c r="H1418" s="24" t="s">
        <v>741</v>
      </c>
      <c r="I1418" s="24" t="s">
        <v>1185</v>
      </c>
      <c r="J1418" s="14" t="s">
        <v>743</v>
      </c>
      <c r="K1418" s="15" t="s">
        <v>30</v>
      </c>
      <c r="L1418" s="62"/>
      <c r="M1418" s="14"/>
      <c r="N1418" s="14" t="s">
        <v>33</v>
      </c>
      <c r="O1418" s="14"/>
      <c r="P1418" s="15" t="s">
        <v>1457</v>
      </c>
      <c r="Q1418" s="16">
        <v>23399</v>
      </c>
      <c r="R1418" s="17">
        <v>46.97</v>
      </c>
      <c r="S1418" s="18">
        <v>14268.9355</v>
      </c>
      <c r="T1418" s="19" t="s">
        <v>36</v>
      </c>
      <c r="U1418" s="20" t="s">
        <v>753</v>
      </c>
      <c r="V1418" s="34">
        <v>43.5</v>
      </c>
      <c r="W1418" s="22">
        <v>8</v>
      </c>
      <c r="X1418" s="23"/>
    </row>
    <row r="1419" spans="1:24" s="1" customFormat="1" ht="11" customHeight="1" x14ac:dyDescent="0.3">
      <c r="A1419" s="24" t="s">
        <v>23</v>
      </c>
      <c r="B1419" s="24" t="s">
        <v>1454</v>
      </c>
      <c r="C1419" s="12" t="s">
        <v>1455</v>
      </c>
      <c r="D1419" s="60"/>
      <c r="E1419" s="41" t="str">
        <f t="shared" si="47"/>
        <v>Еще фото</v>
      </c>
      <c r="F1419" s="13" t="s">
        <v>103</v>
      </c>
      <c r="G1419" s="24" t="s">
        <v>740</v>
      </c>
      <c r="H1419" s="24" t="s">
        <v>741</v>
      </c>
      <c r="I1419" s="24" t="s">
        <v>1185</v>
      </c>
      <c r="J1419" s="14" t="s">
        <v>743</v>
      </c>
      <c r="K1419" s="15" t="s">
        <v>30</v>
      </c>
      <c r="L1419" s="62"/>
      <c r="M1419" s="14"/>
      <c r="N1419" s="14" t="s">
        <v>33</v>
      </c>
      <c r="O1419" s="14"/>
      <c r="P1419" s="15" t="s">
        <v>1457</v>
      </c>
      <c r="Q1419" s="16">
        <v>23399</v>
      </c>
      <c r="R1419" s="17">
        <v>46.97</v>
      </c>
      <c r="S1419" s="18">
        <v>14268.9355</v>
      </c>
      <c r="T1419" s="19" t="s">
        <v>36</v>
      </c>
      <c r="U1419" s="20" t="s">
        <v>754</v>
      </c>
      <c r="V1419" s="22">
        <v>44</v>
      </c>
      <c r="W1419" s="22">
        <v>5</v>
      </c>
      <c r="X1419" s="23"/>
    </row>
    <row r="1420" spans="1:24" s="1" customFormat="1" ht="11" customHeight="1" x14ac:dyDescent="0.3">
      <c r="A1420" s="14" t="s">
        <v>23</v>
      </c>
      <c r="B1420" s="14" t="s">
        <v>1454</v>
      </c>
      <c r="C1420" s="12" t="s">
        <v>1455</v>
      </c>
      <c r="D1420" s="60"/>
      <c r="E1420" s="41" t="str">
        <f t="shared" si="47"/>
        <v>Еще фото</v>
      </c>
      <c r="F1420" s="29" t="s">
        <v>103</v>
      </c>
      <c r="G1420" s="14" t="s">
        <v>740</v>
      </c>
      <c r="H1420" s="14" t="s">
        <v>741</v>
      </c>
      <c r="I1420" s="14" t="s">
        <v>1185</v>
      </c>
      <c r="J1420" s="14" t="s">
        <v>743</v>
      </c>
      <c r="K1420" s="14" t="s">
        <v>30</v>
      </c>
      <c r="L1420" s="62"/>
      <c r="M1420" s="14"/>
      <c r="N1420" s="14" t="s">
        <v>33</v>
      </c>
      <c r="O1420" s="14"/>
      <c r="P1420" s="14" t="s">
        <v>1457</v>
      </c>
      <c r="Q1420" s="30">
        <v>23399</v>
      </c>
      <c r="R1420" s="31">
        <v>46.97</v>
      </c>
      <c r="S1420" s="32">
        <v>14268.9355</v>
      </c>
      <c r="T1420" s="19" t="s">
        <v>36</v>
      </c>
      <c r="U1420" s="20" t="s">
        <v>755</v>
      </c>
      <c r="V1420" s="34">
        <v>44.5</v>
      </c>
      <c r="W1420" s="22">
        <v>4</v>
      </c>
      <c r="X1420" s="23"/>
    </row>
    <row r="1421" spans="1:24" s="1" customFormat="1" ht="11" customHeight="1" x14ac:dyDescent="0.3">
      <c r="A1421" s="14" t="s">
        <v>23</v>
      </c>
      <c r="B1421" s="14" t="s">
        <v>1454</v>
      </c>
      <c r="C1421" s="12" t="s">
        <v>1455</v>
      </c>
      <c r="D1421" s="61"/>
      <c r="E1421" s="41" t="str">
        <f t="shared" si="47"/>
        <v>Еще фото</v>
      </c>
      <c r="F1421" s="29" t="s">
        <v>103</v>
      </c>
      <c r="G1421" s="14" t="s">
        <v>740</v>
      </c>
      <c r="H1421" s="14" t="s">
        <v>741</v>
      </c>
      <c r="I1421" s="14" t="s">
        <v>1185</v>
      </c>
      <c r="J1421" s="14" t="s">
        <v>743</v>
      </c>
      <c r="K1421" s="14" t="s">
        <v>30</v>
      </c>
      <c r="L1421" s="58"/>
      <c r="M1421" s="14"/>
      <c r="N1421" s="14" t="s">
        <v>33</v>
      </c>
      <c r="O1421" s="14"/>
      <c r="P1421" s="14" t="s">
        <v>1457</v>
      </c>
      <c r="Q1421" s="30">
        <v>23399</v>
      </c>
      <c r="R1421" s="31">
        <v>46.97</v>
      </c>
      <c r="S1421" s="32">
        <v>14268.9355</v>
      </c>
      <c r="T1421" s="19" t="s">
        <v>36</v>
      </c>
      <c r="U1421" s="20" t="s">
        <v>1337</v>
      </c>
      <c r="V1421" s="22">
        <v>45</v>
      </c>
      <c r="W1421" s="22">
        <v>3</v>
      </c>
      <c r="X1421" s="23"/>
    </row>
    <row r="1422" spans="1:24" s="1" customFormat="1" ht="21" customHeight="1" x14ac:dyDescent="0.3">
      <c r="A1422" s="11" t="s">
        <v>23</v>
      </c>
      <c r="B1422" s="11" t="s">
        <v>1458</v>
      </c>
      <c r="C1422" s="26" t="s">
        <v>1459</v>
      </c>
      <c r="D1422" s="59"/>
      <c r="E1422" s="41" t="str">
        <f>HYPERLINK("https://www.google.ru/search?q=3025447-001&amp;newwindow=1&amp;tbm=isch","Еще фото")</f>
        <v>Еще фото</v>
      </c>
      <c r="F1422" s="13"/>
      <c r="G1422" s="11" t="s">
        <v>1184</v>
      </c>
      <c r="H1422" s="11" t="s">
        <v>741</v>
      </c>
      <c r="I1422" s="14" t="s">
        <v>1185</v>
      </c>
      <c r="J1422" s="14" t="s">
        <v>29</v>
      </c>
      <c r="K1422" s="15" t="s">
        <v>30</v>
      </c>
      <c r="L1422" s="57" t="s">
        <v>1460</v>
      </c>
      <c r="M1422" s="14" t="s">
        <v>1211</v>
      </c>
      <c r="N1422" s="14" t="s">
        <v>115</v>
      </c>
      <c r="O1422" s="14"/>
      <c r="P1422" s="15" t="s">
        <v>1461</v>
      </c>
      <c r="Q1422" s="16">
        <v>14999</v>
      </c>
      <c r="R1422" s="17">
        <v>46.94</v>
      </c>
      <c r="S1422" s="18">
        <v>9151.4354999999996</v>
      </c>
      <c r="T1422" s="19" t="s">
        <v>36</v>
      </c>
      <c r="U1422" s="20" t="s">
        <v>748</v>
      </c>
      <c r="V1422" s="22">
        <v>40</v>
      </c>
      <c r="W1422" s="22">
        <v>1</v>
      </c>
      <c r="X1422" s="23"/>
    </row>
    <row r="1423" spans="1:24" s="1" customFormat="1" ht="21" customHeight="1" x14ac:dyDescent="0.3">
      <c r="A1423" s="24" t="s">
        <v>23</v>
      </c>
      <c r="B1423" s="24" t="s">
        <v>1458</v>
      </c>
      <c r="C1423" s="27" t="s">
        <v>1459</v>
      </c>
      <c r="D1423" s="60"/>
      <c r="E1423" s="41" t="str">
        <f>HYPERLINK("https://www.google.ru/search?q=3025447-001&amp;newwindow=1&amp;tbm=isch","Еще фото")</f>
        <v>Еще фото</v>
      </c>
      <c r="F1423" s="13"/>
      <c r="G1423" s="24" t="s">
        <v>1184</v>
      </c>
      <c r="H1423" s="24" t="s">
        <v>741</v>
      </c>
      <c r="I1423" s="24" t="s">
        <v>1185</v>
      </c>
      <c r="J1423" s="14" t="s">
        <v>29</v>
      </c>
      <c r="K1423" s="15" t="s">
        <v>30</v>
      </c>
      <c r="L1423" s="62"/>
      <c r="M1423" s="14" t="s">
        <v>1211</v>
      </c>
      <c r="N1423" s="14" t="s">
        <v>115</v>
      </c>
      <c r="O1423" s="14"/>
      <c r="P1423" s="15" t="s">
        <v>1461</v>
      </c>
      <c r="Q1423" s="16">
        <v>14999</v>
      </c>
      <c r="R1423" s="17">
        <v>46.94</v>
      </c>
      <c r="S1423" s="18">
        <v>9151.4354999999996</v>
      </c>
      <c r="T1423" s="19" t="s">
        <v>36</v>
      </c>
      <c r="U1423" s="20" t="s">
        <v>749</v>
      </c>
      <c r="V1423" s="22">
        <v>41</v>
      </c>
      <c r="W1423" s="22">
        <v>3</v>
      </c>
      <c r="X1423" s="23"/>
    </row>
    <row r="1424" spans="1:24" s="1" customFormat="1" ht="21" customHeight="1" x14ac:dyDescent="0.3">
      <c r="A1424" s="24" t="s">
        <v>23</v>
      </c>
      <c r="B1424" s="24" t="s">
        <v>1458</v>
      </c>
      <c r="C1424" s="27" t="s">
        <v>1459</v>
      </c>
      <c r="D1424" s="60"/>
      <c r="E1424" s="41" t="str">
        <f>HYPERLINK("https://www.google.ru/search?q=3025447-001&amp;newwindow=1&amp;tbm=isch","Еще фото")</f>
        <v>Еще фото</v>
      </c>
      <c r="F1424" s="13"/>
      <c r="G1424" s="24" t="s">
        <v>1184</v>
      </c>
      <c r="H1424" s="24" t="s">
        <v>741</v>
      </c>
      <c r="I1424" s="24" t="s">
        <v>1185</v>
      </c>
      <c r="J1424" s="14" t="s">
        <v>29</v>
      </c>
      <c r="K1424" s="15" t="s">
        <v>30</v>
      </c>
      <c r="L1424" s="62"/>
      <c r="M1424" s="14" t="s">
        <v>1211</v>
      </c>
      <c r="N1424" s="14" t="s">
        <v>115</v>
      </c>
      <c r="O1424" s="14"/>
      <c r="P1424" s="15" t="s">
        <v>1461</v>
      </c>
      <c r="Q1424" s="16">
        <v>14999</v>
      </c>
      <c r="R1424" s="17">
        <v>46.94</v>
      </c>
      <c r="S1424" s="18">
        <v>9151.4354999999996</v>
      </c>
      <c r="T1424" s="19" t="s">
        <v>36</v>
      </c>
      <c r="U1424" s="20" t="s">
        <v>750</v>
      </c>
      <c r="V1424" s="34">
        <v>41.5</v>
      </c>
      <c r="W1424" s="22">
        <v>3</v>
      </c>
      <c r="X1424" s="23"/>
    </row>
    <row r="1425" spans="1:24" s="1" customFormat="1" ht="21" customHeight="1" x14ac:dyDescent="0.3">
      <c r="A1425" s="24" t="s">
        <v>23</v>
      </c>
      <c r="B1425" s="24" t="s">
        <v>1458</v>
      </c>
      <c r="C1425" s="27" t="s">
        <v>1459</v>
      </c>
      <c r="D1425" s="60"/>
      <c r="E1425" s="41" t="str">
        <f>HYPERLINK("https://www.google.ru/search?q=3025447-001&amp;newwindow=1&amp;tbm=isch","Еще фото")</f>
        <v>Еще фото</v>
      </c>
      <c r="F1425" s="13"/>
      <c r="G1425" s="24" t="s">
        <v>1184</v>
      </c>
      <c r="H1425" s="24" t="s">
        <v>741</v>
      </c>
      <c r="I1425" s="24" t="s">
        <v>1185</v>
      </c>
      <c r="J1425" s="14" t="s">
        <v>29</v>
      </c>
      <c r="K1425" s="15" t="s">
        <v>30</v>
      </c>
      <c r="L1425" s="62"/>
      <c r="M1425" s="14" t="s">
        <v>1211</v>
      </c>
      <c r="N1425" s="14" t="s">
        <v>115</v>
      </c>
      <c r="O1425" s="14"/>
      <c r="P1425" s="15" t="s">
        <v>1461</v>
      </c>
      <c r="Q1425" s="16">
        <v>14999</v>
      </c>
      <c r="R1425" s="17">
        <v>46.94</v>
      </c>
      <c r="S1425" s="18">
        <v>9151.4354999999996</v>
      </c>
      <c r="T1425" s="19" t="s">
        <v>36</v>
      </c>
      <c r="U1425" s="20" t="s">
        <v>752</v>
      </c>
      <c r="V1425" s="22">
        <v>43</v>
      </c>
      <c r="W1425" s="22">
        <v>1</v>
      </c>
      <c r="X1425" s="23"/>
    </row>
    <row r="1426" spans="1:24" s="1" customFormat="1" ht="32" customHeight="1" x14ac:dyDescent="0.3">
      <c r="A1426" s="24" t="s">
        <v>23</v>
      </c>
      <c r="B1426" s="24" t="s">
        <v>1458</v>
      </c>
      <c r="C1426" s="27" t="s">
        <v>1459</v>
      </c>
      <c r="D1426" s="61"/>
      <c r="E1426" s="41" t="str">
        <f>HYPERLINK("https://www.google.ru/search?q=3025447-001&amp;newwindow=1&amp;tbm=isch","Еще фото")</f>
        <v>Еще фото</v>
      </c>
      <c r="F1426" s="13"/>
      <c r="G1426" s="24" t="s">
        <v>1184</v>
      </c>
      <c r="H1426" s="24" t="s">
        <v>741</v>
      </c>
      <c r="I1426" s="24" t="s">
        <v>1185</v>
      </c>
      <c r="J1426" s="14" t="s">
        <v>29</v>
      </c>
      <c r="K1426" s="15" t="s">
        <v>30</v>
      </c>
      <c r="L1426" s="58"/>
      <c r="M1426" s="14" t="s">
        <v>1211</v>
      </c>
      <c r="N1426" s="14" t="s">
        <v>115</v>
      </c>
      <c r="O1426" s="14"/>
      <c r="P1426" s="15" t="s">
        <v>1461</v>
      </c>
      <c r="Q1426" s="16">
        <v>14999</v>
      </c>
      <c r="R1426" s="17">
        <v>46.94</v>
      </c>
      <c r="S1426" s="18">
        <v>9151.4354999999996</v>
      </c>
      <c r="T1426" s="19" t="s">
        <v>36</v>
      </c>
      <c r="U1426" s="20" t="s">
        <v>754</v>
      </c>
      <c r="V1426" s="22">
        <v>44</v>
      </c>
      <c r="W1426" s="22">
        <v>1</v>
      </c>
      <c r="X1426" s="23"/>
    </row>
    <row r="1427" spans="1:24" s="1" customFormat="1" ht="21" customHeight="1" x14ac:dyDescent="0.3">
      <c r="A1427" s="11" t="s">
        <v>23</v>
      </c>
      <c r="B1427" s="11" t="s">
        <v>1462</v>
      </c>
      <c r="C1427" s="26" t="s">
        <v>1463</v>
      </c>
      <c r="D1427" s="59"/>
      <c r="E1427" s="41" t="str">
        <f>HYPERLINK("https://www.google.ru/search?q=3025054-001&amp;newwindow=1&amp;tbm=isch","Еще фото")</f>
        <v>Еще фото</v>
      </c>
      <c r="F1427" s="13"/>
      <c r="G1427" s="11" t="s">
        <v>1184</v>
      </c>
      <c r="H1427" s="11" t="s">
        <v>741</v>
      </c>
      <c r="I1427" s="14" t="s">
        <v>1185</v>
      </c>
      <c r="J1427" s="14" t="s">
        <v>29</v>
      </c>
      <c r="K1427" s="15" t="s">
        <v>59</v>
      </c>
      <c r="L1427" s="57" t="s">
        <v>1464</v>
      </c>
      <c r="M1427" s="14" t="s">
        <v>1211</v>
      </c>
      <c r="N1427" s="14" t="s">
        <v>33</v>
      </c>
      <c r="O1427" s="14"/>
      <c r="P1427" s="15" t="s">
        <v>1465</v>
      </c>
      <c r="Q1427" s="16">
        <v>11999</v>
      </c>
      <c r="R1427" s="17">
        <v>46.93</v>
      </c>
      <c r="S1427" s="18">
        <v>7322.9354999999996</v>
      </c>
      <c r="T1427" s="19" t="s">
        <v>36</v>
      </c>
      <c r="U1427" s="20" t="s">
        <v>1203</v>
      </c>
      <c r="V1427" s="22">
        <v>36</v>
      </c>
      <c r="W1427" s="22">
        <v>1</v>
      </c>
      <c r="X1427" s="23"/>
    </row>
    <row r="1428" spans="1:24" s="1" customFormat="1" ht="21" customHeight="1" x14ac:dyDescent="0.3">
      <c r="A1428" s="24" t="s">
        <v>23</v>
      </c>
      <c r="B1428" s="24" t="s">
        <v>1462</v>
      </c>
      <c r="C1428" s="27" t="s">
        <v>1463</v>
      </c>
      <c r="D1428" s="60"/>
      <c r="E1428" s="41" t="str">
        <f>HYPERLINK("https://www.google.ru/search?q=3025054-001&amp;newwindow=1&amp;tbm=isch","Еще фото")</f>
        <v>Еще фото</v>
      </c>
      <c r="F1428" s="13"/>
      <c r="G1428" s="24" t="s">
        <v>1184</v>
      </c>
      <c r="H1428" s="24" t="s">
        <v>741</v>
      </c>
      <c r="I1428" s="24" t="s">
        <v>1185</v>
      </c>
      <c r="J1428" s="14" t="s">
        <v>29</v>
      </c>
      <c r="K1428" s="15" t="s">
        <v>59</v>
      </c>
      <c r="L1428" s="62"/>
      <c r="M1428" s="14" t="s">
        <v>1211</v>
      </c>
      <c r="N1428" s="14" t="s">
        <v>33</v>
      </c>
      <c r="O1428" s="14"/>
      <c r="P1428" s="15" t="s">
        <v>1465</v>
      </c>
      <c r="Q1428" s="16">
        <v>11999</v>
      </c>
      <c r="R1428" s="17">
        <v>46.93</v>
      </c>
      <c r="S1428" s="18">
        <v>7322.9354999999996</v>
      </c>
      <c r="T1428" s="19" t="s">
        <v>36</v>
      </c>
      <c r="U1428" s="20" t="s">
        <v>1196</v>
      </c>
      <c r="V1428" s="34">
        <v>36.5</v>
      </c>
      <c r="W1428" s="22">
        <v>5</v>
      </c>
      <c r="X1428" s="23"/>
    </row>
    <row r="1429" spans="1:24" s="1" customFormat="1" ht="21" customHeight="1" x14ac:dyDescent="0.3">
      <c r="A1429" s="24" t="s">
        <v>23</v>
      </c>
      <c r="B1429" s="24" t="s">
        <v>1462</v>
      </c>
      <c r="C1429" s="27" t="s">
        <v>1463</v>
      </c>
      <c r="D1429" s="60"/>
      <c r="E1429" s="41" t="str">
        <f>HYPERLINK("https://www.google.ru/search?q=3025054-001&amp;newwindow=1&amp;tbm=isch","Еще фото")</f>
        <v>Еще фото</v>
      </c>
      <c r="F1429" s="13"/>
      <c r="G1429" s="24" t="s">
        <v>1184</v>
      </c>
      <c r="H1429" s="24" t="s">
        <v>741</v>
      </c>
      <c r="I1429" s="24" t="s">
        <v>1185</v>
      </c>
      <c r="J1429" s="14" t="s">
        <v>29</v>
      </c>
      <c r="K1429" s="15" t="s">
        <v>59</v>
      </c>
      <c r="L1429" s="62"/>
      <c r="M1429" s="14" t="s">
        <v>1211</v>
      </c>
      <c r="N1429" s="14" t="s">
        <v>33</v>
      </c>
      <c r="O1429" s="14"/>
      <c r="P1429" s="15" t="s">
        <v>1465</v>
      </c>
      <c r="Q1429" s="16">
        <v>11999</v>
      </c>
      <c r="R1429" s="17">
        <v>46.93</v>
      </c>
      <c r="S1429" s="18">
        <v>7322.9354999999996</v>
      </c>
      <c r="T1429" s="19" t="s">
        <v>36</v>
      </c>
      <c r="U1429" s="20" t="s">
        <v>746</v>
      </c>
      <c r="V1429" s="22">
        <v>37</v>
      </c>
      <c r="W1429" s="22">
        <v>10</v>
      </c>
      <c r="X1429" s="23"/>
    </row>
    <row r="1430" spans="1:24" s="1" customFormat="1" ht="21" customHeight="1" x14ac:dyDescent="0.3">
      <c r="A1430" s="24" t="s">
        <v>23</v>
      </c>
      <c r="B1430" s="24" t="s">
        <v>1462</v>
      </c>
      <c r="C1430" s="27" t="s">
        <v>1463</v>
      </c>
      <c r="D1430" s="60"/>
      <c r="E1430" s="41" t="str">
        <f>HYPERLINK("https://www.google.ru/search?q=3025054-001&amp;newwindow=1&amp;tbm=isch","Еще фото")</f>
        <v>Еще фото</v>
      </c>
      <c r="F1430" s="13"/>
      <c r="G1430" s="24" t="s">
        <v>1184</v>
      </c>
      <c r="H1430" s="24" t="s">
        <v>741</v>
      </c>
      <c r="I1430" s="24" t="s">
        <v>1185</v>
      </c>
      <c r="J1430" s="14" t="s">
        <v>29</v>
      </c>
      <c r="K1430" s="15" t="s">
        <v>59</v>
      </c>
      <c r="L1430" s="62"/>
      <c r="M1430" s="14" t="s">
        <v>1211</v>
      </c>
      <c r="N1430" s="14" t="s">
        <v>33</v>
      </c>
      <c r="O1430" s="14"/>
      <c r="P1430" s="15" t="s">
        <v>1465</v>
      </c>
      <c r="Q1430" s="16">
        <v>11999</v>
      </c>
      <c r="R1430" s="17">
        <v>46.93</v>
      </c>
      <c r="S1430" s="18">
        <v>7322.9354999999996</v>
      </c>
      <c r="T1430" s="19" t="s">
        <v>36</v>
      </c>
      <c r="U1430" s="20" t="s">
        <v>747</v>
      </c>
      <c r="V1430" s="34">
        <v>37.5</v>
      </c>
      <c r="W1430" s="22">
        <v>4</v>
      </c>
      <c r="X1430" s="23"/>
    </row>
    <row r="1431" spans="1:24" s="1" customFormat="1" ht="32" customHeight="1" x14ac:dyDescent="0.3">
      <c r="A1431" s="24" t="s">
        <v>23</v>
      </c>
      <c r="B1431" s="24" t="s">
        <v>1462</v>
      </c>
      <c r="C1431" s="27" t="s">
        <v>1463</v>
      </c>
      <c r="D1431" s="61"/>
      <c r="E1431" s="41" t="str">
        <f>HYPERLINK("https://www.google.ru/search?q=3025054-001&amp;newwindow=1&amp;tbm=isch","Еще фото")</f>
        <v>Еще фото</v>
      </c>
      <c r="F1431" s="13"/>
      <c r="G1431" s="24" t="s">
        <v>1184</v>
      </c>
      <c r="H1431" s="24" t="s">
        <v>741</v>
      </c>
      <c r="I1431" s="24" t="s">
        <v>1185</v>
      </c>
      <c r="J1431" s="14" t="s">
        <v>29</v>
      </c>
      <c r="K1431" s="15" t="s">
        <v>59</v>
      </c>
      <c r="L1431" s="58"/>
      <c r="M1431" s="14" t="s">
        <v>1211</v>
      </c>
      <c r="N1431" s="14" t="s">
        <v>33</v>
      </c>
      <c r="O1431" s="14"/>
      <c r="P1431" s="15" t="s">
        <v>1465</v>
      </c>
      <c r="Q1431" s="16">
        <v>11999</v>
      </c>
      <c r="R1431" s="17">
        <v>46.93</v>
      </c>
      <c r="S1431" s="18">
        <v>7322.9354999999996</v>
      </c>
      <c r="T1431" s="19" t="s">
        <v>36</v>
      </c>
      <c r="U1431" s="20" t="s">
        <v>750</v>
      </c>
      <c r="V1431" s="34">
        <v>39.5</v>
      </c>
      <c r="W1431" s="22">
        <v>3</v>
      </c>
      <c r="X1431" s="23"/>
    </row>
    <row r="1432" spans="1:24" s="1" customFormat="1" ht="108" customHeight="1" x14ac:dyDescent="0.3">
      <c r="A1432" s="11" t="s">
        <v>23</v>
      </c>
      <c r="B1432" s="11" t="s">
        <v>1466</v>
      </c>
      <c r="C1432" s="12" t="s">
        <v>1467</v>
      </c>
      <c r="D1432" s="25"/>
      <c r="E1432" s="41" t="str">
        <f>HYPERLINK("https://www.google.ru/search?q=3022955-001&amp;newwindow=1&amp;tbm=isch","Еще фото")</f>
        <v>Еще фото</v>
      </c>
      <c r="F1432" s="13"/>
      <c r="G1432" s="11" t="s">
        <v>1184</v>
      </c>
      <c r="H1432" s="11" t="s">
        <v>741</v>
      </c>
      <c r="I1432" s="14" t="s">
        <v>1185</v>
      </c>
      <c r="J1432" s="14" t="s">
        <v>29</v>
      </c>
      <c r="K1432" s="15" t="s">
        <v>59</v>
      </c>
      <c r="L1432" s="14" t="s">
        <v>1468</v>
      </c>
      <c r="M1432" s="14" t="s">
        <v>45</v>
      </c>
      <c r="N1432" s="14" t="s">
        <v>33</v>
      </c>
      <c r="O1432" s="14" t="s">
        <v>34</v>
      </c>
      <c r="P1432" s="15" t="s">
        <v>1469</v>
      </c>
      <c r="Q1432" s="16">
        <v>7799</v>
      </c>
      <c r="R1432" s="17">
        <v>46.15</v>
      </c>
      <c r="S1432" s="18">
        <v>4829.9884999999995</v>
      </c>
      <c r="T1432" s="19" t="s">
        <v>36</v>
      </c>
      <c r="U1432" s="20" t="s">
        <v>1203</v>
      </c>
      <c r="V1432" s="22">
        <v>36</v>
      </c>
      <c r="W1432" s="22">
        <v>1</v>
      </c>
      <c r="X1432" s="23"/>
    </row>
    <row r="1433" spans="1:24" s="1" customFormat="1" ht="52.05" customHeight="1" x14ac:dyDescent="0.3">
      <c r="A1433" s="11" t="s">
        <v>23</v>
      </c>
      <c r="B1433" s="11" t="s">
        <v>1470</v>
      </c>
      <c r="C1433" s="12" t="s">
        <v>1471</v>
      </c>
      <c r="D1433" s="55"/>
      <c r="E1433" s="41" t="str">
        <f>HYPERLINK("https://www.google.ru/search?q=3027007-403&amp;newwindow=1&amp;tbm=isch","Еще фото")</f>
        <v>Еще фото</v>
      </c>
      <c r="F1433" s="13"/>
      <c r="G1433" s="11" t="s">
        <v>1184</v>
      </c>
      <c r="H1433" s="11" t="s">
        <v>741</v>
      </c>
      <c r="I1433" s="14" t="s">
        <v>1185</v>
      </c>
      <c r="J1433" s="14" t="s">
        <v>29</v>
      </c>
      <c r="K1433" s="15" t="s">
        <v>59</v>
      </c>
      <c r="L1433" s="57" t="s">
        <v>1472</v>
      </c>
      <c r="M1433" s="14"/>
      <c r="N1433" s="14" t="s">
        <v>115</v>
      </c>
      <c r="O1433" s="14"/>
      <c r="P1433" s="15" t="s">
        <v>1473</v>
      </c>
      <c r="Q1433" s="16">
        <v>7799</v>
      </c>
      <c r="R1433" s="17">
        <v>46.15</v>
      </c>
      <c r="S1433" s="18">
        <v>4829.9884999999995</v>
      </c>
      <c r="T1433" s="19" t="s">
        <v>36</v>
      </c>
      <c r="U1433" s="20" t="s">
        <v>1203</v>
      </c>
      <c r="V1433" s="22">
        <v>36</v>
      </c>
      <c r="W1433" s="22">
        <v>6</v>
      </c>
      <c r="X1433" s="23"/>
    </row>
    <row r="1434" spans="1:24" s="1" customFormat="1" ht="61.05" customHeight="1" x14ac:dyDescent="0.3">
      <c r="A1434" s="24" t="s">
        <v>23</v>
      </c>
      <c r="B1434" s="24" t="s">
        <v>1470</v>
      </c>
      <c r="C1434" s="12" t="s">
        <v>1471</v>
      </c>
      <c r="D1434" s="56"/>
      <c r="E1434" s="41" t="str">
        <f>HYPERLINK("https://www.google.ru/search?q=3027007-403&amp;newwindow=1&amp;tbm=isch","Еще фото")</f>
        <v>Еще фото</v>
      </c>
      <c r="F1434" s="13"/>
      <c r="G1434" s="24" t="s">
        <v>1184</v>
      </c>
      <c r="H1434" s="24" t="s">
        <v>741</v>
      </c>
      <c r="I1434" s="24" t="s">
        <v>1185</v>
      </c>
      <c r="J1434" s="14" t="s">
        <v>29</v>
      </c>
      <c r="K1434" s="15" t="s">
        <v>59</v>
      </c>
      <c r="L1434" s="58"/>
      <c r="M1434" s="14"/>
      <c r="N1434" s="14" t="s">
        <v>115</v>
      </c>
      <c r="O1434" s="14"/>
      <c r="P1434" s="15" t="s">
        <v>1473</v>
      </c>
      <c r="Q1434" s="16">
        <v>7799</v>
      </c>
      <c r="R1434" s="17">
        <v>46.15</v>
      </c>
      <c r="S1434" s="18">
        <v>4829.9884999999995</v>
      </c>
      <c r="T1434" s="19" t="s">
        <v>36</v>
      </c>
      <c r="U1434" s="20" t="s">
        <v>750</v>
      </c>
      <c r="V1434" s="34">
        <v>39.5</v>
      </c>
      <c r="W1434" s="22">
        <v>2</v>
      </c>
      <c r="X1434" s="23"/>
    </row>
    <row r="1435" spans="1:24" s="1" customFormat="1" ht="108" customHeight="1" x14ac:dyDescent="0.3">
      <c r="A1435" s="11" t="s">
        <v>23</v>
      </c>
      <c r="B1435" s="11" t="s">
        <v>1470</v>
      </c>
      <c r="C1435" s="12" t="s">
        <v>1474</v>
      </c>
      <c r="D1435" s="25"/>
      <c r="E1435" s="41" t="str">
        <f>HYPERLINK("https://www.google.ru/search?q=3027007-672&amp;newwindow=1&amp;tbm=isch","Еще фото")</f>
        <v>Еще фото</v>
      </c>
      <c r="F1435" s="13" t="s">
        <v>103</v>
      </c>
      <c r="G1435" s="11" t="s">
        <v>1184</v>
      </c>
      <c r="H1435" s="11" t="s">
        <v>741</v>
      </c>
      <c r="I1435" s="14" t="s">
        <v>1185</v>
      </c>
      <c r="J1435" s="14" t="s">
        <v>29</v>
      </c>
      <c r="K1435" s="15" t="s">
        <v>59</v>
      </c>
      <c r="L1435" s="14" t="s">
        <v>1472</v>
      </c>
      <c r="M1435" s="14"/>
      <c r="N1435" s="14" t="s">
        <v>69</v>
      </c>
      <c r="O1435" s="14"/>
      <c r="P1435" s="15" t="s">
        <v>745</v>
      </c>
      <c r="Q1435" s="16">
        <v>7799</v>
      </c>
      <c r="R1435" s="17">
        <v>46.15</v>
      </c>
      <c r="S1435" s="18">
        <v>4829.9884999999995</v>
      </c>
      <c r="T1435" s="19" t="s">
        <v>36</v>
      </c>
      <c r="U1435" s="20" t="s">
        <v>746</v>
      </c>
      <c r="V1435" s="22">
        <v>37</v>
      </c>
      <c r="W1435" s="22">
        <v>2</v>
      </c>
      <c r="X1435" s="23"/>
    </row>
    <row r="1436" spans="1:24" s="1" customFormat="1" ht="108" customHeight="1" x14ac:dyDescent="0.3">
      <c r="A1436" s="11" t="s">
        <v>23</v>
      </c>
      <c r="B1436" s="11" t="s">
        <v>1475</v>
      </c>
      <c r="C1436" s="12" t="s">
        <v>1476</v>
      </c>
      <c r="D1436" s="25"/>
      <c r="E1436" s="41" t="str">
        <f>HYPERLINK("https://www.google.ru/search?q=3021187-004&amp;newwindow=1&amp;tbm=isch","Еще фото")</f>
        <v>Еще фото</v>
      </c>
      <c r="F1436" s="13"/>
      <c r="G1436" s="11" t="s">
        <v>1184</v>
      </c>
      <c r="H1436" s="11" t="s">
        <v>741</v>
      </c>
      <c r="I1436" s="14" t="s">
        <v>1185</v>
      </c>
      <c r="J1436" s="14" t="s">
        <v>29</v>
      </c>
      <c r="K1436" s="15" t="s">
        <v>59</v>
      </c>
      <c r="L1436" s="14" t="s">
        <v>1477</v>
      </c>
      <c r="M1436" s="14"/>
      <c r="N1436" s="14" t="s">
        <v>33</v>
      </c>
      <c r="O1436" s="14" t="s">
        <v>306</v>
      </c>
      <c r="P1436" s="15" t="s">
        <v>1395</v>
      </c>
      <c r="Q1436" s="16">
        <v>6499</v>
      </c>
      <c r="R1436" s="17">
        <v>46.15</v>
      </c>
      <c r="S1436" s="18">
        <v>4024.9884999999995</v>
      </c>
      <c r="T1436" s="19" t="s">
        <v>36</v>
      </c>
      <c r="U1436" s="20" t="s">
        <v>1203</v>
      </c>
      <c r="V1436" s="22">
        <v>36</v>
      </c>
      <c r="W1436" s="22">
        <v>1</v>
      </c>
      <c r="X1436" s="23"/>
    </row>
    <row r="1437" spans="1:24" s="1" customFormat="1" ht="108" customHeight="1" x14ac:dyDescent="0.3">
      <c r="A1437" s="11" t="s">
        <v>23</v>
      </c>
      <c r="B1437" s="11" t="s">
        <v>1478</v>
      </c>
      <c r="C1437" s="12" t="s">
        <v>1479</v>
      </c>
      <c r="D1437" s="25"/>
      <c r="E1437" s="41" t="str">
        <f>HYPERLINK("https://www.google.ru/search?q=1295755-001&amp;newwindow=1&amp;tbm=isch","Еще фото")</f>
        <v>Еще фото</v>
      </c>
      <c r="F1437" s="13"/>
      <c r="G1437" s="11" t="s">
        <v>1184</v>
      </c>
      <c r="H1437" s="11" t="s">
        <v>741</v>
      </c>
      <c r="I1437" s="14" t="s">
        <v>1185</v>
      </c>
      <c r="J1437" s="14" t="s">
        <v>29</v>
      </c>
      <c r="K1437" s="15" t="s">
        <v>59</v>
      </c>
      <c r="L1437" s="14" t="s">
        <v>1480</v>
      </c>
      <c r="M1437" s="14" t="s">
        <v>45</v>
      </c>
      <c r="N1437" s="14" t="s">
        <v>33</v>
      </c>
      <c r="O1437" s="14" t="s">
        <v>34</v>
      </c>
      <c r="P1437" s="15" t="s">
        <v>1481</v>
      </c>
      <c r="Q1437" s="16">
        <v>8899</v>
      </c>
      <c r="R1437" s="17">
        <v>46.06</v>
      </c>
      <c r="S1437" s="18">
        <v>5519.9884999999995</v>
      </c>
      <c r="T1437" s="19" t="s">
        <v>36</v>
      </c>
      <c r="U1437" s="20" t="s">
        <v>1196</v>
      </c>
      <c r="V1437" s="34">
        <v>36.5</v>
      </c>
      <c r="W1437" s="22">
        <v>1</v>
      </c>
      <c r="X1437" s="23"/>
    </row>
    <row r="1438" spans="1:24" s="1" customFormat="1" ht="108" customHeight="1" x14ac:dyDescent="0.3">
      <c r="A1438" s="11" t="s">
        <v>23</v>
      </c>
      <c r="B1438" s="11" t="s">
        <v>1197</v>
      </c>
      <c r="C1438" s="12" t="s">
        <v>1482</v>
      </c>
      <c r="D1438" s="25"/>
      <c r="E1438" s="41" t="str">
        <f>HYPERLINK("https://www.google.ru/search?q=3024889-100&amp;newwindow=1&amp;tbm=isch","Еще фото")</f>
        <v>Еще фото</v>
      </c>
      <c r="F1438" s="13"/>
      <c r="G1438" s="11" t="s">
        <v>1184</v>
      </c>
      <c r="H1438" s="11" t="s">
        <v>741</v>
      </c>
      <c r="I1438" s="14" t="s">
        <v>1185</v>
      </c>
      <c r="J1438" s="14" t="s">
        <v>29</v>
      </c>
      <c r="K1438" s="15" t="s">
        <v>59</v>
      </c>
      <c r="L1438" s="14" t="s">
        <v>1199</v>
      </c>
      <c r="M1438" s="14" t="s">
        <v>1194</v>
      </c>
      <c r="N1438" s="14" t="s">
        <v>84</v>
      </c>
      <c r="O1438" s="14"/>
      <c r="P1438" s="15" t="s">
        <v>1200</v>
      </c>
      <c r="Q1438" s="16">
        <v>8899</v>
      </c>
      <c r="R1438" s="17">
        <v>46.06</v>
      </c>
      <c r="S1438" s="18">
        <v>5519.9884999999995</v>
      </c>
      <c r="T1438" s="19" t="s">
        <v>36</v>
      </c>
      <c r="U1438" s="20" t="s">
        <v>1190</v>
      </c>
      <c r="V1438" s="34">
        <v>35.5</v>
      </c>
      <c r="W1438" s="22">
        <v>7</v>
      </c>
      <c r="X1438" s="23"/>
    </row>
    <row r="1439" spans="1:24" s="1" customFormat="1" ht="108" customHeight="1" x14ac:dyDescent="0.3">
      <c r="A1439" s="11" t="s">
        <v>23</v>
      </c>
      <c r="B1439" s="11" t="s">
        <v>1483</v>
      </c>
      <c r="C1439" s="12" t="s">
        <v>1484</v>
      </c>
      <c r="D1439" s="25"/>
      <c r="E1439" s="41" t="str">
        <f>HYPERLINK("https://www.google.ru/search?q=3026686-300&amp;newwindow=1&amp;tbm=isch","Еще фото")</f>
        <v>Еще фото</v>
      </c>
      <c r="F1439" s="13"/>
      <c r="G1439" s="11" t="s">
        <v>1184</v>
      </c>
      <c r="H1439" s="11" t="s">
        <v>741</v>
      </c>
      <c r="I1439" s="14" t="s">
        <v>1185</v>
      </c>
      <c r="J1439" s="14" t="s">
        <v>29</v>
      </c>
      <c r="K1439" s="15" t="s">
        <v>59</v>
      </c>
      <c r="L1439" s="14" t="s">
        <v>1485</v>
      </c>
      <c r="M1439" s="14" t="s">
        <v>1274</v>
      </c>
      <c r="N1439" s="14" t="s">
        <v>127</v>
      </c>
      <c r="O1439" s="14"/>
      <c r="P1439" s="15" t="s">
        <v>1486</v>
      </c>
      <c r="Q1439" s="16">
        <v>8899</v>
      </c>
      <c r="R1439" s="17">
        <v>46.06</v>
      </c>
      <c r="S1439" s="18">
        <v>5519.9884999999995</v>
      </c>
      <c r="T1439" s="19" t="s">
        <v>36</v>
      </c>
      <c r="U1439" s="20" t="s">
        <v>746</v>
      </c>
      <c r="V1439" s="22">
        <v>37</v>
      </c>
      <c r="W1439" s="22">
        <v>1</v>
      </c>
      <c r="X1439" s="23"/>
    </row>
    <row r="1440" spans="1:24" s="1" customFormat="1" ht="52.05" customHeight="1" x14ac:dyDescent="0.3">
      <c r="A1440" s="11" t="s">
        <v>23</v>
      </c>
      <c r="B1440" s="11" t="s">
        <v>1487</v>
      </c>
      <c r="C1440" s="12" t="s">
        <v>1488</v>
      </c>
      <c r="D1440" s="55"/>
      <c r="E1440" s="41" t="str">
        <f>HYPERLINK("https://www.google.ru/search?q=3028261-002&amp;newwindow=1&amp;tbm=isch","Еще фото")</f>
        <v>Еще фото</v>
      </c>
      <c r="F1440" s="13"/>
      <c r="G1440" s="11" t="s">
        <v>1184</v>
      </c>
      <c r="H1440" s="11" t="s">
        <v>741</v>
      </c>
      <c r="I1440" s="14" t="s">
        <v>1185</v>
      </c>
      <c r="J1440" s="14" t="s">
        <v>29</v>
      </c>
      <c r="K1440" s="15" t="s">
        <v>59</v>
      </c>
      <c r="L1440" s="57" t="s">
        <v>1489</v>
      </c>
      <c r="M1440" s="14"/>
      <c r="N1440" s="14" t="s">
        <v>33</v>
      </c>
      <c r="O1440" s="14"/>
      <c r="P1440" s="15" t="s">
        <v>745</v>
      </c>
      <c r="Q1440" s="16">
        <v>8899</v>
      </c>
      <c r="R1440" s="17">
        <v>46.06</v>
      </c>
      <c r="S1440" s="18">
        <v>5519.9884999999995</v>
      </c>
      <c r="T1440" s="19" t="s">
        <v>36</v>
      </c>
      <c r="U1440" s="20" t="s">
        <v>1190</v>
      </c>
      <c r="V1440" s="34">
        <v>35.5</v>
      </c>
      <c r="W1440" s="22">
        <v>1</v>
      </c>
      <c r="X1440" s="23"/>
    </row>
    <row r="1441" spans="1:24" s="1" customFormat="1" ht="61.05" customHeight="1" x14ac:dyDescent="0.3">
      <c r="A1441" s="24" t="s">
        <v>23</v>
      </c>
      <c r="B1441" s="24" t="s">
        <v>1487</v>
      </c>
      <c r="C1441" s="12" t="s">
        <v>1488</v>
      </c>
      <c r="D1441" s="56"/>
      <c r="E1441" s="41" t="str">
        <f>HYPERLINK("https://www.google.ru/search?q=3028261-002&amp;newwindow=1&amp;tbm=isch","Еще фото")</f>
        <v>Еще фото</v>
      </c>
      <c r="F1441" s="13"/>
      <c r="G1441" s="24" t="s">
        <v>1184</v>
      </c>
      <c r="H1441" s="24" t="s">
        <v>741</v>
      </c>
      <c r="I1441" s="24" t="s">
        <v>1185</v>
      </c>
      <c r="J1441" s="14" t="s">
        <v>29</v>
      </c>
      <c r="K1441" s="15" t="s">
        <v>59</v>
      </c>
      <c r="L1441" s="58"/>
      <c r="M1441" s="14"/>
      <c r="N1441" s="14" t="s">
        <v>33</v>
      </c>
      <c r="O1441" s="14"/>
      <c r="P1441" s="15" t="s">
        <v>745</v>
      </c>
      <c r="Q1441" s="16">
        <v>8899</v>
      </c>
      <c r="R1441" s="17">
        <v>46.06</v>
      </c>
      <c r="S1441" s="18">
        <v>5519.9884999999995</v>
      </c>
      <c r="T1441" s="19" t="s">
        <v>36</v>
      </c>
      <c r="U1441" s="20" t="s">
        <v>746</v>
      </c>
      <c r="V1441" s="22">
        <v>37</v>
      </c>
      <c r="W1441" s="22">
        <v>1</v>
      </c>
      <c r="X1441" s="23"/>
    </row>
    <row r="1442" spans="1:24" s="1" customFormat="1" ht="52.05" customHeight="1" x14ac:dyDescent="0.3">
      <c r="A1442" s="11" t="s">
        <v>23</v>
      </c>
      <c r="B1442" s="11" t="s">
        <v>1490</v>
      </c>
      <c r="C1442" s="12" t="s">
        <v>1491</v>
      </c>
      <c r="D1442" s="55"/>
      <c r="E1442" s="41" t="str">
        <f>HYPERLINK("https://www.google.ru/search?q=3024903-101&amp;newwindow=1&amp;tbm=isch","Еще фото")</f>
        <v>Еще фото</v>
      </c>
      <c r="F1442" s="13"/>
      <c r="G1442" s="11" t="s">
        <v>1184</v>
      </c>
      <c r="H1442" s="11" t="s">
        <v>741</v>
      </c>
      <c r="I1442" s="14" t="s">
        <v>1185</v>
      </c>
      <c r="J1442" s="14" t="s">
        <v>29</v>
      </c>
      <c r="K1442" s="15" t="s">
        <v>30</v>
      </c>
      <c r="L1442" s="57" t="s">
        <v>1492</v>
      </c>
      <c r="M1442" s="14" t="s">
        <v>1187</v>
      </c>
      <c r="N1442" s="14" t="s">
        <v>62</v>
      </c>
      <c r="O1442" s="14" t="s">
        <v>34</v>
      </c>
      <c r="P1442" s="15" t="s">
        <v>1493</v>
      </c>
      <c r="Q1442" s="16">
        <v>24199</v>
      </c>
      <c r="R1442" s="17">
        <v>46</v>
      </c>
      <c r="S1442" s="18">
        <v>15027.578999999998</v>
      </c>
      <c r="T1442" s="19" t="s">
        <v>36</v>
      </c>
      <c r="U1442" s="20" t="s">
        <v>747</v>
      </c>
      <c r="V1442" s="34">
        <v>39.5</v>
      </c>
      <c r="W1442" s="22">
        <v>1</v>
      </c>
      <c r="X1442" s="23"/>
    </row>
    <row r="1443" spans="1:24" s="1" customFormat="1" ht="61.05" customHeight="1" x14ac:dyDescent="0.3">
      <c r="A1443" s="24" t="s">
        <v>23</v>
      </c>
      <c r="B1443" s="24" t="s">
        <v>1490</v>
      </c>
      <c r="C1443" s="12" t="s">
        <v>1491</v>
      </c>
      <c r="D1443" s="56"/>
      <c r="E1443" s="41" t="str">
        <f>HYPERLINK("https://www.google.ru/search?q=3024903-101&amp;newwindow=1&amp;tbm=isch","Еще фото")</f>
        <v>Еще фото</v>
      </c>
      <c r="F1443" s="13"/>
      <c r="G1443" s="24" t="s">
        <v>1184</v>
      </c>
      <c r="H1443" s="24" t="s">
        <v>741</v>
      </c>
      <c r="I1443" s="24" t="s">
        <v>1185</v>
      </c>
      <c r="J1443" s="14" t="s">
        <v>29</v>
      </c>
      <c r="K1443" s="15" t="s">
        <v>30</v>
      </c>
      <c r="L1443" s="58"/>
      <c r="M1443" s="14" t="s">
        <v>1187</v>
      </c>
      <c r="N1443" s="14" t="s">
        <v>62</v>
      </c>
      <c r="O1443" s="14" t="s">
        <v>34</v>
      </c>
      <c r="P1443" s="15" t="s">
        <v>1493</v>
      </c>
      <c r="Q1443" s="16">
        <v>24199</v>
      </c>
      <c r="R1443" s="17">
        <v>46</v>
      </c>
      <c r="S1443" s="18">
        <v>15027.578999999998</v>
      </c>
      <c r="T1443" s="19" t="s">
        <v>36</v>
      </c>
      <c r="U1443" s="20" t="s">
        <v>748</v>
      </c>
      <c r="V1443" s="22">
        <v>40</v>
      </c>
      <c r="W1443" s="22">
        <v>1</v>
      </c>
      <c r="X1443" s="23"/>
    </row>
    <row r="1444" spans="1:24" s="1" customFormat="1" ht="21" customHeight="1" x14ac:dyDescent="0.3">
      <c r="A1444" s="11" t="s">
        <v>23</v>
      </c>
      <c r="B1444" s="11" t="s">
        <v>1351</v>
      </c>
      <c r="C1444" s="26" t="s">
        <v>1494</v>
      </c>
      <c r="D1444" s="59"/>
      <c r="E1444" s="41" t="str">
        <f>HYPERLINK("https://www.google.ru/search?q=3027005-002&amp;newwindow=1&amp;tbm=isch","Еще фото")</f>
        <v>Еще фото</v>
      </c>
      <c r="F1444" s="13"/>
      <c r="G1444" s="11" t="s">
        <v>1184</v>
      </c>
      <c r="H1444" s="11" t="s">
        <v>741</v>
      </c>
      <c r="I1444" s="14" t="s">
        <v>1185</v>
      </c>
      <c r="J1444" s="14" t="s">
        <v>29</v>
      </c>
      <c r="K1444" s="15" t="s">
        <v>59</v>
      </c>
      <c r="L1444" s="57" t="s">
        <v>1353</v>
      </c>
      <c r="M1444" s="14"/>
      <c r="N1444" s="14" t="s">
        <v>33</v>
      </c>
      <c r="O1444" s="14"/>
      <c r="P1444" s="15" t="s">
        <v>1495</v>
      </c>
      <c r="Q1444" s="16">
        <v>11099</v>
      </c>
      <c r="R1444" s="17">
        <v>46</v>
      </c>
      <c r="S1444" s="18">
        <v>6892.4789999999994</v>
      </c>
      <c r="T1444" s="19" t="s">
        <v>36</v>
      </c>
      <c r="U1444" s="20" t="s">
        <v>1196</v>
      </c>
      <c r="V1444" s="34">
        <v>36.5</v>
      </c>
      <c r="W1444" s="22">
        <v>1</v>
      </c>
      <c r="X1444" s="23"/>
    </row>
    <row r="1445" spans="1:24" s="1" customFormat="1" ht="21" customHeight="1" x14ac:dyDescent="0.3">
      <c r="A1445" s="24" t="s">
        <v>23</v>
      </c>
      <c r="B1445" s="24" t="s">
        <v>1351</v>
      </c>
      <c r="C1445" s="27" t="s">
        <v>1494</v>
      </c>
      <c r="D1445" s="60"/>
      <c r="E1445" s="41" t="str">
        <f>HYPERLINK("https://www.google.ru/search?q=3027005-002&amp;newwindow=1&amp;tbm=isch","Еще фото")</f>
        <v>Еще фото</v>
      </c>
      <c r="F1445" s="13"/>
      <c r="G1445" s="24" t="s">
        <v>1184</v>
      </c>
      <c r="H1445" s="24" t="s">
        <v>741</v>
      </c>
      <c r="I1445" s="24" t="s">
        <v>1185</v>
      </c>
      <c r="J1445" s="14" t="s">
        <v>29</v>
      </c>
      <c r="K1445" s="15" t="s">
        <v>59</v>
      </c>
      <c r="L1445" s="62"/>
      <c r="M1445" s="14"/>
      <c r="N1445" s="14" t="s">
        <v>33</v>
      </c>
      <c r="O1445" s="14"/>
      <c r="P1445" s="15" t="s">
        <v>1495</v>
      </c>
      <c r="Q1445" s="16">
        <v>11099</v>
      </c>
      <c r="R1445" s="17">
        <v>46</v>
      </c>
      <c r="S1445" s="18">
        <v>6892.4789999999994</v>
      </c>
      <c r="T1445" s="19" t="s">
        <v>36</v>
      </c>
      <c r="U1445" s="20" t="s">
        <v>746</v>
      </c>
      <c r="V1445" s="22">
        <v>37</v>
      </c>
      <c r="W1445" s="22">
        <v>4</v>
      </c>
      <c r="X1445" s="23"/>
    </row>
    <row r="1446" spans="1:24" s="1" customFormat="1" ht="21" customHeight="1" x14ac:dyDescent="0.3">
      <c r="A1446" s="24" t="s">
        <v>23</v>
      </c>
      <c r="B1446" s="24" t="s">
        <v>1351</v>
      </c>
      <c r="C1446" s="27" t="s">
        <v>1494</v>
      </c>
      <c r="D1446" s="60"/>
      <c r="E1446" s="41" t="str">
        <f>HYPERLINK("https://www.google.ru/search?q=3027005-002&amp;newwindow=1&amp;tbm=isch","Еще фото")</f>
        <v>Еще фото</v>
      </c>
      <c r="F1446" s="13"/>
      <c r="G1446" s="24" t="s">
        <v>1184</v>
      </c>
      <c r="H1446" s="24" t="s">
        <v>741</v>
      </c>
      <c r="I1446" s="24" t="s">
        <v>1185</v>
      </c>
      <c r="J1446" s="14" t="s">
        <v>29</v>
      </c>
      <c r="K1446" s="15" t="s">
        <v>59</v>
      </c>
      <c r="L1446" s="62"/>
      <c r="M1446" s="14"/>
      <c r="N1446" s="14" t="s">
        <v>33</v>
      </c>
      <c r="O1446" s="14"/>
      <c r="P1446" s="15" t="s">
        <v>1495</v>
      </c>
      <c r="Q1446" s="16">
        <v>11099</v>
      </c>
      <c r="R1446" s="17">
        <v>46</v>
      </c>
      <c r="S1446" s="18">
        <v>6892.4789999999994</v>
      </c>
      <c r="T1446" s="19" t="s">
        <v>36</v>
      </c>
      <c r="U1446" s="20" t="s">
        <v>747</v>
      </c>
      <c r="V1446" s="34">
        <v>37.5</v>
      </c>
      <c r="W1446" s="22">
        <v>2</v>
      </c>
      <c r="X1446" s="23"/>
    </row>
    <row r="1447" spans="1:24" s="1" customFormat="1" ht="21" customHeight="1" x14ac:dyDescent="0.3">
      <c r="A1447" s="24" t="s">
        <v>23</v>
      </c>
      <c r="B1447" s="24" t="s">
        <v>1351</v>
      </c>
      <c r="C1447" s="27" t="s">
        <v>1494</v>
      </c>
      <c r="D1447" s="60"/>
      <c r="E1447" s="41" t="str">
        <f>HYPERLINK("https://www.google.ru/search?q=3027005-002&amp;newwindow=1&amp;tbm=isch","Еще фото")</f>
        <v>Еще фото</v>
      </c>
      <c r="F1447" s="13"/>
      <c r="G1447" s="24" t="s">
        <v>1184</v>
      </c>
      <c r="H1447" s="24" t="s">
        <v>741</v>
      </c>
      <c r="I1447" s="24" t="s">
        <v>1185</v>
      </c>
      <c r="J1447" s="14" t="s">
        <v>29</v>
      </c>
      <c r="K1447" s="15" t="s">
        <v>59</v>
      </c>
      <c r="L1447" s="62"/>
      <c r="M1447" s="14"/>
      <c r="N1447" s="14" t="s">
        <v>33</v>
      </c>
      <c r="O1447" s="14"/>
      <c r="P1447" s="15" t="s">
        <v>1495</v>
      </c>
      <c r="Q1447" s="16">
        <v>11099</v>
      </c>
      <c r="R1447" s="17">
        <v>46</v>
      </c>
      <c r="S1447" s="18">
        <v>6892.4789999999994</v>
      </c>
      <c r="T1447" s="19" t="s">
        <v>36</v>
      </c>
      <c r="U1447" s="20" t="s">
        <v>748</v>
      </c>
      <c r="V1447" s="22">
        <v>38</v>
      </c>
      <c r="W1447" s="22">
        <v>4</v>
      </c>
      <c r="X1447" s="23"/>
    </row>
    <row r="1448" spans="1:24" s="1" customFormat="1" ht="32" customHeight="1" x14ac:dyDescent="0.3">
      <c r="A1448" s="24" t="s">
        <v>23</v>
      </c>
      <c r="B1448" s="24" t="s">
        <v>1351</v>
      </c>
      <c r="C1448" s="27" t="s">
        <v>1494</v>
      </c>
      <c r="D1448" s="61"/>
      <c r="E1448" s="41" t="str">
        <f>HYPERLINK("https://www.google.ru/search?q=3027005-002&amp;newwindow=1&amp;tbm=isch","Еще фото")</f>
        <v>Еще фото</v>
      </c>
      <c r="F1448" s="13"/>
      <c r="G1448" s="24" t="s">
        <v>1184</v>
      </c>
      <c r="H1448" s="24" t="s">
        <v>741</v>
      </c>
      <c r="I1448" s="24" t="s">
        <v>1185</v>
      </c>
      <c r="J1448" s="14" t="s">
        <v>29</v>
      </c>
      <c r="K1448" s="15" t="s">
        <v>59</v>
      </c>
      <c r="L1448" s="58"/>
      <c r="M1448" s="14"/>
      <c r="N1448" s="14" t="s">
        <v>33</v>
      </c>
      <c r="O1448" s="14"/>
      <c r="P1448" s="15" t="s">
        <v>1495</v>
      </c>
      <c r="Q1448" s="16">
        <v>11099</v>
      </c>
      <c r="R1448" s="17">
        <v>46</v>
      </c>
      <c r="S1448" s="18">
        <v>6892.4789999999994</v>
      </c>
      <c r="T1448" s="19" t="s">
        <v>36</v>
      </c>
      <c r="U1448" s="20" t="s">
        <v>749</v>
      </c>
      <c r="V1448" s="22">
        <v>39</v>
      </c>
      <c r="W1448" s="22">
        <v>1</v>
      </c>
      <c r="X1448" s="23"/>
    </row>
    <row r="1449" spans="1:24" s="1" customFormat="1" ht="21" customHeight="1" x14ac:dyDescent="0.3">
      <c r="A1449" s="11" t="s">
        <v>23</v>
      </c>
      <c r="B1449" s="11" t="s">
        <v>1470</v>
      </c>
      <c r="C1449" s="26" t="s">
        <v>1496</v>
      </c>
      <c r="D1449" s="59"/>
      <c r="E1449" s="41" t="str">
        <f>HYPERLINK("https://www.google.ru/search?q=3027007-002&amp;newwindow=1&amp;tbm=isch","Еще фото")</f>
        <v>Еще фото</v>
      </c>
      <c r="F1449" s="13" t="s">
        <v>103</v>
      </c>
      <c r="G1449" s="11" t="s">
        <v>1184</v>
      </c>
      <c r="H1449" s="11" t="s">
        <v>741</v>
      </c>
      <c r="I1449" s="14" t="s">
        <v>1185</v>
      </c>
      <c r="J1449" s="14" t="s">
        <v>29</v>
      </c>
      <c r="K1449" s="15" t="s">
        <v>59</v>
      </c>
      <c r="L1449" s="57" t="s">
        <v>1472</v>
      </c>
      <c r="M1449" s="14"/>
      <c r="N1449" s="14" t="s">
        <v>33</v>
      </c>
      <c r="O1449" s="14"/>
      <c r="P1449" s="15" t="s">
        <v>745</v>
      </c>
      <c r="Q1449" s="16">
        <v>7899</v>
      </c>
      <c r="R1449" s="17">
        <v>46</v>
      </c>
      <c r="S1449" s="18">
        <v>4905.2789999999995</v>
      </c>
      <c r="T1449" s="19" t="s">
        <v>36</v>
      </c>
      <c r="U1449" s="20" t="s">
        <v>1203</v>
      </c>
      <c r="V1449" s="22">
        <v>36</v>
      </c>
      <c r="W1449" s="22">
        <v>11</v>
      </c>
      <c r="X1449" s="23"/>
    </row>
    <row r="1450" spans="1:24" s="1" customFormat="1" ht="21" customHeight="1" x14ac:dyDescent="0.3">
      <c r="A1450" s="24" t="s">
        <v>23</v>
      </c>
      <c r="B1450" s="24" t="s">
        <v>1470</v>
      </c>
      <c r="C1450" s="27" t="s">
        <v>1496</v>
      </c>
      <c r="D1450" s="60"/>
      <c r="E1450" s="41" t="str">
        <f>HYPERLINK("https://www.google.ru/search?q=3027007-002&amp;newwindow=1&amp;tbm=isch","Еще фото")</f>
        <v>Еще фото</v>
      </c>
      <c r="F1450" s="13" t="s">
        <v>103</v>
      </c>
      <c r="G1450" s="24" t="s">
        <v>1184</v>
      </c>
      <c r="H1450" s="24" t="s">
        <v>741</v>
      </c>
      <c r="I1450" s="24" t="s">
        <v>1185</v>
      </c>
      <c r="J1450" s="14" t="s">
        <v>29</v>
      </c>
      <c r="K1450" s="15" t="s">
        <v>59</v>
      </c>
      <c r="L1450" s="62"/>
      <c r="M1450" s="14"/>
      <c r="N1450" s="14" t="s">
        <v>33</v>
      </c>
      <c r="O1450" s="14"/>
      <c r="P1450" s="15" t="s">
        <v>745</v>
      </c>
      <c r="Q1450" s="16">
        <v>7899</v>
      </c>
      <c r="R1450" s="17">
        <v>46</v>
      </c>
      <c r="S1450" s="18">
        <v>4905.2789999999995</v>
      </c>
      <c r="T1450" s="19" t="s">
        <v>36</v>
      </c>
      <c r="U1450" s="20" t="s">
        <v>1196</v>
      </c>
      <c r="V1450" s="34">
        <v>36.5</v>
      </c>
      <c r="W1450" s="22">
        <v>12</v>
      </c>
      <c r="X1450" s="23"/>
    </row>
    <row r="1451" spans="1:24" s="1" customFormat="1" ht="21" customHeight="1" x14ac:dyDescent="0.3">
      <c r="A1451" s="24" t="s">
        <v>23</v>
      </c>
      <c r="B1451" s="24" t="s">
        <v>1470</v>
      </c>
      <c r="C1451" s="27" t="s">
        <v>1496</v>
      </c>
      <c r="D1451" s="60"/>
      <c r="E1451" s="41" t="str">
        <f>HYPERLINK("https://www.google.ru/search?q=3027007-002&amp;newwindow=1&amp;tbm=isch","Еще фото")</f>
        <v>Еще фото</v>
      </c>
      <c r="F1451" s="13" t="s">
        <v>103</v>
      </c>
      <c r="G1451" s="24" t="s">
        <v>1184</v>
      </c>
      <c r="H1451" s="24" t="s">
        <v>741</v>
      </c>
      <c r="I1451" s="24" t="s">
        <v>1185</v>
      </c>
      <c r="J1451" s="14" t="s">
        <v>29</v>
      </c>
      <c r="K1451" s="15" t="s">
        <v>59</v>
      </c>
      <c r="L1451" s="62"/>
      <c r="M1451" s="14"/>
      <c r="N1451" s="14" t="s">
        <v>33</v>
      </c>
      <c r="O1451" s="14"/>
      <c r="P1451" s="15" t="s">
        <v>745</v>
      </c>
      <c r="Q1451" s="16">
        <v>7899</v>
      </c>
      <c r="R1451" s="17">
        <v>46</v>
      </c>
      <c r="S1451" s="18">
        <v>4905.2789999999995</v>
      </c>
      <c r="T1451" s="19" t="s">
        <v>36</v>
      </c>
      <c r="U1451" s="20" t="s">
        <v>746</v>
      </c>
      <c r="V1451" s="22">
        <v>37</v>
      </c>
      <c r="W1451" s="22">
        <v>30</v>
      </c>
      <c r="X1451" s="23"/>
    </row>
    <row r="1452" spans="1:24" s="1" customFormat="1" ht="21" customHeight="1" x14ac:dyDescent="0.3">
      <c r="A1452" s="24" t="s">
        <v>23</v>
      </c>
      <c r="B1452" s="24" t="s">
        <v>1470</v>
      </c>
      <c r="C1452" s="27" t="s">
        <v>1496</v>
      </c>
      <c r="D1452" s="60"/>
      <c r="E1452" s="41" t="str">
        <f>HYPERLINK("https://www.google.ru/search?q=3027007-002&amp;newwindow=1&amp;tbm=isch","Еще фото")</f>
        <v>Еще фото</v>
      </c>
      <c r="F1452" s="13" t="s">
        <v>103</v>
      </c>
      <c r="G1452" s="24" t="s">
        <v>1184</v>
      </c>
      <c r="H1452" s="24" t="s">
        <v>741</v>
      </c>
      <c r="I1452" s="24" t="s">
        <v>1185</v>
      </c>
      <c r="J1452" s="14" t="s">
        <v>29</v>
      </c>
      <c r="K1452" s="15" t="s">
        <v>59</v>
      </c>
      <c r="L1452" s="62"/>
      <c r="M1452" s="14"/>
      <c r="N1452" s="14" t="s">
        <v>33</v>
      </c>
      <c r="O1452" s="14"/>
      <c r="P1452" s="15" t="s">
        <v>745</v>
      </c>
      <c r="Q1452" s="16">
        <v>7899</v>
      </c>
      <c r="R1452" s="17">
        <v>46</v>
      </c>
      <c r="S1452" s="18">
        <v>4905.2789999999995</v>
      </c>
      <c r="T1452" s="19" t="s">
        <v>36</v>
      </c>
      <c r="U1452" s="20" t="s">
        <v>747</v>
      </c>
      <c r="V1452" s="34">
        <v>37.5</v>
      </c>
      <c r="W1452" s="22">
        <v>26</v>
      </c>
      <c r="X1452" s="23"/>
    </row>
    <row r="1453" spans="1:24" s="1" customFormat="1" ht="32" customHeight="1" x14ac:dyDescent="0.3">
      <c r="A1453" s="24" t="s">
        <v>23</v>
      </c>
      <c r="B1453" s="24" t="s">
        <v>1470</v>
      </c>
      <c r="C1453" s="27" t="s">
        <v>1496</v>
      </c>
      <c r="D1453" s="61"/>
      <c r="E1453" s="41" t="str">
        <f>HYPERLINK("https://www.google.ru/search?q=3027007-002&amp;newwindow=1&amp;tbm=isch","Еще фото")</f>
        <v>Еще фото</v>
      </c>
      <c r="F1453" s="13" t="s">
        <v>103</v>
      </c>
      <c r="G1453" s="24" t="s">
        <v>1184</v>
      </c>
      <c r="H1453" s="24" t="s">
        <v>741</v>
      </c>
      <c r="I1453" s="24" t="s">
        <v>1185</v>
      </c>
      <c r="J1453" s="14" t="s">
        <v>29</v>
      </c>
      <c r="K1453" s="15" t="s">
        <v>59</v>
      </c>
      <c r="L1453" s="58"/>
      <c r="M1453" s="14"/>
      <c r="N1453" s="14" t="s">
        <v>33</v>
      </c>
      <c r="O1453" s="14"/>
      <c r="P1453" s="15" t="s">
        <v>745</v>
      </c>
      <c r="Q1453" s="16">
        <v>7899</v>
      </c>
      <c r="R1453" s="17">
        <v>46</v>
      </c>
      <c r="S1453" s="18">
        <v>4905.2789999999995</v>
      </c>
      <c r="T1453" s="19" t="s">
        <v>36</v>
      </c>
      <c r="U1453" s="20" t="s">
        <v>750</v>
      </c>
      <c r="V1453" s="34">
        <v>39.5</v>
      </c>
      <c r="W1453" s="22">
        <v>5</v>
      </c>
      <c r="X1453" s="23"/>
    </row>
    <row r="1454" spans="1:24" s="1" customFormat="1" ht="17" customHeight="1" x14ac:dyDescent="0.3">
      <c r="A1454" s="11" t="s">
        <v>23</v>
      </c>
      <c r="B1454" s="11" t="s">
        <v>1497</v>
      </c>
      <c r="C1454" s="12" t="s">
        <v>1498</v>
      </c>
      <c r="D1454" s="59"/>
      <c r="E1454" s="41" t="str">
        <f t="shared" ref="E1454:E1459" si="48">HYPERLINK("https://www.google.ru/search?q=3027103-001&amp;newwindow=1&amp;tbm=isch","Еще фото")</f>
        <v>Еще фото</v>
      </c>
      <c r="F1454" s="13"/>
      <c r="G1454" s="11" t="s">
        <v>1184</v>
      </c>
      <c r="H1454" s="11" t="s">
        <v>741</v>
      </c>
      <c r="I1454" s="14" t="s">
        <v>1185</v>
      </c>
      <c r="J1454" s="14" t="s">
        <v>29</v>
      </c>
      <c r="K1454" s="15" t="s">
        <v>50</v>
      </c>
      <c r="L1454" s="57" t="s">
        <v>1499</v>
      </c>
      <c r="M1454" s="14"/>
      <c r="N1454" s="14" t="s">
        <v>33</v>
      </c>
      <c r="O1454" s="14"/>
      <c r="P1454" s="15" t="s">
        <v>745</v>
      </c>
      <c r="Q1454" s="16">
        <v>7099</v>
      </c>
      <c r="R1454" s="17">
        <v>46</v>
      </c>
      <c r="S1454" s="18">
        <v>4408.4789999999994</v>
      </c>
      <c r="T1454" s="19" t="s">
        <v>36</v>
      </c>
      <c r="U1454" s="20" t="s">
        <v>1500</v>
      </c>
      <c r="V1454" s="22">
        <v>36</v>
      </c>
      <c r="W1454" s="22">
        <v>3</v>
      </c>
      <c r="X1454" s="23"/>
    </row>
    <row r="1455" spans="1:24" s="1" customFormat="1" ht="17" customHeight="1" x14ac:dyDescent="0.3">
      <c r="A1455" s="24" t="s">
        <v>23</v>
      </c>
      <c r="B1455" s="24" t="s">
        <v>1497</v>
      </c>
      <c r="C1455" s="12" t="s">
        <v>1498</v>
      </c>
      <c r="D1455" s="60"/>
      <c r="E1455" s="41" t="str">
        <f t="shared" si="48"/>
        <v>Еще фото</v>
      </c>
      <c r="F1455" s="13"/>
      <c r="G1455" s="24" t="s">
        <v>1184</v>
      </c>
      <c r="H1455" s="24" t="s">
        <v>741</v>
      </c>
      <c r="I1455" s="24" t="s">
        <v>1185</v>
      </c>
      <c r="J1455" s="14" t="s">
        <v>29</v>
      </c>
      <c r="K1455" s="15" t="s">
        <v>50</v>
      </c>
      <c r="L1455" s="62"/>
      <c r="M1455" s="14"/>
      <c r="N1455" s="14" t="s">
        <v>33</v>
      </c>
      <c r="O1455" s="14"/>
      <c r="P1455" s="15" t="s">
        <v>745</v>
      </c>
      <c r="Q1455" s="16">
        <v>7099</v>
      </c>
      <c r="R1455" s="17">
        <v>46</v>
      </c>
      <c r="S1455" s="18">
        <v>4408.4789999999994</v>
      </c>
      <c r="T1455" s="19" t="s">
        <v>36</v>
      </c>
      <c r="U1455" s="20" t="s">
        <v>1241</v>
      </c>
      <c r="V1455" s="34">
        <v>36.5</v>
      </c>
      <c r="W1455" s="22">
        <v>2</v>
      </c>
      <c r="X1455" s="23"/>
    </row>
    <row r="1456" spans="1:24" s="1" customFormat="1" ht="17" customHeight="1" x14ac:dyDescent="0.3">
      <c r="A1456" s="24" t="s">
        <v>23</v>
      </c>
      <c r="B1456" s="24" t="s">
        <v>1497</v>
      </c>
      <c r="C1456" s="12" t="s">
        <v>1498</v>
      </c>
      <c r="D1456" s="60"/>
      <c r="E1456" s="41" t="str">
        <f t="shared" si="48"/>
        <v>Еще фото</v>
      </c>
      <c r="F1456" s="13"/>
      <c r="G1456" s="24" t="s">
        <v>1184</v>
      </c>
      <c r="H1456" s="24" t="s">
        <v>741</v>
      </c>
      <c r="I1456" s="24" t="s">
        <v>1185</v>
      </c>
      <c r="J1456" s="14" t="s">
        <v>29</v>
      </c>
      <c r="K1456" s="15" t="s">
        <v>50</v>
      </c>
      <c r="L1456" s="62"/>
      <c r="M1456" s="14"/>
      <c r="N1456" s="14" t="s">
        <v>33</v>
      </c>
      <c r="O1456" s="14"/>
      <c r="P1456" s="15" t="s">
        <v>745</v>
      </c>
      <c r="Q1456" s="16">
        <v>7099</v>
      </c>
      <c r="R1456" s="17">
        <v>46</v>
      </c>
      <c r="S1456" s="18">
        <v>4408.4789999999994</v>
      </c>
      <c r="T1456" s="19" t="s">
        <v>36</v>
      </c>
      <c r="U1456" s="20" t="s">
        <v>1190</v>
      </c>
      <c r="V1456" s="22">
        <v>37</v>
      </c>
      <c r="W1456" s="22">
        <v>7</v>
      </c>
      <c r="X1456" s="23"/>
    </row>
    <row r="1457" spans="1:24" s="1" customFormat="1" ht="17" customHeight="1" x14ac:dyDescent="0.3">
      <c r="A1457" s="24" t="s">
        <v>23</v>
      </c>
      <c r="B1457" s="24" t="s">
        <v>1497</v>
      </c>
      <c r="C1457" s="12" t="s">
        <v>1498</v>
      </c>
      <c r="D1457" s="60"/>
      <c r="E1457" s="41" t="str">
        <f t="shared" si="48"/>
        <v>Еще фото</v>
      </c>
      <c r="F1457" s="13"/>
      <c r="G1457" s="24" t="s">
        <v>1184</v>
      </c>
      <c r="H1457" s="24" t="s">
        <v>741</v>
      </c>
      <c r="I1457" s="24" t="s">
        <v>1185</v>
      </c>
      <c r="J1457" s="14" t="s">
        <v>29</v>
      </c>
      <c r="K1457" s="15" t="s">
        <v>50</v>
      </c>
      <c r="L1457" s="62"/>
      <c r="M1457" s="14"/>
      <c r="N1457" s="14" t="s">
        <v>33</v>
      </c>
      <c r="O1457" s="14"/>
      <c r="P1457" s="15" t="s">
        <v>745</v>
      </c>
      <c r="Q1457" s="16">
        <v>7099</v>
      </c>
      <c r="R1457" s="17">
        <v>46</v>
      </c>
      <c r="S1457" s="18">
        <v>4408.4789999999994</v>
      </c>
      <c r="T1457" s="19" t="s">
        <v>36</v>
      </c>
      <c r="U1457" s="20" t="s">
        <v>1203</v>
      </c>
      <c r="V1457" s="34">
        <v>37.5</v>
      </c>
      <c r="W1457" s="22">
        <v>5</v>
      </c>
      <c r="X1457" s="23"/>
    </row>
    <row r="1458" spans="1:24" s="1" customFormat="1" ht="17" customHeight="1" x14ac:dyDescent="0.3">
      <c r="A1458" s="24" t="s">
        <v>23</v>
      </c>
      <c r="B1458" s="24" t="s">
        <v>1497</v>
      </c>
      <c r="C1458" s="12" t="s">
        <v>1498</v>
      </c>
      <c r="D1458" s="60"/>
      <c r="E1458" s="41" t="str">
        <f t="shared" si="48"/>
        <v>Еще фото</v>
      </c>
      <c r="F1458" s="13"/>
      <c r="G1458" s="24" t="s">
        <v>1184</v>
      </c>
      <c r="H1458" s="24" t="s">
        <v>741</v>
      </c>
      <c r="I1458" s="24" t="s">
        <v>1185</v>
      </c>
      <c r="J1458" s="14" t="s">
        <v>29</v>
      </c>
      <c r="K1458" s="15" t="s">
        <v>50</v>
      </c>
      <c r="L1458" s="62"/>
      <c r="M1458" s="14"/>
      <c r="N1458" s="14" t="s">
        <v>33</v>
      </c>
      <c r="O1458" s="14"/>
      <c r="P1458" s="15" t="s">
        <v>745</v>
      </c>
      <c r="Q1458" s="16">
        <v>7099</v>
      </c>
      <c r="R1458" s="17">
        <v>46</v>
      </c>
      <c r="S1458" s="18">
        <v>4408.4789999999994</v>
      </c>
      <c r="T1458" s="19" t="s">
        <v>36</v>
      </c>
      <c r="U1458" s="20" t="s">
        <v>1196</v>
      </c>
      <c r="V1458" s="22">
        <v>38</v>
      </c>
      <c r="W1458" s="22">
        <v>6</v>
      </c>
      <c r="X1458" s="23"/>
    </row>
    <row r="1459" spans="1:24" s="1" customFormat="1" ht="22.05" customHeight="1" x14ac:dyDescent="0.3">
      <c r="A1459" s="24" t="s">
        <v>23</v>
      </c>
      <c r="B1459" s="24" t="s">
        <v>1497</v>
      </c>
      <c r="C1459" s="12" t="s">
        <v>1498</v>
      </c>
      <c r="D1459" s="61"/>
      <c r="E1459" s="41" t="str">
        <f t="shared" si="48"/>
        <v>Еще фото</v>
      </c>
      <c r="F1459" s="13"/>
      <c r="G1459" s="24" t="s">
        <v>1184</v>
      </c>
      <c r="H1459" s="24" t="s">
        <v>741</v>
      </c>
      <c r="I1459" s="24" t="s">
        <v>1185</v>
      </c>
      <c r="J1459" s="14" t="s">
        <v>29</v>
      </c>
      <c r="K1459" s="15" t="s">
        <v>50</v>
      </c>
      <c r="L1459" s="58"/>
      <c r="M1459" s="14"/>
      <c r="N1459" s="14" t="s">
        <v>33</v>
      </c>
      <c r="O1459" s="14"/>
      <c r="P1459" s="15" t="s">
        <v>745</v>
      </c>
      <c r="Q1459" s="16">
        <v>7099</v>
      </c>
      <c r="R1459" s="17">
        <v>46</v>
      </c>
      <c r="S1459" s="18">
        <v>4408.4789999999994</v>
      </c>
      <c r="T1459" s="19" t="s">
        <v>36</v>
      </c>
      <c r="U1459" s="20" t="s">
        <v>746</v>
      </c>
      <c r="V1459" s="22">
        <v>39</v>
      </c>
      <c r="W1459" s="22">
        <v>3</v>
      </c>
      <c r="X1459" s="23"/>
    </row>
    <row r="1460" spans="1:24" s="1" customFormat="1" ht="17" customHeight="1" x14ac:dyDescent="0.3">
      <c r="A1460" s="11" t="s">
        <v>23</v>
      </c>
      <c r="B1460" s="11" t="s">
        <v>1497</v>
      </c>
      <c r="C1460" s="12" t="s">
        <v>1501</v>
      </c>
      <c r="D1460" s="59"/>
      <c r="E1460" s="41" t="str">
        <f t="shared" ref="E1460:E1465" si="49">HYPERLINK("https://www.google.ru/search?q=3027103-101&amp;newwindow=1&amp;tbm=isch","Еще фото")</f>
        <v>Еще фото</v>
      </c>
      <c r="F1460" s="13"/>
      <c r="G1460" s="11" t="s">
        <v>1184</v>
      </c>
      <c r="H1460" s="11" t="s">
        <v>741</v>
      </c>
      <c r="I1460" s="14" t="s">
        <v>1185</v>
      </c>
      <c r="J1460" s="14" t="s">
        <v>29</v>
      </c>
      <c r="K1460" s="15" t="s">
        <v>50</v>
      </c>
      <c r="L1460" s="57" t="s">
        <v>1499</v>
      </c>
      <c r="M1460" s="14"/>
      <c r="N1460" s="14" t="s">
        <v>62</v>
      </c>
      <c r="O1460" s="14"/>
      <c r="P1460" s="15" t="s">
        <v>1502</v>
      </c>
      <c r="Q1460" s="16">
        <v>7099</v>
      </c>
      <c r="R1460" s="17">
        <v>46</v>
      </c>
      <c r="S1460" s="18">
        <v>4408.4789999999994</v>
      </c>
      <c r="T1460" s="19" t="s">
        <v>36</v>
      </c>
      <c r="U1460" s="20" t="s">
        <v>1500</v>
      </c>
      <c r="V1460" s="22">
        <v>36</v>
      </c>
      <c r="W1460" s="22">
        <v>3</v>
      </c>
      <c r="X1460" s="23"/>
    </row>
    <row r="1461" spans="1:24" s="1" customFormat="1" ht="17" customHeight="1" x14ac:dyDescent="0.3">
      <c r="A1461" s="24" t="s">
        <v>23</v>
      </c>
      <c r="B1461" s="24" t="s">
        <v>1497</v>
      </c>
      <c r="C1461" s="12" t="s">
        <v>1501</v>
      </c>
      <c r="D1461" s="60"/>
      <c r="E1461" s="41" t="str">
        <f t="shared" si="49"/>
        <v>Еще фото</v>
      </c>
      <c r="F1461" s="13"/>
      <c r="G1461" s="24" t="s">
        <v>1184</v>
      </c>
      <c r="H1461" s="24" t="s">
        <v>741</v>
      </c>
      <c r="I1461" s="24" t="s">
        <v>1185</v>
      </c>
      <c r="J1461" s="14" t="s">
        <v>29</v>
      </c>
      <c r="K1461" s="15" t="s">
        <v>50</v>
      </c>
      <c r="L1461" s="62"/>
      <c r="M1461" s="14"/>
      <c r="N1461" s="14" t="s">
        <v>62</v>
      </c>
      <c r="O1461" s="14"/>
      <c r="P1461" s="15" t="s">
        <v>1502</v>
      </c>
      <c r="Q1461" s="16">
        <v>7099</v>
      </c>
      <c r="R1461" s="17">
        <v>46</v>
      </c>
      <c r="S1461" s="18">
        <v>4408.4789999999994</v>
      </c>
      <c r="T1461" s="19" t="s">
        <v>36</v>
      </c>
      <c r="U1461" s="20" t="s">
        <v>1241</v>
      </c>
      <c r="V1461" s="34">
        <v>36.5</v>
      </c>
      <c r="W1461" s="22">
        <v>4</v>
      </c>
      <c r="X1461" s="23"/>
    </row>
    <row r="1462" spans="1:24" s="1" customFormat="1" ht="17" customHeight="1" x14ac:dyDescent="0.3">
      <c r="A1462" s="24" t="s">
        <v>23</v>
      </c>
      <c r="B1462" s="24" t="s">
        <v>1497</v>
      </c>
      <c r="C1462" s="12" t="s">
        <v>1501</v>
      </c>
      <c r="D1462" s="60"/>
      <c r="E1462" s="41" t="str">
        <f t="shared" si="49"/>
        <v>Еще фото</v>
      </c>
      <c r="F1462" s="13"/>
      <c r="G1462" s="24" t="s">
        <v>1184</v>
      </c>
      <c r="H1462" s="24" t="s">
        <v>741</v>
      </c>
      <c r="I1462" s="24" t="s">
        <v>1185</v>
      </c>
      <c r="J1462" s="14" t="s">
        <v>29</v>
      </c>
      <c r="K1462" s="15" t="s">
        <v>50</v>
      </c>
      <c r="L1462" s="62"/>
      <c r="M1462" s="14"/>
      <c r="N1462" s="14" t="s">
        <v>62</v>
      </c>
      <c r="O1462" s="14"/>
      <c r="P1462" s="15" t="s">
        <v>1502</v>
      </c>
      <c r="Q1462" s="16">
        <v>7099</v>
      </c>
      <c r="R1462" s="17">
        <v>46</v>
      </c>
      <c r="S1462" s="18">
        <v>4408.4789999999994</v>
      </c>
      <c r="T1462" s="19" t="s">
        <v>36</v>
      </c>
      <c r="U1462" s="20" t="s">
        <v>1190</v>
      </c>
      <c r="V1462" s="22">
        <v>37</v>
      </c>
      <c r="W1462" s="22">
        <v>8</v>
      </c>
      <c r="X1462" s="23"/>
    </row>
    <row r="1463" spans="1:24" s="1" customFormat="1" ht="17" customHeight="1" x14ac:dyDescent="0.3">
      <c r="A1463" s="24" t="s">
        <v>23</v>
      </c>
      <c r="B1463" s="24" t="s">
        <v>1497</v>
      </c>
      <c r="C1463" s="12" t="s">
        <v>1501</v>
      </c>
      <c r="D1463" s="60"/>
      <c r="E1463" s="41" t="str">
        <f t="shared" si="49"/>
        <v>Еще фото</v>
      </c>
      <c r="F1463" s="13"/>
      <c r="G1463" s="24" t="s">
        <v>1184</v>
      </c>
      <c r="H1463" s="24" t="s">
        <v>741</v>
      </c>
      <c r="I1463" s="24" t="s">
        <v>1185</v>
      </c>
      <c r="J1463" s="14" t="s">
        <v>29</v>
      </c>
      <c r="K1463" s="15" t="s">
        <v>50</v>
      </c>
      <c r="L1463" s="62"/>
      <c r="M1463" s="14"/>
      <c r="N1463" s="14" t="s">
        <v>62</v>
      </c>
      <c r="O1463" s="14"/>
      <c r="P1463" s="15" t="s">
        <v>1502</v>
      </c>
      <c r="Q1463" s="16">
        <v>7099</v>
      </c>
      <c r="R1463" s="17">
        <v>46</v>
      </c>
      <c r="S1463" s="18">
        <v>4408.4789999999994</v>
      </c>
      <c r="T1463" s="19" t="s">
        <v>36</v>
      </c>
      <c r="U1463" s="20" t="s">
        <v>1203</v>
      </c>
      <c r="V1463" s="34">
        <v>37.5</v>
      </c>
      <c r="W1463" s="22">
        <v>9</v>
      </c>
      <c r="X1463" s="23"/>
    </row>
    <row r="1464" spans="1:24" s="1" customFormat="1" ht="17" customHeight="1" x14ac:dyDescent="0.3">
      <c r="A1464" s="24" t="s">
        <v>23</v>
      </c>
      <c r="B1464" s="24" t="s">
        <v>1497</v>
      </c>
      <c r="C1464" s="12" t="s">
        <v>1501</v>
      </c>
      <c r="D1464" s="60"/>
      <c r="E1464" s="41" t="str">
        <f t="shared" si="49"/>
        <v>Еще фото</v>
      </c>
      <c r="F1464" s="13"/>
      <c r="G1464" s="24" t="s">
        <v>1184</v>
      </c>
      <c r="H1464" s="24" t="s">
        <v>741</v>
      </c>
      <c r="I1464" s="24" t="s">
        <v>1185</v>
      </c>
      <c r="J1464" s="14" t="s">
        <v>29</v>
      </c>
      <c r="K1464" s="15" t="s">
        <v>50</v>
      </c>
      <c r="L1464" s="62"/>
      <c r="M1464" s="14"/>
      <c r="N1464" s="14" t="s">
        <v>62</v>
      </c>
      <c r="O1464" s="14"/>
      <c r="P1464" s="15" t="s">
        <v>1502</v>
      </c>
      <c r="Q1464" s="16">
        <v>7099</v>
      </c>
      <c r="R1464" s="17">
        <v>46</v>
      </c>
      <c r="S1464" s="18">
        <v>4408.4789999999994</v>
      </c>
      <c r="T1464" s="19" t="s">
        <v>36</v>
      </c>
      <c r="U1464" s="20" t="s">
        <v>1196</v>
      </c>
      <c r="V1464" s="22">
        <v>38</v>
      </c>
      <c r="W1464" s="22">
        <v>8</v>
      </c>
      <c r="X1464" s="23"/>
    </row>
    <row r="1465" spans="1:24" s="1" customFormat="1" ht="22.05" customHeight="1" x14ac:dyDescent="0.3">
      <c r="A1465" s="24" t="s">
        <v>23</v>
      </c>
      <c r="B1465" s="24" t="s">
        <v>1497</v>
      </c>
      <c r="C1465" s="12" t="s">
        <v>1501</v>
      </c>
      <c r="D1465" s="61"/>
      <c r="E1465" s="41" t="str">
        <f t="shared" si="49"/>
        <v>Еще фото</v>
      </c>
      <c r="F1465" s="13"/>
      <c r="G1465" s="24" t="s">
        <v>1184</v>
      </c>
      <c r="H1465" s="24" t="s">
        <v>741</v>
      </c>
      <c r="I1465" s="24" t="s">
        <v>1185</v>
      </c>
      <c r="J1465" s="14" t="s">
        <v>29</v>
      </c>
      <c r="K1465" s="15" t="s">
        <v>50</v>
      </c>
      <c r="L1465" s="58"/>
      <c r="M1465" s="14"/>
      <c r="N1465" s="14" t="s">
        <v>62</v>
      </c>
      <c r="O1465" s="14"/>
      <c r="P1465" s="15" t="s">
        <v>1502</v>
      </c>
      <c r="Q1465" s="16">
        <v>7099</v>
      </c>
      <c r="R1465" s="17">
        <v>46</v>
      </c>
      <c r="S1465" s="18">
        <v>4408.4789999999994</v>
      </c>
      <c r="T1465" s="19" t="s">
        <v>36</v>
      </c>
      <c r="U1465" s="20" t="s">
        <v>746</v>
      </c>
      <c r="V1465" s="22">
        <v>39</v>
      </c>
      <c r="W1465" s="22">
        <v>10</v>
      </c>
      <c r="X1465" s="23"/>
    </row>
    <row r="1466" spans="1:24" s="1" customFormat="1" ht="17" customHeight="1" x14ac:dyDescent="0.3">
      <c r="A1466" s="11" t="s">
        <v>23</v>
      </c>
      <c r="B1466" s="11" t="s">
        <v>1503</v>
      </c>
      <c r="C1466" s="12" t="s">
        <v>1504</v>
      </c>
      <c r="D1466" s="59"/>
      <c r="E1466" s="41" t="str">
        <f t="shared" ref="E1466:E1471" si="50">HYPERLINK("https://www.google.ru/search?q=3027108-100&amp;newwindow=1&amp;tbm=isch","Еще фото")</f>
        <v>Еще фото</v>
      </c>
      <c r="F1466" s="13"/>
      <c r="G1466" s="11" t="s">
        <v>1184</v>
      </c>
      <c r="H1466" s="11" t="s">
        <v>741</v>
      </c>
      <c r="I1466" s="14" t="s">
        <v>1185</v>
      </c>
      <c r="J1466" s="14" t="s">
        <v>29</v>
      </c>
      <c r="K1466" s="15" t="s">
        <v>50</v>
      </c>
      <c r="L1466" s="57" t="s">
        <v>1505</v>
      </c>
      <c r="M1466" s="14"/>
      <c r="N1466" s="14" t="s">
        <v>62</v>
      </c>
      <c r="O1466" s="14"/>
      <c r="P1466" s="15" t="s">
        <v>1506</v>
      </c>
      <c r="Q1466" s="16">
        <v>7199</v>
      </c>
      <c r="R1466" s="17">
        <v>46</v>
      </c>
      <c r="S1466" s="18">
        <v>4470.5789999999997</v>
      </c>
      <c r="T1466" s="19" t="s">
        <v>36</v>
      </c>
      <c r="U1466" s="20" t="s">
        <v>1500</v>
      </c>
      <c r="V1466" s="22">
        <v>36</v>
      </c>
      <c r="W1466" s="22">
        <v>6</v>
      </c>
      <c r="X1466" s="23"/>
    </row>
    <row r="1467" spans="1:24" s="1" customFormat="1" ht="17" customHeight="1" x14ac:dyDescent="0.3">
      <c r="A1467" s="24" t="s">
        <v>23</v>
      </c>
      <c r="B1467" s="24" t="s">
        <v>1503</v>
      </c>
      <c r="C1467" s="12" t="s">
        <v>1504</v>
      </c>
      <c r="D1467" s="60"/>
      <c r="E1467" s="41" t="str">
        <f t="shared" si="50"/>
        <v>Еще фото</v>
      </c>
      <c r="F1467" s="13"/>
      <c r="G1467" s="24" t="s">
        <v>1184</v>
      </c>
      <c r="H1467" s="24" t="s">
        <v>741</v>
      </c>
      <c r="I1467" s="24" t="s">
        <v>1185</v>
      </c>
      <c r="J1467" s="14" t="s">
        <v>29</v>
      </c>
      <c r="K1467" s="15" t="s">
        <v>50</v>
      </c>
      <c r="L1467" s="62"/>
      <c r="M1467" s="14"/>
      <c r="N1467" s="14" t="s">
        <v>62</v>
      </c>
      <c r="O1467" s="14"/>
      <c r="P1467" s="15" t="s">
        <v>1506</v>
      </c>
      <c r="Q1467" s="16">
        <v>7199</v>
      </c>
      <c r="R1467" s="17">
        <v>46</v>
      </c>
      <c r="S1467" s="18">
        <v>4470.5789999999997</v>
      </c>
      <c r="T1467" s="19" t="s">
        <v>36</v>
      </c>
      <c r="U1467" s="20" t="s">
        <v>1241</v>
      </c>
      <c r="V1467" s="34">
        <v>36.5</v>
      </c>
      <c r="W1467" s="22">
        <v>5</v>
      </c>
      <c r="X1467" s="23"/>
    </row>
    <row r="1468" spans="1:24" s="1" customFormat="1" ht="17" customHeight="1" x14ac:dyDescent="0.3">
      <c r="A1468" s="24" t="s">
        <v>23</v>
      </c>
      <c r="B1468" s="24" t="s">
        <v>1503</v>
      </c>
      <c r="C1468" s="12" t="s">
        <v>1504</v>
      </c>
      <c r="D1468" s="60"/>
      <c r="E1468" s="41" t="str">
        <f t="shared" si="50"/>
        <v>Еще фото</v>
      </c>
      <c r="F1468" s="13"/>
      <c r="G1468" s="24" t="s">
        <v>1184</v>
      </c>
      <c r="H1468" s="24" t="s">
        <v>741</v>
      </c>
      <c r="I1468" s="24" t="s">
        <v>1185</v>
      </c>
      <c r="J1468" s="14" t="s">
        <v>29</v>
      </c>
      <c r="K1468" s="15" t="s">
        <v>50</v>
      </c>
      <c r="L1468" s="62"/>
      <c r="M1468" s="14"/>
      <c r="N1468" s="14" t="s">
        <v>62</v>
      </c>
      <c r="O1468" s="14"/>
      <c r="P1468" s="15" t="s">
        <v>1506</v>
      </c>
      <c r="Q1468" s="16">
        <v>7199</v>
      </c>
      <c r="R1468" s="17">
        <v>46</v>
      </c>
      <c r="S1468" s="18">
        <v>4470.5789999999997</v>
      </c>
      <c r="T1468" s="19" t="s">
        <v>36</v>
      </c>
      <c r="U1468" s="20" t="s">
        <v>1190</v>
      </c>
      <c r="V1468" s="22">
        <v>37</v>
      </c>
      <c r="W1468" s="22">
        <v>9</v>
      </c>
      <c r="X1468" s="23"/>
    </row>
    <row r="1469" spans="1:24" s="1" customFormat="1" ht="17" customHeight="1" x14ac:dyDescent="0.3">
      <c r="A1469" s="24" t="s">
        <v>23</v>
      </c>
      <c r="B1469" s="24" t="s">
        <v>1503</v>
      </c>
      <c r="C1469" s="12" t="s">
        <v>1504</v>
      </c>
      <c r="D1469" s="60"/>
      <c r="E1469" s="41" t="str">
        <f t="shared" si="50"/>
        <v>Еще фото</v>
      </c>
      <c r="F1469" s="13"/>
      <c r="G1469" s="24" t="s">
        <v>1184</v>
      </c>
      <c r="H1469" s="24" t="s">
        <v>741</v>
      </c>
      <c r="I1469" s="24" t="s">
        <v>1185</v>
      </c>
      <c r="J1469" s="14" t="s">
        <v>29</v>
      </c>
      <c r="K1469" s="15" t="s">
        <v>50</v>
      </c>
      <c r="L1469" s="62"/>
      <c r="M1469" s="14"/>
      <c r="N1469" s="14" t="s">
        <v>62</v>
      </c>
      <c r="O1469" s="14"/>
      <c r="P1469" s="15" t="s">
        <v>1506</v>
      </c>
      <c r="Q1469" s="16">
        <v>7199</v>
      </c>
      <c r="R1469" s="17">
        <v>46</v>
      </c>
      <c r="S1469" s="18">
        <v>4470.5789999999997</v>
      </c>
      <c r="T1469" s="19" t="s">
        <v>36</v>
      </c>
      <c r="U1469" s="20" t="s">
        <v>1203</v>
      </c>
      <c r="V1469" s="34">
        <v>37.5</v>
      </c>
      <c r="W1469" s="22">
        <v>11</v>
      </c>
      <c r="X1469" s="23"/>
    </row>
    <row r="1470" spans="1:24" s="1" customFormat="1" ht="17" customHeight="1" x14ac:dyDescent="0.3">
      <c r="A1470" s="24" t="s">
        <v>23</v>
      </c>
      <c r="B1470" s="24" t="s">
        <v>1503</v>
      </c>
      <c r="C1470" s="12" t="s">
        <v>1504</v>
      </c>
      <c r="D1470" s="60"/>
      <c r="E1470" s="41" t="str">
        <f t="shared" si="50"/>
        <v>Еще фото</v>
      </c>
      <c r="F1470" s="13"/>
      <c r="G1470" s="24" t="s">
        <v>1184</v>
      </c>
      <c r="H1470" s="24" t="s">
        <v>741</v>
      </c>
      <c r="I1470" s="24" t="s">
        <v>1185</v>
      </c>
      <c r="J1470" s="14" t="s">
        <v>29</v>
      </c>
      <c r="K1470" s="15" t="s">
        <v>50</v>
      </c>
      <c r="L1470" s="62"/>
      <c r="M1470" s="14"/>
      <c r="N1470" s="14" t="s">
        <v>62</v>
      </c>
      <c r="O1470" s="14"/>
      <c r="P1470" s="15" t="s">
        <v>1506</v>
      </c>
      <c r="Q1470" s="16">
        <v>7199</v>
      </c>
      <c r="R1470" s="17">
        <v>46</v>
      </c>
      <c r="S1470" s="18">
        <v>4470.5789999999997</v>
      </c>
      <c r="T1470" s="19" t="s">
        <v>36</v>
      </c>
      <c r="U1470" s="20" t="s">
        <v>1196</v>
      </c>
      <c r="V1470" s="22">
        <v>38</v>
      </c>
      <c r="W1470" s="22">
        <v>7</v>
      </c>
      <c r="X1470" s="23"/>
    </row>
    <row r="1471" spans="1:24" s="1" customFormat="1" ht="22.05" customHeight="1" x14ac:dyDescent="0.3">
      <c r="A1471" s="24" t="s">
        <v>23</v>
      </c>
      <c r="B1471" s="24" t="s">
        <v>1503</v>
      </c>
      <c r="C1471" s="12" t="s">
        <v>1504</v>
      </c>
      <c r="D1471" s="61"/>
      <c r="E1471" s="41" t="str">
        <f t="shared" si="50"/>
        <v>Еще фото</v>
      </c>
      <c r="F1471" s="13"/>
      <c r="G1471" s="24" t="s">
        <v>1184</v>
      </c>
      <c r="H1471" s="24" t="s">
        <v>741</v>
      </c>
      <c r="I1471" s="24" t="s">
        <v>1185</v>
      </c>
      <c r="J1471" s="14" t="s">
        <v>29</v>
      </c>
      <c r="K1471" s="15" t="s">
        <v>50</v>
      </c>
      <c r="L1471" s="58"/>
      <c r="M1471" s="14"/>
      <c r="N1471" s="14" t="s">
        <v>62</v>
      </c>
      <c r="O1471" s="14"/>
      <c r="P1471" s="15" t="s">
        <v>1506</v>
      </c>
      <c r="Q1471" s="16">
        <v>7199</v>
      </c>
      <c r="R1471" s="17">
        <v>46</v>
      </c>
      <c r="S1471" s="18">
        <v>4470.5789999999997</v>
      </c>
      <c r="T1471" s="19" t="s">
        <v>36</v>
      </c>
      <c r="U1471" s="20" t="s">
        <v>746</v>
      </c>
      <c r="V1471" s="22">
        <v>39</v>
      </c>
      <c r="W1471" s="22">
        <v>7</v>
      </c>
      <c r="X1471" s="23"/>
    </row>
    <row r="1472" spans="1:24" s="1" customFormat="1" ht="108" customHeight="1" x14ac:dyDescent="0.3">
      <c r="A1472" s="11" t="s">
        <v>23</v>
      </c>
      <c r="B1472" s="11" t="s">
        <v>1507</v>
      </c>
      <c r="C1472" s="12" t="s">
        <v>1508</v>
      </c>
      <c r="D1472" s="25"/>
      <c r="E1472" s="41" t="str">
        <f>HYPERLINK("https://www.google.ru/search?q=3027190-103&amp;newwindow=1&amp;tbm=isch","Еще фото")</f>
        <v>Еще фото</v>
      </c>
      <c r="F1472" s="13"/>
      <c r="G1472" s="11" t="s">
        <v>1184</v>
      </c>
      <c r="H1472" s="11" t="s">
        <v>741</v>
      </c>
      <c r="I1472" s="14" t="s">
        <v>1185</v>
      </c>
      <c r="J1472" s="14" t="s">
        <v>29</v>
      </c>
      <c r="K1472" s="15" t="s">
        <v>30</v>
      </c>
      <c r="L1472" s="14" t="s">
        <v>1509</v>
      </c>
      <c r="M1472" s="14" t="s">
        <v>1211</v>
      </c>
      <c r="N1472" s="14" t="s">
        <v>861</v>
      </c>
      <c r="O1472" s="14"/>
      <c r="P1472" s="15" t="s">
        <v>1250</v>
      </c>
      <c r="Q1472" s="16">
        <v>18999</v>
      </c>
      <c r="R1472" s="17">
        <v>46</v>
      </c>
      <c r="S1472" s="18">
        <v>11798.378999999997</v>
      </c>
      <c r="T1472" s="19" t="s">
        <v>36</v>
      </c>
      <c r="U1472" s="20" t="s">
        <v>750</v>
      </c>
      <c r="V1472" s="34">
        <v>41.5</v>
      </c>
      <c r="W1472" s="22">
        <v>2</v>
      </c>
      <c r="X1472" s="23"/>
    </row>
    <row r="1473" spans="1:24" s="1" customFormat="1" ht="108" customHeight="1" x14ac:dyDescent="0.3">
      <c r="A1473" s="11" t="s">
        <v>23</v>
      </c>
      <c r="B1473" s="11" t="s">
        <v>1426</v>
      </c>
      <c r="C1473" s="12" t="s">
        <v>1510</v>
      </c>
      <c r="D1473" s="25"/>
      <c r="E1473" s="41" t="str">
        <f>HYPERLINK("https://www.google.ru/search?q=3027199-501&amp;newwindow=1&amp;tbm=isch","Еще фото")</f>
        <v>Еще фото</v>
      </c>
      <c r="F1473" s="13"/>
      <c r="G1473" s="11" t="s">
        <v>1184</v>
      </c>
      <c r="H1473" s="11" t="s">
        <v>741</v>
      </c>
      <c r="I1473" s="14" t="s">
        <v>1185</v>
      </c>
      <c r="J1473" s="14" t="s">
        <v>29</v>
      </c>
      <c r="K1473" s="15" t="s">
        <v>59</v>
      </c>
      <c r="L1473" s="14" t="s">
        <v>1249</v>
      </c>
      <c r="M1473" s="14"/>
      <c r="N1473" s="14" t="s">
        <v>79</v>
      </c>
      <c r="O1473" s="14"/>
      <c r="P1473" s="15" t="s">
        <v>1250</v>
      </c>
      <c r="Q1473" s="16">
        <v>21999</v>
      </c>
      <c r="R1473" s="17">
        <v>46</v>
      </c>
      <c r="S1473" s="18">
        <v>13661.378999999997</v>
      </c>
      <c r="T1473" s="19" t="s">
        <v>36</v>
      </c>
      <c r="U1473" s="20" t="s">
        <v>750</v>
      </c>
      <c r="V1473" s="34">
        <v>39.5</v>
      </c>
      <c r="W1473" s="22">
        <v>1</v>
      </c>
      <c r="X1473" s="23"/>
    </row>
    <row r="1474" spans="1:24" s="1" customFormat="1" ht="17" customHeight="1" x14ac:dyDescent="0.3">
      <c r="A1474" s="11" t="s">
        <v>23</v>
      </c>
      <c r="B1474" s="11" t="s">
        <v>1313</v>
      </c>
      <c r="C1474" s="12" t="s">
        <v>1511</v>
      </c>
      <c r="D1474" s="59"/>
      <c r="E1474" s="41" t="str">
        <f t="shared" ref="E1474:E1479" si="51">HYPERLINK("https://www.google.ru/search?q=3027524-101&amp;newwindow=1&amp;tbm=isch","Еще фото")</f>
        <v>Еще фото</v>
      </c>
      <c r="F1474" s="13"/>
      <c r="G1474" s="11" t="s">
        <v>1184</v>
      </c>
      <c r="H1474" s="11" t="s">
        <v>741</v>
      </c>
      <c r="I1474" s="14" t="s">
        <v>1185</v>
      </c>
      <c r="J1474" s="14" t="s">
        <v>29</v>
      </c>
      <c r="K1474" s="15" t="s">
        <v>59</v>
      </c>
      <c r="L1474" s="57" t="s">
        <v>1512</v>
      </c>
      <c r="M1474" s="14" t="s">
        <v>1211</v>
      </c>
      <c r="N1474" s="14" t="s">
        <v>84</v>
      </c>
      <c r="O1474" s="14"/>
      <c r="P1474" s="15" t="s">
        <v>745</v>
      </c>
      <c r="Q1474" s="16">
        <v>12999</v>
      </c>
      <c r="R1474" s="17">
        <v>46</v>
      </c>
      <c r="S1474" s="18">
        <v>8072.378999999999</v>
      </c>
      <c r="T1474" s="19" t="s">
        <v>36</v>
      </c>
      <c r="U1474" s="20" t="s">
        <v>1203</v>
      </c>
      <c r="V1474" s="22">
        <v>36</v>
      </c>
      <c r="W1474" s="22">
        <v>1</v>
      </c>
      <c r="X1474" s="23"/>
    </row>
    <row r="1475" spans="1:24" s="1" customFormat="1" ht="17" customHeight="1" x14ac:dyDescent="0.3">
      <c r="A1475" s="24" t="s">
        <v>23</v>
      </c>
      <c r="B1475" s="24" t="s">
        <v>1313</v>
      </c>
      <c r="C1475" s="12" t="s">
        <v>1511</v>
      </c>
      <c r="D1475" s="60"/>
      <c r="E1475" s="41" t="str">
        <f t="shared" si="51"/>
        <v>Еще фото</v>
      </c>
      <c r="F1475" s="13"/>
      <c r="G1475" s="24" t="s">
        <v>1184</v>
      </c>
      <c r="H1475" s="24" t="s">
        <v>741</v>
      </c>
      <c r="I1475" s="24" t="s">
        <v>1185</v>
      </c>
      <c r="J1475" s="14" t="s">
        <v>29</v>
      </c>
      <c r="K1475" s="15" t="s">
        <v>59</v>
      </c>
      <c r="L1475" s="62"/>
      <c r="M1475" s="14" t="s">
        <v>1211</v>
      </c>
      <c r="N1475" s="14" t="s">
        <v>84</v>
      </c>
      <c r="O1475" s="14"/>
      <c r="P1475" s="15" t="s">
        <v>745</v>
      </c>
      <c r="Q1475" s="16">
        <v>12999</v>
      </c>
      <c r="R1475" s="17">
        <v>46</v>
      </c>
      <c r="S1475" s="18">
        <v>8072.378999999999</v>
      </c>
      <c r="T1475" s="19" t="s">
        <v>36</v>
      </c>
      <c r="U1475" s="20" t="s">
        <v>1196</v>
      </c>
      <c r="V1475" s="34">
        <v>36.5</v>
      </c>
      <c r="W1475" s="22">
        <v>2</v>
      </c>
      <c r="X1475" s="23"/>
    </row>
    <row r="1476" spans="1:24" s="1" customFormat="1" ht="17" customHeight="1" x14ac:dyDescent="0.3">
      <c r="A1476" s="24" t="s">
        <v>23</v>
      </c>
      <c r="B1476" s="24" t="s">
        <v>1313</v>
      </c>
      <c r="C1476" s="12" t="s">
        <v>1511</v>
      </c>
      <c r="D1476" s="60"/>
      <c r="E1476" s="41" t="str">
        <f t="shared" si="51"/>
        <v>Еще фото</v>
      </c>
      <c r="F1476" s="13"/>
      <c r="G1476" s="24" t="s">
        <v>1184</v>
      </c>
      <c r="H1476" s="24" t="s">
        <v>741</v>
      </c>
      <c r="I1476" s="24" t="s">
        <v>1185</v>
      </c>
      <c r="J1476" s="14" t="s">
        <v>29</v>
      </c>
      <c r="K1476" s="15" t="s">
        <v>59</v>
      </c>
      <c r="L1476" s="62"/>
      <c r="M1476" s="14" t="s">
        <v>1211</v>
      </c>
      <c r="N1476" s="14" t="s">
        <v>84</v>
      </c>
      <c r="O1476" s="14"/>
      <c r="P1476" s="15" t="s">
        <v>745</v>
      </c>
      <c r="Q1476" s="16">
        <v>12999</v>
      </c>
      <c r="R1476" s="17">
        <v>46</v>
      </c>
      <c r="S1476" s="18">
        <v>8072.378999999999</v>
      </c>
      <c r="T1476" s="19" t="s">
        <v>36</v>
      </c>
      <c r="U1476" s="20" t="s">
        <v>746</v>
      </c>
      <c r="V1476" s="22">
        <v>37</v>
      </c>
      <c r="W1476" s="22">
        <v>4</v>
      </c>
      <c r="X1476" s="23"/>
    </row>
    <row r="1477" spans="1:24" s="1" customFormat="1" ht="17" customHeight="1" x14ac:dyDescent="0.3">
      <c r="A1477" s="24" t="s">
        <v>23</v>
      </c>
      <c r="B1477" s="24" t="s">
        <v>1313</v>
      </c>
      <c r="C1477" s="12" t="s">
        <v>1511</v>
      </c>
      <c r="D1477" s="60"/>
      <c r="E1477" s="41" t="str">
        <f t="shared" si="51"/>
        <v>Еще фото</v>
      </c>
      <c r="F1477" s="13"/>
      <c r="G1477" s="24" t="s">
        <v>1184</v>
      </c>
      <c r="H1477" s="24" t="s">
        <v>741</v>
      </c>
      <c r="I1477" s="24" t="s">
        <v>1185</v>
      </c>
      <c r="J1477" s="14" t="s">
        <v>29</v>
      </c>
      <c r="K1477" s="15" t="s">
        <v>59</v>
      </c>
      <c r="L1477" s="62"/>
      <c r="M1477" s="14" t="s">
        <v>1211</v>
      </c>
      <c r="N1477" s="14" t="s">
        <v>84</v>
      </c>
      <c r="O1477" s="14"/>
      <c r="P1477" s="15" t="s">
        <v>745</v>
      </c>
      <c r="Q1477" s="16">
        <v>12999</v>
      </c>
      <c r="R1477" s="17">
        <v>46</v>
      </c>
      <c r="S1477" s="18">
        <v>8072.378999999999</v>
      </c>
      <c r="T1477" s="19" t="s">
        <v>36</v>
      </c>
      <c r="U1477" s="20" t="s">
        <v>747</v>
      </c>
      <c r="V1477" s="34">
        <v>37.5</v>
      </c>
      <c r="W1477" s="22">
        <v>5</v>
      </c>
      <c r="X1477" s="23"/>
    </row>
    <row r="1478" spans="1:24" s="1" customFormat="1" ht="17" customHeight="1" x14ac:dyDescent="0.3">
      <c r="A1478" s="24" t="s">
        <v>23</v>
      </c>
      <c r="B1478" s="24" t="s">
        <v>1313</v>
      </c>
      <c r="C1478" s="12" t="s">
        <v>1511</v>
      </c>
      <c r="D1478" s="60"/>
      <c r="E1478" s="41" t="str">
        <f t="shared" si="51"/>
        <v>Еще фото</v>
      </c>
      <c r="F1478" s="13"/>
      <c r="G1478" s="24" t="s">
        <v>1184</v>
      </c>
      <c r="H1478" s="24" t="s">
        <v>741</v>
      </c>
      <c r="I1478" s="24" t="s">
        <v>1185</v>
      </c>
      <c r="J1478" s="14" t="s">
        <v>29</v>
      </c>
      <c r="K1478" s="15" t="s">
        <v>59</v>
      </c>
      <c r="L1478" s="62"/>
      <c r="M1478" s="14" t="s">
        <v>1211</v>
      </c>
      <c r="N1478" s="14" t="s">
        <v>84</v>
      </c>
      <c r="O1478" s="14"/>
      <c r="P1478" s="15" t="s">
        <v>745</v>
      </c>
      <c r="Q1478" s="16">
        <v>12999</v>
      </c>
      <c r="R1478" s="17">
        <v>46</v>
      </c>
      <c r="S1478" s="18">
        <v>8072.378999999999</v>
      </c>
      <c r="T1478" s="19" t="s">
        <v>36</v>
      </c>
      <c r="U1478" s="20" t="s">
        <v>748</v>
      </c>
      <c r="V1478" s="22">
        <v>38</v>
      </c>
      <c r="W1478" s="22">
        <v>2</v>
      </c>
      <c r="X1478" s="23"/>
    </row>
    <row r="1479" spans="1:24" s="1" customFormat="1" ht="22.05" customHeight="1" x14ac:dyDescent="0.3">
      <c r="A1479" s="24" t="s">
        <v>23</v>
      </c>
      <c r="B1479" s="24" t="s">
        <v>1313</v>
      </c>
      <c r="C1479" s="12" t="s">
        <v>1511</v>
      </c>
      <c r="D1479" s="61"/>
      <c r="E1479" s="41" t="str">
        <f t="shared" si="51"/>
        <v>Еще фото</v>
      </c>
      <c r="F1479" s="13"/>
      <c r="G1479" s="24" t="s">
        <v>1184</v>
      </c>
      <c r="H1479" s="24" t="s">
        <v>741</v>
      </c>
      <c r="I1479" s="24" t="s">
        <v>1185</v>
      </c>
      <c r="J1479" s="14" t="s">
        <v>29</v>
      </c>
      <c r="K1479" s="15" t="s">
        <v>59</v>
      </c>
      <c r="L1479" s="58"/>
      <c r="M1479" s="14" t="s">
        <v>1211</v>
      </c>
      <c r="N1479" s="14" t="s">
        <v>84</v>
      </c>
      <c r="O1479" s="14"/>
      <c r="P1479" s="15" t="s">
        <v>745</v>
      </c>
      <c r="Q1479" s="16">
        <v>12999</v>
      </c>
      <c r="R1479" s="17">
        <v>46</v>
      </c>
      <c r="S1479" s="18">
        <v>8072.378999999999</v>
      </c>
      <c r="T1479" s="19" t="s">
        <v>36</v>
      </c>
      <c r="U1479" s="20" t="s">
        <v>750</v>
      </c>
      <c r="V1479" s="34">
        <v>39.5</v>
      </c>
      <c r="W1479" s="22">
        <v>1</v>
      </c>
      <c r="X1479" s="23"/>
    </row>
    <row r="1480" spans="1:24" s="1" customFormat="1" ht="17" customHeight="1" x14ac:dyDescent="0.3">
      <c r="A1480" s="11" t="s">
        <v>23</v>
      </c>
      <c r="B1480" s="11" t="s">
        <v>1313</v>
      </c>
      <c r="C1480" s="12" t="s">
        <v>1513</v>
      </c>
      <c r="D1480" s="59"/>
      <c r="E1480" s="41" t="str">
        <f t="shared" ref="E1480:E1485" si="52">HYPERLINK("https://www.google.ru/search?q=3027524-323&amp;newwindow=1&amp;tbm=isch","Еще фото")</f>
        <v>Еще фото</v>
      </c>
      <c r="F1480" s="13"/>
      <c r="G1480" s="11" t="s">
        <v>1184</v>
      </c>
      <c r="H1480" s="11" t="s">
        <v>741</v>
      </c>
      <c r="I1480" s="14" t="s">
        <v>1185</v>
      </c>
      <c r="J1480" s="14" t="s">
        <v>29</v>
      </c>
      <c r="K1480" s="15" t="s">
        <v>59</v>
      </c>
      <c r="L1480" s="57" t="s">
        <v>1315</v>
      </c>
      <c r="M1480" s="14"/>
      <c r="N1480" s="14" t="s">
        <v>127</v>
      </c>
      <c r="O1480" s="14"/>
      <c r="P1480" s="15" t="s">
        <v>745</v>
      </c>
      <c r="Q1480" s="16">
        <v>12999</v>
      </c>
      <c r="R1480" s="17">
        <v>46</v>
      </c>
      <c r="S1480" s="18">
        <v>8072.378999999999</v>
      </c>
      <c r="T1480" s="19" t="s">
        <v>36</v>
      </c>
      <c r="U1480" s="20" t="s">
        <v>1196</v>
      </c>
      <c r="V1480" s="34">
        <v>36.5</v>
      </c>
      <c r="W1480" s="22">
        <v>1</v>
      </c>
      <c r="X1480" s="23"/>
    </row>
    <row r="1481" spans="1:24" s="1" customFormat="1" ht="17" customHeight="1" x14ac:dyDescent="0.3">
      <c r="A1481" s="24" t="s">
        <v>23</v>
      </c>
      <c r="B1481" s="24" t="s">
        <v>1313</v>
      </c>
      <c r="C1481" s="12" t="s">
        <v>1513</v>
      </c>
      <c r="D1481" s="60"/>
      <c r="E1481" s="41" t="str">
        <f t="shared" si="52"/>
        <v>Еще фото</v>
      </c>
      <c r="F1481" s="13"/>
      <c r="G1481" s="24" t="s">
        <v>1184</v>
      </c>
      <c r="H1481" s="24" t="s">
        <v>741</v>
      </c>
      <c r="I1481" s="24" t="s">
        <v>1185</v>
      </c>
      <c r="J1481" s="14" t="s">
        <v>29</v>
      </c>
      <c r="K1481" s="15" t="s">
        <v>59</v>
      </c>
      <c r="L1481" s="62"/>
      <c r="M1481" s="14"/>
      <c r="N1481" s="14" t="s">
        <v>127</v>
      </c>
      <c r="O1481" s="14"/>
      <c r="P1481" s="15" t="s">
        <v>745</v>
      </c>
      <c r="Q1481" s="16">
        <v>12999</v>
      </c>
      <c r="R1481" s="17">
        <v>46</v>
      </c>
      <c r="S1481" s="18">
        <v>8072.378999999999</v>
      </c>
      <c r="T1481" s="19" t="s">
        <v>36</v>
      </c>
      <c r="U1481" s="20" t="s">
        <v>746</v>
      </c>
      <c r="V1481" s="22">
        <v>37</v>
      </c>
      <c r="W1481" s="22">
        <v>2</v>
      </c>
      <c r="X1481" s="23"/>
    </row>
    <row r="1482" spans="1:24" s="1" customFormat="1" ht="17" customHeight="1" x14ac:dyDescent="0.3">
      <c r="A1482" s="24" t="s">
        <v>23</v>
      </c>
      <c r="B1482" s="24" t="s">
        <v>1313</v>
      </c>
      <c r="C1482" s="12" t="s">
        <v>1513</v>
      </c>
      <c r="D1482" s="60"/>
      <c r="E1482" s="41" t="str">
        <f t="shared" si="52"/>
        <v>Еще фото</v>
      </c>
      <c r="F1482" s="13"/>
      <c r="G1482" s="24" t="s">
        <v>1184</v>
      </c>
      <c r="H1482" s="24" t="s">
        <v>741</v>
      </c>
      <c r="I1482" s="24" t="s">
        <v>1185</v>
      </c>
      <c r="J1482" s="14" t="s">
        <v>29</v>
      </c>
      <c r="K1482" s="15" t="s">
        <v>59</v>
      </c>
      <c r="L1482" s="62"/>
      <c r="M1482" s="14"/>
      <c r="N1482" s="14" t="s">
        <v>127</v>
      </c>
      <c r="O1482" s="14"/>
      <c r="P1482" s="15" t="s">
        <v>745</v>
      </c>
      <c r="Q1482" s="16">
        <v>12999</v>
      </c>
      <c r="R1482" s="17">
        <v>46</v>
      </c>
      <c r="S1482" s="18">
        <v>8072.378999999999</v>
      </c>
      <c r="T1482" s="19" t="s">
        <v>36</v>
      </c>
      <c r="U1482" s="20" t="s">
        <v>747</v>
      </c>
      <c r="V1482" s="34">
        <v>37.5</v>
      </c>
      <c r="W1482" s="22">
        <v>2</v>
      </c>
      <c r="X1482" s="23"/>
    </row>
    <row r="1483" spans="1:24" s="1" customFormat="1" ht="17" customHeight="1" x14ac:dyDescent="0.3">
      <c r="A1483" s="24" t="s">
        <v>23</v>
      </c>
      <c r="B1483" s="24" t="s">
        <v>1313</v>
      </c>
      <c r="C1483" s="12" t="s">
        <v>1513</v>
      </c>
      <c r="D1483" s="60"/>
      <c r="E1483" s="41" t="str">
        <f t="shared" si="52"/>
        <v>Еще фото</v>
      </c>
      <c r="F1483" s="13"/>
      <c r="G1483" s="24" t="s">
        <v>1184</v>
      </c>
      <c r="H1483" s="24" t="s">
        <v>741</v>
      </c>
      <c r="I1483" s="24" t="s">
        <v>1185</v>
      </c>
      <c r="J1483" s="14" t="s">
        <v>29</v>
      </c>
      <c r="K1483" s="15" t="s">
        <v>59</v>
      </c>
      <c r="L1483" s="62"/>
      <c r="M1483" s="14"/>
      <c r="N1483" s="14" t="s">
        <v>127</v>
      </c>
      <c r="O1483" s="14"/>
      <c r="P1483" s="15" t="s">
        <v>745</v>
      </c>
      <c r="Q1483" s="16">
        <v>12999</v>
      </c>
      <c r="R1483" s="17">
        <v>46</v>
      </c>
      <c r="S1483" s="18">
        <v>8072.378999999999</v>
      </c>
      <c r="T1483" s="19" t="s">
        <v>36</v>
      </c>
      <c r="U1483" s="20" t="s">
        <v>748</v>
      </c>
      <c r="V1483" s="22">
        <v>38</v>
      </c>
      <c r="W1483" s="22">
        <v>1</v>
      </c>
      <c r="X1483" s="23"/>
    </row>
    <row r="1484" spans="1:24" s="1" customFormat="1" ht="17" customHeight="1" x14ac:dyDescent="0.3">
      <c r="A1484" s="24" t="s">
        <v>23</v>
      </c>
      <c r="B1484" s="24" t="s">
        <v>1313</v>
      </c>
      <c r="C1484" s="12" t="s">
        <v>1513</v>
      </c>
      <c r="D1484" s="60"/>
      <c r="E1484" s="41" t="str">
        <f t="shared" si="52"/>
        <v>Еще фото</v>
      </c>
      <c r="F1484" s="13"/>
      <c r="G1484" s="24" t="s">
        <v>1184</v>
      </c>
      <c r="H1484" s="24" t="s">
        <v>741</v>
      </c>
      <c r="I1484" s="24" t="s">
        <v>1185</v>
      </c>
      <c r="J1484" s="14" t="s">
        <v>29</v>
      </c>
      <c r="K1484" s="15" t="s">
        <v>59</v>
      </c>
      <c r="L1484" s="62"/>
      <c r="M1484" s="14"/>
      <c r="N1484" s="14" t="s">
        <v>127</v>
      </c>
      <c r="O1484" s="14"/>
      <c r="P1484" s="15" t="s">
        <v>745</v>
      </c>
      <c r="Q1484" s="16">
        <v>12999</v>
      </c>
      <c r="R1484" s="17">
        <v>46</v>
      </c>
      <c r="S1484" s="18">
        <v>8072.378999999999</v>
      </c>
      <c r="T1484" s="19" t="s">
        <v>36</v>
      </c>
      <c r="U1484" s="20" t="s">
        <v>749</v>
      </c>
      <c r="V1484" s="22">
        <v>39</v>
      </c>
      <c r="W1484" s="22">
        <v>2</v>
      </c>
      <c r="X1484" s="23"/>
    </row>
    <row r="1485" spans="1:24" s="1" customFormat="1" ht="22.05" customHeight="1" x14ac:dyDescent="0.3">
      <c r="A1485" s="24" t="s">
        <v>23</v>
      </c>
      <c r="B1485" s="24" t="s">
        <v>1313</v>
      </c>
      <c r="C1485" s="12" t="s">
        <v>1513</v>
      </c>
      <c r="D1485" s="61"/>
      <c r="E1485" s="41" t="str">
        <f t="shared" si="52"/>
        <v>Еще фото</v>
      </c>
      <c r="F1485" s="13"/>
      <c r="G1485" s="24" t="s">
        <v>1184</v>
      </c>
      <c r="H1485" s="24" t="s">
        <v>741</v>
      </c>
      <c r="I1485" s="24" t="s">
        <v>1185</v>
      </c>
      <c r="J1485" s="14" t="s">
        <v>29</v>
      </c>
      <c r="K1485" s="15" t="s">
        <v>59</v>
      </c>
      <c r="L1485" s="58"/>
      <c r="M1485" s="14"/>
      <c r="N1485" s="14" t="s">
        <v>127</v>
      </c>
      <c r="O1485" s="14"/>
      <c r="P1485" s="15" t="s">
        <v>745</v>
      </c>
      <c r="Q1485" s="16">
        <v>12999</v>
      </c>
      <c r="R1485" s="17">
        <v>46</v>
      </c>
      <c r="S1485" s="18">
        <v>8072.378999999999</v>
      </c>
      <c r="T1485" s="19" t="s">
        <v>36</v>
      </c>
      <c r="U1485" s="20" t="s">
        <v>750</v>
      </c>
      <c r="V1485" s="34">
        <v>39.5</v>
      </c>
      <c r="W1485" s="22">
        <v>1</v>
      </c>
      <c r="X1485" s="23"/>
    </row>
    <row r="1486" spans="1:24" s="1" customFormat="1" ht="21" customHeight="1" x14ac:dyDescent="0.3">
      <c r="A1486" s="11" t="s">
        <v>23</v>
      </c>
      <c r="B1486" s="11" t="s">
        <v>1514</v>
      </c>
      <c r="C1486" s="26" t="s">
        <v>1515</v>
      </c>
      <c r="D1486" s="59"/>
      <c r="E1486" s="41" t="str">
        <f>HYPERLINK("https://www.google.ru/search?q=3027600-001&amp;newwindow=1&amp;tbm=isch","Еще фото")</f>
        <v>Еще фото</v>
      </c>
      <c r="F1486" s="13" t="s">
        <v>152</v>
      </c>
      <c r="G1486" s="11" t="s">
        <v>1184</v>
      </c>
      <c r="H1486" s="11" t="s">
        <v>741</v>
      </c>
      <c r="I1486" s="14" t="s">
        <v>1185</v>
      </c>
      <c r="J1486" s="14" t="s">
        <v>29</v>
      </c>
      <c r="K1486" s="15" t="s">
        <v>30</v>
      </c>
      <c r="L1486" s="57" t="s">
        <v>1312</v>
      </c>
      <c r="M1486" s="14"/>
      <c r="N1486" s="14" t="s">
        <v>33</v>
      </c>
      <c r="O1486" s="14"/>
      <c r="P1486" s="15" t="s">
        <v>1516</v>
      </c>
      <c r="Q1486" s="16">
        <v>25699</v>
      </c>
      <c r="R1486" s="17">
        <v>46</v>
      </c>
      <c r="S1486" s="18">
        <v>15959.078999999998</v>
      </c>
      <c r="T1486" s="19" t="s">
        <v>36</v>
      </c>
      <c r="U1486" s="20" t="s">
        <v>747</v>
      </c>
      <c r="V1486" s="34">
        <v>39.5</v>
      </c>
      <c r="W1486" s="22">
        <v>8</v>
      </c>
      <c r="X1486" s="23"/>
    </row>
    <row r="1487" spans="1:24" s="1" customFormat="1" ht="21" customHeight="1" x14ac:dyDescent="0.3">
      <c r="A1487" s="24" t="s">
        <v>23</v>
      </c>
      <c r="B1487" s="24" t="s">
        <v>1514</v>
      </c>
      <c r="C1487" s="27" t="s">
        <v>1515</v>
      </c>
      <c r="D1487" s="60"/>
      <c r="E1487" s="41" t="str">
        <f>HYPERLINK("https://www.google.ru/search?q=3027600-001&amp;newwindow=1&amp;tbm=isch","Еще фото")</f>
        <v>Еще фото</v>
      </c>
      <c r="F1487" s="13" t="s">
        <v>152</v>
      </c>
      <c r="G1487" s="24" t="s">
        <v>1184</v>
      </c>
      <c r="H1487" s="24" t="s">
        <v>741</v>
      </c>
      <c r="I1487" s="24" t="s">
        <v>1185</v>
      </c>
      <c r="J1487" s="14" t="s">
        <v>29</v>
      </c>
      <c r="K1487" s="15" t="s">
        <v>30</v>
      </c>
      <c r="L1487" s="62"/>
      <c r="M1487" s="14"/>
      <c r="N1487" s="14" t="s">
        <v>33</v>
      </c>
      <c r="O1487" s="14"/>
      <c r="P1487" s="15" t="s">
        <v>1516</v>
      </c>
      <c r="Q1487" s="16">
        <v>25699</v>
      </c>
      <c r="R1487" s="17">
        <v>46</v>
      </c>
      <c r="S1487" s="18">
        <v>15959.078999999998</v>
      </c>
      <c r="T1487" s="19" t="s">
        <v>36</v>
      </c>
      <c r="U1487" s="20" t="s">
        <v>748</v>
      </c>
      <c r="V1487" s="22">
        <v>40</v>
      </c>
      <c r="W1487" s="22">
        <v>5</v>
      </c>
      <c r="X1487" s="23"/>
    </row>
    <row r="1488" spans="1:24" s="1" customFormat="1" ht="21" customHeight="1" x14ac:dyDescent="0.3">
      <c r="A1488" s="24" t="s">
        <v>23</v>
      </c>
      <c r="B1488" s="24" t="s">
        <v>1514</v>
      </c>
      <c r="C1488" s="27" t="s">
        <v>1515</v>
      </c>
      <c r="D1488" s="60"/>
      <c r="E1488" s="41" t="str">
        <f>HYPERLINK("https://www.google.ru/search?q=3027600-001&amp;newwindow=1&amp;tbm=isch","Еще фото")</f>
        <v>Еще фото</v>
      </c>
      <c r="F1488" s="13" t="s">
        <v>152</v>
      </c>
      <c r="G1488" s="24" t="s">
        <v>1184</v>
      </c>
      <c r="H1488" s="24" t="s">
        <v>741</v>
      </c>
      <c r="I1488" s="24" t="s">
        <v>1185</v>
      </c>
      <c r="J1488" s="14" t="s">
        <v>29</v>
      </c>
      <c r="K1488" s="15" t="s">
        <v>30</v>
      </c>
      <c r="L1488" s="62"/>
      <c r="M1488" s="14"/>
      <c r="N1488" s="14" t="s">
        <v>33</v>
      </c>
      <c r="O1488" s="14"/>
      <c r="P1488" s="15" t="s">
        <v>1516</v>
      </c>
      <c r="Q1488" s="16">
        <v>25699</v>
      </c>
      <c r="R1488" s="17">
        <v>46</v>
      </c>
      <c r="S1488" s="18">
        <v>15959.078999999998</v>
      </c>
      <c r="T1488" s="19" t="s">
        <v>36</v>
      </c>
      <c r="U1488" s="20" t="s">
        <v>749</v>
      </c>
      <c r="V1488" s="22">
        <v>41</v>
      </c>
      <c r="W1488" s="22">
        <v>11</v>
      </c>
      <c r="X1488" s="23"/>
    </row>
    <row r="1489" spans="1:24" s="1" customFormat="1" ht="21" customHeight="1" x14ac:dyDescent="0.3">
      <c r="A1489" s="24" t="s">
        <v>23</v>
      </c>
      <c r="B1489" s="24" t="s">
        <v>1514</v>
      </c>
      <c r="C1489" s="27" t="s">
        <v>1515</v>
      </c>
      <c r="D1489" s="60"/>
      <c r="E1489" s="41" t="str">
        <f>HYPERLINK("https://www.google.ru/search?q=3027600-001&amp;newwindow=1&amp;tbm=isch","Еще фото")</f>
        <v>Еще фото</v>
      </c>
      <c r="F1489" s="13" t="s">
        <v>152</v>
      </c>
      <c r="G1489" s="24" t="s">
        <v>1184</v>
      </c>
      <c r="H1489" s="24" t="s">
        <v>741</v>
      </c>
      <c r="I1489" s="24" t="s">
        <v>1185</v>
      </c>
      <c r="J1489" s="14" t="s">
        <v>29</v>
      </c>
      <c r="K1489" s="15" t="s">
        <v>30</v>
      </c>
      <c r="L1489" s="62"/>
      <c r="M1489" s="14"/>
      <c r="N1489" s="14" t="s">
        <v>33</v>
      </c>
      <c r="O1489" s="14"/>
      <c r="P1489" s="15" t="s">
        <v>1516</v>
      </c>
      <c r="Q1489" s="16">
        <v>25699</v>
      </c>
      <c r="R1489" s="17">
        <v>46</v>
      </c>
      <c r="S1489" s="18">
        <v>15959.078999999998</v>
      </c>
      <c r="T1489" s="19" t="s">
        <v>36</v>
      </c>
      <c r="U1489" s="20" t="s">
        <v>750</v>
      </c>
      <c r="V1489" s="34">
        <v>41.5</v>
      </c>
      <c r="W1489" s="22">
        <v>3</v>
      </c>
      <c r="X1489" s="23"/>
    </row>
    <row r="1490" spans="1:24" s="1" customFormat="1" ht="32" customHeight="1" x14ac:dyDescent="0.3">
      <c r="A1490" s="24" t="s">
        <v>23</v>
      </c>
      <c r="B1490" s="24" t="s">
        <v>1514</v>
      </c>
      <c r="C1490" s="27" t="s">
        <v>1515</v>
      </c>
      <c r="D1490" s="61"/>
      <c r="E1490" s="41" t="str">
        <f>HYPERLINK("https://www.google.ru/search?q=3027600-001&amp;newwindow=1&amp;tbm=isch","Еще фото")</f>
        <v>Еще фото</v>
      </c>
      <c r="F1490" s="13" t="s">
        <v>152</v>
      </c>
      <c r="G1490" s="24" t="s">
        <v>1184</v>
      </c>
      <c r="H1490" s="24" t="s">
        <v>741</v>
      </c>
      <c r="I1490" s="24" t="s">
        <v>1185</v>
      </c>
      <c r="J1490" s="14" t="s">
        <v>29</v>
      </c>
      <c r="K1490" s="15" t="s">
        <v>30</v>
      </c>
      <c r="L1490" s="58"/>
      <c r="M1490" s="14"/>
      <c r="N1490" s="14" t="s">
        <v>33</v>
      </c>
      <c r="O1490" s="14"/>
      <c r="P1490" s="15" t="s">
        <v>1516</v>
      </c>
      <c r="Q1490" s="16">
        <v>25699</v>
      </c>
      <c r="R1490" s="17">
        <v>46</v>
      </c>
      <c r="S1490" s="18">
        <v>15959.078999999998</v>
      </c>
      <c r="T1490" s="19" t="s">
        <v>36</v>
      </c>
      <c r="U1490" s="20" t="s">
        <v>752</v>
      </c>
      <c r="V1490" s="22">
        <v>43</v>
      </c>
      <c r="W1490" s="22">
        <v>1</v>
      </c>
      <c r="X1490" s="23"/>
    </row>
    <row r="1491" spans="1:24" s="1" customFormat="1" ht="52.05" customHeight="1" x14ac:dyDescent="0.3">
      <c r="A1491" s="11" t="s">
        <v>23</v>
      </c>
      <c r="B1491" s="11" t="s">
        <v>1517</v>
      </c>
      <c r="C1491" s="12" t="s">
        <v>1518</v>
      </c>
      <c r="D1491" s="55"/>
      <c r="E1491" s="41" t="str">
        <f>HYPERLINK("https://www.google.ru/search?q=3027639-003&amp;newwindow=1&amp;tbm=isch","Еще фото")</f>
        <v>Еще фото</v>
      </c>
      <c r="F1491" s="13"/>
      <c r="G1491" s="11" t="s">
        <v>1184</v>
      </c>
      <c r="H1491" s="11" t="s">
        <v>741</v>
      </c>
      <c r="I1491" s="14" t="s">
        <v>1185</v>
      </c>
      <c r="J1491" s="14" t="s">
        <v>260</v>
      </c>
      <c r="K1491" s="15" t="s">
        <v>723</v>
      </c>
      <c r="L1491" s="57" t="s">
        <v>1519</v>
      </c>
      <c r="M1491" s="14"/>
      <c r="N1491" s="14" t="s">
        <v>33</v>
      </c>
      <c r="O1491" s="14"/>
      <c r="P1491" s="15" t="s">
        <v>1325</v>
      </c>
      <c r="Q1491" s="16">
        <v>19999</v>
      </c>
      <c r="R1491" s="17">
        <v>46</v>
      </c>
      <c r="S1491" s="18">
        <v>12419.378999999997</v>
      </c>
      <c r="T1491" s="19" t="s">
        <v>36</v>
      </c>
      <c r="U1491" s="20" t="s">
        <v>1346</v>
      </c>
      <c r="V1491" s="34">
        <v>41.5</v>
      </c>
      <c r="W1491" s="22">
        <v>3</v>
      </c>
      <c r="X1491" s="23"/>
    </row>
    <row r="1492" spans="1:24" s="1" customFormat="1" ht="61.05" customHeight="1" x14ac:dyDescent="0.3">
      <c r="A1492" s="24" t="s">
        <v>23</v>
      </c>
      <c r="B1492" s="24" t="s">
        <v>1517</v>
      </c>
      <c r="C1492" s="12" t="s">
        <v>1518</v>
      </c>
      <c r="D1492" s="56"/>
      <c r="E1492" s="41" t="str">
        <f>HYPERLINK("https://www.google.ru/search?q=3027639-003&amp;newwindow=1&amp;tbm=isch","Еще фото")</f>
        <v>Еще фото</v>
      </c>
      <c r="F1492" s="13"/>
      <c r="G1492" s="24" t="s">
        <v>1184</v>
      </c>
      <c r="H1492" s="24" t="s">
        <v>741</v>
      </c>
      <c r="I1492" s="24" t="s">
        <v>1185</v>
      </c>
      <c r="J1492" s="14" t="s">
        <v>260</v>
      </c>
      <c r="K1492" s="15" t="s">
        <v>723</v>
      </c>
      <c r="L1492" s="58"/>
      <c r="M1492" s="14"/>
      <c r="N1492" s="14" t="s">
        <v>33</v>
      </c>
      <c r="O1492" s="14"/>
      <c r="P1492" s="15" t="s">
        <v>1325</v>
      </c>
      <c r="Q1492" s="16">
        <v>19999</v>
      </c>
      <c r="R1492" s="17">
        <v>46</v>
      </c>
      <c r="S1492" s="18">
        <v>12419.378999999997</v>
      </c>
      <c r="T1492" s="19" t="s">
        <v>36</v>
      </c>
      <c r="U1492" s="20" t="s">
        <v>1326</v>
      </c>
      <c r="V1492" s="22">
        <v>42</v>
      </c>
      <c r="W1492" s="22">
        <v>3</v>
      </c>
      <c r="X1492" s="23"/>
    </row>
    <row r="1493" spans="1:24" s="1" customFormat="1" ht="17" customHeight="1" x14ac:dyDescent="0.3">
      <c r="A1493" s="11" t="s">
        <v>23</v>
      </c>
      <c r="B1493" s="11" t="s">
        <v>1264</v>
      </c>
      <c r="C1493" s="12" t="s">
        <v>1520</v>
      </c>
      <c r="D1493" s="59"/>
      <c r="E1493" s="41" t="str">
        <f t="shared" ref="E1493:E1498" si="53">HYPERLINK("https://www.google.ru/search?q=3028003-100&amp;newwindow=1&amp;tbm=isch","Еще фото")</f>
        <v>Еще фото</v>
      </c>
      <c r="F1493" s="13"/>
      <c r="G1493" s="11" t="s">
        <v>1184</v>
      </c>
      <c r="H1493" s="11" t="s">
        <v>741</v>
      </c>
      <c r="I1493" s="14" t="s">
        <v>1185</v>
      </c>
      <c r="J1493" s="14" t="s">
        <v>29</v>
      </c>
      <c r="K1493" s="15" t="s">
        <v>59</v>
      </c>
      <c r="L1493" s="57" t="s">
        <v>1521</v>
      </c>
      <c r="M1493" s="14" t="s">
        <v>1211</v>
      </c>
      <c r="N1493" s="14" t="s">
        <v>84</v>
      </c>
      <c r="O1493" s="14"/>
      <c r="P1493" s="15" t="s">
        <v>745</v>
      </c>
      <c r="Q1493" s="16">
        <v>15499</v>
      </c>
      <c r="R1493" s="17">
        <v>46</v>
      </c>
      <c r="S1493" s="18">
        <v>9624.878999999999</v>
      </c>
      <c r="T1493" s="19" t="s">
        <v>36</v>
      </c>
      <c r="U1493" s="20" t="s">
        <v>1190</v>
      </c>
      <c r="V1493" s="34">
        <v>35.5</v>
      </c>
      <c r="W1493" s="22">
        <v>1</v>
      </c>
      <c r="X1493" s="23"/>
    </row>
    <row r="1494" spans="1:24" s="1" customFormat="1" ht="17" customHeight="1" x14ac:dyDescent="0.3">
      <c r="A1494" s="24" t="s">
        <v>23</v>
      </c>
      <c r="B1494" s="24" t="s">
        <v>1264</v>
      </c>
      <c r="C1494" s="12" t="s">
        <v>1520</v>
      </c>
      <c r="D1494" s="60"/>
      <c r="E1494" s="41" t="str">
        <f t="shared" si="53"/>
        <v>Еще фото</v>
      </c>
      <c r="F1494" s="13"/>
      <c r="G1494" s="24" t="s">
        <v>1184</v>
      </c>
      <c r="H1494" s="24" t="s">
        <v>741</v>
      </c>
      <c r="I1494" s="24" t="s">
        <v>1185</v>
      </c>
      <c r="J1494" s="14" t="s">
        <v>29</v>
      </c>
      <c r="K1494" s="15" t="s">
        <v>59</v>
      </c>
      <c r="L1494" s="62"/>
      <c r="M1494" s="14" t="s">
        <v>1211</v>
      </c>
      <c r="N1494" s="14" t="s">
        <v>84</v>
      </c>
      <c r="O1494" s="14"/>
      <c r="P1494" s="15" t="s">
        <v>745</v>
      </c>
      <c r="Q1494" s="16">
        <v>15499</v>
      </c>
      <c r="R1494" s="17">
        <v>46</v>
      </c>
      <c r="S1494" s="18">
        <v>9624.878999999999</v>
      </c>
      <c r="T1494" s="19" t="s">
        <v>36</v>
      </c>
      <c r="U1494" s="20" t="s">
        <v>1203</v>
      </c>
      <c r="V1494" s="22">
        <v>36</v>
      </c>
      <c r="W1494" s="22">
        <v>1</v>
      </c>
      <c r="X1494" s="23"/>
    </row>
    <row r="1495" spans="1:24" s="1" customFormat="1" ht="17" customHeight="1" x14ac:dyDescent="0.3">
      <c r="A1495" s="24" t="s">
        <v>23</v>
      </c>
      <c r="B1495" s="24" t="s">
        <v>1264</v>
      </c>
      <c r="C1495" s="12" t="s">
        <v>1520</v>
      </c>
      <c r="D1495" s="60"/>
      <c r="E1495" s="41" t="str">
        <f t="shared" si="53"/>
        <v>Еще фото</v>
      </c>
      <c r="F1495" s="13"/>
      <c r="G1495" s="24" t="s">
        <v>1184</v>
      </c>
      <c r="H1495" s="24" t="s">
        <v>741</v>
      </c>
      <c r="I1495" s="24" t="s">
        <v>1185</v>
      </c>
      <c r="J1495" s="14" t="s">
        <v>29</v>
      </c>
      <c r="K1495" s="15" t="s">
        <v>59</v>
      </c>
      <c r="L1495" s="62"/>
      <c r="M1495" s="14" t="s">
        <v>1211</v>
      </c>
      <c r="N1495" s="14" t="s">
        <v>84</v>
      </c>
      <c r="O1495" s="14"/>
      <c r="P1495" s="15" t="s">
        <v>745</v>
      </c>
      <c r="Q1495" s="16">
        <v>15499</v>
      </c>
      <c r="R1495" s="17">
        <v>46</v>
      </c>
      <c r="S1495" s="18">
        <v>9624.878999999999</v>
      </c>
      <c r="T1495" s="19" t="s">
        <v>36</v>
      </c>
      <c r="U1495" s="20" t="s">
        <v>1196</v>
      </c>
      <c r="V1495" s="34">
        <v>36.5</v>
      </c>
      <c r="W1495" s="22">
        <v>3</v>
      </c>
      <c r="X1495" s="23"/>
    </row>
    <row r="1496" spans="1:24" s="1" customFormat="1" ht="17" customHeight="1" x14ac:dyDescent="0.3">
      <c r="A1496" s="24" t="s">
        <v>23</v>
      </c>
      <c r="B1496" s="24" t="s">
        <v>1264</v>
      </c>
      <c r="C1496" s="12" t="s">
        <v>1520</v>
      </c>
      <c r="D1496" s="60"/>
      <c r="E1496" s="41" t="str">
        <f t="shared" si="53"/>
        <v>Еще фото</v>
      </c>
      <c r="F1496" s="13"/>
      <c r="G1496" s="24" t="s">
        <v>1184</v>
      </c>
      <c r="H1496" s="24" t="s">
        <v>741</v>
      </c>
      <c r="I1496" s="24" t="s">
        <v>1185</v>
      </c>
      <c r="J1496" s="14" t="s">
        <v>29</v>
      </c>
      <c r="K1496" s="15" t="s">
        <v>59</v>
      </c>
      <c r="L1496" s="62"/>
      <c r="M1496" s="14" t="s">
        <v>1211</v>
      </c>
      <c r="N1496" s="14" t="s">
        <v>84</v>
      </c>
      <c r="O1496" s="14"/>
      <c r="P1496" s="15" t="s">
        <v>745</v>
      </c>
      <c r="Q1496" s="16">
        <v>15499</v>
      </c>
      <c r="R1496" s="17">
        <v>46</v>
      </c>
      <c r="S1496" s="18">
        <v>9624.878999999999</v>
      </c>
      <c r="T1496" s="19" t="s">
        <v>36</v>
      </c>
      <c r="U1496" s="20" t="s">
        <v>746</v>
      </c>
      <c r="V1496" s="22">
        <v>37</v>
      </c>
      <c r="W1496" s="22">
        <v>4</v>
      </c>
      <c r="X1496" s="23"/>
    </row>
    <row r="1497" spans="1:24" s="1" customFormat="1" ht="17" customHeight="1" x14ac:dyDescent="0.3">
      <c r="A1497" s="24" t="s">
        <v>23</v>
      </c>
      <c r="B1497" s="24" t="s">
        <v>1264</v>
      </c>
      <c r="C1497" s="12" t="s">
        <v>1520</v>
      </c>
      <c r="D1497" s="60"/>
      <c r="E1497" s="41" t="str">
        <f t="shared" si="53"/>
        <v>Еще фото</v>
      </c>
      <c r="F1497" s="13"/>
      <c r="G1497" s="24" t="s">
        <v>1184</v>
      </c>
      <c r="H1497" s="24" t="s">
        <v>741</v>
      </c>
      <c r="I1497" s="24" t="s">
        <v>1185</v>
      </c>
      <c r="J1497" s="14" t="s">
        <v>29</v>
      </c>
      <c r="K1497" s="15" t="s">
        <v>59</v>
      </c>
      <c r="L1497" s="62"/>
      <c r="M1497" s="14" t="s">
        <v>1211</v>
      </c>
      <c r="N1497" s="14" t="s">
        <v>84</v>
      </c>
      <c r="O1497" s="14"/>
      <c r="P1497" s="15" t="s">
        <v>745</v>
      </c>
      <c r="Q1497" s="16">
        <v>15499</v>
      </c>
      <c r="R1497" s="17">
        <v>46</v>
      </c>
      <c r="S1497" s="18">
        <v>9624.878999999999</v>
      </c>
      <c r="T1497" s="19" t="s">
        <v>36</v>
      </c>
      <c r="U1497" s="20" t="s">
        <v>747</v>
      </c>
      <c r="V1497" s="34">
        <v>37.5</v>
      </c>
      <c r="W1497" s="22">
        <v>2</v>
      </c>
      <c r="X1497" s="23"/>
    </row>
    <row r="1498" spans="1:24" s="1" customFormat="1" ht="22.05" customHeight="1" x14ac:dyDescent="0.3">
      <c r="A1498" s="24" t="s">
        <v>23</v>
      </c>
      <c r="B1498" s="24" t="s">
        <v>1264</v>
      </c>
      <c r="C1498" s="12" t="s">
        <v>1520</v>
      </c>
      <c r="D1498" s="61"/>
      <c r="E1498" s="41" t="str">
        <f t="shared" si="53"/>
        <v>Еще фото</v>
      </c>
      <c r="F1498" s="13"/>
      <c r="G1498" s="24" t="s">
        <v>1184</v>
      </c>
      <c r="H1498" s="24" t="s">
        <v>741</v>
      </c>
      <c r="I1498" s="24" t="s">
        <v>1185</v>
      </c>
      <c r="J1498" s="14" t="s">
        <v>29</v>
      </c>
      <c r="K1498" s="15" t="s">
        <v>59</v>
      </c>
      <c r="L1498" s="58"/>
      <c r="M1498" s="14" t="s">
        <v>1211</v>
      </c>
      <c r="N1498" s="14" t="s">
        <v>84</v>
      </c>
      <c r="O1498" s="14"/>
      <c r="P1498" s="15" t="s">
        <v>745</v>
      </c>
      <c r="Q1498" s="16">
        <v>15499</v>
      </c>
      <c r="R1498" s="17">
        <v>46</v>
      </c>
      <c r="S1498" s="18">
        <v>9624.878999999999</v>
      </c>
      <c r="T1498" s="19" t="s">
        <v>36</v>
      </c>
      <c r="U1498" s="20" t="s">
        <v>748</v>
      </c>
      <c r="V1498" s="22">
        <v>38</v>
      </c>
      <c r="W1498" s="22">
        <v>1</v>
      </c>
      <c r="X1498" s="23"/>
    </row>
    <row r="1499" spans="1:24" s="1" customFormat="1" ht="17" customHeight="1" x14ac:dyDescent="0.3">
      <c r="A1499" s="11" t="s">
        <v>23</v>
      </c>
      <c r="B1499" s="11" t="s">
        <v>1358</v>
      </c>
      <c r="C1499" s="12" t="s">
        <v>1522</v>
      </c>
      <c r="D1499" s="59"/>
      <c r="E1499" s="41" t="str">
        <f t="shared" ref="E1499:E1504" si="54">HYPERLINK("https://www.google.ru/search?q=3028076-403&amp;newwindow=1&amp;tbm=isch","Еще фото")</f>
        <v>Еще фото</v>
      </c>
      <c r="F1499" s="13"/>
      <c r="G1499" s="11" t="s">
        <v>1184</v>
      </c>
      <c r="H1499" s="11" t="s">
        <v>741</v>
      </c>
      <c r="I1499" s="14" t="s">
        <v>1185</v>
      </c>
      <c r="J1499" s="14" t="s">
        <v>29</v>
      </c>
      <c r="K1499" s="15" t="s">
        <v>30</v>
      </c>
      <c r="L1499" s="57" t="s">
        <v>1360</v>
      </c>
      <c r="M1499" s="14"/>
      <c r="N1499" s="14" t="s">
        <v>115</v>
      </c>
      <c r="O1499" s="14"/>
      <c r="P1499" s="15" t="s">
        <v>745</v>
      </c>
      <c r="Q1499" s="16">
        <v>13699</v>
      </c>
      <c r="R1499" s="17">
        <v>46</v>
      </c>
      <c r="S1499" s="18">
        <v>8507.0789999999997</v>
      </c>
      <c r="T1499" s="19" t="s">
        <v>36</v>
      </c>
      <c r="U1499" s="20" t="s">
        <v>749</v>
      </c>
      <c r="V1499" s="22">
        <v>41</v>
      </c>
      <c r="W1499" s="22">
        <v>1</v>
      </c>
      <c r="X1499" s="23"/>
    </row>
    <row r="1500" spans="1:24" s="1" customFormat="1" ht="17" customHeight="1" x14ac:dyDescent="0.3">
      <c r="A1500" s="24" t="s">
        <v>23</v>
      </c>
      <c r="B1500" s="24" t="s">
        <v>1358</v>
      </c>
      <c r="C1500" s="12" t="s">
        <v>1522</v>
      </c>
      <c r="D1500" s="60"/>
      <c r="E1500" s="41" t="str">
        <f t="shared" si="54"/>
        <v>Еще фото</v>
      </c>
      <c r="F1500" s="13"/>
      <c r="G1500" s="24" t="s">
        <v>1184</v>
      </c>
      <c r="H1500" s="24" t="s">
        <v>741</v>
      </c>
      <c r="I1500" s="24" t="s">
        <v>1185</v>
      </c>
      <c r="J1500" s="14" t="s">
        <v>29</v>
      </c>
      <c r="K1500" s="15" t="s">
        <v>30</v>
      </c>
      <c r="L1500" s="62"/>
      <c r="M1500" s="14"/>
      <c r="N1500" s="14" t="s">
        <v>115</v>
      </c>
      <c r="O1500" s="14"/>
      <c r="P1500" s="15" t="s">
        <v>745</v>
      </c>
      <c r="Q1500" s="16">
        <v>13699</v>
      </c>
      <c r="R1500" s="17">
        <v>46</v>
      </c>
      <c r="S1500" s="18">
        <v>8507.0789999999997</v>
      </c>
      <c r="T1500" s="19" t="s">
        <v>36</v>
      </c>
      <c r="U1500" s="20" t="s">
        <v>751</v>
      </c>
      <c r="V1500" s="22">
        <v>42</v>
      </c>
      <c r="W1500" s="22">
        <v>5</v>
      </c>
      <c r="X1500" s="23"/>
    </row>
    <row r="1501" spans="1:24" s="1" customFormat="1" ht="17" customHeight="1" x14ac:dyDescent="0.3">
      <c r="A1501" s="24" t="s">
        <v>23</v>
      </c>
      <c r="B1501" s="24" t="s">
        <v>1358</v>
      </c>
      <c r="C1501" s="12" t="s">
        <v>1522</v>
      </c>
      <c r="D1501" s="60"/>
      <c r="E1501" s="41" t="str">
        <f t="shared" si="54"/>
        <v>Еще фото</v>
      </c>
      <c r="F1501" s="13"/>
      <c r="G1501" s="24" t="s">
        <v>1184</v>
      </c>
      <c r="H1501" s="24" t="s">
        <v>741</v>
      </c>
      <c r="I1501" s="24" t="s">
        <v>1185</v>
      </c>
      <c r="J1501" s="14" t="s">
        <v>29</v>
      </c>
      <c r="K1501" s="15" t="s">
        <v>30</v>
      </c>
      <c r="L1501" s="62"/>
      <c r="M1501" s="14"/>
      <c r="N1501" s="14" t="s">
        <v>115</v>
      </c>
      <c r="O1501" s="14"/>
      <c r="P1501" s="15" t="s">
        <v>745</v>
      </c>
      <c r="Q1501" s="16">
        <v>13699</v>
      </c>
      <c r="R1501" s="17">
        <v>46</v>
      </c>
      <c r="S1501" s="18">
        <v>8507.0789999999997</v>
      </c>
      <c r="T1501" s="19" t="s">
        <v>36</v>
      </c>
      <c r="U1501" s="20" t="s">
        <v>752</v>
      </c>
      <c r="V1501" s="22">
        <v>43</v>
      </c>
      <c r="W1501" s="22">
        <v>4</v>
      </c>
      <c r="X1501" s="23"/>
    </row>
    <row r="1502" spans="1:24" s="1" customFormat="1" ht="17" customHeight="1" x14ac:dyDescent="0.3">
      <c r="A1502" s="24" t="s">
        <v>23</v>
      </c>
      <c r="B1502" s="24" t="s">
        <v>1358</v>
      </c>
      <c r="C1502" s="12" t="s">
        <v>1522</v>
      </c>
      <c r="D1502" s="60"/>
      <c r="E1502" s="41" t="str">
        <f t="shared" si="54"/>
        <v>Еще фото</v>
      </c>
      <c r="F1502" s="13"/>
      <c r="G1502" s="24" t="s">
        <v>1184</v>
      </c>
      <c r="H1502" s="24" t="s">
        <v>741</v>
      </c>
      <c r="I1502" s="24" t="s">
        <v>1185</v>
      </c>
      <c r="J1502" s="14" t="s">
        <v>29</v>
      </c>
      <c r="K1502" s="15" t="s">
        <v>30</v>
      </c>
      <c r="L1502" s="62"/>
      <c r="M1502" s="14"/>
      <c r="N1502" s="14" t="s">
        <v>115</v>
      </c>
      <c r="O1502" s="14"/>
      <c r="P1502" s="15" t="s">
        <v>745</v>
      </c>
      <c r="Q1502" s="16">
        <v>13699</v>
      </c>
      <c r="R1502" s="17">
        <v>46</v>
      </c>
      <c r="S1502" s="18">
        <v>8507.0789999999997</v>
      </c>
      <c r="T1502" s="19" t="s">
        <v>36</v>
      </c>
      <c r="U1502" s="20" t="s">
        <v>753</v>
      </c>
      <c r="V1502" s="34">
        <v>43.5</v>
      </c>
      <c r="W1502" s="22">
        <v>5</v>
      </c>
      <c r="X1502" s="23"/>
    </row>
    <row r="1503" spans="1:24" s="1" customFormat="1" ht="17" customHeight="1" x14ac:dyDescent="0.3">
      <c r="A1503" s="24" t="s">
        <v>23</v>
      </c>
      <c r="B1503" s="24" t="s">
        <v>1358</v>
      </c>
      <c r="C1503" s="12" t="s">
        <v>1522</v>
      </c>
      <c r="D1503" s="60"/>
      <c r="E1503" s="41" t="str">
        <f t="shared" si="54"/>
        <v>Еще фото</v>
      </c>
      <c r="F1503" s="13"/>
      <c r="G1503" s="24" t="s">
        <v>1184</v>
      </c>
      <c r="H1503" s="24" t="s">
        <v>741</v>
      </c>
      <c r="I1503" s="24" t="s">
        <v>1185</v>
      </c>
      <c r="J1503" s="14" t="s">
        <v>29</v>
      </c>
      <c r="K1503" s="15" t="s">
        <v>30</v>
      </c>
      <c r="L1503" s="62"/>
      <c r="M1503" s="14"/>
      <c r="N1503" s="14" t="s">
        <v>115</v>
      </c>
      <c r="O1503" s="14"/>
      <c r="P1503" s="15" t="s">
        <v>745</v>
      </c>
      <c r="Q1503" s="16">
        <v>13699</v>
      </c>
      <c r="R1503" s="17">
        <v>46</v>
      </c>
      <c r="S1503" s="18">
        <v>8507.0789999999997</v>
      </c>
      <c r="T1503" s="19" t="s">
        <v>36</v>
      </c>
      <c r="U1503" s="20" t="s">
        <v>754</v>
      </c>
      <c r="V1503" s="22">
        <v>44</v>
      </c>
      <c r="W1503" s="22">
        <v>1</v>
      </c>
      <c r="X1503" s="23"/>
    </row>
    <row r="1504" spans="1:24" s="1" customFormat="1" ht="22.05" customHeight="1" x14ac:dyDescent="0.3">
      <c r="A1504" s="24" t="s">
        <v>23</v>
      </c>
      <c r="B1504" s="24" t="s">
        <v>1358</v>
      </c>
      <c r="C1504" s="12" t="s">
        <v>1522</v>
      </c>
      <c r="D1504" s="61"/>
      <c r="E1504" s="41" t="str">
        <f t="shared" si="54"/>
        <v>Еще фото</v>
      </c>
      <c r="F1504" s="13"/>
      <c r="G1504" s="24" t="s">
        <v>1184</v>
      </c>
      <c r="H1504" s="24" t="s">
        <v>741</v>
      </c>
      <c r="I1504" s="24" t="s">
        <v>1185</v>
      </c>
      <c r="J1504" s="14" t="s">
        <v>29</v>
      </c>
      <c r="K1504" s="15" t="s">
        <v>30</v>
      </c>
      <c r="L1504" s="58"/>
      <c r="M1504" s="14"/>
      <c r="N1504" s="14" t="s">
        <v>115</v>
      </c>
      <c r="O1504" s="14"/>
      <c r="P1504" s="15" t="s">
        <v>745</v>
      </c>
      <c r="Q1504" s="16">
        <v>13699</v>
      </c>
      <c r="R1504" s="17">
        <v>46</v>
      </c>
      <c r="S1504" s="18">
        <v>8507.0789999999997</v>
      </c>
      <c r="T1504" s="19" t="s">
        <v>36</v>
      </c>
      <c r="U1504" s="20" t="s">
        <v>755</v>
      </c>
      <c r="V1504" s="34">
        <v>44.5</v>
      </c>
      <c r="W1504" s="22">
        <v>1</v>
      </c>
      <c r="X1504" s="23"/>
    </row>
    <row r="1505" spans="1:24" s="1" customFormat="1" ht="14" customHeight="1" x14ac:dyDescent="0.3">
      <c r="A1505" s="11" t="s">
        <v>23</v>
      </c>
      <c r="B1505" s="11" t="s">
        <v>1523</v>
      </c>
      <c r="C1505" s="12" t="s">
        <v>1524</v>
      </c>
      <c r="D1505" s="59"/>
      <c r="E1505" s="41" t="str">
        <f t="shared" ref="E1505:E1511" si="55">HYPERLINK("https://www.google.ru/search?q=3028512-453&amp;newwindow=1&amp;tbm=isch","Еще фото")</f>
        <v>Еще фото</v>
      </c>
      <c r="F1505" s="13" t="s">
        <v>103</v>
      </c>
      <c r="G1505" s="11" t="s">
        <v>1184</v>
      </c>
      <c r="H1505" s="11" t="s">
        <v>741</v>
      </c>
      <c r="I1505" s="14" t="s">
        <v>1185</v>
      </c>
      <c r="J1505" s="14" t="s">
        <v>260</v>
      </c>
      <c r="K1505" s="15" t="s">
        <v>723</v>
      </c>
      <c r="L1505" s="57" t="s">
        <v>1525</v>
      </c>
      <c r="M1505" s="14"/>
      <c r="N1505" s="14" t="s">
        <v>115</v>
      </c>
      <c r="O1505" s="14"/>
      <c r="P1505" s="15" t="s">
        <v>1526</v>
      </c>
      <c r="Q1505" s="16">
        <v>9699</v>
      </c>
      <c r="R1505" s="17">
        <v>46</v>
      </c>
      <c r="S1505" s="18">
        <v>6023.0789999999997</v>
      </c>
      <c r="T1505" s="19" t="s">
        <v>36</v>
      </c>
      <c r="U1505" s="20" t="s">
        <v>1345</v>
      </c>
      <c r="V1505" s="22">
        <v>41</v>
      </c>
      <c r="W1505" s="22">
        <v>5</v>
      </c>
      <c r="X1505" s="23"/>
    </row>
    <row r="1506" spans="1:24" s="1" customFormat="1" ht="14" customHeight="1" x14ac:dyDescent="0.3">
      <c r="A1506" s="24" t="s">
        <v>23</v>
      </c>
      <c r="B1506" s="24" t="s">
        <v>1523</v>
      </c>
      <c r="C1506" s="12" t="s">
        <v>1524</v>
      </c>
      <c r="D1506" s="60"/>
      <c r="E1506" s="41" t="str">
        <f t="shared" si="55"/>
        <v>Еще фото</v>
      </c>
      <c r="F1506" s="13" t="s">
        <v>103</v>
      </c>
      <c r="G1506" s="24" t="s">
        <v>1184</v>
      </c>
      <c r="H1506" s="24" t="s">
        <v>741</v>
      </c>
      <c r="I1506" s="24" t="s">
        <v>1185</v>
      </c>
      <c r="J1506" s="14" t="s">
        <v>260</v>
      </c>
      <c r="K1506" s="15" t="s">
        <v>723</v>
      </c>
      <c r="L1506" s="62"/>
      <c r="M1506" s="14"/>
      <c r="N1506" s="14" t="s">
        <v>115</v>
      </c>
      <c r="O1506" s="14"/>
      <c r="P1506" s="15" t="s">
        <v>1526</v>
      </c>
      <c r="Q1506" s="16">
        <v>9699</v>
      </c>
      <c r="R1506" s="17">
        <v>46</v>
      </c>
      <c r="S1506" s="18">
        <v>6023.0789999999997</v>
      </c>
      <c r="T1506" s="19" t="s">
        <v>36</v>
      </c>
      <c r="U1506" s="20" t="s">
        <v>1346</v>
      </c>
      <c r="V1506" s="34">
        <v>41.5</v>
      </c>
      <c r="W1506" s="22">
        <v>10</v>
      </c>
      <c r="X1506" s="23"/>
    </row>
    <row r="1507" spans="1:24" s="1" customFormat="1" ht="14" customHeight="1" x14ac:dyDescent="0.3">
      <c r="A1507" s="24" t="s">
        <v>23</v>
      </c>
      <c r="B1507" s="24" t="s">
        <v>1523</v>
      </c>
      <c r="C1507" s="12" t="s">
        <v>1524</v>
      </c>
      <c r="D1507" s="60"/>
      <c r="E1507" s="41" t="str">
        <f t="shared" si="55"/>
        <v>Еще фото</v>
      </c>
      <c r="F1507" s="13" t="s">
        <v>103</v>
      </c>
      <c r="G1507" s="24" t="s">
        <v>1184</v>
      </c>
      <c r="H1507" s="24" t="s">
        <v>741</v>
      </c>
      <c r="I1507" s="24" t="s">
        <v>1185</v>
      </c>
      <c r="J1507" s="14" t="s">
        <v>260</v>
      </c>
      <c r="K1507" s="15" t="s">
        <v>723</v>
      </c>
      <c r="L1507" s="62"/>
      <c r="M1507" s="14"/>
      <c r="N1507" s="14" t="s">
        <v>115</v>
      </c>
      <c r="O1507" s="14"/>
      <c r="P1507" s="15" t="s">
        <v>1526</v>
      </c>
      <c r="Q1507" s="16">
        <v>9699</v>
      </c>
      <c r="R1507" s="17">
        <v>46</v>
      </c>
      <c r="S1507" s="18">
        <v>6023.0789999999997</v>
      </c>
      <c r="T1507" s="19" t="s">
        <v>36</v>
      </c>
      <c r="U1507" s="20" t="s">
        <v>1326</v>
      </c>
      <c r="V1507" s="22">
        <v>42</v>
      </c>
      <c r="W1507" s="22">
        <v>12</v>
      </c>
      <c r="X1507" s="23"/>
    </row>
    <row r="1508" spans="1:24" s="1" customFormat="1" ht="14" customHeight="1" x14ac:dyDescent="0.3">
      <c r="A1508" s="24" t="s">
        <v>23</v>
      </c>
      <c r="B1508" s="24" t="s">
        <v>1523</v>
      </c>
      <c r="C1508" s="12" t="s">
        <v>1524</v>
      </c>
      <c r="D1508" s="60"/>
      <c r="E1508" s="41" t="str">
        <f t="shared" si="55"/>
        <v>Еще фото</v>
      </c>
      <c r="F1508" s="13" t="s">
        <v>103</v>
      </c>
      <c r="G1508" s="24" t="s">
        <v>1184</v>
      </c>
      <c r="H1508" s="24" t="s">
        <v>741</v>
      </c>
      <c r="I1508" s="24" t="s">
        <v>1185</v>
      </c>
      <c r="J1508" s="14" t="s">
        <v>260</v>
      </c>
      <c r="K1508" s="15" t="s">
        <v>723</v>
      </c>
      <c r="L1508" s="62"/>
      <c r="M1508" s="14"/>
      <c r="N1508" s="14" t="s">
        <v>115</v>
      </c>
      <c r="O1508" s="14"/>
      <c r="P1508" s="15" t="s">
        <v>1526</v>
      </c>
      <c r="Q1508" s="16">
        <v>9699</v>
      </c>
      <c r="R1508" s="17">
        <v>46</v>
      </c>
      <c r="S1508" s="18">
        <v>6023.0789999999997</v>
      </c>
      <c r="T1508" s="19" t="s">
        <v>36</v>
      </c>
      <c r="U1508" s="20" t="s">
        <v>1347</v>
      </c>
      <c r="V1508" s="22">
        <v>43</v>
      </c>
      <c r="W1508" s="22">
        <v>12</v>
      </c>
      <c r="X1508" s="23"/>
    </row>
    <row r="1509" spans="1:24" s="1" customFormat="1" ht="14" customHeight="1" x14ac:dyDescent="0.3">
      <c r="A1509" s="24" t="s">
        <v>23</v>
      </c>
      <c r="B1509" s="24" t="s">
        <v>1523</v>
      </c>
      <c r="C1509" s="12" t="s">
        <v>1524</v>
      </c>
      <c r="D1509" s="60"/>
      <c r="E1509" s="41" t="str">
        <f t="shared" si="55"/>
        <v>Еще фото</v>
      </c>
      <c r="F1509" s="13" t="s">
        <v>103</v>
      </c>
      <c r="G1509" s="24" t="s">
        <v>1184</v>
      </c>
      <c r="H1509" s="24" t="s">
        <v>741</v>
      </c>
      <c r="I1509" s="24" t="s">
        <v>1185</v>
      </c>
      <c r="J1509" s="14" t="s">
        <v>260</v>
      </c>
      <c r="K1509" s="15" t="s">
        <v>723</v>
      </c>
      <c r="L1509" s="62"/>
      <c r="M1509" s="14"/>
      <c r="N1509" s="14" t="s">
        <v>115</v>
      </c>
      <c r="O1509" s="14"/>
      <c r="P1509" s="15" t="s">
        <v>1526</v>
      </c>
      <c r="Q1509" s="16">
        <v>9699</v>
      </c>
      <c r="R1509" s="17">
        <v>46</v>
      </c>
      <c r="S1509" s="18">
        <v>6023.0789999999997</v>
      </c>
      <c r="T1509" s="19" t="s">
        <v>36</v>
      </c>
      <c r="U1509" s="20" t="s">
        <v>1348</v>
      </c>
      <c r="V1509" s="34">
        <v>43.5</v>
      </c>
      <c r="W1509" s="22">
        <v>10</v>
      </c>
      <c r="X1509" s="23"/>
    </row>
    <row r="1510" spans="1:24" s="1" customFormat="1" ht="14" customHeight="1" x14ac:dyDescent="0.3">
      <c r="A1510" s="24" t="s">
        <v>23</v>
      </c>
      <c r="B1510" s="24" t="s">
        <v>1523</v>
      </c>
      <c r="C1510" s="12" t="s">
        <v>1524</v>
      </c>
      <c r="D1510" s="60"/>
      <c r="E1510" s="41" t="str">
        <f t="shared" si="55"/>
        <v>Еще фото</v>
      </c>
      <c r="F1510" s="13" t="s">
        <v>103</v>
      </c>
      <c r="G1510" s="24" t="s">
        <v>1184</v>
      </c>
      <c r="H1510" s="24" t="s">
        <v>741</v>
      </c>
      <c r="I1510" s="24" t="s">
        <v>1185</v>
      </c>
      <c r="J1510" s="14" t="s">
        <v>260</v>
      </c>
      <c r="K1510" s="15" t="s">
        <v>723</v>
      </c>
      <c r="L1510" s="62"/>
      <c r="M1510" s="14"/>
      <c r="N1510" s="14" t="s">
        <v>115</v>
      </c>
      <c r="O1510" s="14"/>
      <c r="P1510" s="15" t="s">
        <v>1526</v>
      </c>
      <c r="Q1510" s="16">
        <v>9699</v>
      </c>
      <c r="R1510" s="17">
        <v>46</v>
      </c>
      <c r="S1510" s="18">
        <v>6023.0789999999997</v>
      </c>
      <c r="T1510" s="19" t="s">
        <v>36</v>
      </c>
      <c r="U1510" s="20" t="s">
        <v>1327</v>
      </c>
      <c r="V1510" s="22">
        <v>44</v>
      </c>
      <c r="W1510" s="22">
        <v>12</v>
      </c>
      <c r="X1510" s="23"/>
    </row>
    <row r="1511" spans="1:24" s="1" customFormat="1" ht="17" customHeight="1" x14ac:dyDescent="0.3">
      <c r="A1511" s="24" t="s">
        <v>23</v>
      </c>
      <c r="B1511" s="24" t="s">
        <v>1523</v>
      </c>
      <c r="C1511" s="12" t="s">
        <v>1524</v>
      </c>
      <c r="D1511" s="61"/>
      <c r="E1511" s="41" t="str">
        <f t="shared" si="55"/>
        <v>Еще фото</v>
      </c>
      <c r="F1511" s="13" t="s">
        <v>103</v>
      </c>
      <c r="G1511" s="24" t="s">
        <v>1184</v>
      </c>
      <c r="H1511" s="24" t="s">
        <v>741</v>
      </c>
      <c r="I1511" s="24" t="s">
        <v>1185</v>
      </c>
      <c r="J1511" s="14" t="s">
        <v>260</v>
      </c>
      <c r="K1511" s="15" t="s">
        <v>723</v>
      </c>
      <c r="L1511" s="58"/>
      <c r="M1511" s="14"/>
      <c r="N1511" s="14" t="s">
        <v>115</v>
      </c>
      <c r="O1511" s="14"/>
      <c r="P1511" s="15" t="s">
        <v>1526</v>
      </c>
      <c r="Q1511" s="16">
        <v>9699</v>
      </c>
      <c r="R1511" s="17">
        <v>46</v>
      </c>
      <c r="S1511" s="18">
        <v>6023.0789999999997</v>
      </c>
      <c r="T1511" s="19" t="s">
        <v>36</v>
      </c>
      <c r="U1511" s="20" t="s">
        <v>1349</v>
      </c>
      <c r="V1511" s="34">
        <v>44.5</v>
      </c>
      <c r="W1511" s="22">
        <v>2</v>
      </c>
      <c r="X1511" s="23"/>
    </row>
    <row r="1512" spans="1:24" s="1" customFormat="1" ht="13.05" customHeight="1" x14ac:dyDescent="0.3">
      <c r="A1512" s="11" t="s">
        <v>23</v>
      </c>
      <c r="B1512" s="11" t="s">
        <v>1383</v>
      </c>
      <c r="C1512" s="12" t="s">
        <v>1527</v>
      </c>
      <c r="D1512" s="59"/>
      <c r="E1512" s="41" t="str">
        <f t="shared" ref="E1512:E1519" si="56">HYPERLINK("https://www.google.ru/search?q=6001585-002&amp;newwindow=1&amp;tbm=isch","Еще фото")</f>
        <v>Еще фото</v>
      </c>
      <c r="F1512" s="13" t="s">
        <v>103</v>
      </c>
      <c r="G1512" s="11" t="s">
        <v>1184</v>
      </c>
      <c r="H1512" s="11" t="s">
        <v>741</v>
      </c>
      <c r="I1512" s="14" t="s">
        <v>1185</v>
      </c>
      <c r="J1512" s="14" t="s">
        <v>260</v>
      </c>
      <c r="K1512" s="15" t="s">
        <v>723</v>
      </c>
      <c r="L1512" s="57" t="s">
        <v>1528</v>
      </c>
      <c r="M1512" s="14"/>
      <c r="N1512" s="14" t="s">
        <v>33</v>
      </c>
      <c r="O1512" s="14"/>
      <c r="P1512" s="15" t="s">
        <v>745</v>
      </c>
      <c r="Q1512" s="16">
        <v>11099</v>
      </c>
      <c r="R1512" s="17">
        <v>46</v>
      </c>
      <c r="S1512" s="18">
        <v>6892.4789999999994</v>
      </c>
      <c r="T1512" s="19" t="s">
        <v>36</v>
      </c>
      <c r="U1512" s="33" t="s">
        <v>1446</v>
      </c>
      <c r="V1512" s="22">
        <v>40</v>
      </c>
      <c r="W1512" s="22">
        <v>1</v>
      </c>
      <c r="X1512" s="23"/>
    </row>
    <row r="1513" spans="1:24" s="1" customFormat="1" ht="13.05" customHeight="1" x14ac:dyDescent="0.3">
      <c r="A1513" s="24" t="s">
        <v>23</v>
      </c>
      <c r="B1513" s="24" t="s">
        <v>1383</v>
      </c>
      <c r="C1513" s="12" t="s">
        <v>1527</v>
      </c>
      <c r="D1513" s="60"/>
      <c r="E1513" s="41" t="str">
        <f t="shared" si="56"/>
        <v>Еще фото</v>
      </c>
      <c r="F1513" s="13" t="s">
        <v>103</v>
      </c>
      <c r="G1513" s="24" t="s">
        <v>1184</v>
      </c>
      <c r="H1513" s="24" t="s">
        <v>741</v>
      </c>
      <c r="I1513" s="24" t="s">
        <v>1185</v>
      </c>
      <c r="J1513" s="14" t="s">
        <v>260</v>
      </c>
      <c r="K1513" s="15" t="s">
        <v>723</v>
      </c>
      <c r="L1513" s="62"/>
      <c r="M1513" s="14"/>
      <c r="N1513" s="14" t="s">
        <v>33</v>
      </c>
      <c r="O1513" s="14"/>
      <c r="P1513" s="15" t="s">
        <v>745</v>
      </c>
      <c r="Q1513" s="16">
        <v>11099</v>
      </c>
      <c r="R1513" s="17">
        <v>46</v>
      </c>
      <c r="S1513" s="18">
        <v>6892.4789999999994</v>
      </c>
      <c r="T1513" s="19" t="s">
        <v>36</v>
      </c>
      <c r="U1513" s="20" t="s">
        <v>1345</v>
      </c>
      <c r="V1513" s="22">
        <v>41</v>
      </c>
      <c r="W1513" s="22">
        <v>10</v>
      </c>
      <c r="X1513" s="23"/>
    </row>
    <row r="1514" spans="1:24" s="1" customFormat="1" ht="13.05" customHeight="1" x14ac:dyDescent="0.3">
      <c r="A1514" s="24" t="s">
        <v>23</v>
      </c>
      <c r="B1514" s="24" t="s">
        <v>1383</v>
      </c>
      <c r="C1514" s="12" t="s">
        <v>1527</v>
      </c>
      <c r="D1514" s="60"/>
      <c r="E1514" s="41" t="str">
        <f t="shared" si="56"/>
        <v>Еще фото</v>
      </c>
      <c r="F1514" s="13" t="s">
        <v>103</v>
      </c>
      <c r="G1514" s="24" t="s">
        <v>1184</v>
      </c>
      <c r="H1514" s="24" t="s">
        <v>741</v>
      </c>
      <c r="I1514" s="24" t="s">
        <v>1185</v>
      </c>
      <c r="J1514" s="14" t="s">
        <v>260</v>
      </c>
      <c r="K1514" s="15" t="s">
        <v>723</v>
      </c>
      <c r="L1514" s="62"/>
      <c r="M1514" s="14"/>
      <c r="N1514" s="14" t="s">
        <v>33</v>
      </c>
      <c r="O1514" s="14"/>
      <c r="P1514" s="15" t="s">
        <v>745</v>
      </c>
      <c r="Q1514" s="16">
        <v>11099</v>
      </c>
      <c r="R1514" s="17">
        <v>46</v>
      </c>
      <c r="S1514" s="18">
        <v>6892.4789999999994</v>
      </c>
      <c r="T1514" s="19" t="s">
        <v>36</v>
      </c>
      <c r="U1514" s="20" t="s">
        <v>1346</v>
      </c>
      <c r="V1514" s="34">
        <v>41.5</v>
      </c>
      <c r="W1514" s="22">
        <v>9</v>
      </c>
      <c r="X1514" s="23"/>
    </row>
    <row r="1515" spans="1:24" s="1" customFormat="1" ht="13.05" customHeight="1" x14ac:dyDescent="0.3">
      <c r="A1515" s="24" t="s">
        <v>23</v>
      </c>
      <c r="B1515" s="24" t="s">
        <v>1383</v>
      </c>
      <c r="C1515" s="12" t="s">
        <v>1527</v>
      </c>
      <c r="D1515" s="60"/>
      <c r="E1515" s="41" t="str">
        <f t="shared" si="56"/>
        <v>Еще фото</v>
      </c>
      <c r="F1515" s="13" t="s">
        <v>103</v>
      </c>
      <c r="G1515" s="24" t="s">
        <v>1184</v>
      </c>
      <c r="H1515" s="24" t="s">
        <v>741</v>
      </c>
      <c r="I1515" s="24" t="s">
        <v>1185</v>
      </c>
      <c r="J1515" s="14" t="s">
        <v>260</v>
      </c>
      <c r="K1515" s="15" t="s">
        <v>723</v>
      </c>
      <c r="L1515" s="62"/>
      <c r="M1515" s="14"/>
      <c r="N1515" s="14" t="s">
        <v>33</v>
      </c>
      <c r="O1515" s="14"/>
      <c r="P1515" s="15" t="s">
        <v>745</v>
      </c>
      <c r="Q1515" s="16">
        <v>11099</v>
      </c>
      <c r="R1515" s="17">
        <v>46</v>
      </c>
      <c r="S1515" s="18">
        <v>6892.4789999999994</v>
      </c>
      <c r="T1515" s="19" t="s">
        <v>36</v>
      </c>
      <c r="U1515" s="20" t="s">
        <v>1326</v>
      </c>
      <c r="V1515" s="22">
        <v>42</v>
      </c>
      <c r="W1515" s="22">
        <v>19</v>
      </c>
      <c r="X1515" s="23"/>
    </row>
    <row r="1516" spans="1:24" s="1" customFormat="1" ht="13.05" customHeight="1" x14ac:dyDescent="0.3">
      <c r="A1516" s="24" t="s">
        <v>23</v>
      </c>
      <c r="B1516" s="24" t="s">
        <v>1383</v>
      </c>
      <c r="C1516" s="12" t="s">
        <v>1527</v>
      </c>
      <c r="D1516" s="60"/>
      <c r="E1516" s="41" t="str">
        <f t="shared" si="56"/>
        <v>Еще фото</v>
      </c>
      <c r="F1516" s="13" t="s">
        <v>103</v>
      </c>
      <c r="G1516" s="24" t="s">
        <v>1184</v>
      </c>
      <c r="H1516" s="24" t="s">
        <v>741</v>
      </c>
      <c r="I1516" s="24" t="s">
        <v>1185</v>
      </c>
      <c r="J1516" s="14" t="s">
        <v>260</v>
      </c>
      <c r="K1516" s="15" t="s">
        <v>723</v>
      </c>
      <c r="L1516" s="62"/>
      <c r="M1516" s="14"/>
      <c r="N1516" s="14" t="s">
        <v>33</v>
      </c>
      <c r="O1516" s="14"/>
      <c r="P1516" s="15" t="s">
        <v>745</v>
      </c>
      <c r="Q1516" s="16">
        <v>11099</v>
      </c>
      <c r="R1516" s="17">
        <v>46</v>
      </c>
      <c r="S1516" s="18">
        <v>6892.4789999999994</v>
      </c>
      <c r="T1516" s="19" t="s">
        <v>36</v>
      </c>
      <c r="U1516" s="20" t="s">
        <v>1347</v>
      </c>
      <c r="V1516" s="22">
        <v>43</v>
      </c>
      <c r="W1516" s="22">
        <v>12</v>
      </c>
      <c r="X1516" s="23"/>
    </row>
    <row r="1517" spans="1:24" s="1" customFormat="1" ht="13.05" customHeight="1" x14ac:dyDescent="0.3">
      <c r="A1517" s="24" t="s">
        <v>23</v>
      </c>
      <c r="B1517" s="24" t="s">
        <v>1383</v>
      </c>
      <c r="C1517" s="12" t="s">
        <v>1527</v>
      </c>
      <c r="D1517" s="60"/>
      <c r="E1517" s="41" t="str">
        <f t="shared" si="56"/>
        <v>Еще фото</v>
      </c>
      <c r="F1517" s="13" t="s">
        <v>103</v>
      </c>
      <c r="G1517" s="24" t="s">
        <v>1184</v>
      </c>
      <c r="H1517" s="24" t="s">
        <v>741</v>
      </c>
      <c r="I1517" s="24" t="s">
        <v>1185</v>
      </c>
      <c r="J1517" s="14" t="s">
        <v>260</v>
      </c>
      <c r="K1517" s="15" t="s">
        <v>723</v>
      </c>
      <c r="L1517" s="62"/>
      <c r="M1517" s="14"/>
      <c r="N1517" s="14" t="s">
        <v>33</v>
      </c>
      <c r="O1517" s="14"/>
      <c r="P1517" s="15" t="s">
        <v>745</v>
      </c>
      <c r="Q1517" s="16">
        <v>11099</v>
      </c>
      <c r="R1517" s="17">
        <v>46</v>
      </c>
      <c r="S1517" s="18">
        <v>6892.4789999999994</v>
      </c>
      <c r="T1517" s="19" t="s">
        <v>36</v>
      </c>
      <c r="U1517" s="20" t="s">
        <v>1348</v>
      </c>
      <c r="V1517" s="34">
        <v>43.5</v>
      </c>
      <c r="W1517" s="22">
        <v>10</v>
      </c>
      <c r="X1517" s="23"/>
    </row>
    <row r="1518" spans="1:24" s="1" customFormat="1" ht="13.05" customHeight="1" x14ac:dyDescent="0.3">
      <c r="A1518" s="24" t="s">
        <v>23</v>
      </c>
      <c r="B1518" s="24" t="s">
        <v>1383</v>
      </c>
      <c r="C1518" s="12" t="s">
        <v>1527</v>
      </c>
      <c r="D1518" s="60"/>
      <c r="E1518" s="41" t="str">
        <f t="shared" si="56"/>
        <v>Еще фото</v>
      </c>
      <c r="F1518" s="13" t="s">
        <v>103</v>
      </c>
      <c r="G1518" s="24" t="s">
        <v>1184</v>
      </c>
      <c r="H1518" s="24" t="s">
        <v>741</v>
      </c>
      <c r="I1518" s="24" t="s">
        <v>1185</v>
      </c>
      <c r="J1518" s="14" t="s">
        <v>260</v>
      </c>
      <c r="K1518" s="15" t="s">
        <v>723</v>
      </c>
      <c r="L1518" s="62"/>
      <c r="M1518" s="14"/>
      <c r="N1518" s="14" t="s">
        <v>33</v>
      </c>
      <c r="O1518" s="14"/>
      <c r="P1518" s="15" t="s">
        <v>745</v>
      </c>
      <c r="Q1518" s="16">
        <v>11099</v>
      </c>
      <c r="R1518" s="17">
        <v>46</v>
      </c>
      <c r="S1518" s="18">
        <v>6892.4789999999994</v>
      </c>
      <c r="T1518" s="19" t="s">
        <v>36</v>
      </c>
      <c r="U1518" s="20" t="s">
        <v>1327</v>
      </c>
      <c r="V1518" s="22">
        <v>44</v>
      </c>
      <c r="W1518" s="22">
        <v>8</v>
      </c>
      <c r="X1518" s="23"/>
    </row>
    <row r="1519" spans="1:24" s="1" customFormat="1" ht="18" customHeight="1" x14ac:dyDescent="0.3">
      <c r="A1519" s="24" t="s">
        <v>23</v>
      </c>
      <c r="B1519" s="24" t="s">
        <v>1383</v>
      </c>
      <c r="C1519" s="12" t="s">
        <v>1527</v>
      </c>
      <c r="D1519" s="61"/>
      <c r="E1519" s="41" t="str">
        <f t="shared" si="56"/>
        <v>Еще фото</v>
      </c>
      <c r="F1519" s="13" t="s">
        <v>103</v>
      </c>
      <c r="G1519" s="24" t="s">
        <v>1184</v>
      </c>
      <c r="H1519" s="24" t="s">
        <v>741</v>
      </c>
      <c r="I1519" s="24" t="s">
        <v>1185</v>
      </c>
      <c r="J1519" s="14" t="s">
        <v>260</v>
      </c>
      <c r="K1519" s="15" t="s">
        <v>723</v>
      </c>
      <c r="L1519" s="58"/>
      <c r="M1519" s="14"/>
      <c r="N1519" s="14" t="s">
        <v>33</v>
      </c>
      <c r="O1519" s="14"/>
      <c r="P1519" s="15" t="s">
        <v>745</v>
      </c>
      <c r="Q1519" s="16">
        <v>11099</v>
      </c>
      <c r="R1519" s="17">
        <v>46</v>
      </c>
      <c r="S1519" s="18">
        <v>6892.4789999999994</v>
      </c>
      <c r="T1519" s="19" t="s">
        <v>36</v>
      </c>
      <c r="U1519" s="20" t="s">
        <v>1349</v>
      </c>
      <c r="V1519" s="34">
        <v>44.5</v>
      </c>
      <c r="W1519" s="22">
        <v>2</v>
      </c>
      <c r="X1519" s="23"/>
    </row>
    <row r="1520" spans="1:24" s="1" customFormat="1" ht="14" customHeight="1" x14ac:dyDescent="0.3">
      <c r="A1520" s="11" t="s">
        <v>23</v>
      </c>
      <c r="B1520" s="11" t="s">
        <v>1383</v>
      </c>
      <c r="C1520" s="12" t="s">
        <v>1529</v>
      </c>
      <c r="D1520" s="59"/>
      <c r="E1520" s="41" t="str">
        <f t="shared" ref="E1520:E1526" si="57">HYPERLINK("https://www.google.ru/search?q=6001585-600&amp;newwindow=1&amp;tbm=isch","Еще фото")</f>
        <v>Еще фото</v>
      </c>
      <c r="F1520" s="13" t="s">
        <v>103</v>
      </c>
      <c r="G1520" s="11" t="s">
        <v>1184</v>
      </c>
      <c r="H1520" s="11" t="s">
        <v>741</v>
      </c>
      <c r="I1520" s="14" t="s">
        <v>1185</v>
      </c>
      <c r="J1520" s="14" t="s">
        <v>260</v>
      </c>
      <c r="K1520" s="15" t="s">
        <v>723</v>
      </c>
      <c r="L1520" s="57" t="s">
        <v>1385</v>
      </c>
      <c r="M1520" s="14"/>
      <c r="N1520" s="14" t="s">
        <v>1530</v>
      </c>
      <c r="O1520" s="14"/>
      <c r="P1520" s="15" t="s">
        <v>745</v>
      </c>
      <c r="Q1520" s="16">
        <v>11099</v>
      </c>
      <c r="R1520" s="17">
        <v>46</v>
      </c>
      <c r="S1520" s="18">
        <v>6892.4789999999994</v>
      </c>
      <c r="T1520" s="19" t="s">
        <v>36</v>
      </c>
      <c r="U1520" s="20" t="s">
        <v>1345</v>
      </c>
      <c r="V1520" s="22">
        <v>41</v>
      </c>
      <c r="W1520" s="22">
        <v>4</v>
      </c>
      <c r="X1520" s="23"/>
    </row>
    <row r="1521" spans="1:24" s="1" customFormat="1" ht="14" customHeight="1" x14ac:dyDescent="0.3">
      <c r="A1521" s="24" t="s">
        <v>23</v>
      </c>
      <c r="B1521" s="24" t="s">
        <v>1383</v>
      </c>
      <c r="C1521" s="12" t="s">
        <v>1529</v>
      </c>
      <c r="D1521" s="60"/>
      <c r="E1521" s="41" t="str">
        <f t="shared" si="57"/>
        <v>Еще фото</v>
      </c>
      <c r="F1521" s="13" t="s">
        <v>103</v>
      </c>
      <c r="G1521" s="24" t="s">
        <v>1184</v>
      </c>
      <c r="H1521" s="24" t="s">
        <v>741</v>
      </c>
      <c r="I1521" s="24" t="s">
        <v>1185</v>
      </c>
      <c r="J1521" s="14" t="s">
        <v>260</v>
      </c>
      <c r="K1521" s="15" t="s">
        <v>723</v>
      </c>
      <c r="L1521" s="62"/>
      <c r="M1521" s="14"/>
      <c r="N1521" s="14" t="s">
        <v>1530</v>
      </c>
      <c r="O1521" s="14"/>
      <c r="P1521" s="15" t="s">
        <v>745</v>
      </c>
      <c r="Q1521" s="16">
        <v>11099</v>
      </c>
      <c r="R1521" s="17">
        <v>46</v>
      </c>
      <c r="S1521" s="18">
        <v>6892.4789999999994</v>
      </c>
      <c r="T1521" s="19" t="s">
        <v>36</v>
      </c>
      <c r="U1521" s="20" t="s">
        <v>1346</v>
      </c>
      <c r="V1521" s="34">
        <v>41.5</v>
      </c>
      <c r="W1521" s="22">
        <v>7</v>
      </c>
      <c r="X1521" s="23"/>
    </row>
    <row r="1522" spans="1:24" s="1" customFormat="1" ht="14" customHeight="1" x14ac:dyDescent="0.3">
      <c r="A1522" s="24" t="s">
        <v>23</v>
      </c>
      <c r="B1522" s="24" t="s">
        <v>1383</v>
      </c>
      <c r="C1522" s="12" t="s">
        <v>1529</v>
      </c>
      <c r="D1522" s="60"/>
      <c r="E1522" s="41" t="str">
        <f t="shared" si="57"/>
        <v>Еще фото</v>
      </c>
      <c r="F1522" s="13" t="s">
        <v>103</v>
      </c>
      <c r="G1522" s="24" t="s">
        <v>1184</v>
      </c>
      <c r="H1522" s="24" t="s">
        <v>741</v>
      </c>
      <c r="I1522" s="24" t="s">
        <v>1185</v>
      </c>
      <c r="J1522" s="14" t="s">
        <v>260</v>
      </c>
      <c r="K1522" s="15" t="s">
        <v>723</v>
      </c>
      <c r="L1522" s="62"/>
      <c r="M1522" s="14"/>
      <c r="N1522" s="14" t="s">
        <v>1530</v>
      </c>
      <c r="O1522" s="14"/>
      <c r="P1522" s="15" t="s">
        <v>745</v>
      </c>
      <c r="Q1522" s="16">
        <v>11099</v>
      </c>
      <c r="R1522" s="17">
        <v>46</v>
      </c>
      <c r="S1522" s="18">
        <v>6892.4789999999994</v>
      </c>
      <c r="T1522" s="19" t="s">
        <v>36</v>
      </c>
      <c r="U1522" s="20" t="s">
        <v>1326</v>
      </c>
      <c r="V1522" s="22">
        <v>42</v>
      </c>
      <c r="W1522" s="22">
        <v>8</v>
      </c>
      <c r="X1522" s="23"/>
    </row>
    <row r="1523" spans="1:24" s="1" customFormat="1" ht="14" customHeight="1" x14ac:dyDescent="0.3">
      <c r="A1523" s="24" t="s">
        <v>23</v>
      </c>
      <c r="B1523" s="24" t="s">
        <v>1383</v>
      </c>
      <c r="C1523" s="12" t="s">
        <v>1529</v>
      </c>
      <c r="D1523" s="60"/>
      <c r="E1523" s="41" t="str">
        <f t="shared" si="57"/>
        <v>Еще фото</v>
      </c>
      <c r="F1523" s="13" t="s">
        <v>103</v>
      </c>
      <c r="G1523" s="24" t="s">
        <v>1184</v>
      </c>
      <c r="H1523" s="24" t="s">
        <v>741</v>
      </c>
      <c r="I1523" s="24" t="s">
        <v>1185</v>
      </c>
      <c r="J1523" s="14" t="s">
        <v>260</v>
      </c>
      <c r="K1523" s="15" t="s">
        <v>723</v>
      </c>
      <c r="L1523" s="62"/>
      <c r="M1523" s="14"/>
      <c r="N1523" s="14" t="s">
        <v>1530</v>
      </c>
      <c r="O1523" s="14"/>
      <c r="P1523" s="15" t="s">
        <v>745</v>
      </c>
      <c r="Q1523" s="16">
        <v>11099</v>
      </c>
      <c r="R1523" s="17">
        <v>46</v>
      </c>
      <c r="S1523" s="18">
        <v>6892.4789999999994</v>
      </c>
      <c r="T1523" s="19" t="s">
        <v>36</v>
      </c>
      <c r="U1523" s="20" t="s">
        <v>1347</v>
      </c>
      <c r="V1523" s="22">
        <v>43</v>
      </c>
      <c r="W1523" s="22">
        <v>13</v>
      </c>
      <c r="X1523" s="23"/>
    </row>
    <row r="1524" spans="1:24" s="1" customFormat="1" ht="14" customHeight="1" x14ac:dyDescent="0.3">
      <c r="A1524" s="24" t="s">
        <v>23</v>
      </c>
      <c r="B1524" s="24" t="s">
        <v>1383</v>
      </c>
      <c r="C1524" s="12" t="s">
        <v>1529</v>
      </c>
      <c r="D1524" s="60"/>
      <c r="E1524" s="41" t="str">
        <f t="shared" si="57"/>
        <v>Еще фото</v>
      </c>
      <c r="F1524" s="13" t="s">
        <v>103</v>
      </c>
      <c r="G1524" s="24" t="s">
        <v>1184</v>
      </c>
      <c r="H1524" s="24" t="s">
        <v>741</v>
      </c>
      <c r="I1524" s="24" t="s">
        <v>1185</v>
      </c>
      <c r="J1524" s="14" t="s">
        <v>260</v>
      </c>
      <c r="K1524" s="15" t="s">
        <v>723</v>
      </c>
      <c r="L1524" s="62"/>
      <c r="M1524" s="14"/>
      <c r="N1524" s="14" t="s">
        <v>1530</v>
      </c>
      <c r="O1524" s="14"/>
      <c r="P1524" s="15" t="s">
        <v>745</v>
      </c>
      <c r="Q1524" s="16">
        <v>11099</v>
      </c>
      <c r="R1524" s="17">
        <v>46</v>
      </c>
      <c r="S1524" s="18">
        <v>6892.4789999999994</v>
      </c>
      <c r="T1524" s="19" t="s">
        <v>36</v>
      </c>
      <c r="U1524" s="20" t="s">
        <v>1348</v>
      </c>
      <c r="V1524" s="34">
        <v>43.5</v>
      </c>
      <c r="W1524" s="22">
        <v>3</v>
      </c>
      <c r="X1524" s="23"/>
    </row>
    <row r="1525" spans="1:24" s="1" customFormat="1" ht="14" customHeight="1" x14ac:dyDescent="0.3">
      <c r="A1525" s="24" t="s">
        <v>23</v>
      </c>
      <c r="B1525" s="24" t="s">
        <v>1383</v>
      </c>
      <c r="C1525" s="12" t="s">
        <v>1529</v>
      </c>
      <c r="D1525" s="60"/>
      <c r="E1525" s="41" t="str">
        <f t="shared" si="57"/>
        <v>Еще фото</v>
      </c>
      <c r="F1525" s="13" t="s">
        <v>103</v>
      </c>
      <c r="G1525" s="24" t="s">
        <v>1184</v>
      </c>
      <c r="H1525" s="24" t="s">
        <v>741</v>
      </c>
      <c r="I1525" s="24" t="s">
        <v>1185</v>
      </c>
      <c r="J1525" s="14" t="s">
        <v>260</v>
      </c>
      <c r="K1525" s="15" t="s">
        <v>723</v>
      </c>
      <c r="L1525" s="62"/>
      <c r="M1525" s="14"/>
      <c r="N1525" s="14" t="s">
        <v>1530</v>
      </c>
      <c r="O1525" s="14"/>
      <c r="P1525" s="15" t="s">
        <v>745</v>
      </c>
      <c r="Q1525" s="16">
        <v>11099</v>
      </c>
      <c r="R1525" s="17">
        <v>46</v>
      </c>
      <c r="S1525" s="18">
        <v>6892.4789999999994</v>
      </c>
      <c r="T1525" s="19" t="s">
        <v>36</v>
      </c>
      <c r="U1525" s="20" t="s">
        <v>1327</v>
      </c>
      <c r="V1525" s="22">
        <v>44</v>
      </c>
      <c r="W1525" s="22">
        <v>5</v>
      </c>
      <c r="X1525" s="23"/>
    </row>
    <row r="1526" spans="1:24" s="1" customFormat="1" ht="17" customHeight="1" x14ac:dyDescent="0.3">
      <c r="A1526" s="24" t="s">
        <v>23</v>
      </c>
      <c r="B1526" s="24" t="s">
        <v>1383</v>
      </c>
      <c r="C1526" s="12" t="s">
        <v>1529</v>
      </c>
      <c r="D1526" s="61"/>
      <c r="E1526" s="41" t="str">
        <f t="shared" si="57"/>
        <v>Еще фото</v>
      </c>
      <c r="F1526" s="13" t="s">
        <v>103</v>
      </c>
      <c r="G1526" s="24" t="s">
        <v>1184</v>
      </c>
      <c r="H1526" s="24" t="s">
        <v>741</v>
      </c>
      <c r="I1526" s="24" t="s">
        <v>1185</v>
      </c>
      <c r="J1526" s="14" t="s">
        <v>260</v>
      </c>
      <c r="K1526" s="15" t="s">
        <v>723</v>
      </c>
      <c r="L1526" s="58"/>
      <c r="M1526" s="14"/>
      <c r="N1526" s="14" t="s">
        <v>1530</v>
      </c>
      <c r="O1526" s="14"/>
      <c r="P1526" s="15" t="s">
        <v>745</v>
      </c>
      <c r="Q1526" s="16">
        <v>11099</v>
      </c>
      <c r="R1526" s="17">
        <v>46</v>
      </c>
      <c r="S1526" s="18">
        <v>6892.4789999999994</v>
      </c>
      <c r="T1526" s="19" t="s">
        <v>36</v>
      </c>
      <c r="U1526" s="20" t="s">
        <v>1349</v>
      </c>
      <c r="V1526" s="34">
        <v>44.5</v>
      </c>
      <c r="W1526" s="22">
        <v>1</v>
      </c>
      <c r="X1526" s="23"/>
    </row>
    <row r="1527" spans="1:24" s="1" customFormat="1" ht="17" customHeight="1" x14ac:dyDescent="0.3">
      <c r="A1527" s="11" t="s">
        <v>23</v>
      </c>
      <c r="B1527" s="11" t="s">
        <v>1531</v>
      </c>
      <c r="C1527" s="12" t="s">
        <v>1532</v>
      </c>
      <c r="D1527" s="59"/>
      <c r="E1527" s="41" t="str">
        <f t="shared" ref="E1527:E1532" si="58">HYPERLINK("https://www.google.ru/search?q=6011025-001&amp;newwindow=1&amp;tbm=isch","Еще фото")</f>
        <v>Еще фото</v>
      </c>
      <c r="F1527" s="13"/>
      <c r="G1527" s="11" t="s">
        <v>1184</v>
      </c>
      <c r="H1527" s="11" t="s">
        <v>741</v>
      </c>
      <c r="I1527" s="14" t="s">
        <v>1185</v>
      </c>
      <c r="J1527" s="14" t="s">
        <v>29</v>
      </c>
      <c r="K1527" s="15" t="s">
        <v>50</v>
      </c>
      <c r="L1527" s="57" t="s">
        <v>1533</v>
      </c>
      <c r="M1527" s="14"/>
      <c r="N1527" s="14" t="s">
        <v>1534</v>
      </c>
      <c r="O1527" s="14"/>
      <c r="P1527" s="15" t="s">
        <v>745</v>
      </c>
      <c r="Q1527" s="16">
        <v>11299</v>
      </c>
      <c r="R1527" s="17">
        <v>46</v>
      </c>
      <c r="S1527" s="18">
        <v>7016.6789999999992</v>
      </c>
      <c r="T1527" s="19" t="s">
        <v>36</v>
      </c>
      <c r="U1527" s="20" t="s">
        <v>1500</v>
      </c>
      <c r="V1527" s="22">
        <v>36</v>
      </c>
      <c r="W1527" s="22">
        <v>6</v>
      </c>
      <c r="X1527" s="23"/>
    </row>
    <row r="1528" spans="1:24" s="1" customFormat="1" ht="17" customHeight="1" x14ac:dyDescent="0.3">
      <c r="A1528" s="24" t="s">
        <v>23</v>
      </c>
      <c r="B1528" s="24" t="s">
        <v>1531</v>
      </c>
      <c r="C1528" s="12" t="s">
        <v>1532</v>
      </c>
      <c r="D1528" s="60"/>
      <c r="E1528" s="41" t="str">
        <f t="shared" si="58"/>
        <v>Еще фото</v>
      </c>
      <c r="F1528" s="13"/>
      <c r="G1528" s="24" t="s">
        <v>1184</v>
      </c>
      <c r="H1528" s="24" t="s">
        <v>741</v>
      </c>
      <c r="I1528" s="24" t="s">
        <v>1185</v>
      </c>
      <c r="J1528" s="14" t="s">
        <v>29</v>
      </c>
      <c r="K1528" s="15" t="s">
        <v>50</v>
      </c>
      <c r="L1528" s="62"/>
      <c r="M1528" s="14"/>
      <c r="N1528" s="14" t="s">
        <v>1534</v>
      </c>
      <c r="O1528" s="14"/>
      <c r="P1528" s="15" t="s">
        <v>745</v>
      </c>
      <c r="Q1528" s="16">
        <v>11299</v>
      </c>
      <c r="R1528" s="17">
        <v>46</v>
      </c>
      <c r="S1528" s="18">
        <v>7016.6789999999992</v>
      </c>
      <c r="T1528" s="19" t="s">
        <v>36</v>
      </c>
      <c r="U1528" s="20" t="s">
        <v>1241</v>
      </c>
      <c r="V1528" s="34">
        <v>36.5</v>
      </c>
      <c r="W1528" s="22">
        <v>6</v>
      </c>
      <c r="X1528" s="23"/>
    </row>
    <row r="1529" spans="1:24" s="1" customFormat="1" ht="17" customHeight="1" x14ac:dyDescent="0.3">
      <c r="A1529" s="24" t="s">
        <v>23</v>
      </c>
      <c r="B1529" s="24" t="s">
        <v>1531</v>
      </c>
      <c r="C1529" s="12" t="s">
        <v>1532</v>
      </c>
      <c r="D1529" s="60"/>
      <c r="E1529" s="41" t="str">
        <f t="shared" si="58"/>
        <v>Еще фото</v>
      </c>
      <c r="F1529" s="13"/>
      <c r="G1529" s="24" t="s">
        <v>1184</v>
      </c>
      <c r="H1529" s="24" t="s">
        <v>741</v>
      </c>
      <c r="I1529" s="24" t="s">
        <v>1185</v>
      </c>
      <c r="J1529" s="14" t="s">
        <v>29</v>
      </c>
      <c r="K1529" s="15" t="s">
        <v>50</v>
      </c>
      <c r="L1529" s="62"/>
      <c r="M1529" s="14"/>
      <c r="N1529" s="14" t="s">
        <v>1534</v>
      </c>
      <c r="O1529" s="14"/>
      <c r="P1529" s="15" t="s">
        <v>745</v>
      </c>
      <c r="Q1529" s="16">
        <v>11299</v>
      </c>
      <c r="R1529" s="17">
        <v>46</v>
      </c>
      <c r="S1529" s="18">
        <v>7016.6789999999992</v>
      </c>
      <c r="T1529" s="19" t="s">
        <v>36</v>
      </c>
      <c r="U1529" s="20" t="s">
        <v>1190</v>
      </c>
      <c r="V1529" s="22">
        <v>37</v>
      </c>
      <c r="W1529" s="22">
        <v>12</v>
      </c>
      <c r="X1529" s="23"/>
    </row>
    <row r="1530" spans="1:24" s="1" customFormat="1" ht="17" customHeight="1" x14ac:dyDescent="0.3">
      <c r="A1530" s="24" t="s">
        <v>23</v>
      </c>
      <c r="B1530" s="24" t="s">
        <v>1531</v>
      </c>
      <c r="C1530" s="12" t="s">
        <v>1532</v>
      </c>
      <c r="D1530" s="60"/>
      <c r="E1530" s="41" t="str">
        <f t="shared" si="58"/>
        <v>Еще фото</v>
      </c>
      <c r="F1530" s="13"/>
      <c r="G1530" s="24" t="s">
        <v>1184</v>
      </c>
      <c r="H1530" s="24" t="s">
        <v>741</v>
      </c>
      <c r="I1530" s="24" t="s">
        <v>1185</v>
      </c>
      <c r="J1530" s="14" t="s">
        <v>29</v>
      </c>
      <c r="K1530" s="15" t="s">
        <v>50</v>
      </c>
      <c r="L1530" s="62"/>
      <c r="M1530" s="14"/>
      <c r="N1530" s="14" t="s">
        <v>1534</v>
      </c>
      <c r="O1530" s="14"/>
      <c r="P1530" s="15" t="s">
        <v>745</v>
      </c>
      <c r="Q1530" s="16">
        <v>11299</v>
      </c>
      <c r="R1530" s="17">
        <v>46</v>
      </c>
      <c r="S1530" s="18">
        <v>7016.6789999999992</v>
      </c>
      <c r="T1530" s="19" t="s">
        <v>36</v>
      </c>
      <c r="U1530" s="20" t="s">
        <v>1203</v>
      </c>
      <c r="V1530" s="34">
        <v>37.5</v>
      </c>
      <c r="W1530" s="22">
        <v>12</v>
      </c>
      <c r="X1530" s="23"/>
    </row>
    <row r="1531" spans="1:24" s="1" customFormat="1" ht="17" customHeight="1" x14ac:dyDescent="0.3">
      <c r="A1531" s="24" t="s">
        <v>23</v>
      </c>
      <c r="B1531" s="24" t="s">
        <v>1531</v>
      </c>
      <c r="C1531" s="12" t="s">
        <v>1532</v>
      </c>
      <c r="D1531" s="60"/>
      <c r="E1531" s="41" t="str">
        <f t="shared" si="58"/>
        <v>Еще фото</v>
      </c>
      <c r="F1531" s="13"/>
      <c r="G1531" s="24" t="s">
        <v>1184</v>
      </c>
      <c r="H1531" s="24" t="s">
        <v>741</v>
      </c>
      <c r="I1531" s="24" t="s">
        <v>1185</v>
      </c>
      <c r="J1531" s="14" t="s">
        <v>29</v>
      </c>
      <c r="K1531" s="15" t="s">
        <v>50</v>
      </c>
      <c r="L1531" s="62"/>
      <c r="M1531" s="14"/>
      <c r="N1531" s="14" t="s">
        <v>1534</v>
      </c>
      <c r="O1531" s="14"/>
      <c r="P1531" s="15" t="s">
        <v>745</v>
      </c>
      <c r="Q1531" s="16">
        <v>11299</v>
      </c>
      <c r="R1531" s="17">
        <v>46</v>
      </c>
      <c r="S1531" s="18">
        <v>7016.6789999999992</v>
      </c>
      <c r="T1531" s="19" t="s">
        <v>36</v>
      </c>
      <c r="U1531" s="20" t="s">
        <v>1196</v>
      </c>
      <c r="V1531" s="22">
        <v>38</v>
      </c>
      <c r="W1531" s="22">
        <v>11</v>
      </c>
      <c r="X1531" s="23"/>
    </row>
    <row r="1532" spans="1:24" s="1" customFormat="1" ht="22.05" customHeight="1" x14ac:dyDescent="0.3">
      <c r="A1532" s="24" t="s">
        <v>23</v>
      </c>
      <c r="B1532" s="24" t="s">
        <v>1531</v>
      </c>
      <c r="C1532" s="12" t="s">
        <v>1532</v>
      </c>
      <c r="D1532" s="61"/>
      <c r="E1532" s="41" t="str">
        <f t="shared" si="58"/>
        <v>Еще фото</v>
      </c>
      <c r="F1532" s="13"/>
      <c r="G1532" s="24" t="s">
        <v>1184</v>
      </c>
      <c r="H1532" s="24" t="s">
        <v>741</v>
      </c>
      <c r="I1532" s="24" t="s">
        <v>1185</v>
      </c>
      <c r="J1532" s="14" t="s">
        <v>29</v>
      </c>
      <c r="K1532" s="15" t="s">
        <v>50</v>
      </c>
      <c r="L1532" s="58"/>
      <c r="M1532" s="14"/>
      <c r="N1532" s="14" t="s">
        <v>1534</v>
      </c>
      <c r="O1532" s="14"/>
      <c r="P1532" s="15" t="s">
        <v>745</v>
      </c>
      <c r="Q1532" s="16">
        <v>11299</v>
      </c>
      <c r="R1532" s="17">
        <v>46</v>
      </c>
      <c r="S1532" s="18">
        <v>7016.6789999999992</v>
      </c>
      <c r="T1532" s="19" t="s">
        <v>36</v>
      </c>
      <c r="U1532" s="20" t="s">
        <v>746</v>
      </c>
      <c r="V1532" s="22">
        <v>39</v>
      </c>
      <c r="W1532" s="22">
        <v>12</v>
      </c>
      <c r="X1532" s="23"/>
    </row>
    <row r="1533" spans="1:24" s="1" customFormat="1" ht="17" customHeight="1" x14ac:dyDescent="0.3">
      <c r="A1533" s="11" t="s">
        <v>23</v>
      </c>
      <c r="B1533" s="11" t="s">
        <v>1531</v>
      </c>
      <c r="C1533" s="12" t="s">
        <v>1535</v>
      </c>
      <c r="D1533" s="59"/>
      <c r="E1533" s="41" t="str">
        <f t="shared" ref="E1533:E1538" si="59">HYPERLINK("https://www.google.ru/search?q=6011025-003&amp;newwindow=1&amp;tbm=isch","Еще фото")</f>
        <v>Еще фото</v>
      </c>
      <c r="F1533" s="13"/>
      <c r="G1533" s="11" t="s">
        <v>1184</v>
      </c>
      <c r="H1533" s="11" t="s">
        <v>741</v>
      </c>
      <c r="I1533" s="14" t="s">
        <v>1185</v>
      </c>
      <c r="J1533" s="14" t="s">
        <v>29</v>
      </c>
      <c r="K1533" s="15" t="s">
        <v>50</v>
      </c>
      <c r="L1533" s="57" t="s">
        <v>1533</v>
      </c>
      <c r="M1533" s="14"/>
      <c r="N1533" s="14" t="s">
        <v>33</v>
      </c>
      <c r="O1533" s="14"/>
      <c r="P1533" s="15" t="s">
        <v>745</v>
      </c>
      <c r="Q1533" s="16">
        <v>11299</v>
      </c>
      <c r="R1533" s="17">
        <v>46</v>
      </c>
      <c r="S1533" s="18">
        <v>7016.6789999999992</v>
      </c>
      <c r="T1533" s="19" t="s">
        <v>36</v>
      </c>
      <c r="U1533" s="20" t="s">
        <v>1500</v>
      </c>
      <c r="V1533" s="22">
        <v>36</v>
      </c>
      <c r="W1533" s="22">
        <v>6</v>
      </c>
      <c r="X1533" s="23"/>
    </row>
    <row r="1534" spans="1:24" s="1" customFormat="1" ht="17" customHeight="1" x14ac:dyDescent="0.3">
      <c r="A1534" s="24" t="s">
        <v>23</v>
      </c>
      <c r="B1534" s="24" t="s">
        <v>1531</v>
      </c>
      <c r="C1534" s="12" t="s">
        <v>1535</v>
      </c>
      <c r="D1534" s="60"/>
      <c r="E1534" s="41" t="str">
        <f t="shared" si="59"/>
        <v>Еще фото</v>
      </c>
      <c r="F1534" s="13"/>
      <c r="G1534" s="24" t="s">
        <v>1184</v>
      </c>
      <c r="H1534" s="24" t="s">
        <v>741</v>
      </c>
      <c r="I1534" s="24" t="s">
        <v>1185</v>
      </c>
      <c r="J1534" s="14" t="s">
        <v>29</v>
      </c>
      <c r="K1534" s="15" t="s">
        <v>50</v>
      </c>
      <c r="L1534" s="62"/>
      <c r="M1534" s="14"/>
      <c r="N1534" s="14" t="s">
        <v>33</v>
      </c>
      <c r="O1534" s="14"/>
      <c r="P1534" s="15" t="s">
        <v>745</v>
      </c>
      <c r="Q1534" s="16">
        <v>11299</v>
      </c>
      <c r="R1534" s="17">
        <v>46</v>
      </c>
      <c r="S1534" s="18">
        <v>7016.6789999999992</v>
      </c>
      <c r="T1534" s="19" t="s">
        <v>36</v>
      </c>
      <c r="U1534" s="20" t="s">
        <v>1241</v>
      </c>
      <c r="V1534" s="34">
        <v>36.5</v>
      </c>
      <c r="W1534" s="22">
        <v>6</v>
      </c>
      <c r="X1534" s="23"/>
    </row>
    <row r="1535" spans="1:24" s="1" customFormat="1" ht="17" customHeight="1" x14ac:dyDescent="0.3">
      <c r="A1535" s="24" t="s">
        <v>23</v>
      </c>
      <c r="B1535" s="24" t="s">
        <v>1531</v>
      </c>
      <c r="C1535" s="12" t="s">
        <v>1535</v>
      </c>
      <c r="D1535" s="60"/>
      <c r="E1535" s="41" t="str">
        <f t="shared" si="59"/>
        <v>Еще фото</v>
      </c>
      <c r="F1535" s="13"/>
      <c r="G1535" s="24" t="s">
        <v>1184</v>
      </c>
      <c r="H1535" s="24" t="s">
        <v>741</v>
      </c>
      <c r="I1535" s="24" t="s">
        <v>1185</v>
      </c>
      <c r="J1535" s="14" t="s">
        <v>29</v>
      </c>
      <c r="K1535" s="15" t="s">
        <v>50</v>
      </c>
      <c r="L1535" s="62"/>
      <c r="M1535" s="14"/>
      <c r="N1535" s="14" t="s">
        <v>33</v>
      </c>
      <c r="O1535" s="14"/>
      <c r="P1535" s="15" t="s">
        <v>745</v>
      </c>
      <c r="Q1535" s="16">
        <v>11299</v>
      </c>
      <c r="R1535" s="17">
        <v>46</v>
      </c>
      <c r="S1535" s="18">
        <v>7016.6789999999992</v>
      </c>
      <c r="T1535" s="19" t="s">
        <v>36</v>
      </c>
      <c r="U1535" s="20" t="s">
        <v>1190</v>
      </c>
      <c r="V1535" s="22">
        <v>37</v>
      </c>
      <c r="W1535" s="22">
        <v>12</v>
      </c>
      <c r="X1535" s="23"/>
    </row>
    <row r="1536" spans="1:24" s="1" customFormat="1" ht="17" customHeight="1" x14ac:dyDescent="0.3">
      <c r="A1536" s="24" t="s">
        <v>23</v>
      </c>
      <c r="B1536" s="24" t="s">
        <v>1531</v>
      </c>
      <c r="C1536" s="12" t="s">
        <v>1535</v>
      </c>
      <c r="D1536" s="60"/>
      <c r="E1536" s="41" t="str">
        <f t="shared" si="59"/>
        <v>Еще фото</v>
      </c>
      <c r="F1536" s="13"/>
      <c r="G1536" s="24" t="s">
        <v>1184</v>
      </c>
      <c r="H1536" s="24" t="s">
        <v>741</v>
      </c>
      <c r="I1536" s="24" t="s">
        <v>1185</v>
      </c>
      <c r="J1536" s="14" t="s">
        <v>29</v>
      </c>
      <c r="K1536" s="15" t="s">
        <v>50</v>
      </c>
      <c r="L1536" s="62"/>
      <c r="M1536" s="14"/>
      <c r="N1536" s="14" t="s">
        <v>33</v>
      </c>
      <c r="O1536" s="14"/>
      <c r="P1536" s="15" t="s">
        <v>745</v>
      </c>
      <c r="Q1536" s="16">
        <v>11299</v>
      </c>
      <c r="R1536" s="17">
        <v>46</v>
      </c>
      <c r="S1536" s="18">
        <v>7016.6789999999992</v>
      </c>
      <c r="T1536" s="19" t="s">
        <v>36</v>
      </c>
      <c r="U1536" s="20" t="s">
        <v>1203</v>
      </c>
      <c r="V1536" s="34">
        <v>37.5</v>
      </c>
      <c r="W1536" s="22">
        <v>12</v>
      </c>
      <c r="X1536" s="23"/>
    </row>
    <row r="1537" spans="1:24" s="1" customFormat="1" ht="17" customHeight="1" x14ac:dyDescent="0.3">
      <c r="A1537" s="24" t="s">
        <v>23</v>
      </c>
      <c r="B1537" s="24" t="s">
        <v>1531</v>
      </c>
      <c r="C1537" s="12" t="s">
        <v>1535</v>
      </c>
      <c r="D1537" s="60"/>
      <c r="E1537" s="41" t="str">
        <f t="shared" si="59"/>
        <v>Еще фото</v>
      </c>
      <c r="F1537" s="13"/>
      <c r="G1537" s="24" t="s">
        <v>1184</v>
      </c>
      <c r="H1537" s="24" t="s">
        <v>741</v>
      </c>
      <c r="I1537" s="24" t="s">
        <v>1185</v>
      </c>
      <c r="J1537" s="14" t="s">
        <v>29</v>
      </c>
      <c r="K1537" s="15" t="s">
        <v>50</v>
      </c>
      <c r="L1537" s="62"/>
      <c r="M1537" s="14"/>
      <c r="N1537" s="14" t="s">
        <v>33</v>
      </c>
      <c r="O1537" s="14"/>
      <c r="P1537" s="15" t="s">
        <v>745</v>
      </c>
      <c r="Q1537" s="16">
        <v>11299</v>
      </c>
      <c r="R1537" s="17">
        <v>46</v>
      </c>
      <c r="S1537" s="18">
        <v>7016.6789999999992</v>
      </c>
      <c r="T1537" s="19" t="s">
        <v>36</v>
      </c>
      <c r="U1537" s="20" t="s">
        <v>1196</v>
      </c>
      <c r="V1537" s="22">
        <v>38</v>
      </c>
      <c r="W1537" s="22">
        <v>12</v>
      </c>
      <c r="X1537" s="23"/>
    </row>
    <row r="1538" spans="1:24" s="1" customFormat="1" ht="22.05" customHeight="1" x14ac:dyDescent="0.3">
      <c r="A1538" s="24" t="s">
        <v>23</v>
      </c>
      <c r="B1538" s="24" t="s">
        <v>1531</v>
      </c>
      <c r="C1538" s="12" t="s">
        <v>1535</v>
      </c>
      <c r="D1538" s="61"/>
      <c r="E1538" s="41" t="str">
        <f t="shared" si="59"/>
        <v>Еще фото</v>
      </c>
      <c r="F1538" s="13"/>
      <c r="G1538" s="24" t="s">
        <v>1184</v>
      </c>
      <c r="H1538" s="24" t="s">
        <v>741</v>
      </c>
      <c r="I1538" s="24" t="s">
        <v>1185</v>
      </c>
      <c r="J1538" s="14" t="s">
        <v>29</v>
      </c>
      <c r="K1538" s="15" t="s">
        <v>50</v>
      </c>
      <c r="L1538" s="58"/>
      <c r="M1538" s="14"/>
      <c r="N1538" s="14" t="s">
        <v>33</v>
      </c>
      <c r="O1538" s="14"/>
      <c r="P1538" s="15" t="s">
        <v>745</v>
      </c>
      <c r="Q1538" s="16">
        <v>11299</v>
      </c>
      <c r="R1538" s="17">
        <v>46</v>
      </c>
      <c r="S1538" s="18">
        <v>7016.6789999999992</v>
      </c>
      <c r="T1538" s="19" t="s">
        <v>36</v>
      </c>
      <c r="U1538" s="20" t="s">
        <v>746</v>
      </c>
      <c r="V1538" s="22">
        <v>39</v>
      </c>
      <c r="W1538" s="22">
        <v>12</v>
      </c>
      <c r="X1538" s="23"/>
    </row>
    <row r="1539" spans="1:24" s="1" customFormat="1" ht="17" customHeight="1" x14ac:dyDescent="0.3">
      <c r="A1539" s="11" t="s">
        <v>23</v>
      </c>
      <c r="B1539" s="11" t="s">
        <v>1531</v>
      </c>
      <c r="C1539" s="12" t="s">
        <v>1536</v>
      </c>
      <c r="D1539" s="59"/>
      <c r="E1539" s="41" t="str">
        <f t="shared" ref="E1539:E1544" si="60">HYPERLINK("https://www.google.ru/search?q=6011025-389&amp;newwindow=1&amp;tbm=isch","Еще фото")</f>
        <v>Еще фото</v>
      </c>
      <c r="F1539" s="13"/>
      <c r="G1539" s="11" t="s">
        <v>1184</v>
      </c>
      <c r="H1539" s="11" t="s">
        <v>741</v>
      </c>
      <c r="I1539" s="14" t="s">
        <v>1185</v>
      </c>
      <c r="J1539" s="14" t="s">
        <v>29</v>
      </c>
      <c r="K1539" s="15" t="s">
        <v>50</v>
      </c>
      <c r="L1539" s="57" t="s">
        <v>1533</v>
      </c>
      <c r="M1539" s="14"/>
      <c r="N1539" s="14" t="s">
        <v>1537</v>
      </c>
      <c r="O1539" s="14"/>
      <c r="P1539" s="15" t="s">
        <v>745</v>
      </c>
      <c r="Q1539" s="16">
        <v>11299</v>
      </c>
      <c r="R1539" s="17">
        <v>46</v>
      </c>
      <c r="S1539" s="18">
        <v>7016.6789999999992</v>
      </c>
      <c r="T1539" s="19" t="s">
        <v>36</v>
      </c>
      <c r="U1539" s="20" t="s">
        <v>1500</v>
      </c>
      <c r="V1539" s="22">
        <v>36</v>
      </c>
      <c r="W1539" s="22">
        <v>6</v>
      </c>
      <c r="X1539" s="23"/>
    </row>
    <row r="1540" spans="1:24" s="1" customFormat="1" ht="17" customHeight="1" x14ac:dyDescent="0.3">
      <c r="A1540" s="24" t="s">
        <v>23</v>
      </c>
      <c r="B1540" s="24" t="s">
        <v>1531</v>
      </c>
      <c r="C1540" s="12" t="s">
        <v>1536</v>
      </c>
      <c r="D1540" s="60"/>
      <c r="E1540" s="41" t="str">
        <f t="shared" si="60"/>
        <v>Еще фото</v>
      </c>
      <c r="F1540" s="13"/>
      <c r="G1540" s="24" t="s">
        <v>1184</v>
      </c>
      <c r="H1540" s="24" t="s">
        <v>741</v>
      </c>
      <c r="I1540" s="24" t="s">
        <v>1185</v>
      </c>
      <c r="J1540" s="14" t="s">
        <v>29</v>
      </c>
      <c r="K1540" s="15" t="s">
        <v>50</v>
      </c>
      <c r="L1540" s="62"/>
      <c r="M1540" s="14"/>
      <c r="N1540" s="14" t="s">
        <v>1537</v>
      </c>
      <c r="O1540" s="14"/>
      <c r="P1540" s="15" t="s">
        <v>745</v>
      </c>
      <c r="Q1540" s="16">
        <v>11299</v>
      </c>
      <c r="R1540" s="17">
        <v>46</v>
      </c>
      <c r="S1540" s="18">
        <v>7016.6789999999992</v>
      </c>
      <c r="T1540" s="19" t="s">
        <v>36</v>
      </c>
      <c r="U1540" s="20" t="s">
        <v>1241</v>
      </c>
      <c r="V1540" s="34">
        <v>36.5</v>
      </c>
      <c r="W1540" s="22">
        <v>6</v>
      </c>
      <c r="X1540" s="23"/>
    </row>
    <row r="1541" spans="1:24" s="1" customFormat="1" ht="17" customHeight="1" x14ac:dyDescent="0.3">
      <c r="A1541" s="24" t="s">
        <v>23</v>
      </c>
      <c r="B1541" s="24" t="s">
        <v>1531</v>
      </c>
      <c r="C1541" s="12" t="s">
        <v>1536</v>
      </c>
      <c r="D1541" s="60"/>
      <c r="E1541" s="41" t="str">
        <f t="shared" si="60"/>
        <v>Еще фото</v>
      </c>
      <c r="F1541" s="13"/>
      <c r="G1541" s="24" t="s">
        <v>1184</v>
      </c>
      <c r="H1541" s="24" t="s">
        <v>741</v>
      </c>
      <c r="I1541" s="24" t="s">
        <v>1185</v>
      </c>
      <c r="J1541" s="14" t="s">
        <v>29</v>
      </c>
      <c r="K1541" s="15" t="s">
        <v>50</v>
      </c>
      <c r="L1541" s="62"/>
      <c r="M1541" s="14"/>
      <c r="N1541" s="14" t="s">
        <v>1537</v>
      </c>
      <c r="O1541" s="14"/>
      <c r="P1541" s="15" t="s">
        <v>745</v>
      </c>
      <c r="Q1541" s="16">
        <v>11299</v>
      </c>
      <c r="R1541" s="17">
        <v>46</v>
      </c>
      <c r="S1541" s="18">
        <v>7016.6789999999992</v>
      </c>
      <c r="T1541" s="19" t="s">
        <v>36</v>
      </c>
      <c r="U1541" s="20" t="s">
        <v>1190</v>
      </c>
      <c r="V1541" s="22">
        <v>37</v>
      </c>
      <c r="W1541" s="22">
        <v>12</v>
      </c>
      <c r="X1541" s="23"/>
    </row>
    <row r="1542" spans="1:24" s="1" customFormat="1" ht="17" customHeight="1" x14ac:dyDescent="0.3">
      <c r="A1542" s="24" t="s">
        <v>23</v>
      </c>
      <c r="B1542" s="24" t="s">
        <v>1531</v>
      </c>
      <c r="C1542" s="12" t="s">
        <v>1536</v>
      </c>
      <c r="D1542" s="60"/>
      <c r="E1542" s="41" t="str">
        <f t="shared" si="60"/>
        <v>Еще фото</v>
      </c>
      <c r="F1542" s="13"/>
      <c r="G1542" s="24" t="s">
        <v>1184</v>
      </c>
      <c r="H1542" s="24" t="s">
        <v>741</v>
      </c>
      <c r="I1542" s="24" t="s">
        <v>1185</v>
      </c>
      <c r="J1542" s="14" t="s">
        <v>29</v>
      </c>
      <c r="K1542" s="15" t="s">
        <v>50</v>
      </c>
      <c r="L1542" s="62"/>
      <c r="M1542" s="14"/>
      <c r="N1542" s="14" t="s">
        <v>1537</v>
      </c>
      <c r="O1542" s="14"/>
      <c r="P1542" s="15" t="s">
        <v>745</v>
      </c>
      <c r="Q1542" s="16">
        <v>11299</v>
      </c>
      <c r="R1542" s="17">
        <v>46</v>
      </c>
      <c r="S1542" s="18">
        <v>7016.6789999999992</v>
      </c>
      <c r="T1542" s="19" t="s">
        <v>36</v>
      </c>
      <c r="U1542" s="20" t="s">
        <v>1203</v>
      </c>
      <c r="V1542" s="34">
        <v>37.5</v>
      </c>
      <c r="W1542" s="22">
        <v>12</v>
      </c>
      <c r="X1542" s="23"/>
    </row>
    <row r="1543" spans="1:24" s="1" customFormat="1" ht="17" customHeight="1" x14ac:dyDescent="0.3">
      <c r="A1543" s="24" t="s">
        <v>23</v>
      </c>
      <c r="B1543" s="24" t="s">
        <v>1531</v>
      </c>
      <c r="C1543" s="12" t="s">
        <v>1536</v>
      </c>
      <c r="D1543" s="60"/>
      <c r="E1543" s="41" t="str">
        <f t="shared" si="60"/>
        <v>Еще фото</v>
      </c>
      <c r="F1543" s="13"/>
      <c r="G1543" s="24" t="s">
        <v>1184</v>
      </c>
      <c r="H1543" s="24" t="s">
        <v>741</v>
      </c>
      <c r="I1543" s="24" t="s">
        <v>1185</v>
      </c>
      <c r="J1543" s="14" t="s">
        <v>29</v>
      </c>
      <c r="K1543" s="15" t="s">
        <v>50</v>
      </c>
      <c r="L1543" s="62"/>
      <c r="M1543" s="14"/>
      <c r="N1543" s="14" t="s">
        <v>1537</v>
      </c>
      <c r="O1543" s="14"/>
      <c r="P1543" s="15" t="s">
        <v>745</v>
      </c>
      <c r="Q1543" s="16">
        <v>11299</v>
      </c>
      <c r="R1543" s="17">
        <v>46</v>
      </c>
      <c r="S1543" s="18">
        <v>7016.6789999999992</v>
      </c>
      <c r="T1543" s="19" t="s">
        <v>36</v>
      </c>
      <c r="U1543" s="20" t="s">
        <v>1196</v>
      </c>
      <c r="V1543" s="22">
        <v>38</v>
      </c>
      <c r="W1543" s="22">
        <v>12</v>
      </c>
      <c r="X1543" s="23"/>
    </row>
    <row r="1544" spans="1:24" s="1" customFormat="1" ht="22.05" customHeight="1" x14ac:dyDescent="0.3">
      <c r="A1544" s="24" t="s">
        <v>23</v>
      </c>
      <c r="B1544" s="24" t="s">
        <v>1531</v>
      </c>
      <c r="C1544" s="12" t="s">
        <v>1536</v>
      </c>
      <c r="D1544" s="61"/>
      <c r="E1544" s="41" t="str">
        <f t="shared" si="60"/>
        <v>Еще фото</v>
      </c>
      <c r="F1544" s="13"/>
      <c r="G1544" s="24" t="s">
        <v>1184</v>
      </c>
      <c r="H1544" s="24" t="s">
        <v>741</v>
      </c>
      <c r="I1544" s="24" t="s">
        <v>1185</v>
      </c>
      <c r="J1544" s="14" t="s">
        <v>29</v>
      </c>
      <c r="K1544" s="15" t="s">
        <v>50</v>
      </c>
      <c r="L1544" s="58"/>
      <c r="M1544" s="14"/>
      <c r="N1544" s="14" t="s">
        <v>1537</v>
      </c>
      <c r="O1544" s="14"/>
      <c r="P1544" s="15" t="s">
        <v>745</v>
      </c>
      <c r="Q1544" s="16">
        <v>11299</v>
      </c>
      <c r="R1544" s="17">
        <v>46</v>
      </c>
      <c r="S1544" s="18">
        <v>7016.6789999999992</v>
      </c>
      <c r="T1544" s="19" t="s">
        <v>36</v>
      </c>
      <c r="U1544" s="20" t="s">
        <v>746</v>
      </c>
      <c r="V1544" s="22">
        <v>39</v>
      </c>
      <c r="W1544" s="22">
        <v>12</v>
      </c>
      <c r="X1544" s="23"/>
    </row>
    <row r="1545" spans="1:24" s="1" customFormat="1" ht="17" customHeight="1" x14ac:dyDescent="0.3">
      <c r="A1545" s="11" t="s">
        <v>23</v>
      </c>
      <c r="B1545" s="11" t="s">
        <v>1538</v>
      </c>
      <c r="C1545" s="12" t="s">
        <v>1539</v>
      </c>
      <c r="D1545" s="59"/>
      <c r="E1545" s="41" t="str">
        <f t="shared" ref="E1545:E1550" si="61">HYPERLINK("https://www.google.ru/search?q=6011026-001&amp;newwindow=1&amp;tbm=isch","Еще фото")</f>
        <v>Еще фото</v>
      </c>
      <c r="F1545" s="13"/>
      <c r="G1545" s="11" t="s">
        <v>1184</v>
      </c>
      <c r="H1545" s="11" t="s">
        <v>741</v>
      </c>
      <c r="I1545" s="14" t="s">
        <v>1185</v>
      </c>
      <c r="J1545" s="14" t="s">
        <v>29</v>
      </c>
      <c r="K1545" s="15" t="s">
        <v>50</v>
      </c>
      <c r="L1545" s="57" t="s">
        <v>1540</v>
      </c>
      <c r="M1545" s="14"/>
      <c r="N1545" s="14" t="s">
        <v>1541</v>
      </c>
      <c r="O1545" s="14"/>
      <c r="P1545" s="15" t="s">
        <v>745</v>
      </c>
      <c r="Q1545" s="16">
        <v>11599</v>
      </c>
      <c r="R1545" s="17">
        <v>46</v>
      </c>
      <c r="S1545" s="18">
        <v>7202.9789999999994</v>
      </c>
      <c r="T1545" s="19" t="s">
        <v>36</v>
      </c>
      <c r="U1545" s="20" t="s">
        <v>1500</v>
      </c>
      <c r="V1545" s="22">
        <v>36</v>
      </c>
      <c r="W1545" s="22">
        <v>5</v>
      </c>
      <c r="X1545" s="23"/>
    </row>
    <row r="1546" spans="1:24" s="1" customFormat="1" ht="17" customHeight="1" x14ac:dyDescent="0.3">
      <c r="A1546" s="24" t="s">
        <v>23</v>
      </c>
      <c r="B1546" s="24" t="s">
        <v>1538</v>
      </c>
      <c r="C1546" s="12" t="s">
        <v>1539</v>
      </c>
      <c r="D1546" s="60"/>
      <c r="E1546" s="41" t="str">
        <f t="shared" si="61"/>
        <v>Еще фото</v>
      </c>
      <c r="F1546" s="13"/>
      <c r="G1546" s="24" t="s">
        <v>1184</v>
      </c>
      <c r="H1546" s="24" t="s">
        <v>741</v>
      </c>
      <c r="I1546" s="24" t="s">
        <v>1185</v>
      </c>
      <c r="J1546" s="14" t="s">
        <v>29</v>
      </c>
      <c r="K1546" s="15" t="s">
        <v>50</v>
      </c>
      <c r="L1546" s="62"/>
      <c r="M1546" s="14"/>
      <c r="N1546" s="14" t="s">
        <v>1541</v>
      </c>
      <c r="O1546" s="14"/>
      <c r="P1546" s="15" t="s">
        <v>745</v>
      </c>
      <c r="Q1546" s="16">
        <v>11599</v>
      </c>
      <c r="R1546" s="17">
        <v>46</v>
      </c>
      <c r="S1546" s="18">
        <v>7202.9789999999994</v>
      </c>
      <c r="T1546" s="19" t="s">
        <v>36</v>
      </c>
      <c r="U1546" s="20" t="s">
        <v>1241</v>
      </c>
      <c r="V1546" s="34">
        <v>36.5</v>
      </c>
      <c r="W1546" s="22">
        <v>6</v>
      </c>
      <c r="X1546" s="23"/>
    </row>
    <row r="1547" spans="1:24" s="1" customFormat="1" ht="17" customHeight="1" x14ac:dyDescent="0.3">
      <c r="A1547" s="24" t="s">
        <v>23</v>
      </c>
      <c r="B1547" s="24" t="s">
        <v>1538</v>
      </c>
      <c r="C1547" s="12" t="s">
        <v>1539</v>
      </c>
      <c r="D1547" s="60"/>
      <c r="E1547" s="41" t="str">
        <f t="shared" si="61"/>
        <v>Еще фото</v>
      </c>
      <c r="F1547" s="13"/>
      <c r="G1547" s="24" t="s">
        <v>1184</v>
      </c>
      <c r="H1547" s="24" t="s">
        <v>741</v>
      </c>
      <c r="I1547" s="24" t="s">
        <v>1185</v>
      </c>
      <c r="J1547" s="14" t="s">
        <v>29</v>
      </c>
      <c r="K1547" s="15" t="s">
        <v>50</v>
      </c>
      <c r="L1547" s="62"/>
      <c r="M1547" s="14"/>
      <c r="N1547" s="14" t="s">
        <v>1541</v>
      </c>
      <c r="O1547" s="14"/>
      <c r="P1547" s="15" t="s">
        <v>745</v>
      </c>
      <c r="Q1547" s="16">
        <v>11599</v>
      </c>
      <c r="R1547" s="17">
        <v>46</v>
      </c>
      <c r="S1547" s="18">
        <v>7202.9789999999994</v>
      </c>
      <c r="T1547" s="19" t="s">
        <v>36</v>
      </c>
      <c r="U1547" s="20" t="s">
        <v>1190</v>
      </c>
      <c r="V1547" s="22">
        <v>37</v>
      </c>
      <c r="W1547" s="22">
        <v>12</v>
      </c>
      <c r="X1547" s="23"/>
    </row>
    <row r="1548" spans="1:24" s="1" customFormat="1" ht="17" customHeight="1" x14ac:dyDescent="0.3">
      <c r="A1548" s="24" t="s">
        <v>23</v>
      </c>
      <c r="B1548" s="24" t="s">
        <v>1538</v>
      </c>
      <c r="C1548" s="12" t="s">
        <v>1539</v>
      </c>
      <c r="D1548" s="60"/>
      <c r="E1548" s="41" t="str">
        <f t="shared" si="61"/>
        <v>Еще фото</v>
      </c>
      <c r="F1548" s="13"/>
      <c r="G1548" s="24" t="s">
        <v>1184</v>
      </c>
      <c r="H1548" s="24" t="s">
        <v>741</v>
      </c>
      <c r="I1548" s="24" t="s">
        <v>1185</v>
      </c>
      <c r="J1548" s="14" t="s">
        <v>29</v>
      </c>
      <c r="K1548" s="15" t="s">
        <v>50</v>
      </c>
      <c r="L1548" s="62"/>
      <c r="M1548" s="14"/>
      <c r="N1548" s="14" t="s">
        <v>1541</v>
      </c>
      <c r="O1548" s="14"/>
      <c r="P1548" s="15" t="s">
        <v>745</v>
      </c>
      <c r="Q1548" s="16">
        <v>11599</v>
      </c>
      <c r="R1548" s="17">
        <v>46</v>
      </c>
      <c r="S1548" s="18">
        <v>7202.9789999999994</v>
      </c>
      <c r="T1548" s="19" t="s">
        <v>36</v>
      </c>
      <c r="U1548" s="20" t="s">
        <v>1203</v>
      </c>
      <c r="V1548" s="34">
        <v>37.5</v>
      </c>
      <c r="W1548" s="22">
        <v>12</v>
      </c>
      <c r="X1548" s="23"/>
    </row>
    <row r="1549" spans="1:24" s="1" customFormat="1" ht="17" customHeight="1" x14ac:dyDescent="0.3">
      <c r="A1549" s="24" t="s">
        <v>23</v>
      </c>
      <c r="B1549" s="24" t="s">
        <v>1538</v>
      </c>
      <c r="C1549" s="12" t="s">
        <v>1539</v>
      </c>
      <c r="D1549" s="60"/>
      <c r="E1549" s="41" t="str">
        <f t="shared" si="61"/>
        <v>Еще фото</v>
      </c>
      <c r="F1549" s="13"/>
      <c r="G1549" s="24" t="s">
        <v>1184</v>
      </c>
      <c r="H1549" s="24" t="s">
        <v>741</v>
      </c>
      <c r="I1549" s="24" t="s">
        <v>1185</v>
      </c>
      <c r="J1549" s="14" t="s">
        <v>29</v>
      </c>
      <c r="K1549" s="15" t="s">
        <v>50</v>
      </c>
      <c r="L1549" s="62"/>
      <c r="M1549" s="14"/>
      <c r="N1549" s="14" t="s">
        <v>1541</v>
      </c>
      <c r="O1549" s="14"/>
      <c r="P1549" s="15" t="s">
        <v>745</v>
      </c>
      <c r="Q1549" s="16">
        <v>11599</v>
      </c>
      <c r="R1549" s="17">
        <v>46</v>
      </c>
      <c r="S1549" s="18">
        <v>7202.9789999999994</v>
      </c>
      <c r="T1549" s="19" t="s">
        <v>36</v>
      </c>
      <c r="U1549" s="20" t="s">
        <v>1196</v>
      </c>
      <c r="V1549" s="22">
        <v>38</v>
      </c>
      <c r="W1549" s="22">
        <v>12</v>
      </c>
      <c r="X1549" s="23"/>
    </row>
    <row r="1550" spans="1:24" s="1" customFormat="1" ht="22.05" customHeight="1" x14ac:dyDescent="0.3">
      <c r="A1550" s="24" t="s">
        <v>23</v>
      </c>
      <c r="B1550" s="24" t="s">
        <v>1538</v>
      </c>
      <c r="C1550" s="12" t="s">
        <v>1539</v>
      </c>
      <c r="D1550" s="61"/>
      <c r="E1550" s="41" t="str">
        <f t="shared" si="61"/>
        <v>Еще фото</v>
      </c>
      <c r="F1550" s="13"/>
      <c r="G1550" s="24" t="s">
        <v>1184</v>
      </c>
      <c r="H1550" s="24" t="s">
        <v>741</v>
      </c>
      <c r="I1550" s="24" t="s">
        <v>1185</v>
      </c>
      <c r="J1550" s="14" t="s">
        <v>29</v>
      </c>
      <c r="K1550" s="15" t="s">
        <v>50</v>
      </c>
      <c r="L1550" s="58"/>
      <c r="M1550" s="14"/>
      <c r="N1550" s="14" t="s">
        <v>1541</v>
      </c>
      <c r="O1550" s="14"/>
      <c r="P1550" s="15" t="s">
        <v>745</v>
      </c>
      <c r="Q1550" s="16">
        <v>11599</v>
      </c>
      <c r="R1550" s="17">
        <v>46</v>
      </c>
      <c r="S1550" s="18">
        <v>7202.9789999999994</v>
      </c>
      <c r="T1550" s="19" t="s">
        <v>36</v>
      </c>
      <c r="U1550" s="20" t="s">
        <v>746</v>
      </c>
      <c r="V1550" s="22">
        <v>39</v>
      </c>
      <c r="W1550" s="22">
        <v>11</v>
      </c>
      <c r="X1550" s="23"/>
    </row>
    <row r="1551" spans="1:24" s="1" customFormat="1" ht="108" customHeight="1" x14ac:dyDescent="0.3">
      <c r="A1551" s="11" t="s">
        <v>23</v>
      </c>
      <c r="B1551" s="11" t="s">
        <v>1251</v>
      </c>
      <c r="C1551" s="12" t="s">
        <v>1542</v>
      </c>
      <c r="D1551" s="25"/>
      <c r="E1551" s="41" t="str">
        <f>HYPERLINK("https://www.google.ru/search?q=3025060-502&amp;newwindow=1&amp;tbm=isch","Еще фото")</f>
        <v>Еще фото</v>
      </c>
      <c r="F1551" s="13"/>
      <c r="G1551" s="11" t="s">
        <v>1184</v>
      </c>
      <c r="H1551" s="11" t="s">
        <v>741</v>
      </c>
      <c r="I1551" s="14" t="s">
        <v>1185</v>
      </c>
      <c r="J1551" s="14" t="s">
        <v>29</v>
      </c>
      <c r="K1551" s="15" t="s">
        <v>59</v>
      </c>
      <c r="L1551" s="14" t="s">
        <v>1253</v>
      </c>
      <c r="M1551" s="14" t="s">
        <v>1194</v>
      </c>
      <c r="N1551" s="14" t="s">
        <v>79</v>
      </c>
      <c r="O1551" s="14"/>
      <c r="P1551" s="15" t="s">
        <v>1543</v>
      </c>
      <c r="Q1551" s="16">
        <v>9999</v>
      </c>
      <c r="R1551" s="17">
        <v>45.99</v>
      </c>
      <c r="S1551" s="18">
        <v>6209.9884999999995</v>
      </c>
      <c r="T1551" s="19" t="s">
        <v>36</v>
      </c>
      <c r="U1551" s="20" t="s">
        <v>1203</v>
      </c>
      <c r="V1551" s="22">
        <v>36</v>
      </c>
      <c r="W1551" s="22">
        <v>2</v>
      </c>
      <c r="X1551" s="23"/>
    </row>
    <row r="1552" spans="1:24" s="1" customFormat="1" ht="108" customHeight="1" x14ac:dyDescent="0.3">
      <c r="A1552" s="11" t="s">
        <v>23</v>
      </c>
      <c r="B1552" s="11" t="s">
        <v>1544</v>
      </c>
      <c r="C1552" s="12" t="s">
        <v>1545</v>
      </c>
      <c r="D1552" s="25"/>
      <c r="E1552" s="41" t="str">
        <f>HYPERLINK("https://www.google.ru/search?q=3028254-003&amp;newwindow=1&amp;tbm=isch","Еще фото")</f>
        <v>Еще фото</v>
      </c>
      <c r="F1552" s="13" t="s">
        <v>103</v>
      </c>
      <c r="G1552" s="11" t="s">
        <v>1184</v>
      </c>
      <c r="H1552" s="11" t="s">
        <v>741</v>
      </c>
      <c r="I1552" s="14" t="s">
        <v>1185</v>
      </c>
      <c r="J1552" s="14" t="s">
        <v>29</v>
      </c>
      <c r="K1552" s="15" t="s">
        <v>30</v>
      </c>
      <c r="L1552" s="14" t="s">
        <v>1546</v>
      </c>
      <c r="M1552" s="14"/>
      <c r="N1552" s="14" t="s">
        <v>33</v>
      </c>
      <c r="O1552" s="14"/>
      <c r="P1552" s="15" t="s">
        <v>745</v>
      </c>
      <c r="Q1552" s="16">
        <v>9999</v>
      </c>
      <c r="R1552" s="17">
        <v>45.99</v>
      </c>
      <c r="S1552" s="18">
        <v>6209.9884999999995</v>
      </c>
      <c r="T1552" s="19" t="s">
        <v>36</v>
      </c>
      <c r="U1552" s="20" t="s">
        <v>749</v>
      </c>
      <c r="V1552" s="22">
        <v>41</v>
      </c>
      <c r="W1552" s="22">
        <v>2</v>
      </c>
      <c r="X1552" s="23"/>
    </row>
    <row r="1553" spans="1:24" s="1" customFormat="1" ht="108" customHeight="1" x14ac:dyDescent="0.3">
      <c r="A1553" s="11" t="s">
        <v>23</v>
      </c>
      <c r="B1553" s="11" t="s">
        <v>1547</v>
      </c>
      <c r="C1553" s="12" t="s">
        <v>1548</v>
      </c>
      <c r="D1553" s="25"/>
      <c r="E1553" s="41" t="str">
        <f>HYPERLINK("https://www.google.ru/search?q=3024883-302&amp;newwindow=1&amp;tbm=isch","Еще фото")</f>
        <v>Еще фото</v>
      </c>
      <c r="F1553" s="13"/>
      <c r="G1553" s="11" t="s">
        <v>1184</v>
      </c>
      <c r="H1553" s="11" t="s">
        <v>741</v>
      </c>
      <c r="I1553" s="14" t="s">
        <v>1185</v>
      </c>
      <c r="J1553" s="14" t="s">
        <v>29</v>
      </c>
      <c r="K1553" s="15" t="s">
        <v>30</v>
      </c>
      <c r="L1553" s="14" t="s">
        <v>1549</v>
      </c>
      <c r="M1553" s="14" t="s">
        <v>45</v>
      </c>
      <c r="N1553" s="14" t="s">
        <v>84</v>
      </c>
      <c r="O1553" s="14"/>
      <c r="P1553" s="15" t="s">
        <v>1550</v>
      </c>
      <c r="Q1553" s="16">
        <v>8699</v>
      </c>
      <c r="R1553" s="17">
        <v>45.97</v>
      </c>
      <c r="S1553" s="18">
        <v>5404.9884999999995</v>
      </c>
      <c r="T1553" s="19" t="s">
        <v>36</v>
      </c>
      <c r="U1553" s="20" t="s">
        <v>747</v>
      </c>
      <c r="V1553" s="34">
        <v>39.5</v>
      </c>
      <c r="W1553" s="22">
        <v>1</v>
      </c>
      <c r="X1553" s="23"/>
    </row>
    <row r="1554" spans="1:24" s="1" customFormat="1" ht="108" customHeight="1" x14ac:dyDescent="0.3">
      <c r="A1554" s="11" t="s">
        <v>23</v>
      </c>
      <c r="B1554" s="11" t="s">
        <v>1551</v>
      </c>
      <c r="C1554" s="12" t="s">
        <v>1552</v>
      </c>
      <c r="D1554" s="25"/>
      <c r="E1554" s="41" t="str">
        <f>HYPERLINK("https://www.google.ru/search?q=3026727-044&amp;newwindow=1&amp;tbm=isch","Еще фото")</f>
        <v>Еще фото</v>
      </c>
      <c r="F1554" s="13"/>
      <c r="G1554" s="11" t="s">
        <v>1184</v>
      </c>
      <c r="H1554" s="11" t="s">
        <v>741</v>
      </c>
      <c r="I1554" s="14" t="s">
        <v>1185</v>
      </c>
      <c r="J1554" s="14" t="s">
        <v>29</v>
      </c>
      <c r="K1554" s="15" t="s">
        <v>30</v>
      </c>
      <c r="L1554" s="14" t="s">
        <v>1553</v>
      </c>
      <c r="M1554" s="14"/>
      <c r="N1554" s="14" t="s">
        <v>62</v>
      </c>
      <c r="O1554" s="14"/>
      <c r="P1554" s="15" t="s">
        <v>1554</v>
      </c>
      <c r="Q1554" s="16">
        <v>8699</v>
      </c>
      <c r="R1554" s="17">
        <v>45.97</v>
      </c>
      <c r="S1554" s="18">
        <v>5404.9884999999995</v>
      </c>
      <c r="T1554" s="19" t="s">
        <v>36</v>
      </c>
      <c r="U1554" s="20" t="s">
        <v>750</v>
      </c>
      <c r="V1554" s="34">
        <v>41.5</v>
      </c>
      <c r="W1554" s="22">
        <v>1</v>
      </c>
      <c r="X1554" s="23"/>
    </row>
    <row r="1555" spans="1:24" s="1" customFormat="1" ht="108" customHeight="1" x14ac:dyDescent="0.3">
      <c r="A1555" s="11" t="s">
        <v>23</v>
      </c>
      <c r="B1555" s="11" t="s">
        <v>1555</v>
      </c>
      <c r="C1555" s="12" t="s">
        <v>1556</v>
      </c>
      <c r="D1555" s="25"/>
      <c r="E1555" s="41" t="str">
        <f>HYPERLINK("https://www.google.ru/search?q=3023705-001&amp;newwindow=1&amp;tbm=isch","Еще фото")</f>
        <v>Еще фото</v>
      </c>
      <c r="F1555" s="13"/>
      <c r="G1555" s="11" t="s">
        <v>1184</v>
      </c>
      <c r="H1555" s="11" t="s">
        <v>741</v>
      </c>
      <c r="I1555" s="14" t="s">
        <v>1185</v>
      </c>
      <c r="J1555" s="14" t="s">
        <v>29</v>
      </c>
      <c r="K1555" s="15" t="s">
        <v>59</v>
      </c>
      <c r="L1555" s="14" t="s">
        <v>1557</v>
      </c>
      <c r="M1555" s="14" t="s">
        <v>1274</v>
      </c>
      <c r="N1555" s="14" t="s">
        <v>33</v>
      </c>
      <c r="O1555" s="14" t="s">
        <v>34</v>
      </c>
      <c r="P1555" s="15" t="s">
        <v>1558</v>
      </c>
      <c r="Q1555" s="16">
        <v>7399</v>
      </c>
      <c r="R1555" s="17">
        <v>45.94</v>
      </c>
      <c r="S1555" s="18">
        <v>4599.9884999999995</v>
      </c>
      <c r="T1555" s="19" t="s">
        <v>36</v>
      </c>
      <c r="U1555" s="20" t="s">
        <v>1190</v>
      </c>
      <c r="V1555" s="34">
        <v>35.5</v>
      </c>
      <c r="W1555" s="22">
        <v>3</v>
      </c>
      <c r="X1555" s="23"/>
    </row>
    <row r="1556" spans="1:24" s="1" customFormat="1" ht="108" customHeight="1" x14ac:dyDescent="0.3">
      <c r="A1556" s="11" t="s">
        <v>23</v>
      </c>
      <c r="B1556" s="11" t="s">
        <v>1555</v>
      </c>
      <c r="C1556" s="12" t="s">
        <v>1559</v>
      </c>
      <c r="D1556" s="25"/>
      <c r="E1556" s="41" t="str">
        <f>HYPERLINK("https://www.google.ru/search?q=3023705-501&amp;newwindow=1&amp;tbm=isch","Еще фото")</f>
        <v>Еще фото</v>
      </c>
      <c r="F1556" s="13"/>
      <c r="G1556" s="11" t="s">
        <v>1184</v>
      </c>
      <c r="H1556" s="11" t="s">
        <v>741</v>
      </c>
      <c r="I1556" s="14" t="s">
        <v>1185</v>
      </c>
      <c r="J1556" s="14" t="s">
        <v>29</v>
      </c>
      <c r="K1556" s="15" t="s">
        <v>59</v>
      </c>
      <c r="L1556" s="14" t="s">
        <v>1560</v>
      </c>
      <c r="M1556" s="14" t="s">
        <v>1274</v>
      </c>
      <c r="N1556" s="14" t="s">
        <v>115</v>
      </c>
      <c r="O1556" s="14" t="s">
        <v>34</v>
      </c>
      <c r="P1556" s="15" t="s">
        <v>1561</v>
      </c>
      <c r="Q1556" s="16">
        <v>7399</v>
      </c>
      <c r="R1556" s="17">
        <v>45.94</v>
      </c>
      <c r="S1556" s="18">
        <v>4599.9884999999995</v>
      </c>
      <c r="T1556" s="19" t="s">
        <v>36</v>
      </c>
      <c r="U1556" s="20" t="s">
        <v>1203</v>
      </c>
      <c r="V1556" s="22">
        <v>36</v>
      </c>
      <c r="W1556" s="22">
        <v>1</v>
      </c>
      <c r="X1556" s="23"/>
    </row>
    <row r="1557" spans="1:24" s="1" customFormat="1" ht="108" customHeight="1" x14ac:dyDescent="0.3">
      <c r="A1557" s="11" t="s">
        <v>23</v>
      </c>
      <c r="B1557" s="11" t="s">
        <v>1562</v>
      </c>
      <c r="C1557" s="12" t="s">
        <v>1563</v>
      </c>
      <c r="D1557" s="25"/>
      <c r="E1557" s="41" t="str">
        <f>HYPERLINK("https://www.google.ru/search?q=1296199-001&amp;newwindow=1&amp;tbm=isch","Еще фото")</f>
        <v>Еще фото</v>
      </c>
      <c r="F1557" s="13"/>
      <c r="G1557" s="11" t="s">
        <v>1184</v>
      </c>
      <c r="H1557" s="11" t="s">
        <v>741</v>
      </c>
      <c r="I1557" s="14" t="s">
        <v>1185</v>
      </c>
      <c r="J1557" s="14" t="s">
        <v>29</v>
      </c>
      <c r="K1557" s="15" t="s">
        <v>59</v>
      </c>
      <c r="L1557" s="14" t="s">
        <v>1564</v>
      </c>
      <c r="M1557" s="14" t="s">
        <v>1565</v>
      </c>
      <c r="N1557" s="14" t="s">
        <v>33</v>
      </c>
      <c r="O1557" s="14" t="s">
        <v>34</v>
      </c>
      <c r="P1557" s="15" t="s">
        <v>1406</v>
      </c>
      <c r="Q1557" s="16">
        <v>9799</v>
      </c>
      <c r="R1557" s="17">
        <v>45.91</v>
      </c>
      <c r="S1557" s="18">
        <v>6094.9884999999995</v>
      </c>
      <c r="T1557" s="19" t="s">
        <v>36</v>
      </c>
      <c r="U1557" s="20" t="s">
        <v>1241</v>
      </c>
      <c r="V1557" s="22">
        <v>35</v>
      </c>
      <c r="W1557" s="22">
        <v>2</v>
      </c>
      <c r="X1557" s="23"/>
    </row>
    <row r="1558" spans="1:24" s="1" customFormat="1" ht="108" customHeight="1" x14ac:dyDescent="0.3">
      <c r="A1558" s="11" t="s">
        <v>23</v>
      </c>
      <c r="B1558" s="11" t="s">
        <v>1566</v>
      </c>
      <c r="C1558" s="12" t="s">
        <v>1567</v>
      </c>
      <c r="D1558" s="25"/>
      <c r="E1558" s="41" t="str">
        <f>HYPERLINK("https://www.google.ru/search?q=3000258-300&amp;newwindow=1&amp;tbm=isch","Еще фото")</f>
        <v>Еще фото</v>
      </c>
      <c r="F1558" s="13"/>
      <c r="G1558" s="11" t="s">
        <v>1184</v>
      </c>
      <c r="H1558" s="11" t="s">
        <v>741</v>
      </c>
      <c r="I1558" s="14" t="s">
        <v>1185</v>
      </c>
      <c r="J1558" s="14" t="s">
        <v>29</v>
      </c>
      <c r="K1558" s="15" t="s">
        <v>59</v>
      </c>
      <c r="L1558" s="14" t="s">
        <v>1568</v>
      </c>
      <c r="M1558" s="14"/>
      <c r="N1558" s="14" t="s">
        <v>127</v>
      </c>
      <c r="O1558" s="14"/>
      <c r="P1558" s="15" t="s">
        <v>1406</v>
      </c>
      <c r="Q1558" s="16">
        <v>9799</v>
      </c>
      <c r="R1558" s="17">
        <v>45.91</v>
      </c>
      <c r="S1558" s="18">
        <v>6094.9884999999995</v>
      </c>
      <c r="T1558" s="19" t="s">
        <v>36</v>
      </c>
      <c r="U1558" s="20" t="s">
        <v>1203</v>
      </c>
      <c r="V1558" s="22">
        <v>36</v>
      </c>
      <c r="W1558" s="22">
        <v>1</v>
      </c>
      <c r="X1558" s="23"/>
    </row>
    <row r="1559" spans="1:24" s="1" customFormat="1" ht="108" customHeight="1" x14ac:dyDescent="0.3">
      <c r="A1559" s="11" t="s">
        <v>23</v>
      </c>
      <c r="B1559" s="11" t="s">
        <v>1291</v>
      </c>
      <c r="C1559" s="12" t="s">
        <v>1569</v>
      </c>
      <c r="D1559" s="25"/>
      <c r="E1559" s="41" t="str">
        <f>HYPERLINK("https://www.google.ru/search?q=3027006-014&amp;newwindow=1&amp;tbm=isch","Еще фото")</f>
        <v>Еще фото</v>
      </c>
      <c r="F1559" s="13" t="s">
        <v>103</v>
      </c>
      <c r="G1559" s="11" t="s">
        <v>1184</v>
      </c>
      <c r="H1559" s="11" t="s">
        <v>741</v>
      </c>
      <c r="I1559" s="14" t="s">
        <v>1185</v>
      </c>
      <c r="J1559" s="14" t="s">
        <v>29</v>
      </c>
      <c r="K1559" s="15" t="s">
        <v>59</v>
      </c>
      <c r="L1559" s="14" t="s">
        <v>1293</v>
      </c>
      <c r="M1559" s="14"/>
      <c r="N1559" s="14" t="s">
        <v>62</v>
      </c>
      <c r="O1559" s="14"/>
      <c r="P1559" s="15" t="s">
        <v>1294</v>
      </c>
      <c r="Q1559" s="16">
        <v>8499</v>
      </c>
      <c r="R1559" s="17">
        <v>45.88</v>
      </c>
      <c r="S1559" s="18">
        <v>5289.9884999999995</v>
      </c>
      <c r="T1559" s="19" t="s">
        <v>36</v>
      </c>
      <c r="U1559" s="20" t="s">
        <v>1203</v>
      </c>
      <c r="V1559" s="22">
        <v>36</v>
      </c>
      <c r="W1559" s="22">
        <v>1</v>
      </c>
      <c r="X1559" s="23"/>
    </row>
    <row r="1560" spans="1:24" s="1" customFormat="1" ht="35" customHeight="1" x14ac:dyDescent="0.3">
      <c r="A1560" s="11" t="s">
        <v>23</v>
      </c>
      <c r="B1560" s="11" t="s">
        <v>1570</v>
      </c>
      <c r="C1560" s="12" t="s">
        <v>1571</v>
      </c>
      <c r="D1560" s="59"/>
      <c r="E1560" s="41" t="str">
        <f>HYPERLINK("https://www.google.ru/search?q=3024877-101&amp;newwindow=1&amp;tbm=isch","Еще фото")</f>
        <v>Еще фото</v>
      </c>
      <c r="F1560" s="13"/>
      <c r="G1560" s="11" t="s">
        <v>1184</v>
      </c>
      <c r="H1560" s="11" t="s">
        <v>741</v>
      </c>
      <c r="I1560" s="14" t="s">
        <v>1185</v>
      </c>
      <c r="J1560" s="14" t="s">
        <v>29</v>
      </c>
      <c r="K1560" s="15" t="s">
        <v>30</v>
      </c>
      <c r="L1560" s="57" t="s">
        <v>1572</v>
      </c>
      <c r="M1560" s="14" t="s">
        <v>1194</v>
      </c>
      <c r="N1560" s="14" t="s">
        <v>62</v>
      </c>
      <c r="O1560" s="14"/>
      <c r="P1560" s="15" t="s">
        <v>1573</v>
      </c>
      <c r="Q1560" s="16">
        <v>10899</v>
      </c>
      <c r="R1560" s="17">
        <v>45.87</v>
      </c>
      <c r="S1560" s="18">
        <v>6784.9884999999995</v>
      </c>
      <c r="T1560" s="19" t="s">
        <v>36</v>
      </c>
      <c r="U1560" s="20" t="s">
        <v>746</v>
      </c>
      <c r="V1560" s="22">
        <v>39</v>
      </c>
      <c r="W1560" s="22">
        <v>5</v>
      </c>
      <c r="X1560" s="23"/>
    </row>
    <row r="1561" spans="1:24" s="1" customFormat="1" ht="35" customHeight="1" x14ac:dyDescent="0.3">
      <c r="A1561" s="24" t="s">
        <v>23</v>
      </c>
      <c r="B1561" s="24" t="s">
        <v>1570</v>
      </c>
      <c r="C1561" s="12" t="s">
        <v>1571</v>
      </c>
      <c r="D1561" s="60"/>
      <c r="E1561" s="41" t="str">
        <f>HYPERLINK("https://www.google.ru/search?q=3024877-101&amp;newwindow=1&amp;tbm=isch","Еще фото")</f>
        <v>Еще фото</v>
      </c>
      <c r="F1561" s="13"/>
      <c r="G1561" s="24" t="s">
        <v>1184</v>
      </c>
      <c r="H1561" s="24" t="s">
        <v>741</v>
      </c>
      <c r="I1561" s="24" t="s">
        <v>1185</v>
      </c>
      <c r="J1561" s="14" t="s">
        <v>29</v>
      </c>
      <c r="K1561" s="15" t="s">
        <v>30</v>
      </c>
      <c r="L1561" s="62"/>
      <c r="M1561" s="14" t="s">
        <v>1194</v>
      </c>
      <c r="N1561" s="14" t="s">
        <v>62</v>
      </c>
      <c r="O1561" s="14"/>
      <c r="P1561" s="15" t="s">
        <v>1573</v>
      </c>
      <c r="Q1561" s="16">
        <v>10899</v>
      </c>
      <c r="R1561" s="17">
        <v>45.87</v>
      </c>
      <c r="S1561" s="18">
        <v>6784.9884999999995</v>
      </c>
      <c r="T1561" s="19" t="s">
        <v>36</v>
      </c>
      <c r="U1561" s="20" t="s">
        <v>747</v>
      </c>
      <c r="V1561" s="34">
        <v>39.5</v>
      </c>
      <c r="W1561" s="22">
        <v>7</v>
      </c>
      <c r="X1561" s="23"/>
    </row>
    <row r="1562" spans="1:24" s="1" customFormat="1" ht="37.049999999999997" customHeight="1" x14ac:dyDescent="0.3">
      <c r="A1562" s="24" t="s">
        <v>23</v>
      </c>
      <c r="B1562" s="24" t="s">
        <v>1570</v>
      </c>
      <c r="C1562" s="12" t="s">
        <v>1571</v>
      </c>
      <c r="D1562" s="61"/>
      <c r="E1562" s="41" t="str">
        <f>HYPERLINK("https://www.google.ru/search?q=3024877-101&amp;newwindow=1&amp;tbm=isch","Еще фото")</f>
        <v>Еще фото</v>
      </c>
      <c r="F1562" s="13"/>
      <c r="G1562" s="24" t="s">
        <v>1184</v>
      </c>
      <c r="H1562" s="24" t="s">
        <v>741</v>
      </c>
      <c r="I1562" s="24" t="s">
        <v>1185</v>
      </c>
      <c r="J1562" s="14" t="s">
        <v>29</v>
      </c>
      <c r="K1562" s="15" t="s">
        <v>30</v>
      </c>
      <c r="L1562" s="58"/>
      <c r="M1562" s="14" t="s">
        <v>1194</v>
      </c>
      <c r="N1562" s="14" t="s">
        <v>62</v>
      </c>
      <c r="O1562" s="14"/>
      <c r="P1562" s="15" t="s">
        <v>1573</v>
      </c>
      <c r="Q1562" s="16">
        <v>10899</v>
      </c>
      <c r="R1562" s="17">
        <v>45.87</v>
      </c>
      <c r="S1562" s="18">
        <v>6784.9884999999995</v>
      </c>
      <c r="T1562" s="19" t="s">
        <v>36</v>
      </c>
      <c r="U1562" s="20" t="s">
        <v>748</v>
      </c>
      <c r="V1562" s="22">
        <v>40</v>
      </c>
      <c r="W1562" s="22">
        <v>5</v>
      </c>
      <c r="X1562" s="23"/>
    </row>
    <row r="1563" spans="1:24" s="1" customFormat="1" ht="35" customHeight="1" x14ac:dyDescent="0.3">
      <c r="A1563" s="11" t="s">
        <v>23</v>
      </c>
      <c r="B1563" s="11" t="s">
        <v>1574</v>
      </c>
      <c r="C1563" s="12" t="s">
        <v>1575</v>
      </c>
      <c r="D1563" s="59"/>
      <c r="E1563" s="41" t="str">
        <f>HYPERLINK("https://www.google.ru/search?q=3025527-301&amp;newwindow=1&amp;tbm=isch","Еще фото")</f>
        <v>Еще фото</v>
      </c>
      <c r="F1563" s="13"/>
      <c r="G1563" s="11" t="s">
        <v>1184</v>
      </c>
      <c r="H1563" s="11" t="s">
        <v>741</v>
      </c>
      <c r="I1563" s="14" t="s">
        <v>1185</v>
      </c>
      <c r="J1563" s="14" t="s">
        <v>29</v>
      </c>
      <c r="K1563" s="15" t="s">
        <v>30</v>
      </c>
      <c r="L1563" s="57" t="s">
        <v>1576</v>
      </c>
      <c r="M1563" s="14" t="s">
        <v>1194</v>
      </c>
      <c r="N1563" s="14" t="s">
        <v>1577</v>
      </c>
      <c r="O1563" s="14"/>
      <c r="P1563" s="15" t="s">
        <v>1578</v>
      </c>
      <c r="Q1563" s="16">
        <v>11999</v>
      </c>
      <c r="R1563" s="17">
        <v>45.83</v>
      </c>
      <c r="S1563" s="18">
        <v>7474.9884999999995</v>
      </c>
      <c r="T1563" s="19" t="s">
        <v>36</v>
      </c>
      <c r="U1563" s="20" t="s">
        <v>747</v>
      </c>
      <c r="V1563" s="34">
        <v>39.5</v>
      </c>
      <c r="W1563" s="22">
        <v>1</v>
      </c>
      <c r="X1563" s="23"/>
    </row>
    <row r="1564" spans="1:24" s="1" customFormat="1" ht="35" customHeight="1" x14ac:dyDescent="0.3">
      <c r="A1564" s="24" t="s">
        <v>23</v>
      </c>
      <c r="B1564" s="24" t="s">
        <v>1574</v>
      </c>
      <c r="C1564" s="12" t="s">
        <v>1575</v>
      </c>
      <c r="D1564" s="60"/>
      <c r="E1564" s="41" t="str">
        <f>HYPERLINK("https://www.google.ru/search?q=3025527-301&amp;newwindow=1&amp;tbm=isch","Еще фото")</f>
        <v>Еще фото</v>
      </c>
      <c r="F1564" s="13"/>
      <c r="G1564" s="24" t="s">
        <v>1184</v>
      </c>
      <c r="H1564" s="24" t="s">
        <v>741</v>
      </c>
      <c r="I1564" s="24" t="s">
        <v>1185</v>
      </c>
      <c r="J1564" s="14" t="s">
        <v>29</v>
      </c>
      <c r="K1564" s="15" t="s">
        <v>30</v>
      </c>
      <c r="L1564" s="62"/>
      <c r="M1564" s="14" t="s">
        <v>1194</v>
      </c>
      <c r="N1564" s="14" t="s">
        <v>1577</v>
      </c>
      <c r="O1564" s="14"/>
      <c r="P1564" s="15" t="s">
        <v>1578</v>
      </c>
      <c r="Q1564" s="16">
        <v>11999</v>
      </c>
      <c r="R1564" s="17">
        <v>45.83</v>
      </c>
      <c r="S1564" s="18">
        <v>7474.9884999999995</v>
      </c>
      <c r="T1564" s="19" t="s">
        <v>36</v>
      </c>
      <c r="U1564" s="20" t="s">
        <v>748</v>
      </c>
      <c r="V1564" s="22">
        <v>40</v>
      </c>
      <c r="W1564" s="22">
        <v>3</v>
      </c>
      <c r="X1564" s="23"/>
    </row>
    <row r="1565" spans="1:24" s="1" customFormat="1" ht="37.049999999999997" customHeight="1" x14ac:dyDescent="0.3">
      <c r="A1565" s="24" t="s">
        <v>23</v>
      </c>
      <c r="B1565" s="24" t="s">
        <v>1574</v>
      </c>
      <c r="C1565" s="12" t="s">
        <v>1575</v>
      </c>
      <c r="D1565" s="61"/>
      <c r="E1565" s="41" t="str">
        <f>HYPERLINK("https://www.google.ru/search?q=3025527-301&amp;newwindow=1&amp;tbm=isch","Еще фото")</f>
        <v>Еще фото</v>
      </c>
      <c r="F1565" s="13"/>
      <c r="G1565" s="24" t="s">
        <v>1184</v>
      </c>
      <c r="H1565" s="24" t="s">
        <v>741</v>
      </c>
      <c r="I1565" s="24" t="s">
        <v>1185</v>
      </c>
      <c r="J1565" s="14" t="s">
        <v>29</v>
      </c>
      <c r="K1565" s="15" t="s">
        <v>30</v>
      </c>
      <c r="L1565" s="58"/>
      <c r="M1565" s="14" t="s">
        <v>1194</v>
      </c>
      <c r="N1565" s="14" t="s">
        <v>1577</v>
      </c>
      <c r="O1565" s="14"/>
      <c r="P1565" s="15" t="s">
        <v>1578</v>
      </c>
      <c r="Q1565" s="16">
        <v>11999</v>
      </c>
      <c r="R1565" s="17">
        <v>45.83</v>
      </c>
      <c r="S1565" s="18">
        <v>7474.9884999999995</v>
      </c>
      <c r="T1565" s="19" t="s">
        <v>36</v>
      </c>
      <c r="U1565" s="20" t="s">
        <v>749</v>
      </c>
      <c r="V1565" s="22">
        <v>41</v>
      </c>
      <c r="W1565" s="22">
        <v>3</v>
      </c>
      <c r="X1565" s="23"/>
    </row>
    <row r="1566" spans="1:24" s="1" customFormat="1" ht="108" customHeight="1" x14ac:dyDescent="0.3">
      <c r="A1566" s="11" t="s">
        <v>23</v>
      </c>
      <c r="B1566" s="11" t="s">
        <v>1372</v>
      </c>
      <c r="C1566" s="12" t="s">
        <v>1579</v>
      </c>
      <c r="D1566" s="25"/>
      <c r="E1566" s="41" t="str">
        <f>HYPERLINK("https://www.google.ru/search?q=3026679-003&amp;newwindow=1&amp;tbm=isch","Еще фото")</f>
        <v>Еще фото</v>
      </c>
      <c r="F1566" s="13"/>
      <c r="G1566" s="11" t="s">
        <v>1184</v>
      </c>
      <c r="H1566" s="11" t="s">
        <v>741</v>
      </c>
      <c r="I1566" s="14" t="s">
        <v>1185</v>
      </c>
      <c r="J1566" s="14" t="s">
        <v>29</v>
      </c>
      <c r="K1566" s="15" t="s">
        <v>30</v>
      </c>
      <c r="L1566" s="14" t="s">
        <v>1374</v>
      </c>
      <c r="M1566" s="14" t="s">
        <v>1194</v>
      </c>
      <c r="N1566" s="14" t="s">
        <v>33</v>
      </c>
      <c r="O1566" s="14"/>
      <c r="P1566" s="15" t="s">
        <v>1580</v>
      </c>
      <c r="Q1566" s="16">
        <v>11999</v>
      </c>
      <c r="R1566" s="17">
        <v>45.83</v>
      </c>
      <c r="S1566" s="18">
        <v>7474.9884999999995</v>
      </c>
      <c r="T1566" s="19" t="s">
        <v>36</v>
      </c>
      <c r="U1566" s="20" t="s">
        <v>747</v>
      </c>
      <c r="V1566" s="34">
        <v>39.5</v>
      </c>
      <c r="W1566" s="22">
        <v>1</v>
      </c>
      <c r="X1566" s="23"/>
    </row>
    <row r="1567" spans="1:24" s="1" customFormat="1" ht="35" customHeight="1" x14ac:dyDescent="0.3">
      <c r="A1567" s="11" t="s">
        <v>23</v>
      </c>
      <c r="B1567" s="11" t="s">
        <v>1581</v>
      </c>
      <c r="C1567" s="12" t="s">
        <v>1582</v>
      </c>
      <c r="D1567" s="59"/>
      <c r="E1567" s="41" t="str">
        <f>HYPERLINK("https://www.google.ru/search?q=3026681-002&amp;newwindow=1&amp;tbm=isch","Еще фото")</f>
        <v>Еще фото</v>
      </c>
      <c r="F1567" s="13"/>
      <c r="G1567" s="11" t="s">
        <v>1184</v>
      </c>
      <c r="H1567" s="11" t="s">
        <v>741</v>
      </c>
      <c r="I1567" s="14" t="s">
        <v>1185</v>
      </c>
      <c r="J1567" s="14" t="s">
        <v>29</v>
      </c>
      <c r="K1567" s="15" t="s">
        <v>30</v>
      </c>
      <c r="L1567" s="57" t="s">
        <v>1583</v>
      </c>
      <c r="M1567" s="14"/>
      <c r="N1567" s="14" t="s">
        <v>33</v>
      </c>
      <c r="O1567" s="14"/>
      <c r="P1567" s="15" t="s">
        <v>1584</v>
      </c>
      <c r="Q1567" s="16">
        <v>11999</v>
      </c>
      <c r="R1567" s="17">
        <v>45.83</v>
      </c>
      <c r="S1567" s="18">
        <v>7474.9884999999995</v>
      </c>
      <c r="T1567" s="19" t="s">
        <v>36</v>
      </c>
      <c r="U1567" s="20" t="s">
        <v>746</v>
      </c>
      <c r="V1567" s="22">
        <v>39</v>
      </c>
      <c r="W1567" s="22">
        <v>3</v>
      </c>
      <c r="X1567" s="23"/>
    </row>
    <row r="1568" spans="1:24" s="1" customFormat="1" ht="35" customHeight="1" x14ac:dyDescent="0.3">
      <c r="A1568" s="24" t="s">
        <v>23</v>
      </c>
      <c r="B1568" s="24" t="s">
        <v>1581</v>
      </c>
      <c r="C1568" s="12" t="s">
        <v>1582</v>
      </c>
      <c r="D1568" s="60"/>
      <c r="E1568" s="41" t="str">
        <f>HYPERLINK("https://www.google.ru/search?q=3026681-002&amp;newwindow=1&amp;tbm=isch","Еще фото")</f>
        <v>Еще фото</v>
      </c>
      <c r="F1568" s="13"/>
      <c r="G1568" s="24" t="s">
        <v>1184</v>
      </c>
      <c r="H1568" s="24" t="s">
        <v>741</v>
      </c>
      <c r="I1568" s="24" t="s">
        <v>1185</v>
      </c>
      <c r="J1568" s="14" t="s">
        <v>29</v>
      </c>
      <c r="K1568" s="15" t="s">
        <v>30</v>
      </c>
      <c r="L1568" s="62"/>
      <c r="M1568" s="14"/>
      <c r="N1568" s="14" t="s">
        <v>33</v>
      </c>
      <c r="O1568" s="14"/>
      <c r="P1568" s="15" t="s">
        <v>1584</v>
      </c>
      <c r="Q1568" s="16">
        <v>11999</v>
      </c>
      <c r="R1568" s="17">
        <v>45.83</v>
      </c>
      <c r="S1568" s="18">
        <v>7474.9884999999995</v>
      </c>
      <c r="T1568" s="19" t="s">
        <v>36</v>
      </c>
      <c r="U1568" s="20" t="s">
        <v>747</v>
      </c>
      <c r="V1568" s="34">
        <v>39.5</v>
      </c>
      <c r="W1568" s="22">
        <v>2</v>
      </c>
      <c r="X1568" s="23"/>
    </row>
    <row r="1569" spans="1:24" s="1" customFormat="1" ht="37.049999999999997" customHeight="1" x14ac:dyDescent="0.3">
      <c r="A1569" s="24" t="s">
        <v>23</v>
      </c>
      <c r="B1569" s="24" t="s">
        <v>1581</v>
      </c>
      <c r="C1569" s="12" t="s">
        <v>1582</v>
      </c>
      <c r="D1569" s="61"/>
      <c r="E1569" s="41" t="str">
        <f>HYPERLINK("https://www.google.ru/search?q=3026681-002&amp;newwindow=1&amp;tbm=isch","Еще фото")</f>
        <v>Еще фото</v>
      </c>
      <c r="F1569" s="13"/>
      <c r="G1569" s="24" t="s">
        <v>1184</v>
      </c>
      <c r="H1569" s="24" t="s">
        <v>741</v>
      </c>
      <c r="I1569" s="24" t="s">
        <v>1185</v>
      </c>
      <c r="J1569" s="14" t="s">
        <v>29</v>
      </c>
      <c r="K1569" s="15" t="s">
        <v>30</v>
      </c>
      <c r="L1569" s="58"/>
      <c r="M1569" s="14"/>
      <c r="N1569" s="14" t="s">
        <v>33</v>
      </c>
      <c r="O1569" s="14"/>
      <c r="P1569" s="15" t="s">
        <v>1584</v>
      </c>
      <c r="Q1569" s="16">
        <v>11999</v>
      </c>
      <c r="R1569" s="17">
        <v>45.83</v>
      </c>
      <c r="S1569" s="18">
        <v>7474.9884999999995</v>
      </c>
      <c r="T1569" s="19" t="s">
        <v>36</v>
      </c>
      <c r="U1569" s="20" t="s">
        <v>748</v>
      </c>
      <c r="V1569" s="22">
        <v>40</v>
      </c>
      <c r="W1569" s="22">
        <v>1</v>
      </c>
      <c r="X1569" s="23"/>
    </row>
    <row r="1570" spans="1:24" s="1" customFormat="1" ht="108" customHeight="1" x14ac:dyDescent="0.3">
      <c r="A1570" s="11" t="s">
        <v>23</v>
      </c>
      <c r="B1570" s="11" t="s">
        <v>1581</v>
      </c>
      <c r="C1570" s="12" t="s">
        <v>1585</v>
      </c>
      <c r="D1570" s="25"/>
      <c r="E1570" s="41" t="str">
        <f>HYPERLINK("https://www.google.ru/search?q=3026681-100&amp;newwindow=1&amp;tbm=isch","Еще фото")</f>
        <v>Еще фото</v>
      </c>
      <c r="F1570" s="13"/>
      <c r="G1570" s="11" t="s">
        <v>1184</v>
      </c>
      <c r="H1570" s="11" t="s">
        <v>741</v>
      </c>
      <c r="I1570" s="14" t="s">
        <v>1185</v>
      </c>
      <c r="J1570" s="14" t="s">
        <v>29</v>
      </c>
      <c r="K1570" s="15" t="s">
        <v>30</v>
      </c>
      <c r="L1570" s="14" t="s">
        <v>1583</v>
      </c>
      <c r="M1570" s="14" t="s">
        <v>1194</v>
      </c>
      <c r="N1570" s="14" t="s">
        <v>84</v>
      </c>
      <c r="O1570" s="14"/>
      <c r="P1570" s="15" t="s">
        <v>1584</v>
      </c>
      <c r="Q1570" s="16">
        <v>11999</v>
      </c>
      <c r="R1570" s="17">
        <v>45.83</v>
      </c>
      <c r="S1570" s="18">
        <v>7474.9884999999995</v>
      </c>
      <c r="T1570" s="19" t="s">
        <v>36</v>
      </c>
      <c r="U1570" s="20" t="s">
        <v>748</v>
      </c>
      <c r="V1570" s="22">
        <v>40</v>
      </c>
      <c r="W1570" s="22">
        <v>1</v>
      </c>
      <c r="X1570" s="23"/>
    </row>
    <row r="1571" spans="1:24" s="1" customFormat="1" ht="108" customHeight="1" x14ac:dyDescent="0.3">
      <c r="A1571" s="11" t="s">
        <v>23</v>
      </c>
      <c r="B1571" s="11" t="s">
        <v>1351</v>
      </c>
      <c r="C1571" s="12" t="s">
        <v>1586</v>
      </c>
      <c r="D1571" s="25"/>
      <c r="E1571" s="41" t="str">
        <f>HYPERLINK("https://www.google.ru/search?q=3027005-100&amp;newwindow=1&amp;tbm=isch","Еще фото")</f>
        <v>Еще фото</v>
      </c>
      <c r="F1571" s="13"/>
      <c r="G1571" s="11" t="s">
        <v>1184</v>
      </c>
      <c r="H1571" s="11" t="s">
        <v>741</v>
      </c>
      <c r="I1571" s="14" t="s">
        <v>1185</v>
      </c>
      <c r="J1571" s="14" t="s">
        <v>29</v>
      </c>
      <c r="K1571" s="15" t="s">
        <v>59</v>
      </c>
      <c r="L1571" s="14" t="s">
        <v>1353</v>
      </c>
      <c r="M1571" s="14"/>
      <c r="N1571" s="14" t="s">
        <v>84</v>
      </c>
      <c r="O1571" s="14"/>
      <c r="P1571" s="15" t="s">
        <v>1354</v>
      </c>
      <c r="Q1571" s="16">
        <v>11999</v>
      </c>
      <c r="R1571" s="17">
        <v>45.83</v>
      </c>
      <c r="S1571" s="18">
        <v>7474.9884999999995</v>
      </c>
      <c r="T1571" s="19" t="s">
        <v>36</v>
      </c>
      <c r="U1571" s="20" t="s">
        <v>1241</v>
      </c>
      <c r="V1571" s="22">
        <v>35</v>
      </c>
      <c r="W1571" s="22">
        <v>1</v>
      </c>
      <c r="X1571" s="23"/>
    </row>
    <row r="1572" spans="1:24" s="1" customFormat="1" ht="108" customHeight="1" x14ac:dyDescent="0.3">
      <c r="A1572" s="11" t="s">
        <v>23</v>
      </c>
      <c r="B1572" s="11" t="s">
        <v>1271</v>
      </c>
      <c r="C1572" s="12" t="s">
        <v>1587</v>
      </c>
      <c r="D1572" s="25"/>
      <c r="E1572" s="41" t="str">
        <f>HYPERLINK("https://www.google.ru/search?q=3026683-002&amp;newwindow=1&amp;tbm=isch","Еще фото")</f>
        <v>Еще фото</v>
      </c>
      <c r="F1572" s="13"/>
      <c r="G1572" s="11" t="s">
        <v>1184</v>
      </c>
      <c r="H1572" s="11" t="s">
        <v>741</v>
      </c>
      <c r="I1572" s="14" t="s">
        <v>1185</v>
      </c>
      <c r="J1572" s="14" t="s">
        <v>29</v>
      </c>
      <c r="K1572" s="15" t="s">
        <v>59</v>
      </c>
      <c r="L1572" s="14" t="s">
        <v>1273</v>
      </c>
      <c r="M1572" s="14"/>
      <c r="N1572" s="14" t="s">
        <v>33</v>
      </c>
      <c r="O1572" s="14"/>
      <c r="P1572" s="15" t="s">
        <v>1275</v>
      </c>
      <c r="Q1572" s="16">
        <v>8299</v>
      </c>
      <c r="R1572" s="17">
        <v>45.78</v>
      </c>
      <c r="S1572" s="18">
        <v>5174.9884999999995</v>
      </c>
      <c r="T1572" s="19" t="s">
        <v>36</v>
      </c>
      <c r="U1572" s="20" t="s">
        <v>1203</v>
      </c>
      <c r="V1572" s="22">
        <v>36</v>
      </c>
      <c r="W1572" s="22">
        <v>1</v>
      </c>
      <c r="X1572" s="23"/>
    </row>
    <row r="1573" spans="1:24" s="1" customFormat="1" ht="108" customHeight="1" x14ac:dyDescent="0.3">
      <c r="A1573" s="11" t="s">
        <v>23</v>
      </c>
      <c r="B1573" s="11" t="s">
        <v>1588</v>
      </c>
      <c r="C1573" s="12" t="s">
        <v>1589</v>
      </c>
      <c r="D1573" s="25"/>
      <c r="E1573" s="41" t="str">
        <f>HYPERLINK("https://www.google.ru/search?q=1285490-033&amp;newwindow=1&amp;tbm=isch","Еще фото")</f>
        <v>Еще фото</v>
      </c>
      <c r="F1573" s="13"/>
      <c r="G1573" s="11" t="s">
        <v>1184</v>
      </c>
      <c r="H1573" s="11" t="s">
        <v>741</v>
      </c>
      <c r="I1573" s="14" t="s">
        <v>1185</v>
      </c>
      <c r="J1573" s="14" t="s">
        <v>29</v>
      </c>
      <c r="K1573" s="15" t="s">
        <v>59</v>
      </c>
      <c r="L1573" s="14" t="s">
        <v>1590</v>
      </c>
      <c r="M1573" s="14" t="s">
        <v>1565</v>
      </c>
      <c r="N1573" s="14" t="s">
        <v>62</v>
      </c>
      <c r="O1573" s="14" t="s">
        <v>34</v>
      </c>
      <c r="P1573" s="15" t="s">
        <v>1284</v>
      </c>
      <c r="Q1573" s="16">
        <v>10690</v>
      </c>
      <c r="R1573" s="17">
        <v>45.74</v>
      </c>
      <c r="S1573" s="18">
        <v>6669.9884999999995</v>
      </c>
      <c r="T1573" s="19" t="s">
        <v>36</v>
      </c>
      <c r="U1573" s="20" t="s">
        <v>1203</v>
      </c>
      <c r="V1573" s="22">
        <v>36</v>
      </c>
      <c r="W1573" s="22">
        <v>1</v>
      </c>
      <c r="X1573" s="23"/>
    </row>
    <row r="1574" spans="1:24" s="1" customFormat="1" ht="108" customHeight="1" x14ac:dyDescent="0.3">
      <c r="A1574" s="11" t="s">
        <v>23</v>
      </c>
      <c r="B1574" s="11" t="s">
        <v>1591</v>
      </c>
      <c r="C1574" s="12" t="s">
        <v>1592</v>
      </c>
      <c r="D1574" s="25"/>
      <c r="E1574" s="41" t="str">
        <f>HYPERLINK("https://www.google.ru/search?q=3026520-004&amp;newwindow=1&amp;tbm=isch","Еще фото")</f>
        <v>Еще фото</v>
      </c>
      <c r="F1574" s="13"/>
      <c r="G1574" s="11" t="s">
        <v>1184</v>
      </c>
      <c r="H1574" s="11" t="s">
        <v>741</v>
      </c>
      <c r="I1574" s="14" t="s">
        <v>1185</v>
      </c>
      <c r="J1574" s="14" t="s">
        <v>29</v>
      </c>
      <c r="K1574" s="15" t="s">
        <v>30</v>
      </c>
      <c r="L1574" s="14" t="s">
        <v>1593</v>
      </c>
      <c r="M1574" s="14" t="s">
        <v>1211</v>
      </c>
      <c r="N1574" s="14" t="s">
        <v>33</v>
      </c>
      <c r="O1574" s="14"/>
      <c r="P1574" s="15" t="s">
        <v>1594</v>
      </c>
      <c r="Q1574" s="16">
        <v>13999</v>
      </c>
      <c r="R1574" s="17">
        <v>45.71</v>
      </c>
      <c r="S1574" s="18">
        <v>8739.9884999999995</v>
      </c>
      <c r="T1574" s="19" t="s">
        <v>36</v>
      </c>
      <c r="U1574" s="20" t="s">
        <v>748</v>
      </c>
      <c r="V1574" s="22">
        <v>40</v>
      </c>
      <c r="W1574" s="22">
        <v>1</v>
      </c>
      <c r="X1574" s="23"/>
    </row>
    <row r="1575" spans="1:24" s="1" customFormat="1" ht="108" customHeight="1" x14ac:dyDescent="0.3">
      <c r="A1575" s="11" t="s">
        <v>23</v>
      </c>
      <c r="B1575" s="11" t="s">
        <v>1358</v>
      </c>
      <c r="C1575" s="12" t="s">
        <v>1595</v>
      </c>
      <c r="D1575" s="25"/>
      <c r="E1575" s="41" t="str">
        <f>HYPERLINK("https://www.google.ru/search?q=3028076-289&amp;newwindow=1&amp;tbm=isch","Еще фото")</f>
        <v>Еще фото</v>
      </c>
      <c r="F1575" s="13"/>
      <c r="G1575" s="11" t="s">
        <v>1184</v>
      </c>
      <c r="H1575" s="11" t="s">
        <v>741</v>
      </c>
      <c r="I1575" s="14" t="s">
        <v>1185</v>
      </c>
      <c r="J1575" s="14" t="s">
        <v>29</v>
      </c>
      <c r="K1575" s="15" t="s">
        <v>30</v>
      </c>
      <c r="L1575" s="14" t="s">
        <v>1360</v>
      </c>
      <c r="M1575" s="14"/>
      <c r="N1575" s="14" t="s">
        <v>229</v>
      </c>
      <c r="O1575" s="14"/>
      <c r="P1575" s="15" t="s">
        <v>745</v>
      </c>
      <c r="Q1575" s="16">
        <v>12699</v>
      </c>
      <c r="R1575" s="17">
        <v>45.67</v>
      </c>
      <c r="S1575" s="18">
        <v>7934.9884999999995</v>
      </c>
      <c r="T1575" s="19" t="s">
        <v>36</v>
      </c>
      <c r="U1575" s="20" t="s">
        <v>752</v>
      </c>
      <c r="V1575" s="22">
        <v>43</v>
      </c>
      <c r="W1575" s="22">
        <v>1</v>
      </c>
      <c r="X1575" s="23"/>
    </row>
    <row r="1576" spans="1:24" s="1" customFormat="1" ht="108" customHeight="1" x14ac:dyDescent="0.3">
      <c r="A1576" s="11" t="s">
        <v>23</v>
      </c>
      <c r="B1576" s="11" t="s">
        <v>1596</v>
      </c>
      <c r="C1576" s="12" t="s">
        <v>1597</v>
      </c>
      <c r="D1576" s="25"/>
      <c r="E1576" s="41" t="str">
        <f>HYPERLINK("https://www.google.ru/search?q=3028077-100&amp;newwindow=1&amp;tbm=isch","Еще фото")</f>
        <v>Еще фото</v>
      </c>
      <c r="F1576" s="13" t="s">
        <v>103</v>
      </c>
      <c r="G1576" s="11" t="s">
        <v>1184</v>
      </c>
      <c r="H1576" s="11" t="s">
        <v>741</v>
      </c>
      <c r="I1576" s="14" t="s">
        <v>1185</v>
      </c>
      <c r="J1576" s="14" t="s">
        <v>29</v>
      </c>
      <c r="K1576" s="15" t="s">
        <v>59</v>
      </c>
      <c r="L1576" s="14" t="s">
        <v>1598</v>
      </c>
      <c r="M1576" s="14"/>
      <c r="N1576" s="14" t="s">
        <v>84</v>
      </c>
      <c r="O1576" s="14"/>
      <c r="P1576" s="15" t="s">
        <v>1599</v>
      </c>
      <c r="Q1576" s="16">
        <v>12699</v>
      </c>
      <c r="R1576" s="17">
        <v>45.67</v>
      </c>
      <c r="S1576" s="18">
        <v>7934.9884999999995</v>
      </c>
      <c r="T1576" s="19" t="s">
        <v>36</v>
      </c>
      <c r="U1576" s="20" t="s">
        <v>1196</v>
      </c>
      <c r="V1576" s="34">
        <v>36.5</v>
      </c>
      <c r="W1576" s="22">
        <v>1</v>
      </c>
      <c r="X1576" s="23"/>
    </row>
    <row r="1577" spans="1:24" s="1" customFormat="1" ht="52.05" customHeight="1" x14ac:dyDescent="0.3">
      <c r="A1577" s="11" t="s">
        <v>23</v>
      </c>
      <c r="B1577" s="11" t="s">
        <v>1555</v>
      </c>
      <c r="C1577" s="12" t="s">
        <v>1600</v>
      </c>
      <c r="D1577" s="55"/>
      <c r="E1577" s="41" t="str">
        <f>HYPERLINK("https://www.google.ru/search?q=3023705-103&amp;newwindow=1&amp;tbm=isch","Еще фото")</f>
        <v>Еще фото</v>
      </c>
      <c r="F1577" s="13"/>
      <c r="G1577" s="11" t="s">
        <v>1184</v>
      </c>
      <c r="H1577" s="11" t="s">
        <v>741</v>
      </c>
      <c r="I1577" s="14" t="s">
        <v>1185</v>
      </c>
      <c r="J1577" s="14" t="s">
        <v>29</v>
      </c>
      <c r="K1577" s="15" t="s">
        <v>59</v>
      </c>
      <c r="L1577" s="57" t="s">
        <v>1601</v>
      </c>
      <c r="M1577" s="14" t="s">
        <v>1274</v>
      </c>
      <c r="N1577" s="14" t="s">
        <v>84</v>
      </c>
      <c r="O1577" s="14" t="s">
        <v>34</v>
      </c>
      <c r="P1577" s="15" t="s">
        <v>1602</v>
      </c>
      <c r="Q1577" s="16">
        <v>13799</v>
      </c>
      <c r="R1577" s="17">
        <v>45.65</v>
      </c>
      <c r="S1577" s="18">
        <v>8624.9884999999995</v>
      </c>
      <c r="T1577" s="19" t="s">
        <v>36</v>
      </c>
      <c r="U1577" s="20" t="s">
        <v>1190</v>
      </c>
      <c r="V1577" s="34">
        <v>35.5</v>
      </c>
      <c r="W1577" s="22">
        <v>1</v>
      </c>
      <c r="X1577" s="23"/>
    </row>
    <row r="1578" spans="1:24" s="1" customFormat="1" ht="61.05" customHeight="1" x14ac:dyDescent="0.3">
      <c r="A1578" s="24" t="s">
        <v>23</v>
      </c>
      <c r="B1578" s="24" t="s">
        <v>1555</v>
      </c>
      <c r="C1578" s="12" t="s">
        <v>1600</v>
      </c>
      <c r="D1578" s="56"/>
      <c r="E1578" s="41" t="str">
        <f>HYPERLINK("https://www.google.ru/search?q=3023705-103&amp;newwindow=1&amp;tbm=isch","Еще фото")</f>
        <v>Еще фото</v>
      </c>
      <c r="F1578" s="13"/>
      <c r="G1578" s="24" t="s">
        <v>1184</v>
      </c>
      <c r="H1578" s="24" t="s">
        <v>741</v>
      </c>
      <c r="I1578" s="24" t="s">
        <v>1185</v>
      </c>
      <c r="J1578" s="14" t="s">
        <v>29</v>
      </c>
      <c r="K1578" s="15" t="s">
        <v>59</v>
      </c>
      <c r="L1578" s="58"/>
      <c r="M1578" s="14" t="s">
        <v>1274</v>
      </c>
      <c r="N1578" s="14" t="s">
        <v>84</v>
      </c>
      <c r="O1578" s="14" t="s">
        <v>34</v>
      </c>
      <c r="P1578" s="15" t="s">
        <v>1602</v>
      </c>
      <c r="Q1578" s="16">
        <v>13799</v>
      </c>
      <c r="R1578" s="17">
        <v>45.65</v>
      </c>
      <c r="S1578" s="18">
        <v>8624.9884999999995</v>
      </c>
      <c r="T1578" s="19" t="s">
        <v>36</v>
      </c>
      <c r="U1578" s="20" t="s">
        <v>1203</v>
      </c>
      <c r="V1578" s="22">
        <v>36</v>
      </c>
      <c r="W1578" s="22">
        <v>1</v>
      </c>
      <c r="X1578" s="23"/>
    </row>
    <row r="1579" spans="1:24" s="1" customFormat="1" ht="52.05" customHeight="1" x14ac:dyDescent="0.3">
      <c r="A1579" s="11" t="s">
        <v>23</v>
      </c>
      <c r="B1579" s="11" t="s">
        <v>1603</v>
      </c>
      <c r="C1579" s="12" t="s">
        <v>1604</v>
      </c>
      <c r="D1579" s="55"/>
      <c r="E1579" s="41" t="str">
        <f>HYPERLINK("https://www.google.ru/search?q=3025424-102&amp;newwindow=1&amp;tbm=isch","Еще фото")</f>
        <v>Еще фото</v>
      </c>
      <c r="F1579" s="28" t="s">
        <v>138</v>
      </c>
      <c r="G1579" s="11" t="s">
        <v>1184</v>
      </c>
      <c r="H1579" s="11" t="s">
        <v>741</v>
      </c>
      <c r="I1579" s="14" t="s">
        <v>1185</v>
      </c>
      <c r="J1579" s="14" t="s">
        <v>29</v>
      </c>
      <c r="K1579" s="15" t="s">
        <v>30</v>
      </c>
      <c r="L1579" s="57" t="s">
        <v>1605</v>
      </c>
      <c r="M1579" s="14" t="s">
        <v>1194</v>
      </c>
      <c r="N1579" s="14" t="s">
        <v>62</v>
      </c>
      <c r="O1579" s="14"/>
      <c r="P1579" s="15" t="s">
        <v>1606</v>
      </c>
      <c r="Q1579" s="16">
        <v>9199</v>
      </c>
      <c r="R1579" s="17">
        <v>45.65</v>
      </c>
      <c r="S1579" s="18">
        <v>5749.9884999999995</v>
      </c>
      <c r="T1579" s="19" t="s">
        <v>36</v>
      </c>
      <c r="U1579" s="20" t="s">
        <v>748</v>
      </c>
      <c r="V1579" s="22">
        <v>40</v>
      </c>
      <c r="W1579" s="22">
        <v>3</v>
      </c>
      <c r="X1579" s="23"/>
    </row>
    <row r="1580" spans="1:24" s="1" customFormat="1" ht="61.05" customHeight="1" x14ac:dyDescent="0.3">
      <c r="A1580" s="24" t="s">
        <v>23</v>
      </c>
      <c r="B1580" s="24" t="s">
        <v>1603</v>
      </c>
      <c r="C1580" s="12" t="s">
        <v>1604</v>
      </c>
      <c r="D1580" s="56"/>
      <c r="E1580" s="41" t="str">
        <f>HYPERLINK("https://www.google.ru/search?q=3025424-102&amp;newwindow=1&amp;tbm=isch","Еще фото")</f>
        <v>Еще фото</v>
      </c>
      <c r="F1580" s="28" t="s">
        <v>138</v>
      </c>
      <c r="G1580" s="24" t="s">
        <v>1184</v>
      </c>
      <c r="H1580" s="24" t="s">
        <v>741</v>
      </c>
      <c r="I1580" s="24" t="s">
        <v>1185</v>
      </c>
      <c r="J1580" s="14" t="s">
        <v>29</v>
      </c>
      <c r="K1580" s="15" t="s">
        <v>30</v>
      </c>
      <c r="L1580" s="58"/>
      <c r="M1580" s="14" t="s">
        <v>1194</v>
      </c>
      <c r="N1580" s="14" t="s">
        <v>62</v>
      </c>
      <c r="O1580" s="14"/>
      <c r="P1580" s="15" t="s">
        <v>1606</v>
      </c>
      <c r="Q1580" s="16">
        <v>9199</v>
      </c>
      <c r="R1580" s="17">
        <v>45.65</v>
      </c>
      <c r="S1580" s="18">
        <v>5749.9884999999995</v>
      </c>
      <c r="T1580" s="19" t="s">
        <v>36</v>
      </c>
      <c r="U1580" s="20" t="s">
        <v>749</v>
      </c>
      <c r="V1580" s="22">
        <v>41</v>
      </c>
      <c r="W1580" s="22">
        <v>2</v>
      </c>
      <c r="X1580" s="23"/>
    </row>
    <row r="1581" spans="1:24" s="1" customFormat="1" ht="52.05" customHeight="1" x14ac:dyDescent="0.3">
      <c r="A1581" s="11" t="s">
        <v>23</v>
      </c>
      <c r="B1581" s="11" t="s">
        <v>1607</v>
      </c>
      <c r="C1581" s="12" t="s">
        <v>1608</v>
      </c>
      <c r="D1581" s="55"/>
      <c r="E1581" s="41" t="str">
        <f>HYPERLINK("https://www.google.ru/search?q=3025756-101&amp;newwindow=1&amp;tbm=isch","Еще фото")</f>
        <v>Еще фото</v>
      </c>
      <c r="F1581" s="13"/>
      <c r="G1581" s="11" t="s">
        <v>1184</v>
      </c>
      <c r="H1581" s="11" t="s">
        <v>741</v>
      </c>
      <c r="I1581" s="14" t="s">
        <v>1185</v>
      </c>
      <c r="J1581" s="14" t="s">
        <v>29</v>
      </c>
      <c r="K1581" s="15" t="s">
        <v>59</v>
      </c>
      <c r="L1581" s="57" t="s">
        <v>1609</v>
      </c>
      <c r="M1581" s="14" t="s">
        <v>1274</v>
      </c>
      <c r="N1581" s="14" t="s">
        <v>84</v>
      </c>
      <c r="O1581" s="14" t="s">
        <v>34</v>
      </c>
      <c r="P1581" s="15" t="s">
        <v>1610</v>
      </c>
      <c r="Q1581" s="16">
        <v>9199</v>
      </c>
      <c r="R1581" s="17">
        <v>45.65</v>
      </c>
      <c r="S1581" s="18">
        <v>5749.9884999999995</v>
      </c>
      <c r="T1581" s="19" t="s">
        <v>36</v>
      </c>
      <c r="U1581" s="20" t="s">
        <v>1203</v>
      </c>
      <c r="V1581" s="22">
        <v>36</v>
      </c>
      <c r="W1581" s="22">
        <v>1</v>
      </c>
      <c r="X1581" s="23"/>
    </row>
    <row r="1582" spans="1:24" s="1" customFormat="1" ht="61.05" customHeight="1" x14ac:dyDescent="0.3">
      <c r="A1582" s="24" t="s">
        <v>23</v>
      </c>
      <c r="B1582" s="24" t="s">
        <v>1607</v>
      </c>
      <c r="C1582" s="12" t="s">
        <v>1608</v>
      </c>
      <c r="D1582" s="56"/>
      <c r="E1582" s="41" t="str">
        <f>HYPERLINK("https://www.google.ru/search?q=3025756-101&amp;newwindow=1&amp;tbm=isch","Еще фото")</f>
        <v>Еще фото</v>
      </c>
      <c r="F1582" s="13"/>
      <c r="G1582" s="24" t="s">
        <v>1184</v>
      </c>
      <c r="H1582" s="24" t="s">
        <v>741</v>
      </c>
      <c r="I1582" s="24" t="s">
        <v>1185</v>
      </c>
      <c r="J1582" s="14" t="s">
        <v>29</v>
      </c>
      <c r="K1582" s="15" t="s">
        <v>59</v>
      </c>
      <c r="L1582" s="58"/>
      <c r="M1582" s="14" t="s">
        <v>1274</v>
      </c>
      <c r="N1582" s="14" t="s">
        <v>84</v>
      </c>
      <c r="O1582" s="14" t="s">
        <v>34</v>
      </c>
      <c r="P1582" s="15" t="s">
        <v>1610</v>
      </c>
      <c r="Q1582" s="16">
        <v>9199</v>
      </c>
      <c r="R1582" s="17">
        <v>45.65</v>
      </c>
      <c r="S1582" s="18">
        <v>5749.9884999999995</v>
      </c>
      <c r="T1582" s="19" t="s">
        <v>36</v>
      </c>
      <c r="U1582" s="20" t="s">
        <v>1196</v>
      </c>
      <c r="V1582" s="34">
        <v>36.5</v>
      </c>
      <c r="W1582" s="22">
        <v>2</v>
      </c>
      <c r="X1582" s="23"/>
    </row>
    <row r="1583" spans="1:24" s="1" customFormat="1" ht="108" customHeight="1" x14ac:dyDescent="0.3">
      <c r="A1583" s="11" t="s">
        <v>23</v>
      </c>
      <c r="B1583" s="11" t="s">
        <v>1544</v>
      </c>
      <c r="C1583" s="12" t="s">
        <v>1611</v>
      </c>
      <c r="D1583" s="25"/>
      <c r="E1583" s="41" t="str">
        <f>HYPERLINK("https://www.google.ru/search?q=3028254-002&amp;newwindow=1&amp;tbm=isch","Еще фото")</f>
        <v>Еще фото</v>
      </c>
      <c r="F1583" s="13" t="s">
        <v>103</v>
      </c>
      <c r="G1583" s="11" t="s">
        <v>1184</v>
      </c>
      <c r="H1583" s="11" t="s">
        <v>741</v>
      </c>
      <c r="I1583" s="14" t="s">
        <v>1185</v>
      </c>
      <c r="J1583" s="14" t="s">
        <v>29</v>
      </c>
      <c r="K1583" s="15" t="s">
        <v>30</v>
      </c>
      <c r="L1583" s="14" t="s">
        <v>1546</v>
      </c>
      <c r="M1583" s="14"/>
      <c r="N1583" s="14" t="s">
        <v>33</v>
      </c>
      <c r="O1583" s="14"/>
      <c r="P1583" s="15" t="s">
        <v>745</v>
      </c>
      <c r="Q1583" s="16">
        <v>9199</v>
      </c>
      <c r="R1583" s="17">
        <v>45.65</v>
      </c>
      <c r="S1583" s="18">
        <v>5749.9884999999995</v>
      </c>
      <c r="T1583" s="19" t="s">
        <v>36</v>
      </c>
      <c r="U1583" s="20" t="s">
        <v>748</v>
      </c>
      <c r="V1583" s="22">
        <v>40</v>
      </c>
      <c r="W1583" s="22">
        <v>3</v>
      </c>
      <c r="X1583" s="23"/>
    </row>
    <row r="1584" spans="1:24" s="1" customFormat="1" ht="108" customHeight="1" x14ac:dyDescent="0.3">
      <c r="A1584" s="11" t="s">
        <v>23</v>
      </c>
      <c r="B1584" s="11" t="s">
        <v>1612</v>
      </c>
      <c r="C1584" s="12" t="s">
        <v>1613</v>
      </c>
      <c r="D1584" s="25"/>
      <c r="E1584" s="41" t="str">
        <f>HYPERLINK("https://www.google.ru/search?q=1296206-500&amp;newwindow=1&amp;tbm=isch","Еще фото")</f>
        <v>Еще фото</v>
      </c>
      <c r="F1584" s="13"/>
      <c r="G1584" s="11" t="s">
        <v>1184</v>
      </c>
      <c r="H1584" s="11" t="s">
        <v>741</v>
      </c>
      <c r="I1584" s="14" t="s">
        <v>1185</v>
      </c>
      <c r="J1584" s="14" t="s">
        <v>29</v>
      </c>
      <c r="K1584" s="15" t="s">
        <v>59</v>
      </c>
      <c r="L1584" s="14" t="s">
        <v>1614</v>
      </c>
      <c r="M1584" s="14" t="s">
        <v>1283</v>
      </c>
      <c r="N1584" s="14" t="s">
        <v>198</v>
      </c>
      <c r="O1584" s="14" t="s">
        <v>34</v>
      </c>
      <c r="P1584" s="15" t="s">
        <v>1615</v>
      </c>
      <c r="Q1584" s="16">
        <v>11590</v>
      </c>
      <c r="R1584" s="17">
        <v>45.64</v>
      </c>
      <c r="S1584" s="18">
        <v>7244.9884999999995</v>
      </c>
      <c r="T1584" s="19" t="s">
        <v>36</v>
      </c>
      <c r="U1584" s="20" t="s">
        <v>1190</v>
      </c>
      <c r="V1584" s="34">
        <v>35.5</v>
      </c>
      <c r="W1584" s="22">
        <v>1</v>
      </c>
      <c r="X1584" s="23"/>
    </row>
    <row r="1585" spans="1:24" s="1" customFormat="1" ht="52.05" customHeight="1" x14ac:dyDescent="0.3">
      <c r="A1585" s="11" t="s">
        <v>23</v>
      </c>
      <c r="B1585" s="11" t="s">
        <v>1616</v>
      </c>
      <c r="C1585" s="12" t="s">
        <v>1617</v>
      </c>
      <c r="D1585" s="55"/>
      <c r="E1585" s="41" t="str">
        <f>HYPERLINK("https://www.google.ru/search?q=3025565-001&amp;newwindow=1&amp;tbm=isch","Еще фото")</f>
        <v>Еще фото</v>
      </c>
      <c r="F1585" s="13"/>
      <c r="G1585" s="11" t="s">
        <v>1184</v>
      </c>
      <c r="H1585" s="11" t="s">
        <v>741</v>
      </c>
      <c r="I1585" s="14" t="s">
        <v>1185</v>
      </c>
      <c r="J1585" s="14" t="s">
        <v>29</v>
      </c>
      <c r="K1585" s="15" t="s">
        <v>30</v>
      </c>
      <c r="L1585" s="57" t="s">
        <v>1618</v>
      </c>
      <c r="M1585" s="14" t="s">
        <v>1211</v>
      </c>
      <c r="N1585" s="14" t="s">
        <v>33</v>
      </c>
      <c r="O1585" s="14"/>
      <c r="P1585" s="15" t="s">
        <v>1619</v>
      </c>
      <c r="Q1585" s="16">
        <v>15999</v>
      </c>
      <c r="R1585" s="17">
        <v>45.62</v>
      </c>
      <c r="S1585" s="18">
        <v>10004.988499999999</v>
      </c>
      <c r="T1585" s="19" t="s">
        <v>36</v>
      </c>
      <c r="U1585" s="20" t="s">
        <v>747</v>
      </c>
      <c r="V1585" s="34">
        <v>39.5</v>
      </c>
      <c r="W1585" s="22">
        <v>1</v>
      </c>
      <c r="X1585" s="23"/>
    </row>
    <row r="1586" spans="1:24" s="1" customFormat="1" ht="61.05" customHeight="1" x14ac:dyDescent="0.3">
      <c r="A1586" s="24" t="s">
        <v>23</v>
      </c>
      <c r="B1586" s="24" t="s">
        <v>1616</v>
      </c>
      <c r="C1586" s="12" t="s">
        <v>1617</v>
      </c>
      <c r="D1586" s="56"/>
      <c r="E1586" s="41" t="str">
        <f>HYPERLINK("https://www.google.ru/search?q=3025565-001&amp;newwindow=1&amp;tbm=isch","Еще фото")</f>
        <v>Еще фото</v>
      </c>
      <c r="F1586" s="13"/>
      <c r="G1586" s="24" t="s">
        <v>1184</v>
      </c>
      <c r="H1586" s="24" t="s">
        <v>741</v>
      </c>
      <c r="I1586" s="24" t="s">
        <v>1185</v>
      </c>
      <c r="J1586" s="14" t="s">
        <v>29</v>
      </c>
      <c r="K1586" s="15" t="s">
        <v>30</v>
      </c>
      <c r="L1586" s="58"/>
      <c r="M1586" s="14" t="s">
        <v>1211</v>
      </c>
      <c r="N1586" s="14" t="s">
        <v>33</v>
      </c>
      <c r="O1586" s="14"/>
      <c r="P1586" s="15" t="s">
        <v>1619</v>
      </c>
      <c r="Q1586" s="16">
        <v>15999</v>
      </c>
      <c r="R1586" s="17">
        <v>45.62</v>
      </c>
      <c r="S1586" s="18">
        <v>10004.988499999999</v>
      </c>
      <c r="T1586" s="19" t="s">
        <v>36</v>
      </c>
      <c r="U1586" s="20" t="s">
        <v>750</v>
      </c>
      <c r="V1586" s="34">
        <v>41.5</v>
      </c>
      <c r="W1586" s="22">
        <v>1</v>
      </c>
      <c r="X1586" s="23"/>
    </row>
    <row r="1587" spans="1:24" s="1" customFormat="1" ht="108" customHeight="1" x14ac:dyDescent="0.3">
      <c r="A1587" s="11" t="s">
        <v>23</v>
      </c>
      <c r="B1587" s="11" t="s">
        <v>1620</v>
      </c>
      <c r="C1587" s="12" t="s">
        <v>1621</v>
      </c>
      <c r="D1587" s="25"/>
      <c r="E1587" s="41" t="str">
        <f>HYPERLINK("https://www.google.ru/search?q=3000300-100&amp;newwindow=1&amp;tbm=isch","Еще фото")</f>
        <v>Еще фото</v>
      </c>
      <c r="F1587" s="13"/>
      <c r="G1587" s="11" t="s">
        <v>1184</v>
      </c>
      <c r="H1587" s="11" t="s">
        <v>741</v>
      </c>
      <c r="I1587" s="14" t="s">
        <v>1185</v>
      </c>
      <c r="J1587" s="14" t="s">
        <v>29</v>
      </c>
      <c r="K1587" s="15" t="s">
        <v>30</v>
      </c>
      <c r="L1587" s="14" t="s">
        <v>1622</v>
      </c>
      <c r="M1587" s="14" t="s">
        <v>45</v>
      </c>
      <c r="N1587" s="14" t="s">
        <v>62</v>
      </c>
      <c r="O1587" s="14" t="s">
        <v>34</v>
      </c>
      <c r="P1587" s="15" t="s">
        <v>1395</v>
      </c>
      <c r="Q1587" s="16">
        <v>14890</v>
      </c>
      <c r="R1587" s="17">
        <v>45.6</v>
      </c>
      <c r="S1587" s="18">
        <v>9314.9884999999995</v>
      </c>
      <c r="T1587" s="19" t="s">
        <v>36</v>
      </c>
      <c r="U1587" s="20" t="s">
        <v>750</v>
      </c>
      <c r="V1587" s="34">
        <v>41.5</v>
      </c>
      <c r="W1587" s="22">
        <v>1</v>
      </c>
      <c r="X1587" s="23"/>
    </row>
    <row r="1588" spans="1:24" s="1" customFormat="1" ht="108" customHeight="1" x14ac:dyDescent="0.3">
      <c r="A1588" s="11" t="s">
        <v>23</v>
      </c>
      <c r="B1588" s="11" t="s">
        <v>1436</v>
      </c>
      <c r="C1588" s="12" t="s">
        <v>1623</v>
      </c>
      <c r="D1588" s="25"/>
      <c r="E1588" s="41" t="str">
        <f>HYPERLINK("https://www.google.ru/search?q=3027777-102&amp;newwindow=1&amp;tbm=isch","Еще фото")</f>
        <v>Еще фото</v>
      </c>
      <c r="F1588" s="13"/>
      <c r="G1588" s="11" t="s">
        <v>1184</v>
      </c>
      <c r="H1588" s="11" t="s">
        <v>741</v>
      </c>
      <c r="I1588" s="14" t="s">
        <v>1185</v>
      </c>
      <c r="J1588" s="14" t="s">
        <v>29</v>
      </c>
      <c r="K1588" s="15" t="s">
        <v>59</v>
      </c>
      <c r="L1588" s="14" t="s">
        <v>1438</v>
      </c>
      <c r="M1588" s="14"/>
      <c r="N1588" s="14" t="s">
        <v>1624</v>
      </c>
      <c r="O1588" s="14"/>
      <c r="P1588" s="15" t="s">
        <v>1439</v>
      </c>
      <c r="Q1588" s="16">
        <v>12499</v>
      </c>
      <c r="R1588" s="17">
        <v>45.6</v>
      </c>
      <c r="S1588" s="18">
        <v>7819.9884999999995</v>
      </c>
      <c r="T1588" s="19" t="s">
        <v>36</v>
      </c>
      <c r="U1588" s="20" t="s">
        <v>746</v>
      </c>
      <c r="V1588" s="22">
        <v>37</v>
      </c>
      <c r="W1588" s="22">
        <v>1</v>
      </c>
      <c r="X1588" s="23"/>
    </row>
    <row r="1589" spans="1:24" s="1" customFormat="1" ht="35" customHeight="1" x14ac:dyDescent="0.3">
      <c r="A1589" s="11" t="s">
        <v>23</v>
      </c>
      <c r="B1589" s="11" t="s">
        <v>1625</v>
      </c>
      <c r="C1589" s="12" t="s">
        <v>1626</v>
      </c>
      <c r="D1589" s="59"/>
      <c r="E1589" s="41" t="str">
        <f>HYPERLINK("https://www.google.ru/search?q=3026136-401&amp;newwindow=1&amp;tbm=isch","Еще фото")</f>
        <v>Еще фото</v>
      </c>
      <c r="F1589" s="13"/>
      <c r="G1589" s="11" t="s">
        <v>1184</v>
      </c>
      <c r="H1589" s="11" t="s">
        <v>741</v>
      </c>
      <c r="I1589" s="14" t="s">
        <v>1185</v>
      </c>
      <c r="J1589" s="14" t="s">
        <v>674</v>
      </c>
      <c r="K1589" s="15" t="s">
        <v>30</v>
      </c>
      <c r="L1589" s="57" t="s">
        <v>1627</v>
      </c>
      <c r="M1589" s="14" t="s">
        <v>1274</v>
      </c>
      <c r="N1589" s="14" t="s">
        <v>1628</v>
      </c>
      <c r="O1589" s="14"/>
      <c r="P1589" s="15" t="s">
        <v>1629</v>
      </c>
      <c r="Q1589" s="16">
        <v>15799</v>
      </c>
      <c r="R1589" s="17">
        <v>45.57</v>
      </c>
      <c r="S1589" s="18">
        <v>9889.9884999999995</v>
      </c>
      <c r="T1589" s="19" t="s">
        <v>36</v>
      </c>
      <c r="U1589" s="20" t="s">
        <v>746</v>
      </c>
      <c r="V1589" s="22">
        <v>39</v>
      </c>
      <c r="W1589" s="22">
        <v>1</v>
      </c>
      <c r="X1589" s="23"/>
    </row>
    <row r="1590" spans="1:24" s="1" customFormat="1" ht="35" customHeight="1" x14ac:dyDescent="0.3">
      <c r="A1590" s="24" t="s">
        <v>23</v>
      </c>
      <c r="B1590" s="24" t="s">
        <v>1625</v>
      </c>
      <c r="C1590" s="12" t="s">
        <v>1626</v>
      </c>
      <c r="D1590" s="60"/>
      <c r="E1590" s="41" t="str">
        <f>HYPERLINK("https://www.google.ru/search?q=3026136-401&amp;newwindow=1&amp;tbm=isch","Еще фото")</f>
        <v>Еще фото</v>
      </c>
      <c r="F1590" s="13"/>
      <c r="G1590" s="24" t="s">
        <v>1184</v>
      </c>
      <c r="H1590" s="24" t="s">
        <v>741</v>
      </c>
      <c r="I1590" s="24" t="s">
        <v>1185</v>
      </c>
      <c r="J1590" s="14" t="s">
        <v>674</v>
      </c>
      <c r="K1590" s="15" t="s">
        <v>30</v>
      </c>
      <c r="L1590" s="62"/>
      <c r="M1590" s="14" t="s">
        <v>1274</v>
      </c>
      <c r="N1590" s="14" t="s">
        <v>1628</v>
      </c>
      <c r="O1590" s="14"/>
      <c r="P1590" s="15" t="s">
        <v>1629</v>
      </c>
      <c r="Q1590" s="16">
        <v>15799</v>
      </c>
      <c r="R1590" s="17">
        <v>45.57</v>
      </c>
      <c r="S1590" s="18">
        <v>9889.9884999999995</v>
      </c>
      <c r="T1590" s="19" t="s">
        <v>36</v>
      </c>
      <c r="U1590" s="20" t="s">
        <v>747</v>
      </c>
      <c r="V1590" s="34">
        <v>39.5</v>
      </c>
      <c r="W1590" s="22">
        <v>1</v>
      </c>
      <c r="X1590" s="23"/>
    </row>
    <row r="1591" spans="1:24" s="1" customFormat="1" ht="37.049999999999997" customHeight="1" x14ac:dyDescent="0.3">
      <c r="A1591" s="24" t="s">
        <v>23</v>
      </c>
      <c r="B1591" s="24" t="s">
        <v>1625</v>
      </c>
      <c r="C1591" s="12" t="s">
        <v>1626</v>
      </c>
      <c r="D1591" s="61"/>
      <c r="E1591" s="41" t="str">
        <f>HYPERLINK("https://www.google.ru/search?q=3026136-401&amp;newwindow=1&amp;tbm=isch","Еще фото")</f>
        <v>Еще фото</v>
      </c>
      <c r="F1591" s="13"/>
      <c r="G1591" s="24" t="s">
        <v>1184</v>
      </c>
      <c r="H1591" s="24" t="s">
        <v>741</v>
      </c>
      <c r="I1591" s="24" t="s">
        <v>1185</v>
      </c>
      <c r="J1591" s="14" t="s">
        <v>674</v>
      </c>
      <c r="K1591" s="15" t="s">
        <v>30</v>
      </c>
      <c r="L1591" s="58"/>
      <c r="M1591" s="14" t="s">
        <v>1274</v>
      </c>
      <c r="N1591" s="14" t="s">
        <v>1628</v>
      </c>
      <c r="O1591" s="14"/>
      <c r="P1591" s="15" t="s">
        <v>1629</v>
      </c>
      <c r="Q1591" s="16">
        <v>15799</v>
      </c>
      <c r="R1591" s="17">
        <v>45.57</v>
      </c>
      <c r="S1591" s="18">
        <v>9889.9884999999995</v>
      </c>
      <c r="T1591" s="19" t="s">
        <v>36</v>
      </c>
      <c r="U1591" s="20" t="s">
        <v>748</v>
      </c>
      <c r="V1591" s="22">
        <v>40</v>
      </c>
      <c r="W1591" s="22">
        <v>2</v>
      </c>
      <c r="X1591" s="23"/>
    </row>
    <row r="1592" spans="1:24" s="1" customFormat="1" ht="108" customHeight="1" x14ac:dyDescent="0.3">
      <c r="A1592" s="11" t="s">
        <v>23</v>
      </c>
      <c r="B1592" s="11" t="s">
        <v>1630</v>
      </c>
      <c r="C1592" s="12" t="s">
        <v>1631</v>
      </c>
      <c r="D1592" s="25"/>
      <c r="E1592" s="41" t="str">
        <f>HYPERLINK("https://www.google.ru/search?q=3021221-001&amp;newwindow=1&amp;tbm=isch","Еще фото")</f>
        <v>Еще фото</v>
      </c>
      <c r="F1592" s="13"/>
      <c r="G1592" s="11" t="s">
        <v>1184</v>
      </c>
      <c r="H1592" s="11" t="s">
        <v>741</v>
      </c>
      <c r="I1592" s="14" t="s">
        <v>1185</v>
      </c>
      <c r="J1592" s="14" t="s">
        <v>43</v>
      </c>
      <c r="K1592" s="15" t="s">
        <v>59</v>
      </c>
      <c r="L1592" s="14" t="s">
        <v>1632</v>
      </c>
      <c r="M1592" s="14" t="s">
        <v>1211</v>
      </c>
      <c r="N1592" s="14" t="s">
        <v>33</v>
      </c>
      <c r="O1592" s="14" t="s">
        <v>34</v>
      </c>
      <c r="P1592" s="15" t="s">
        <v>1615</v>
      </c>
      <c r="Q1592" s="16">
        <v>12490</v>
      </c>
      <c r="R1592" s="17">
        <v>45.56</v>
      </c>
      <c r="S1592" s="18">
        <v>7819.9884999999995</v>
      </c>
      <c r="T1592" s="19" t="s">
        <v>36</v>
      </c>
      <c r="U1592" s="20" t="s">
        <v>747</v>
      </c>
      <c r="V1592" s="34">
        <v>37.5</v>
      </c>
      <c r="W1592" s="22">
        <v>1</v>
      </c>
      <c r="X1592" s="23"/>
    </row>
    <row r="1593" spans="1:24" s="1" customFormat="1" ht="108" customHeight="1" x14ac:dyDescent="0.3">
      <c r="A1593" s="11" t="s">
        <v>23</v>
      </c>
      <c r="B1593" s="11" t="s">
        <v>1633</v>
      </c>
      <c r="C1593" s="12" t="s">
        <v>1634</v>
      </c>
      <c r="D1593" s="25"/>
      <c r="E1593" s="41" t="str">
        <f>HYPERLINK("https://www.google.ru/search?q=3024267-300&amp;newwindow=1&amp;tbm=isch","Еще фото")</f>
        <v>Еще фото</v>
      </c>
      <c r="F1593" s="13"/>
      <c r="G1593" s="11" t="s">
        <v>740</v>
      </c>
      <c r="H1593" s="11" t="s">
        <v>741</v>
      </c>
      <c r="I1593" s="14" t="s">
        <v>1185</v>
      </c>
      <c r="J1593" s="14" t="s">
        <v>758</v>
      </c>
      <c r="K1593" s="15" t="s">
        <v>30</v>
      </c>
      <c r="L1593" s="14" t="s">
        <v>1635</v>
      </c>
      <c r="M1593" s="14" t="s">
        <v>1274</v>
      </c>
      <c r="N1593" s="14" t="s">
        <v>127</v>
      </c>
      <c r="O1593" s="14"/>
      <c r="P1593" s="15" t="s">
        <v>1636</v>
      </c>
      <c r="Q1593" s="16">
        <v>17999</v>
      </c>
      <c r="R1593" s="17">
        <v>45.55</v>
      </c>
      <c r="S1593" s="18">
        <v>11269.988499999999</v>
      </c>
      <c r="T1593" s="19" t="s">
        <v>36</v>
      </c>
      <c r="U1593" s="20" t="s">
        <v>748</v>
      </c>
      <c r="V1593" s="22">
        <v>40</v>
      </c>
      <c r="W1593" s="22">
        <v>1</v>
      </c>
      <c r="X1593" s="23"/>
    </row>
    <row r="1594" spans="1:24" s="1" customFormat="1" ht="108" customHeight="1" x14ac:dyDescent="0.3">
      <c r="A1594" s="11" t="s">
        <v>23</v>
      </c>
      <c r="B1594" s="11" t="s">
        <v>1637</v>
      </c>
      <c r="C1594" s="12" t="s">
        <v>1638</v>
      </c>
      <c r="D1594" s="25"/>
      <c r="E1594" s="41" t="str">
        <f>HYPERLINK("https://www.google.ru/search?q=3024907-001&amp;newwindow=1&amp;tbm=isch","Еще фото")</f>
        <v>Еще фото</v>
      </c>
      <c r="F1594" s="13"/>
      <c r="G1594" s="11" t="s">
        <v>1184</v>
      </c>
      <c r="H1594" s="11" t="s">
        <v>741</v>
      </c>
      <c r="I1594" s="14" t="s">
        <v>1185</v>
      </c>
      <c r="J1594" s="14" t="s">
        <v>29</v>
      </c>
      <c r="K1594" s="15" t="s">
        <v>59</v>
      </c>
      <c r="L1594" s="14" t="s">
        <v>1639</v>
      </c>
      <c r="M1594" s="14" t="s">
        <v>1211</v>
      </c>
      <c r="N1594" s="14" t="s">
        <v>33</v>
      </c>
      <c r="O1594" s="14"/>
      <c r="P1594" s="15" t="s">
        <v>1640</v>
      </c>
      <c r="Q1594" s="16">
        <v>17999</v>
      </c>
      <c r="R1594" s="17">
        <v>45.55</v>
      </c>
      <c r="S1594" s="18">
        <v>11269.988499999999</v>
      </c>
      <c r="T1594" s="19" t="s">
        <v>36</v>
      </c>
      <c r="U1594" s="20" t="s">
        <v>1203</v>
      </c>
      <c r="V1594" s="22">
        <v>36</v>
      </c>
      <c r="W1594" s="22">
        <v>1</v>
      </c>
      <c r="X1594" s="23"/>
    </row>
    <row r="1595" spans="1:24" s="1" customFormat="1" ht="108" customHeight="1" x14ac:dyDescent="0.3">
      <c r="A1595" s="11" t="s">
        <v>23</v>
      </c>
      <c r="B1595" s="11" t="s">
        <v>1641</v>
      </c>
      <c r="C1595" s="12" t="s">
        <v>1642</v>
      </c>
      <c r="D1595" s="25"/>
      <c r="E1595" s="41" t="str">
        <f>HYPERLINK("https://www.google.ru/search?q=3027200-100&amp;newwindow=1&amp;tbm=isch","Еще фото")</f>
        <v>Еще фото</v>
      </c>
      <c r="F1595" s="13"/>
      <c r="G1595" s="11" t="s">
        <v>1184</v>
      </c>
      <c r="H1595" s="11" t="s">
        <v>741</v>
      </c>
      <c r="I1595" s="14" t="s">
        <v>1185</v>
      </c>
      <c r="J1595" s="14" t="s">
        <v>29</v>
      </c>
      <c r="K1595" s="15" t="s">
        <v>59</v>
      </c>
      <c r="L1595" s="14" t="s">
        <v>1643</v>
      </c>
      <c r="M1595" s="14" t="s">
        <v>1211</v>
      </c>
      <c r="N1595" s="14" t="s">
        <v>84</v>
      </c>
      <c r="O1595" s="14"/>
      <c r="P1595" s="15" t="s">
        <v>1250</v>
      </c>
      <c r="Q1595" s="16">
        <v>17999</v>
      </c>
      <c r="R1595" s="17">
        <v>45.55</v>
      </c>
      <c r="S1595" s="18">
        <v>11269.988499999999</v>
      </c>
      <c r="T1595" s="19" t="s">
        <v>36</v>
      </c>
      <c r="U1595" s="20" t="s">
        <v>746</v>
      </c>
      <c r="V1595" s="22">
        <v>37</v>
      </c>
      <c r="W1595" s="22">
        <v>1</v>
      </c>
      <c r="X1595" s="23"/>
    </row>
    <row r="1596" spans="1:24" s="1" customFormat="1" ht="108" customHeight="1" x14ac:dyDescent="0.3">
      <c r="A1596" s="11" t="s">
        <v>23</v>
      </c>
      <c r="B1596" s="11" t="s">
        <v>1644</v>
      </c>
      <c r="C1596" s="12" t="s">
        <v>1645</v>
      </c>
      <c r="D1596" s="25"/>
      <c r="E1596" s="41" t="str">
        <f>HYPERLINK("https://www.google.ru/search?q=3025238-348&amp;newwindow=1&amp;tbm=isch","Еще фото")</f>
        <v>Еще фото</v>
      </c>
      <c r="F1596" s="13"/>
      <c r="G1596" s="11" t="s">
        <v>1184</v>
      </c>
      <c r="H1596" s="11" t="s">
        <v>741</v>
      </c>
      <c r="I1596" s="14" t="s">
        <v>1185</v>
      </c>
      <c r="J1596" s="14" t="s">
        <v>29</v>
      </c>
      <c r="K1596" s="15" t="s">
        <v>59</v>
      </c>
      <c r="L1596" s="14" t="s">
        <v>1646</v>
      </c>
      <c r="M1596" s="14"/>
      <c r="N1596" s="14" t="s">
        <v>127</v>
      </c>
      <c r="O1596" s="14"/>
      <c r="P1596" s="15" t="s">
        <v>1647</v>
      </c>
      <c r="Q1596" s="16">
        <v>8999</v>
      </c>
      <c r="R1596" s="17">
        <v>45.55</v>
      </c>
      <c r="S1596" s="18">
        <v>5634.9884999999995</v>
      </c>
      <c r="T1596" s="19" t="s">
        <v>36</v>
      </c>
      <c r="U1596" s="20" t="s">
        <v>1203</v>
      </c>
      <c r="V1596" s="22">
        <v>36</v>
      </c>
      <c r="W1596" s="22">
        <v>6</v>
      </c>
      <c r="X1596" s="23"/>
    </row>
    <row r="1597" spans="1:24" s="1" customFormat="1" ht="108" customHeight="1" x14ac:dyDescent="0.3">
      <c r="A1597" s="11" t="s">
        <v>23</v>
      </c>
      <c r="B1597" s="11" t="s">
        <v>1648</v>
      </c>
      <c r="C1597" s="12" t="s">
        <v>1649</v>
      </c>
      <c r="D1597" s="25"/>
      <c r="E1597" s="41" t="str">
        <f>HYPERLINK("https://www.google.ru/search?q=3020282-601&amp;newwindow=1&amp;tbm=isch","Еще фото")</f>
        <v>Еще фото</v>
      </c>
      <c r="F1597" s="13"/>
      <c r="G1597" s="11" t="s">
        <v>1184</v>
      </c>
      <c r="H1597" s="11" t="s">
        <v>741</v>
      </c>
      <c r="I1597" s="14" t="s">
        <v>1185</v>
      </c>
      <c r="J1597" s="14" t="s">
        <v>29</v>
      </c>
      <c r="K1597" s="15" t="s">
        <v>59</v>
      </c>
      <c r="L1597" s="14" t="s">
        <v>1650</v>
      </c>
      <c r="M1597" s="14" t="s">
        <v>45</v>
      </c>
      <c r="N1597" s="14" t="s">
        <v>69</v>
      </c>
      <c r="O1597" s="14" t="s">
        <v>34</v>
      </c>
      <c r="P1597" s="15" t="s">
        <v>1221</v>
      </c>
      <c r="Q1597" s="16">
        <v>14499</v>
      </c>
      <c r="R1597" s="17">
        <v>45.51</v>
      </c>
      <c r="S1597" s="18">
        <v>9084.9884999999995</v>
      </c>
      <c r="T1597" s="19" t="s">
        <v>36</v>
      </c>
      <c r="U1597" s="20" t="s">
        <v>1203</v>
      </c>
      <c r="V1597" s="22">
        <v>36</v>
      </c>
      <c r="W1597" s="22">
        <v>1</v>
      </c>
      <c r="X1597" s="23"/>
    </row>
    <row r="1598" spans="1:24" s="1" customFormat="1" ht="108" customHeight="1" x14ac:dyDescent="0.3">
      <c r="A1598" s="11" t="s">
        <v>23</v>
      </c>
      <c r="B1598" s="11" t="s">
        <v>1208</v>
      </c>
      <c r="C1598" s="12" t="s">
        <v>1651</v>
      </c>
      <c r="D1598" s="25"/>
      <c r="E1598" s="41" t="str">
        <f>HYPERLINK("https://www.google.ru/search?q=3026128-103&amp;newwindow=1&amp;tbm=isch","Еще фото")</f>
        <v>Еще фото</v>
      </c>
      <c r="F1598" s="13"/>
      <c r="G1598" s="11" t="s">
        <v>1184</v>
      </c>
      <c r="H1598" s="11" t="s">
        <v>741</v>
      </c>
      <c r="I1598" s="14" t="s">
        <v>1185</v>
      </c>
      <c r="J1598" s="14" t="s">
        <v>29</v>
      </c>
      <c r="K1598" s="15" t="s">
        <v>59</v>
      </c>
      <c r="L1598" s="14" t="s">
        <v>1210</v>
      </c>
      <c r="M1598" s="14" t="s">
        <v>1211</v>
      </c>
      <c r="N1598" s="14" t="s">
        <v>84</v>
      </c>
      <c r="O1598" s="14"/>
      <c r="P1598" s="15" t="s">
        <v>1212</v>
      </c>
      <c r="Q1598" s="16">
        <v>15599</v>
      </c>
      <c r="R1598" s="17">
        <v>45.51</v>
      </c>
      <c r="S1598" s="18">
        <v>9774.9884999999995</v>
      </c>
      <c r="T1598" s="19" t="s">
        <v>36</v>
      </c>
      <c r="U1598" s="20" t="s">
        <v>1203</v>
      </c>
      <c r="V1598" s="22">
        <v>36</v>
      </c>
      <c r="W1598" s="22">
        <v>3</v>
      </c>
      <c r="X1598" s="23"/>
    </row>
    <row r="1599" spans="1:24" s="1" customFormat="1" ht="108" customHeight="1" x14ac:dyDescent="0.3">
      <c r="A1599" s="11" t="s">
        <v>23</v>
      </c>
      <c r="B1599" s="11" t="s">
        <v>1652</v>
      </c>
      <c r="C1599" s="12" t="s">
        <v>1653</v>
      </c>
      <c r="D1599" s="25"/>
      <c r="E1599" s="41" t="str">
        <f>HYPERLINK("https://www.google.ru/search?q=3025522-001&amp;newwindow=1&amp;tbm=isch","Еще фото")</f>
        <v>Еще фото</v>
      </c>
      <c r="F1599" s="13"/>
      <c r="G1599" s="11" t="s">
        <v>1184</v>
      </c>
      <c r="H1599" s="11" t="s">
        <v>741</v>
      </c>
      <c r="I1599" s="14" t="s">
        <v>1185</v>
      </c>
      <c r="J1599" s="14" t="s">
        <v>29</v>
      </c>
      <c r="K1599" s="15" t="s">
        <v>723</v>
      </c>
      <c r="L1599" s="14" t="s">
        <v>1654</v>
      </c>
      <c r="M1599" s="14" t="s">
        <v>1225</v>
      </c>
      <c r="N1599" s="14" t="s">
        <v>33</v>
      </c>
      <c r="O1599" s="14"/>
      <c r="P1599" s="15" t="s">
        <v>1655</v>
      </c>
      <c r="Q1599" s="16">
        <v>19999</v>
      </c>
      <c r="R1599" s="17">
        <v>45.5</v>
      </c>
      <c r="S1599" s="18">
        <v>12534.988499999999</v>
      </c>
      <c r="T1599" s="19" t="s">
        <v>36</v>
      </c>
      <c r="U1599" s="20" t="s">
        <v>1190</v>
      </c>
      <c r="V1599" s="22">
        <v>37</v>
      </c>
      <c r="W1599" s="22">
        <v>1</v>
      </c>
      <c r="X1599" s="23"/>
    </row>
    <row r="1600" spans="1:24" s="1" customFormat="1" ht="108" customHeight="1" x14ac:dyDescent="0.3">
      <c r="A1600" s="11" t="s">
        <v>23</v>
      </c>
      <c r="B1600" s="11" t="s">
        <v>1441</v>
      </c>
      <c r="C1600" s="12" t="s">
        <v>1656</v>
      </c>
      <c r="D1600" s="25"/>
      <c r="E1600" s="41" t="str">
        <f>HYPERLINK("https://www.google.ru/search?q=3027212-001&amp;newwindow=1&amp;tbm=isch","Еще фото")</f>
        <v>Еще фото</v>
      </c>
      <c r="F1600" s="13"/>
      <c r="G1600" s="11" t="s">
        <v>1184</v>
      </c>
      <c r="H1600" s="11" t="s">
        <v>741</v>
      </c>
      <c r="I1600" s="14" t="s">
        <v>1185</v>
      </c>
      <c r="J1600" s="14" t="s">
        <v>674</v>
      </c>
      <c r="K1600" s="15" t="s">
        <v>723</v>
      </c>
      <c r="L1600" s="14" t="s">
        <v>1443</v>
      </c>
      <c r="M1600" s="14" t="s">
        <v>1211</v>
      </c>
      <c r="N1600" s="14" t="s">
        <v>98</v>
      </c>
      <c r="O1600" s="14"/>
      <c r="P1600" s="15" t="s">
        <v>1657</v>
      </c>
      <c r="Q1600" s="16">
        <v>19999</v>
      </c>
      <c r="R1600" s="17">
        <v>45.5</v>
      </c>
      <c r="S1600" s="18">
        <v>12534.988499999999</v>
      </c>
      <c r="T1600" s="19" t="s">
        <v>36</v>
      </c>
      <c r="U1600" s="20" t="s">
        <v>1345</v>
      </c>
      <c r="V1600" s="22">
        <v>41</v>
      </c>
      <c r="W1600" s="22">
        <v>1</v>
      </c>
      <c r="X1600" s="23"/>
    </row>
    <row r="1601" spans="1:24" s="1" customFormat="1" ht="108" customHeight="1" x14ac:dyDescent="0.3">
      <c r="A1601" s="11" t="s">
        <v>23</v>
      </c>
      <c r="B1601" s="11" t="s">
        <v>1658</v>
      </c>
      <c r="C1601" s="12" t="s">
        <v>1659</v>
      </c>
      <c r="D1601" s="25"/>
      <c r="E1601" s="41" t="str">
        <f>HYPERLINK("https://www.google.ru/search?q=3024899-400&amp;newwindow=1&amp;tbm=isch","Еще фото")</f>
        <v>Еще фото</v>
      </c>
      <c r="F1601" s="13"/>
      <c r="G1601" s="11" t="s">
        <v>1184</v>
      </c>
      <c r="H1601" s="11" t="s">
        <v>741</v>
      </c>
      <c r="I1601" s="14" t="s">
        <v>1185</v>
      </c>
      <c r="J1601" s="14" t="s">
        <v>29</v>
      </c>
      <c r="K1601" s="15" t="s">
        <v>30</v>
      </c>
      <c r="L1601" s="14" t="s">
        <v>1660</v>
      </c>
      <c r="M1601" s="14" t="s">
        <v>1211</v>
      </c>
      <c r="N1601" s="14" t="s">
        <v>115</v>
      </c>
      <c r="O1601" s="14"/>
      <c r="P1601" s="15" t="s">
        <v>1661</v>
      </c>
      <c r="Q1601" s="16">
        <v>21999</v>
      </c>
      <c r="R1601" s="17">
        <v>45.45</v>
      </c>
      <c r="S1601" s="18">
        <v>13799.988499999999</v>
      </c>
      <c r="T1601" s="19" t="s">
        <v>36</v>
      </c>
      <c r="U1601" s="20" t="s">
        <v>746</v>
      </c>
      <c r="V1601" s="22">
        <v>39</v>
      </c>
      <c r="W1601" s="22">
        <v>1</v>
      </c>
      <c r="X1601" s="23"/>
    </row>
    <row r="1602" spans="1:24" s="1" customFormat="1" ht="108" customHeight="1" x14ac:dyDescent="0.3">
      <c r="A1602" s="11" t="s">
        <v>23</v>
      </c>
      <c r="B1602" s="11" t="s">
        <v>1662</v>
      </c>
      <c r="C1602" s="12" t="s">
        <v>1663</v>
      </c>
      <c r="D1602" s="25"/>
      <c r="E1602" s="41" t="str">
        <f>HYPERLINK("https://www.google.ru/search?q=3026231-100&amp;newwindow=1&amp;tbm=isch","Еще фото")</f>
        <v>Еще фото</v>
      </c>
      <c r="F1602" s="13"/>
      <c r="G1602" s="11" t="s">
        <v>1184</v>
      </c>
      <c r="H1602" s="11" t="s">
        <v>741</v>
      </c>
      <c r="I1602" s="14" t="s">
        <v>1185</v>
      </c>
      <c r="J1602" s="14" t="s">
        <v>29</v>
      </c>
      <c r="K1602" s="15" t="s">
        <v>30</v>
      </c>
      <c r="L1602" s="14" t="s">
        <v>1664</v>
      </c>
      <c r="M1602" s="14" t="s">
        <v>1211</v>
      </c>
      <c r="N1602" s="14" t="s">
        <v>1665</v>
      </c>
      <c r="O1602" s="14"/>
      <c r="P1602" s="15" t="s">
        <v>1666</v>
      </c>
      <c r="Q1602" s="16">
        <v>21999</v>
      </c>
      <c r="R1602" s="17">
        <v>45.45</v>
      </c>
      <c r="S1602" s="18">
        <v>13799.988499999999</v>
      </c>
      <c r="T1602" s="19" t="s">
        <v>36</v>
      </c>
      <c r="U1602" s="20" t="s">
        <v>755</v>
      </c>
      <c r="V1602" s="34">
        <v>44.5</v>
      </c>
      <c r="W1602" s="22">
        <v>1</v>
      </c>
      <c r="X1602" s="23"/>
    </row>
    <row r="1603" spans="1:24" s="1" customFormat="1" ht="108" customHeight="1" x14ac:dyDescent="0.3">
      <c r="A1603" s="11" t="s">
        <v>23</v>
      </c>
      <c r="B1603" s="11" t="s">
        <v>1667</v>
      </c>
      <c r="C1603" s="12" t="s">
        <v>1668</v>
      </c>
      <c r="D1603" s="25"/>
      <c r="E1603" s="41" t="str">
        <f>HYPERLINK("https://www.google.ru/search?q=3026732-600&amp;newwindow=1&amp;tbm=isch","Еще фото")</f>
        <v>Еще фото</v>
      </c>
      <c r="F1603" s="13"/>
      <c r="G1603" s="11" t="s">
        <v>1184</v>
      </c>
      <c r="H1603" s="11" t="s">
        <v>741</v>
      </c>
      <c r="I1603" s="14" t="s">
        <v>1185</v>
      </c>
      <c r="J1603" s="14" t="s">
        <v>29</v>
      </c>
      <c r="K1603" s="15" t="s">
        <v>59</v>
      </c>
      <c r="L1603" s="14" t="s">
        <v>1669</v>
      </c>
      <c r="M1603" s="14" t="s">
        <v>1211</v>
      </c>
      <c r="N1603" s="14" t="s">
        <v>1670</v>
      </c>
      <c r="O1603" s="14"/>
      <c r="P1603" s="15" t="s">
        <v>1671</v>
      </c>
      <c r="Q1603" s="16">
        <v>20899</v>
      </c>
      <c r="R1603" s="17">
        <v>45.45</v>
      </c>
      <c r="S1603" s="18">
        <v>13109.988499999999</v>
      </c>
      <c r="T1603" s="19" t="s">
        <v>36</v>
      </c>
      <c r="U1603" s="20" t="s">
        <v>749</v>
      </c>
      <c r="V1603" s="22">
        <v>39</v>
      </c>
      <c r="W1603" s="22">
        <v>1</v>
      </c>
      <c r="X1603" s="23"/>
    </row>
    <row r="1604" spans="1:24" s="1" customFormat="1" ht="108" customHeight="1" x14ac:dyDescent="0.3">
      <c r="A1604" s="11" t="s">
        <v>23</v>
      </c>
      <c r="B1604" s="11" t="s">
        <v>1672</v>
      </c>
      <c r="C1604" s="12" t="s">
        <v>1673</v>
      </c>
      <c r="D1604" s="25"/>
      <c r="E1604" s="41" t="str">
        <f>HYPERLINK("https://www.google.ru/search?q=3024873-001&amp;newwindow=1&amp;tbm=isch","Еще фото")</f>
        <v>Еще фото</v>
      </c>
      <c r="F1604" s="13"/>
      <c r="G1604" s="11" t="s">
        <v>1184</v>
      </c>
      <c r="H1604" s="11" t="s">
        <v>741</v>
      </c>
      <c r="I1604" s="14" t="s">
        <v>1185</v>
      </c>
      <c r="J1604" s="14" t="s">
        <v>29</v>
      </c>
      <c r="K1604" s="15" t="s">
        <v>30</v>
      </c>
      <c r="L1604" s="14" t="s">
        <v>1674</v>
      </c>
      <c r="M1604" s="14" t="s">
        <v>1274</v>
      </c>
      <c r="N1604" s="14" t="s">
        <v>33</v>
      </c>
      <c r="O1604" s="14" t="s">
        <v>34</v>
      </c>
      <c r="P1604" s="15" t="s">
        <v>1675</v>
      </c>
      <c r="Q1604" s="16">
        <v>10999</v>
      </c>
      <c r="R1604" s="17">
        <v>45.45</v>
      </c>
      <c r="S1604" s="18">
        <v>6899.9884999999995</v>
      </c>
      <c r="T1604" s="19" t="s">
        <v>36</v>
      </c>
      <c r="U1604" s="20" t="s">
        <v>746</v>
      </c>
      <c r="V1604" s="22">
        <v>39</v>
      </c>
      <c r="W1604" s="22">
        <v>1</v>
      </c>
      <c r="X1604" s="23"/>
    </row>
    <row r="1605" spans="1:24" s="1" customFormat="1" ht="108" customHeight="1" x14ac:dyDescent="0.3">
      <c r="A1605" s="11" t="s">
        <v>23</v>
      </c>
      <c r="B1605" s="11" t="s">
        <v>1676</v>
      </c>
      <c r="C1605" s="12" t="s">
        <v>1677</v>
      </c>
      <c r="D1605" s="25"/>
      <c r="E1605" s="41" t="str">
        <f>HYPERLINK("https://www.google.ru/search?q=3026140-500&amp;newwindow=1&amp;tbm=isch","Еще фото")</f>
        <v>Еще фото</v>
      </c>
      <c r="F1605" s="13"/>
      <c r="G1605" s="11" t="s">
        <v>1184</v>
      </c>
      <c r="H1605" s="11" t="s">
        <v>741</v>
      </c>
      <c r="I1605" s="14" t="s">
        <v>1185</v>
      </c>
      <c r="J1605" s="14" t="s">
        <v>29</v>
      </c>
      <c r="K1605" s="15" t="s">
        <v>30</v>
      </c>
      <c r="L1605" s="14" t="s">
        <v>1678</v>
      </c>
      <c r="M1605" s="14" t="s">
        <v>1194</v>
      </c>
      <c r="N1605" s="14" t="s">
        <v>115</v>
      </c>
      <c r="O1605" s="14"/>
      <c r="P1605" s="15" t="s">
        <v>1679</v>
      </c>
      <c r="Q1605" s="16">
        <v>10999</v>
      </c>
      <c r="R1605" s="17">
        <v>45.45</v>
      </c>
      <c r="S1605" s="18">
        <v>6899.9884999999995</v>
      </c>
      <c r="T1605" s="19" t="s">
        <v>36</v>
      </c>
      <c r="U1605" s="20" t="s">
        <v>747</v>
      </c>
      <c r="V1605" s="34">
        <v>39.5</v>
      </c>
      <c r="W1605" s="22">
        <v>1</v>
      </c>
      <c r="X1605" s="23"/>
    </row>
    <row r="1606" spans="1:24" s="1" customFormat="1" ht="108" customHeight="1" x14ac:dyDescent="0.3">
      <c r="A1606" s="11" t="s">
        <v>23</v>
      </c>
      <c r="B1606" s="11" t="s">
        <v>1351</v>
      </c>
      <c r="C1606" s="12" t="s">
        <v>1680</v>
      </c>
      <c r="D1606" s="25"/>
      <c r="E1606" s="41" t="str">
        <f>HYPERLINK("https://www.google.ru/search?q=3027005-101&amp;newwindow=1&amp;tbm=isch","Еще фото")</f>
        <v>Еще фото</v>
      </c>
      <c r="F1606" s="13"/>
      <c r="G1606" s="11" t="s">
        <v>1184</v>
      </c>
      <c r="H1606" s="11" t="s">
        <v>741</v>
      </c>
      <c r="I1606" s="14" t="s">
        <v>1185</v>
      </c>
      <c r="J1606" s="14" t="s">
        <v>29</v>
      </c>
      <c r="K1606" s="15" t="s">
        <v>59</v>
      </c>
      <c r="L1606" s="14" t="s">
        <v>1353</v>
      </c>
      <c r="M1606" s="14"/>
      <c r="N1606" s="14" t="s">
        <v>62</v>
      </c>
      <c r="O1606" s="14"/>
      <c r="P1606" s="15" t="s">
        <v>1354</v>
      </c>
      <c r="Q1606" s="16">
        <v>10999</v>
      </c>
      <c r="R1606" s="17">
        <v>45.45</v>
      </c>
      <c r="S1606" s="18">
        <v>6899.9884999999995</v>
      </c>
      <c r="T1606" s="19" t="s">
        <v>36</v>
      </c>
      <c r="U1606" s="20" t="s">
        <v>1241</v>
      </c>
      <c r="V1606" s="22">
        <v>35</v>
      </c>
      <c r="W1606" s="22">
        <v>1</v>
      </c>
      <c r="X1606" s="23"/>
    </row>
    <row r="1607" spans="1:24" s="1" customFormat="1" ht="108" customHeight="1" x14ac:dyDescent="0.3">
      <c r="A1607" s="11" t="s">
        <v>23</v>
      </c>
      <c r="B1607" s="11" t="s">
        <v>1555</v>
      </c>
      <c r="C1607" s="12" t="s">
        <v>1681</v>
      </c>
      <c r="D1607" s="25"/>
      <c r="E1607" s="41" t="str">
        <f>HYPERLINK("https://www.google.ru/search?q=3023705-101&amp;newwindow=1&amp;tbm=isch","Еще фото")</f>
        <v>Еще фото</v>
      </c>
      <c r="F1607" s="13"/>
      <c r="G1607" s="11" t="s">
        <v>1184</v>
      </c>
      <c r="H1607" s="11" t="s">
        <v>741</v>
      </c>
      <c r="I1607" s="14" t="s">
        <v>1185</v>
      </c>
      <c r="J1607" s="14" t="s">
        <v>29</v>
      </c>
      <c r="K1607" s="15" t="s">
        <v>59</v>
      </c>
      <c r="L1607" s="14" t="s">
        <v>1557</v>
      </c>
      <c r="M1607" s="14" t="s">
        <v>1274</v>
      </c>
      <c r="N1607" s="14" t="s">
        <v>62</v>
      </c>
      <c r="O1607" s="14" t="s">
        <v>34</v>
      </c>
      <c r="P1607" s="15" t="s">
        <v>1682</v>
      </c>
      <c r="Q1607" s="16">
        <v>8799</v>
      </c>
      <c r="R1607" s="17">
        <v>45.45</v>
      </c>
      <c r="S1607" s="18">
        <v>5519.9884999999995</v>
      </c>
      <c r="T1607" s="19" t="s">
        <v>36</v>
      </c>
      <c r="U1607" s="20" t="s">
        <v>746</v>
      </c>
      <c r="V1607" s="22">
        <v>37</v>
      </c>
      <c r="W1607" s="22">
        <v>1</v>
      </c>
      <c r="X1607" s="23"/>
    </row>
    <row r="1608" spans="1:24" s="1" customFormat="1" ht="108" customHeight="1" x14ac:dyDescent="0.3">
      <c r="A1608" s="11" t="s">
        <v>23</v>
      </c>
      <c r="B1608" s="11" t="s">
        <v>1267</v>
      </c>
      <c r="C1608" s="12" t="s">
        <v>1683</v>
      </c>
      <c r="D1608" s="25"/>
      <c r="E1608" s="41" t="str">
        <f>HYPERLINK("https://www.google.ru/search?q=3024894-112&amp;newwindow=1&amp;tbm=isch","Еще фото")</f>
        <v>Еще фото</v>
      </c>
      <c r="F1608" s="13"/>
      <c r="G1608" s="11" t="s">
        <v>1184</v>
      </c>
      <c r="H1608" s="11" t="s">
        <v>741</v>
      </c>
      <c r="I1608" s="14" t="s">
        <v>1185</v>
      </c>
      <c r="J1608" s="14" t="s">
        <v>29</v>
      </c>
      <c r="K1608" s="15" t="s">
        <v>59</v>
      </c>
      <c r="L1608" s="14" t="s">
        <v>1269</v>
      </c>
      <c r="M1608" s="14" t="s">
        <v>45</v>
      </c>
      <c r="N1608" s="14" t="s">
        <v>62</v>
      </c>
      <c r="O1608" s="14"/>
      <c r="P1608" s="15" t="s">
        <v>1684</v>
      </c>
      <c r="Q1608" s="16">
        <v>8799</v>
      </c>
      <c r="R1608" s="17">
        <v>45.45</v>
      </c>
      <c r="S1608" s="18">
        <v>5519.9884999999995</v>
      </c>
      <c r="T1608" s="19" t="s">
        <v>36</v>
      </c>
      <c r="U1608" s="20" t="s">
        <v>1196</v>
      </c>
      <c r="V1608" s="34">
        <v>36.5</v>
      </c>
      <c r="W1608" s="22">
        <v>1</v>
      </c>
      <c r="X1608" s="23"/>
    </row>
    <row r="1609" spans="1:24" s="1" customFormat="1" ht="52.05" customHeight="1" x14ac:dyDescent="0.3">
      <c r="A1609" s="11" t="s">
        <v>23</v>
      </c>
      <c r="B1609" s="11" t="s">
        <v>1685</v>
      </c>
      <c r="C1609" s="12" t="s">
        <v>1686</v>
      </c>
      <c r="D1609" s="55"/>
      <c r="E1609" s="41" t="str">
        <f>HYPERLINK("https://www.google.ru/search?q=3026610-002&amp;newwindow=1&amp;tbm=isch","Еще фото")</f>
        <v>Еще фото</v>
      </c>
      <c r="F1609" s="13"/>
      <c r="G1609" s="11" t="s">
        <v>1184</v>
      </c>
      <c r="H1609" s="11" t="s">
        <v>741</v>
      </c>
      <c r="I1609" s="14" t="s">
        <v>1185</v>
      </c>
      <c r="J1609" s="14" t="s">
        <v>29</v>
      </c>
      <c r="K1609" s="15" t="s">
        <v>723</v>
      </c>
      <c r="L1609" s="57" t="s">
        <v>1687</v>
      </c>
      <c r="M1609" s="14" t="s">
        <v>1225</v>
      </c>
      <c r="N1609" s="14" t="s">
        <v>1688</v>
      </c>
      <c r="O1609" s="14"/>
      <c r="P1609" s="15" t="s">
        <v>1689</v>
      </c>
      <c r="Q1609" s="16">
        <v>23999</v>
      </c>
      <c r="R1609" s="17">
        <v>45.41</v>
      </c>
      <c r="S1609" s="18">
        <v>15064.988499999999</v>
      </c>
      <c r="T1609" s="19" t="s">
        <v>36</v>
      </c>
      <c r="U1609" s="20" t="s">
        <v>749</v>
      </c>
      <c r="V1609" s="22">
        <v>41</v>
      </c>
      <c r="W1609" s="22">
        <v>1</v>
      </c>
      <c r="X1609" s="23"/>
    </row>
    <row r="1610" spans="1:24" s="1" customFormat="1" ht="61.05" customHeight="1" x14ac:dyDescent="0.3">
      <c r="A1610" s="24" t="s">
        <v>23</v>
      </c>
      <c r="B1610" s="24" t="s">
        <v>1685</v>
      </c>
      <c r="C1610" s="12" t="s">
        <v>1686</v>
      </c>
      <c r="D1610" s="56"/>
      <c r="E1610" s="41" t="str">
        <f>HYPERLINK("https://www.google.ru/search?q=3026610-002&amp;newwindow=1&amp;tbm=isch","Еще фото")</f>
        <v>Еще фото</v>
      </c>
      <c r="F1610" s="13"/>
      <c r="G1610" s="24" t="s">
        <v>1184</v>
      </c>
      <c r="H1610" s="24" t="s">
        <v>741</v>
      </c>
      <c r="I1610" s="24" t="s">
        <v>1185</v>
      </c>
      <c r="J1610" s="14" t="s">
        <v>29</v>
      </c>
      <c r="K1610" s="15" t="s">
        <v>723</v>
      </c>
      <c r="L1610" s="58"/>
      <c r="M1610" s="14" t="s">
        <v>1225</v>
      </c>
      <c r="N1610" s="14" t="s">
        <v>1688</v>
      </c>
      <c r="O1610" s="14"/>
      <c r="P1610" s="15" t="s">
        <v>1689</v>
      </c>
      <c r="Q1610" s="16">
        <v>23999</v>
      </c>
      <c r="R1610" s="17">
        <v>45.41</v>
      </c>
      <c r="S1610" s="18">
        <v>15064.988499999999</v>
      </c>
      <c r="T1610" s="19" t="s">
        <v>36</v>
      </c>
      <c r="U1610" s="20" t="s">
        <v>750</v>
      </c>
      <c r="V1610" s="34">
        <v>41.5</v>
      </c>
      <c r="W1610" s="22">
        <v>3</v>
      </c>
      <c r="X1610" s="23"/>
    </row>
    <row r="1611" spans="1:24" s="1" customFormat="1" ht="108" customHeight="1" x14ac:dyDescent="0.3">
      <c r="A1611" s="11" t="s">
        <v>23</v>
      </c>
      <c r="B1611" s="11" t="s">
        <v>1690</v>
      </c>
      <c r="C1611" s="12" t="s">
        <v>1691</v>
      </c>
      <c r="D1611" s="25"/>
      <c r="E1611" s="41" t="str">
        <f>HYPERLINK("https://www.google.ru/search?q=3027287-001&amp;newwindow=1&amp;tbm=isch","Еще фото")</f>
        <v>Еще фото</v>
      </c>
      <c r="F1611" s="13"/>
      <c r="G1611" s="11" t="s">
        <v>1184</v>
      </c>
      <c r="H1611" s="11" t="s">
        <v>741</v>
      </c>
      <c r="I1611" s="14" t="s">
        <v>1185</v>
      </c>
      <c r="J1611" s="14" t="s">
        <v>29</v>
      </c>
      <c r="K1611" s="15" t="s">
        <v>723</v>
      </c>
      <c r="L1611" s="14" t="s">
        <v>1692</v>
      </c>
      <c r="M1611" s="14" t="s">
        <v>1211</v>
      </c>
      <c r="N1611" s="14" t="s">
        <v>1693</v>
      </c>
      <c r="O1611" s="14"/>
      <c r="P1611" s="15" t="s">
        <v>1694</v>
      </c>
      <c r="Q1611" s="16">
        <v>23999</v>
      </c>
      <c r="R1611" s="17">
        <v>45.41</v>
      </c>
      <c r="S1611" s="18">
        <v>15064.988499999999</v>
      </c>
      <c r="T1611" s="19" t="s">
        <v>36</v>
      </c>
      <c r="U1611" s="20" t="s">
        <v>1196</v>
      </c>
      <c r="V1611" s="22">
        <v>38</v>
      </c>
      <c r="W1611" s="22">
        <v>1</v>
      </c>
      <c r="X1611" s="23"/>
    </row>
    <row r="1612" spans="1:24" s="1" customFormat="1" ht="108" customHeight="1" x14ac:dyDescent="0.3">
      <c r="A1612" s="11" t="s">
        <v>23</v>
      </c>
      <c r="B1612" s="11" t="s">
        <v>1695</v>
      </c>
      <c r="C1612" s="12" t="s">
        <v>1696</v>
      </c>
      <c r="D1612" s="25"/>
      <c r="E1612" s="41" t="str">
        <f>HYPERLINK("https://www.google.ru/search?q=3025080-301&amp;newwindow=1&amp;tbm=isch","Еще фото")</f>
        <v>Еще фото</v>
      </c>
      <c r="F1612" s="13"/>
      <c r="G1612" s="11" t="s">
        <v>1184</v>
      </c>
      <c r="H1612" s="11" t="s">
        <v>741</v>
      </c>
      <c r="I1612" s="14" t="s">
        <v>1185</v>
      </c>
      <c r="J1612" s="14" t="s">
        <v>29</v>
      </c>
      <c r="K1612" s="15" t="s">
        <v>30</v>
      </c>
      <c r="L1612" s="14" t="s">
        <v>1697</v>
      </c>
      <c r="M1612" s="14" t="s">
        <v>1698</v>
      </c>
      <c r="N1612" s="14" t="s">
        <v>127</v>
      </c>
      <c r="O1612" s="14" t="s">
        <v>34</v>
      </c>
      <c r="P1612" s="15" t="s">
        <v>1699</v>
      </c>
      <c r="Q1612" s="16">
        <v>20699</v>
      </c>
      <c r="R1612" s="17">
        <v>45.41</v>
      </c>
      <c r="S1612" s="18">
        <v>12994.988499999999</v>
      </c>
      <c r="T1612" s="19" t="s">
        <v>36</v>
      </c>
      <c r="U1612" s="20" t="s">
        <v>748</v>
      </c>
      <c r="V1612" s="22">
        <v>40</v>
      </c>
      <c r="W1612" s="22">
        <v>1</v>
      </c>
      <c r="X1612" s="23"/>
    </row>
    <row r="1613" spans="1:24" s="1" customFormat="1" ht="108" customHeight="1" x14ac:dyDescent="0.3">
      <c r="A1613" s="11" t="s">
        <v>23</v>
      </c>
      <c r="B1613" s="11" t="s">
        <v>1700</v>
      </c>
      <c r="C1613" s="12" t="s">
        <v>1701</v>
      </c>
      <c r="D1613" s="25"/>
      <c r="E1613" s="41" t="str">
        <f>HYPERLINK("https://www.google.ru/search?q=1285494-410&amp;newwindow=1&amp;tbm=isch","Еще фото")</f>
        <v>Еще фото</v>
      </c>
      <c r="F1613" s="13"/>
      <c r="G1613" s="11" t="s">
        <v>1184</v>
      </c>
      <c r="H1613" s="11" t="s">
        <v>741</v>
      </c>
      <c r="I1613" s="14" t="s">
        <v>1185</v>
      </c>
      <c r="J1613" s="14" t="s">
        <v>29</v>
      </c>
      <c r="K1613" s="15" t="s">
        <v>59</v>
      </c>
      <c r="L1613" s="14" t="s">
        <v>1702</v>
      </c>
      <c r="M1613" s="14" t="s">
        <v>1274</v>
      </c>
      <c r="N1613" s="14" t="s">
        <v>115</v>
      </c>
      <c r="O1613" s="14" t="s">
        <v>34</v>
      </c>
      <c r="P1613" s="15" t="s">
        <v>1406</v>
      </c>
      <c r="Q1613" s="16">
        <v>16299</v>
      </c>
      <c r="R1613" s="17">
        <v>45.4</v>
      </c>
      <c r="S1613" s="18">
        <v>10234.988499999999</v>
      </c>
      <c r="T1613" s="19" t="s">
        <v>36</v>
      </c>
      <c r="U1613" s="20" t="s">
        <v>1241</v>
      </c>
      <c r="V1613" s="22">
        <v>35</v>
      </c>
      <c r="W1613" s="22">
        <v>1</v>
      </c>
      <c r="X1613" s="23"/>
    </row>
    <row r="1614" spans="1:24" s="1" customFormat="1" ht="52.05" customHeight="1" x14ac:dyDescent="0.3">
      <c r="A1614" s="11" t="s">
        <v>23</v>
      </c>
      <c r="B1614" s="11" t="s">
        <v>1436</v>
      </c>
      <c r="C1614" s="12" t="s">
        <v>1703</v>
      </c>
      <c r="D1614" s="55"/>
      <c r="E1614" s="41" t="str">
        <f>HYPERLINK("https://www.google.ru/search?q=3027777-104&amp;newwindow=1&amp;tbm=isch","Еще фото")</f>
        <v>Еще фото</v>
      </c>
      <c r="F1614" s="13"/>
      <c r="G1614" s="11" t="s">
        <v>1184</v>
      </c>
      <c r="H1614" s="11" t="s">
        <v>741</v>
      </c>
      <c r="I1614" s="14" t="s">
        <v>1185</v>
      </c>
      <c r="J1614" s="14" t="s">
        <v>29</v>
      </c>
      <c r="K1614" s="15" t="s">
        <v>59</v>
      </c>
      <c r="L1614" s="57" t="s">
        <v>1704</v>
      </c>
      <c r="M1614" s="14"/>
      <c r="N1614" s="14" t="s">
        <v>84</v>
      </c>
      <c r="O1614" s="14"/>
      <c r="P1614" s="15" t="s">
        <v>1705</v>
      </c>
      <c r="Q1614" s="16">
        <v>15199</v>
      </c>
      <c r="R1614" s="17">
        <v>45.39</v>
      </c>
      <c r="S1614" s="18">
        <v>9544.9884999999995</v>
      </c>
      <c r="T1614" s="19" t="s">
        <v>36</v>
      </c>
      <c r="U1614" s="20" t="s">
        <v>1203</v>
      </c>
      <c r="V1614" s="22">
        <v>36</v>
      </c>
      <c r="W1614" s="22">
        <v>5</v>
      </c>
      <c r="X1614" s="23"/>
    </row>
    <row r="1615" spans="1:24" s="1" customFormat="1" ht="61.05" customHeight="1" x14ac:dyDescent="0.3">
      <c r="A1615" s="24" t="s">
        <v>23</v>
      </c>
      <c r="B1615" s="24" t="s">
        <v>1436</v>
      </c>
      <c r="C1615" s="12" t="s">
        <v>1703</v>
      </c>
      <c r="D1615" s="56"/>
      <c r="E1615" s="41" t="str">
        <f>HYPERLINK("https://www.google.ru/search?q=3027777-104&amp;newwindow=1&amp;tbm=isch","Еще фото")</f>
        <v>Еще фото</v>
      </c>
      <c r="F1615" s="13"/>
      <c r="G1615" s="24" t="s">
        <v>1184</v>
      </c>
      <c r="H1615" s="24" t="s">
        <v>741</v>
      </c>
      <c r="I1615" s="24" t="s">
        <v>1185</v>
      </c>
      <c r="J1615" s="14" t="s">
        <v>29</v>
      </c>
      <c r="K1615" s="15" t="s">
        <v>59</v>
      </c>
      <c r="L1615" s="58"/>
      <c r="M1615" s="14"/>
      <c r="N1615" s="14" t="s">
        <v>84</v>
      </c>
      <c r="O1615" s="14"/>
      <c r="P1615" s="15" t="s">
        <v>1705</v>
      </c>
      <c r="Q1615" s="16">
        <v>15199</v>
      </c>
      <c r="R1615" s="17">
        <v>45.39</v>
      </c>
      <c r="S1615" s="18">
        <v>9544.9884999999995</v>
      </c>
      <c r="T1615" s="19" t="s">
        <v>36</v>
      </c>
      <c r="U1615" s="20" t="s">
        <v>1196</v>
      </c>
      <c r="V1615" s="34">
        <v>36.5</v>
      </c>
      <c r="W1615" s="22">
        <v>1</v>
      </c>
      <c r="X1615" s="23"/>
    </row>
    <row r="1616" spans="1:24" s="1" customFormat="1" ht="52.05" customHeight="1" x14ac:dyDescent="0.3">
      <c r="A1616" s="11" t="s">
        <v>23</v>
      </c>
      <c r="B1616" s="11" t="s">
        <v>1706</v>
      </c>
      <c r="C1616" s="12" t="s">
        <v>1707</v>
      </c>
      <c r="D1616" s="55"/>
      <c r="E1616" s="41" t="str">
        <f>HYPERLINK("https://www.google.ru/search?q=3024906-001&amp;newwindow=1&amp;tbm=isch","Еще фото")</f>
        <v>Еще фото</v>
      </c>
      <c r="F1616" s="13"/>
      <c r="G1616" s="11" t="s">
        <v>1184</v>
      </c>
      <c r="H1616" s="11" t="s">
        <v>741</v>
      </c>
      <c r="I1616" s="14" t="s">
        <v>1185</v>
      </c>
      <c r="J1616" s="14" t="s">
        <v>29</v>
      </c>
      <c r="K1616" s="15" t="s">
        <v>59</v>
      </c>
      <c r="L1616" s="57" t="s">
        <v>1708</v>
      </c>
      <c r="M1616" s="14" t="s">
        <v>1211</v>
      </c>
      <c r="N1616" s="14" t="s">
        <v>33</v>
      </c>
      <c r="O1616" s="14" t="s">
        <v>34</v>
      </c>
      <c r="P1616" s="15" t="s">
        <v>1709</v>
      </c>
      <c r="Q1616" s="16">
        <v>12999</v>
      </c>
      <c r="R1616" s="17">
        <v>45.38</v>
      </c>
      <c r="S1616" s="18">
        <v>8164.9884999999995</v>
      </c>
      <c r="T1616" s="19" t="s">
        <v>36</v>
      </c>
      <c r="U1616" s="20" t="s">
        <v>1203</v>
      </c>
      <c r="V1616" s="22">
        <v>36</v>
      </c>
      <c r="W1616" s="22">
        <v>1</v>
      </c>
      <c r="X1616" s="23"/>
    </row>
    <row r="1617" spans="1:24" s="1" customFormat="1" ht="61.05" customHeight="1" x14ac:dyDescent="0.3">
      <c r="A1617" s="24" t="s">
        <v>23</v>
      </c>
      <c r="B1617" s="24" t="s">
        <v>1706</v>
      </c>
      <c r="C1617" s="12" t="s">
        <v>1707</v>
      </c>
      <c r="D1617" s="56"/>
      <c r="E1617" s="41" t="str">
        <f>HYPERLINK("https://www.google.ru/search?q=3024906-001&amp;newwindow=1&amp;tbm=isch","Еще фото")</f>
        <v>Еще фото</v>
      </c>
      <c r="F1617" s="13"/>
      <c r="G1617" s="24" t="s">
        <v>1184</v>
      </c>
      <c r="H1617" s="24" t="s">
        <v>741</v>
      </c>
      <c r="I1617" s="24" t="s">
        <v>1185</v>
      </c>
      <c r="J1617" s="14" t="s">
        <v>29</v>
      </c>
      <c r="K1617" s="15" t="s">
        <v>59</v>
      </c>
      <c r="L1617" s="58"/>
      <c r="M1617" s="14" t="s">
        <v>1211</v>
      </c>
      <c r="N1617" s="14" t="s">
        <v>33</v>
      </c>
      <c r="O1617" s="14" t="s">
        <v>34</v>
      </c>
      <c r="P1617" s="15" t="s">
        <v>1709</v>
      </c>
      <c r="Q1617" s="16">
        <v>12999</v>
      </c>
      <c r="R1617" s="17">
        <v>45.38</v>
      </c>
      <c r="S1617" s="18">
        <v>8164.9884999999995</v>
      </c>
      <c r="T1617" s="19" t="s">
        <v>36</v>
      </c>
      <c r="U1617" s="20" t="s">
        <v>1196</v>
      </c>
      <c r="V1617" s="34">
        <v>36.5</v>
      </c>
      <c r="W1617" s="22">
        <v>1</v>
      </c>
      <c r="X1617" s="23"/>
    </row>
    <row r="1618" spans="1:24" s="1" customFormat="1" ht="108" customHeight="1" x14ac:dyDescent="0.3">
      <c r="A1618" s="11" t="s">
        <v>23</v>
      </c>
      <c r="B1618" s="11" t="s">
        <v>1238</v>
      </c>
      <c r="C1618" s="12" t="s">
        <v>1710</v>
      </c>
      <c r="D1618" s="25"/>
      <c r="E1618" s="41" t="str">
        <f>HYPERLINK("https://www.google.ru/search?q=3026525-100&amp;newwindow=1&amp;tbm=isch","Еще фото")</f>
        <v>Еще фото</v>
      </c>
      <c r="F1618" s="13"/>
      <c r="G1618" s="11" t="s">
        <v>1184</v>
      </c>
      <c r="H1618" s="11" t="s">
        <v>741</v>
      </c>
      <c r="I1618" s="14" t="s">
        <v>1185</v>
      </c>
      <c r="J1618" s="14" t="s">
        <v>29</v>
      </c>
      <c r="K1618" s="15" t="s">
        <v>59</v>
      </c>
      <c r="L1618" s="14" t="s">
        <v>1240</v>
      </c>
      <c r="M1618" s="14" t="s">
        <v>1211</v>
      </c>
      <c r="N1618" s="14" t="s">
        <v>84</v>
      </c>
      <c r="O1618" s="14"/>
      <c r="P1618" s="15" t="s">
        <v>1711</v>
      </c>
      <c r="Q1618" s="16">
        <v>12999</v>
      </c>
      <c r="R1618" s="17">
        <v>45.38</v>
      </c>
      <c r="S1618" s="18">
        <v>8164.9884999999995</v>
      </c>
      <c r="T1618" s="19" t="s">
        <v>36</v>
      </c>
      <c r="U1618" s="20" t="s">
        <v>1203</v>
      </c>
      <c r="V1618" s="22">
        <v>36</v>
      </c>
      <c r="W1618" s="22">
        <v>2</v>
      </c>
      <c r="X1618" s="23"/>
    </row>
    <row r="1619" spans="1:24" s="1" customFormat="1" ht="108" customHeight="1" x14ac:dyDescent="0.3">
      <c r="A1619" s="11" t="s">
        <v>23</v>
      </c>
      <c r="B1619" s="11" t="s">
        <v>1712</v>
      </c>
      <c r="C1619" s="12" t="s">
        <v>1713</v>
      </c>
      <c r="D1619" s="25"/>
      <c r="E1619" s="41" t="str">
        <f>HYPERLINK("https://www.google.ru/search?q=3026017-403&amp;newwindow=1&amp;tbm=isch","Еще фото")</f>
        <v>Еще фото</v>
      </c>
      <c r="F1619" s="13" t="s">
        <v>103</v>
      </c>
      <c r="G1619" s="11" t="s">
        <v>1184</v>
      </c>
      <c r="H1619" s="11" t="s">
        <v>741</v>
      </c>
      <c r="I1619" s="14" t="s">
        <v>1185</v>
      </c>
      <c r="J1619" s="14" t="s">
        <v>29</v>
      </c>
      <c r="K1619" s="15" t="s">
        <v>30</v>
      </c>
      <c r="L1619" s="14" t="s">
        <v>1714</v>
      </c>
      <c r="M1619" s="14"/>
      <c r="N1619" s="14" t="s">
        <v>115</v>
      </c>
      <c r="O1619" s="14"/>
      <c r="P1619" s="15" t="s">
        <v>1457</v>
      </c>
      <c r="Q1619" s="16">
        <v>10799</v>
      </c>
      <c r="R1619" s="17">
        <v>45.37</v>
      </c>
      <c r="S1619" s="18">
        <v>6784.9884999999995</v>
      </c>
      <c r="T1619" s="19" t="s">
        <v>36</v>
      </c>
      <c r="U1619" s="20" t="s">
        <v>751</v>
      </c>
      <c r="V1619" s="22">
        <v>42</v>
      </c>
      <c r="W1619" s="22">
        <v>1</v>
      </c>
      <c r="X1619" s="23"/>
    </row>
    <row r="1620" spans="1:24" s="1" customFormat="1" ht="52.05" customHeight="1" x14ac:dyDescent="0.3">
      <c r="A1620" s="11" t="s">
        <v>23</v>
      </c>
      <c r="B1620" s="11" t="s">
        <v>1715</v>
      </c>
      <c r="C1620" s="12" t="s">
        <v>1716</v>
      </c>
      <c r="D1620" s="55"/>
      <c r="E1620" s="41" t="str">
        <f>HYPERLINK("https://www.google.ru/search?q=3028371-024&amp;newwindow=1&amp;tbm=isch","Еще фото")</f>
        <v>Еще фото</v>
      </c>
      <c r="F1620" s="13" t="s">
        <v>103</v>
      </c>
      <c r="G1620" s="11" t="s">
        <v>1184</v>
      </c>
      <c r="H1620" s="11" t="s">
        <v>741</v>
      </c>
      <c r="I1620" s="14" t="s">
        <v>1185</v>
      </c>
      <c r="J1620" s="14" t="s">
        <v>29</v>
      </c>
      <c r="K1620" s="15" t="s">
        <v>30</v>
      </c>
      <c r="L1620" s="57" t="s">
        <v>1717</v>
      </c>
      <c r="M1620" s="14"/>
      <c r="N1620" s="14" t="s">
        <v>62</v>
      </c>
      <c r="O1620" s="14"/>
      <c r="P1620" s="15" t="s">
        <v>1718</v>
      </c>
      <c r="Q1620" s="16">
        <v>10799</v>
      </c>
      <c r="R1620" s="17">
        <v>45.37</v>
      </c>
      <c r="S1620" s="18">
        <v>6784.9884999999995</v>
      </c>
      <c r="T1620" s="19" t="s">
        <v>36</v>
      </c>
      <c r="U1620" s="20" t="s">
        <v>748</v>
      </c>
      <c r="V1620" s="22">
        <v>40</v>
      </c>
      <c r="W1620" s="22">
        <v>1</v>
      </c>
      <c r="X1620" s="23"/>
    </row>
    <row r="1621" spans="1:24" s="1" customFormat="1" ht="61.05" customHeight="1" x14ac:dyDescent="0.3">
      <c r="A1621" s="24" t="s">
        <v>23</v>
      </c>
      <c r="B1621" s="24" t="s">
        <v>1715</v>
      </c>
      <c r="C1621" s="12" t="s">
        <v>1716</v>
      </c>
      <c r="D1621" s="56"/>
      <c r="E1621" s="41" t="str">
        <f>HYPERLINK("https://www.google.ru/search?q=3028371-024&amp;newwindow=1&amp;tbm=isch","Еще фото")</f>
        <v>Еще фото</v>
      </c>
      <c r="F1621" s="13" t="s">
        <v>103</v>
      </c>
      <c r="G1621" s="24" t="s">
        <v>1184</v>
      </c>
      <c r="H1621" s="24" t="s">
        <v>741</v>
      </c>
      <c r="I1621" s="24" t="s">
        <v>1185</v>
      </c>
      <c r="J1621" s="14" t="s">
        <v>29</v>
      </c>
      <c r="K1621" s="15" t="s">
        <v>30</v>
      </c>
      <c r="L1621" s="58"/>
      <c r="M1621" s="14"/>
      <c r="N1621" s="14" t="s">
        <v>62</v>
      </c>
      <c r="O1621" s="14"/>
      <c r="P1621" s="15" t="s">
        <v>1718</v>
      </c>
      <c r="Q1621" s="16">
        <v>10799</v>
      </c>
      <c r="R1621" s="17">
        <v>45.37</v>
      </c>
      <c r="S1621" s="18">
        <v>6784.9884999999995</v>
      </c>
      <c r="T1621" s="19" t="s">
        <v>36</v>
      </c>
      <c r="U1621" s="20" t="s">
        <v>754</v>
      </c>
      <c r="V1621" s="22">
        <v>44</v>
      </c>
      <c r="W1621" s="22">
        <v>1</v>
      </c>
      <c r="X1621" s="23"/>
    </row>
    <row r="1622" spans="1:24" s="1" customFormat="1" ht="108" customHeight="1" x14ac:dyDescent="0.3">
      <c r="A1622" s="11" t="s">
        <v>23</v>
      </c>
      <c r="B1622" s="11" t="s">
        <v>1719</v>
      </c>
      <c r="C1622" s="12" t="s">
        <v>1720</v>
      </c>
      <c r="D1622" s="25"/>
      <c r="E1622" s="41" t="str">
        <f>HYPERLINK("https://www.google.ru/search?q=6003014-673&amp;newwindow=1&amp;tbm=isch","Еще фото")</f>
        <v>Еще фото</v>
      </c>
      <c r="F1622" s="13"/>
      <c r="G1622" s="11" t="s">
        <v>1184</v>
      </c>
      <c r="H1622" s="11" t="s">
        <v>741</v>
      </c>
      <c r="I1622" s="14" t="s">
        <v>1185</v>
      </c>
      <c r="J1622" s="14" t="s">
        <v>29</v>
      </c>
      <c r="K1622" s="15" t="s">
        <v>59</v>
      </c>
      <c r="L1622" s="14" t="s">
        <v>1721</v>
      </c>
      <c r="M1622" s="14"/>
      <c r="N1622" s="14" t="s">
        <v>69</v>
      </c>
      <c r="O1622" s="14"/>
      <c r="P1622" s="15" t="s">
        <v>1722</v>
      </c>
      <c r="Q1622" s="16">
        <v>9699</v>
      </c>
      <c r="R1622" s="17">
        <v>45.36</v>
      </c>
      <c r="S1622" s="18">
        <v>6094.9884999999995</v>
      </c>
      <c r="T1622" s="19" t="s">
        <v>36</v>
      </c>
      <c r="U1622" s="20" t="s">
        <v>750</v>
      </c>
      <c r="V1622" s="34">
        <v>39.5</v>
      </c>
      <c r="W1622" s="22">
        <v>1</v>
      </c>
      <c r="X1622" s="23"/>
    </row>
    <row r="1623" spans="1:24" s="1" customFormat="1" ht="108" customHeight="1" x14ac:dyDescent="0.3">
      <c r="A1623" s="11" t="s">
        <v>23</v>
      </c>
      <c r="B1623" s="11" t="s">
        <v>1723</v>
      </c>
      <c r="C1623" s="12" t="s">
        <v>1724</v>
      </c>
      <c r="D1623" s="25"/>
      <c r="E1623" s="41" t="str">
        <f>HYPERLINK("https://www.google.ru/search?q=1285482-962&amp;newwindow=1&amp;tbm=isch","Еще фото")</f>
        <v>Еще фото</v>
      </c>
      <c r="F1623" s="13"/>
      <c r="G1623" s="11" t="s">
        <v>1184</v>
      </c>
      <c r="H1623" s="11" t="s">
        <v>741</v>
      </c>
      <c r="I1623" s="14" t="s">
        <v>1185</v>
      </c>
      <c r="J1623" s="14" t="s">
        <v>29</v>
      </c>
      <c r="K1623" s="15" t="s">
        <v>59</v>
      </c>
      <c r="L1623" s="14" t="s">
        <v>1394</v>
      </c>
      <c r="M1623" s="14" t="s">
        <v>1283</v>
      </c>
      <c r="N1623" s="14" t="s">
        <v>62</v>
      </c>
      <c r="O1623" s="14" t="s">
        <v>34</v>
      </c>
      <c r="P1623" s="15" t="s">
        <v>1284</v>
      </c>
      <c r="Q1623" s="16">
        <v>12990</v>
      </c>
      <c r="R1623" s="17">
        <v>45.34</v>
      </c>
      <c r="S1623" s="18">
        <v>8164.9884999999995</v>
      </c>
      <c r="T1623" s="19" t="s">
        <v>36</v>
      </c>
      <c r="U1623" s="20" t="s">
        <v>1241</v>
      </c>
      <c r="V1623" s="22">
        <v>35</v>
      </c>
      <c r="W1623" s="22">
        <v>1</v>
      </c>
      <c r="X1623" s="23"/>
    </row>
    <row r="1624" spans="1:24" s="1" customFormat="1" ht="108" customHeight="1" x14ac:dyDescent="0.3">
      <c r="A1624" s="11" t="s">
        <v>23</v>
      </c>
      <c r="B1624" s="11" t="s">
        <v>1725</v>
      </c>
      <c r="C1624" s="12" t="s">
        <v>1726</v>
      </c>
      <c r="D1624" s="25"/>
      <c r="E1624" s="41" t="str">
        <f>HYPERLINK("https://www.google.ru/search?q=3020977-006&amp;newwindow=1&amp;tbm=isch","Еще фото")</f>
        <v>Еще фото</v>
      </c>
      <c r="F1624" s="13"/>
      <c r="G1624" s="11" t="s">
        <v>1184</v>
      </c>
      <c r="H1624" s="11" t="s">
        <v>741</v>
      </c>
      <c r="I1624" s="14" t="s">
        <v>1185</v>
      </c>
      <c r="J1624" s="14" t="s">
        <v>29</v>
      </c>
      <c r="K1624" s="15" t="s">
        <v>59</v>
      </c>
      <c r="L1624" s="14" t="s">
        <v>1727</v>
      </c>
      <c r="M1624" s="14" t="s">
        <v>1211</v>
      </c>
      <c r="N1624" s="14" t="s">
        <v>62</v>
      </c>
      <c r="O1624" s="14"/>
      <c r="P1624" s="15" t="s">
        <v>1728</v>
      </c>
      <c r="Q1624" s="16">
        <v>12990</v>
      </c>
      <c r="R1624" s="17">
        <v>45.34</v>
      </c>
      <c r="S1624" s="18">
        <v>8164.9884999999995</v>
      </c>
      <c r="T1624" s="19" t="s">
        <v>36</v>
      </c>
      <c r="U1624" s="20" t="s">
        <v>1203</v>
      </c>
      <c r="V1624" s="22">
        <v>36</v>
      </c>
      <c r="W1624" s="22">
        <v>2</v>
      </c>
      <c r="X1624" s="23"/>
    </row>
    <row r="1625" spans="1:24" s="1" customFormat="1" ht="35" customHeight="1" x14ac:dyDescent="0.3">
      <c r="A1625" s="11" t="s">
        <v>23</v>
      </c>
      <c r="B1625" s="11" t="s">
        <v>1729</v>
      </c>
      <c r="C1625" s="12" t="s">
        <v>1730</v>
      </c>
      <c r="D1625" s="59"/>
      <c r="E1625" s="41" t="str">
        <f>HYPERLINK("https://www.google.ru/search?q=1285490-001&amp;newwindow=1&amp;tbm=isch","Еще фото")</f>
        <v>Еще фото</v>
      </c>
      <c r="F1625" s="13"/>
      <c r="G1625" s="11" t="s">
        <v>1184</v>
      </c>
      <c r="H1625" s="11" t="s">
        <v>741</v>
      </c>
      <c r="I1625" s="14" t="s">
        <v>1185</v>
      </c>
      <c r="J1625" s="14" t="s">
        <v>29</v>
      </c>
      <c r="K1625" s="15" t="s">
        <v>59</v>
      </c>
      <c r="L1625" s="57" t="s">
        <v>1590</v>
      </c>
      <c r="M1625" s="14" t="s">
        <v>1565</v>
      </c>
      <c r="N1625" s="14" t="s">
        <v>33</v>
      </c>
      <c r="O1625" s="14" t="s">
        <v>34</v>
      </c>
      <c r="P1625" s="15" t="s">
        <v>1284</v>
      </c>
      <c r="Q1625" s="16">
        <v>8599</v>
      </c>
      <c r="R1625" s="17">
        <v>45.34</v>
      </c>
      <c r="S1625" s="18">
        <v>5404.9884999999995</v>
      </c>
      <c r="T1625" s="19" t="s">
        <v>36</v>
      </c>
      <c r="U1625" s="20" t="s">
        <v>1241</v>
      </c>
      <c r="V1625" s="22">
        <v>35</v>
      </c>
      <c r="W1625" s="22">
        <v>3</v>
      </c>
      <c r="X1625" s="23"/>
    </row>
    <row r="1626" spans="1:24" s="1" customFormat="1" ht="35" customHeight="1" x14ac:dyDescent="0.3">
      <c r="A1626" s="24" t="s">
        <v>23</v>
      </c>
      <c r="B1626" s="24" t="s">
        <v>1729</v>
      </c>
      <c r="C1626" s="12" t="s">
        <v>1730</v>
      </c>
      <c r="D1626" s="60"/>
      <c r="E1626" s="41" t="str">
        <f>HYPERLINK("https://www.google.ru/search?q=1285490-001&amp;newwindow=1&amp;tbm=isch","Еще фото")</f>
        <v>Еще фото</v>
      </c>
      <c r="F1626" s="13"/>
      <c r="G1626" s="24" t="s">
        <v>1184</v>
      </c>
      <c r="H1626" s="24" t="s">
        <v>741</v>
      </c>
      <c r="I1626" s="24" t="s">
        <v>1185</v>
      </c>
      <c r="J1626" s="14" t="s">
        <v>29</v>
      </c>
      <c r="K1626" s="15" t="s">
        <v>59</v>
      </c>
      <c r="L1626" s="62"/>
      <c r="M1626" s="14" t="s">
        <v>1565</v>
      </c>
      <c r="N1626" s="14" t="s">
        <v>33</v>
      </c>
      <c r="O1626" s="14" t="s">
        <v>34</v>
      </c>
      <c r="P1626" s="15" t="s">
        <v>1284</v>
      </c>
      <c r="Q1626" s="16">
        <v>8599</v>
      </c>
      <c r="R1626" s="17">
        <v>45.34</v>
      </c>
      <c r="S1626" s="18">
        <v>5404.9884999999995</v>
      </c>
      <c r="T1626" s="19" t="s">
        <v>36</v>
      </c>
      <c r="U1626" s="20" t="s">
        <v>1190</v>
      </c>
      <c r="V1626" s="34">
        <v>35.5</v>
      </c>
      <c r="W1626" s="22">
        <v>7</v>
      </c>
      <c r="X1626" s="23"/>
    </row>
    <row r="1627" spans="1:24" s="1" customFormat="1" ht="37.049999999999997" customHeight="1" x14ac:dyDescent="0.3">
      <c r="A1627" s="24" t="s">
        <v>23</v>
      </c>
      <c r="B1627" s="24" t="s">
        <v>1729</v>
      </c>
      <c r="C1627" s="12" t="s">
        <v>1730</v>
      </c>
      <c r="D1627" s="61"/>
      <c r="E1627" s="41" t="str">
        <f>HYPERLINK("https://www.google.ru/search?q=1285490-001&amp;newwindow=1&amp;tbm=isch","Еще фото")</f>
        <v>Еще фото</v>
      </c>
      <c r="F1627" s="13"/>
      <c r="G1627" s="24" t="s">
        <v>1184</v>
      </c>
      <c r="H1627" s="24" t="s">
        <v>741</v>
      </c>
      <c r="I1627" s="24" t="s">
        <v>1185</v>
      </c>
      <c r="J1627" s="14" t="s">
        <v>29</v>
      </c>
      <c r="K1627" s="15" t="s">
        <v>59</v>
      </c>
      <c r="L1627" s="58"/>
      <c r="M1627" s="14" t="s">
        <v>1565</v>
      </c>
      <c r="N1627" s="14" t="s">
        <v>33</v>
      </c>
      <c r="O1627" s="14" t="s">
        <v>34</v>
      </c>
      <c r="P1627" s="15" t="s">
        <v>1284</v>
      </c>
      <c r="Q1627" s="16">
        <v>8599</v>
      </c>
      <c r="R1627" s="17">
        <v>45.34</v>
      </c>
      <c r="S1627" s="18">
        <v>5404.9884999999995</v>
      </c>
      <c r="T1627" s="19" t="s">
        <v>36</v>
      </c>
      <c r="U1627" s="20" t="s">
        <v>1196</v>
      </c>
      <c r="V1627" s="34">
        <v>36.5</v>
      </c>
      <c r="W1627" s="22">
        <v>1</v>
      </c>
      <c r="X1627" s="23"/>
    </row>
    <row r="1628" spans="1:24" s="1" customFormat="1" ht="52.05" customHeight="1" x14ac:dyDescent="0.3">
      <c r="A1628" s="11" t="s">
        <v>23</v>
      </c>
      <c r="B1628" s="11" t="s">
        <v>1251</v>
      </c>
      <c r="C1628" s="12" t="s">
        <v>1731</v>
      </c>
      <c r="D1628" s="55"/>
      <c r="E1628" s="41" t="str">
        <f>HYPERLINK("https://www.google.ru/search?q=3025060-100&amp;newwindow=1&amp;tbm=isch","Еще фото")</f>
        <v>Еще фото</v>
      </c>
      <c r="F1628" s="13" t="s">
        <v>103</v>
      </c>
      <c r="G1628" s="11" t="s">
        <v>1184</v>
      </c>
      <c r="H1628" s="11" t="s">
        <v>741</v>
      </c>
      <c r="I1628" s="14" t="s">
        <v>1185</v>
      </c>
      <c r="J1628" s="14" t="s">
        <v>29</v>
      </c>
      <c r="K1628" s="15" t="s">
        <v>59</v>
      </c>
      <c r="L1628" s="57" t="s">
        <v>1732</v>
      </c>
      <c r="M1628" s="14" t="s">
        <v>1194</v>
      </c>
      <c r="N1628" s="14" t="s">
        <v>84</v>
      </c>
      <c r="O1628" s="14"/>
      <c r="P1628" s="15" t="s">
        <v>1647</v>
      </c>
      <c r="Q1628" s="16">
        <v>8599</v>
      </c>
      <c r="R1628" s="17">
        <v>45.34</v>
      </c>
      <c r="S1628" s="18">
        <v>5404.9884999999995</v>
      </c>
      <c r="T1628" s="19" t="s">
        <v>36</v>
      </c>
      <c r="U1628" s="20" t="s">
        <v>1190</v>
      </c>
      <c r="V1628" s="34">
        <v>35.5</v>
      </c>
      <c r="W1628" s="22">
        <v>1</v>
      </c>
      <c r="X1628" s="23"/>
    </row>
    <row r="1629" spans="1:24" s="1" customFormat="1" ht="61.05" customHeight="1" x14ac:dyDescent="0.3">
      <c r="A1629" s="24" t="s">
        <v>23</v>
      </c>
      <c r="B1629" s="24" t="s">
        <v>1251</v>
      </c>
      <c r="C1629" s="12" t="s">
        <v>1731</v>
      </c>
      <c r="D1629" s="56"/>
      <c r="E1629" s="41" t="str">
        <f>HYPERLINK("https://www.google.ru/search?q=3025060-100&amp;newwindow=1&amp;tbm=isch","Еще фото")</f>
        <v>Еще фото</v>
      </c>
      <c r="F1629" s="13" t="s">
        <v>103</v>
      </c>
      <c r="G1629" s="24" t="s">
        <v>1184</v>
      </c>
      <c r="H1629" s="24" t="s">
        <v>741</v>
      </c>
      <c r="I1629" s="24" t="s">
        <v>1185</v>
      </c>
      <c r="J1629" s="14" t="s">
        <v>29</v>
      </c>
      <c r="K1629" s="15" t="s">
        <v>59</v>
      </c>
      <c r="L1629" s="58"/>
      <c r="M1629" s="14" t="s">
        <v>1194</v>
      </c>
      <c r="N1629" s="14" t="s">
        <v>84</v>
      </c>
      <c r="O1629" s="14"/>
      <c r="P1629" s="15" t="s">
        <v>1647</v>
      </c>
      <c r="Q1629" s="16">
        <v>8599</v>
      </c>
      <c r="R1629" s="17">
        <v>45.34</v>
      </c>
      <c r="S1629" s="18">
        <v>5404.9884999999995</v>
      </c>
      <c r="T1629" s="19" t="s">
        <v>36</v>
      </c>
      <c r="U1629" s="20" t="s">
        <v>1203</v>
      </c>
      <c r="V1629" s="22">
        <v>36</v>
      </c>
      <c r="W1629" s="22">
        <v>1</v>
      </c>
      <c r="X1629" s="23"/>
    </row>
    <row r="1630" spans="1:24" s="1" customFormat="1" ht="108" customHeight="1" x14ac:dyDescent="0.3">
      <c r="A1630" s="11" t="s">
        <v>23</v>
      </c>
      <c r="B1630" s="11" t="s">
        <v>1733</v>
      </c>
      <c r="C1630" s="12" t="s">
        <v>1734</v>
      </c>
      <c r="D1630" s="25"/>
      <c r="E1630" s="41" t="str">
        <f>HYPERLINK("https://www.google.ru/search?q=3026175-400&amp;newwindow=1&amp;tbm=isch","Еще фото")</f>
        <v>Еще фото</v>
      </c>
      <c r="F1630" s="13" t="s">
        <v>103</v>
      </c>
      <c r="G1630" s="11" t="s">
        <v>1184</v>
      </c>
      <c r="H1630" s="11" t="s">
        <v>741</v>
      </c>
      <c r="I1630" s="14" t="s">
        <v>1185</v>
      </c>
      <c r="J1630" s="14" t="s">
        <v>29</v>
      </c>
      <c r="K1630" s="15" t="s">
        <v>30</v>
      </c>
      <c r="L1630" s="14" t="s">
        <v>1735</v>
      </c>
      <c r="M1630" s="14" t="s">
        <v>1194</v>
      </c>
      <c r="N1630" s="14" t="s">
        <v>115</v>
      </c>
      <c r="O1630" s="14"/>
      <c r="P1630" s="15" t="s">
        <v>1457</v>
      </c>
      <c r="Q1630" s="16">
        <v>8599</v>
      </c>
      <c r="R1630" s="17">
        <v>45.34</v>
      </c>
      <c r="S1630" s="18">
        <v>5404.9884999999995</v>
      </c>
      <c r="T1630" s="19" t="s">
        <v>36</v>
      </c>
      <c r="U1630" s="20" t="s">
        <v>750</v>
      </c>
      <c r="V1630" s="34">
        <v>41.5</v>
      </c>
      <c r="W1630" s="22">
        <v>1</v>
      </c>
      <c r="X1630" s="23"/>
    </row>
    <row r="1631" spans="1:24" s="1" customFormat="1" ht="52.05" customHeight="1" x14ac:dyDescent="0.3">
      <c r="A1631" s="11" t="s">
        <v>23</v>
      </c>
      <c r="B1631" s="11" t="s">
        <v>1736</v>
      </c>
      <c r="C1631" s="12" t="s">
        <v>1737</v>
      </c>
      <c r="D1631" s="55"/>
      <c r="E1631" s="41" t="str">
        <f>HYPERLINK("https://www.google.ru/search?q=3024191-302&amp;newwindow=1&amp;tbm=isch","Еще фото")</f>
        <v>Еще фото</v>
      </c>
      <c r="F1631" s="13"/>
      <c r="G1631" s="11" t="s">
        <v>1184</v>
      </c>
      <c r="H1631" s="11" t="s">
        <v>741</v>
      </c>
      <c r="I1631" s="14" t="s">
        <v>1185</v>
      </c>
      <c r="J1631" s="14" t="s">
        <v>29</v>
      </c>
      <c r="K1631" s="15" t="s">
        <v>59</v>
      </c>
      <c r="L1631" s="57" t="s">
        <v>1738</v>
      </c>
      <c r="M1631" s="14" t="s">
        <v>1274</v>
      </c>
      <c r="N1631" s="14" t="s">
        <v>1739</v>
      </c>
      <c r="O1631" s="14"/>
      <c r="P1631" s="15" t="s">
        <v>1740</v>
      </c>
      <c r="Q1631" s="16">
        <v>14999</v>
      </c>
      <c r="R1631" s="17">
        <v>45.33</v>
      </c>
      <c r="S1631" s="18">
        <v>9429.9884999999995</v>
      </c>
      <c r="T1631" s="19" t="s">
        <v>36</v>
      </c>
      <c r="U1631" s="20" t="s">
        <v>1203</v>
      </c>
      <c r="V1631" s="22">
        <v>36</v>
      </c>
      <c r="W1631" s="22">
        <v>3</v>
      </c>
      <c r="X1631" s="23"/>
    </row>
    <row r="1632" spans="1:24" s="1" customFormat="1" ht="61.05" customHeight="1" x14ac:dyDescent="0.3">
      <c r="A1632" s="24" t="s">
        <v>23</v>
      </c>
      <c r="B1632" s="24" t="s">
        <v>1736</v>
      </c>
      <c r="C1632" s="12" t="s">
        <v>1737</v>
      </c>
      <c r="D1632" s="56"/>
      <c r="E1632" s="41" t="str">
        <f>HYPERLINK("https://www.google.ru/search?q=3024191-302&amp;newwindow=1&amp;tbm=isch","Еще фото")</f>
        <v>Еще фото</v>
      </c>
      <c r="F1632" s="13"/>
      <c r="G1632" s="24" t="s">
        <v>1184</v>
      </c>
      <c r="H1632" s="24" t="s">
        <v>741</v>
      </c>
      <c r="I1632" s="24" t="s">
        <v>1185</v>
      </c>
      <c r="J1632" s="14" t="s">
        <v>29</v>
      </c>
      <c r="K1632" s="15" t="s">
        <v>59</v>
      </c>
      <c r="L1632" s="58"/>
      <c r="M1632" s="14" t="s">
        <v>1274</v>
      </c>
      <c r="N1632" s="14" t="s">
        <v>1739</v>
      </c>
      <c r="O1632" s="14"/>
      <c r="P1632" s="15" t="s">
        <v>1740</v>
      </c>
      <c r="Q1632" s="16">
        <v>14999</v>
      </c>
      <c r="R1632" s="17">
        <v>45.33</v>
      </c>
      <c r="S1632" s="18">
        <v>9429.9884999999995</v>
      </c>
      <c r="T1632" s="19" t="s">
        <v>36</v>
      </c>
      <c r="U1632" s="20" t="s">
        <v>1196</v>
      </c>
      <c r="V1632" s="34">
        <v>36.5</v>
      </c>
      <c r="W1632" s="22">
        <v>1</v>
      </c>
      <c r="X1632" s="23"/>
    </row>
    <row r="1633" spans="1:24" s="1" customFormat="1" ht="108" customHeight="1" x14ac:dyDescent="0.3">
      <c r="A1633" s="11" t="s">
        <v>23</v>
      </c>
      <c r="B1633" s="11" t="s">
        <v>1741</v>
      </c>
      <c r="C1633" s="12" t="s">
        <v>1742</v>
      </c>
      <c r="D1633" s="25"/>
      <c r="E1633" s="41" t="str">
        <f>HYPERLINK("https://www.google.ru/search?q=3026124-104&amp;newwindow=1&amp;tbm=isch","Еще фото")</f>
        <v>Еще фото</v>
      </c>
      <c r="F1633" s="13"/>
      <c r="G1633" s="11" t="s">
        <v>1184</v>
      </c>
      <c r="H1633" s="11" t="s">
        <v>741</v>
      </c>
      <c r="I1633" s="14" t="s">
        <v>1185</v>
      </c>
      <c r="J1633" s="14" t="s">
        <v>29</v>
      </c>
      <c r="K1633" s="15" t="s">
        <v>59</v>
      </c>
      <c r="L1633" s="14" t="s">
        <v>1743</v>
      </c>
      <c r="M1633" s="14"/>
      <c r="N1633" s="14" t="s">
        <v>84</v>
      </c>
      <c r="O1633" s="14"/>
      <c r="P1633" s="15" t="s">
        <v>1744</v>
      </c>
      <c r="Q1633" s="16">
        <v>14999</v>
      </c>
      <c r="R1633" s="17">
        <v>45.33</v>
      </c>
      <c r="S1633" s="18">
        <v>9429.9884999999995</v>
      </c>
      <c r="T1633" s="19" t="s">
        <v>36</v>
      </c>
      <c r="U1633" s="20" t="s">
        <v>749</v>
      </c>
      <c r="V1633" s="22">
        <v>39</v>
      </c>
      <c r="W1633" s="22">
        <v>1</v>
      </c>
      <c r="X1633" s="23"/>
    </row>
    <row r="1634" spans="1:24" s="1" customFormat="1" ht="108" customHeight="1" x14ac:dyDescent="0.3">
      <c r="A1634" s="11" t="s">
        <v>23</v>
      </c>
      <c r="B1634" s="11" t="s">
        <v>1379</v>
      </c>
      <c r="C1634" s="12" t="s">
        <v>1745</v>
      </c>
      <c r="D1634" s="25"/>
      <c r="E1634" s="41" t="str">
        <f>HYPERLINK("https://www.google.ru/search?q=3024131-005&amp;newwindow=1&amp;tbm=isch","Еще фото")</f>
        <v>Еще фото</v>
      </c>
      <c r="F1634" s="13"/>
      <c r="G1634" s="11" t="s">
        <v>1184</v>
      </c>
      <c r="H1634" s="11" t="s">
        <v>741</v>
      </c>
      <c r="I1634" s="14" t="s">
        <v>1185</v>
      </c>
      <c r="J1634" s="14" t="s">
        <v>29</v>
      </c>
      <c r="K1634" s="15" t="s">
        <v>59</v>
      </c>
      <c r="L1634" s="14" t="s">
        <v>1746</v>
      </c>
      <c r="M1634" s="14"/>
      <c r="N1634" s="14" t="s">
        <v>62</v>
      </c>
      <c r="O1634" s="14"/>
      <c r="P1634" s="15" t="s">
        <v>1747</v>
      </c>
      <c r="Q1634" s="16">
        <v>7499</v>
      </c>
      <c r="R1634" s="17">
        <v>45.33</v>
      </c>
      <c r="S1634" s="18">
        <v>4714.9884999999995</v>
      </c>
      <c r="T1634" s="19" t="s">
        <v>36</v>
      </c>
      <c r="U1634" s="20" t="s">
        <v>1203</v>
      </c>
      <c r="V1634" s="22">
        <v>36</v>
      </c>
      <c r="W1634" s="22">
        <v>2</v>
      </c>
      <c r="X1634" s="23"/>
    </row>
    <row r="1635" spans="1:24" s="1" customFormat="1" ht="108" customHeight="1" x14ac:dyDescent="0.3">
      <c r="A1635" s="11" t="s">
        <v>23</v>
      </c>
      <c r="B1635" s="11" t="s">
        <v>1748</v>
      </c>
      <c r="C1635" s="12" t="s">
        <v>1749</v>
      </c>
      <c r="D1635" s="25"/>
      <c r="E1635" s="41" t="str">
        <f>HYPERLINK("https://www.google.ru/search?q=3024248-404&amp;newwindow=1&amp;tbm=isch","Еще фото")</f>
        <v>Еще фото</v>
      </c>
      <c r="F1635" s="13"/>
      <c r="G1635" s="11" t="s">
        <v>1184</v>
      </c>
      <c r="H1635" s="11" t="s">
        <v>741</v>
      </c>
      <c r="I1635" s="14" t="s">
        <v>1185</v>
      </c>
      <c r="J1635" s="14" t="s">
        <v>260</v>
      </c>
      <c r="K1635" s="15" t="s">
        <v>723</v>
      </c>
      <c r="L1635" s="14" t="s">
        <v>1750</v>
      </c>
      <c r="M1635" s="14" t="s">
        <v>1751</v>
      </c>
      <c r="N1635" s="14" t="s">
        <v>115</v>
      </c>
      <c r="O1635" s="14"/>
      <c r="P1635" s="15" t="s">
        <v>1752</v>
      </c>
      <c r="Q1635" s="16">
        <v>18290</v>
      </c>
      <c r="R1635" s="17">
        <v>45.33</v>
      </c>
      <c r="S1635" s="18">
        <v>11499.988499999999</v>
      </c>
      <c r="T1635" s="19" t="s">
        <v>36</v>
      </c>
      <c r="U1635" s="20" t="s">
        <v>1345</v>
      </c>
      <c r="V1635" s="22">
        <v>41</v>
      </c>
      <c r="W1635" s="22">
        <v>1</v>
      </c>
      <c r="X1635" s="23"/>
    </row>
    <row r="1636" spans="1:24" s="1" customFormat="1" ht="52.05" customHeight="1" x14ac:dyDescent="0.3">
      <c r="A1636" s="11" t="s">
        <v>23</v>
      </c>
      <c r="B1636" s="11" t="s">
        <v>1247</v>
      </c>
      <c r="C1636" s="12" t="s">
        <v>1753</v>
      </c>
      <c r="D1636" s="55"/>
      <c r="E1636" s="41" t="str">
        <f>HYPERLINK("https://www.google.ru/search?q=3027189-400&amp;newwindow=1&amp;tbm=isch","Еще фото")</f>
        <v>Еще фото</v>
      </c>
      <c r="F1636" s="13"/>
      <c r="G1636" s="11" t="s">
        <v>1184</v>
      </c>
      <c r="H1636" s="11" t="s">
        <v>741</v>
      </c>
      <c r="I1636" s="14" t="s">
        <v>1185</v>
      </c>
      <c r="J1636" s="14" t="s">
        <v>29</v>
      </c>
      <c r="K1636" s="15" t="s">
        <v>30</v>
      </c>
      <c r="L1636" s="57" t="s">
        <v>1249</v>
      </c>
      <c r="M1636" s="14"/>
      <c r="N1636" s="14" t="s">
        <v>115</v>
      </c>
      <c r="O1636" s="14"/>
      <c r="P1636" s="15" t="s">
        <v>1250</v>
      </c>
      <c r="Q1636" s="16">
        <v>19199</v>
      </c>
      <c r="R1636" s="17">
        <v>45.31</v>
      </c>
      <c r="S1636" s="18">
        <v>12074.988499999999</v>
      </c>
      <c r="T1636" s="19" t="s">
        <v>36</v>
      </c>
      <c r="U1636" s="20" t="s">
        <v>747</v>
      </c>
      <c r="V1636" s="34">
        <v>39.5</v>
      </c>
      <c r="W1636" s="22">
        <v>2</v>
      </c>
      <c r="X1636" s="23"/>
    </row>
    <row r="1637" spans="1:24" s="1" customFormat="1" ht="61.05" customHeight="1" x14ac:dyDescent="0.3">
      <c r="A1637" s="24" t="s">
        <v>23</v>
      </c>
      <c r="B1637" s="24" t="s">
        <v>1247</v>
      </c>
      <c r="C1637" s="12" t="s">
        <v>1753</v>
      </c>
      <c r="D1637" s="56"/>
      <c r="E1637" s="41" t="str">
        <f>HYPERLINK("https://www.google.ru/search?q=3027189-400&amp;newwindow=1&amp;tbm=isch","Еще фото")</f>
        <v>Еще фото</v>
      </c>
      <c r="F1637" s="13"/>
      <c r="G1637" s="24" t="s">
        <v>1184</v>
      </c>
      <c r="H1637" s="24" t="s">
        <v>741</v>
      </c>
      <c r="I1637" s="24" t="s">
        <v>1185</v>
      </c>
      <c r="J1637" s="14" t="s">
        <v>29</v>
      </c>
      <c r="K1637" s="15" t="s">
        <v>30</v>
      </c>
      <c r="L1637" s="58"/>
      <c r="M1637" s="14"/>
      <c r="N1637" s="14" t="s">
        <v>115</v>
      </c>
      <c r="O1637" s="14"/>
      <c r="P1637" s="15" t="s">
        <v>1250</v>
      </c>
      <c r="Q1637" s="16">
        <v>19199</v>
      </c>
      <c r="R1637" s="17">
        <v>45.31</v>
      </c>
      <c r="S1637" s="18">
        <v>12074.988499999999</v>
      </c>
      <c r="T1637" s="19" t="s">
        <v>36</v>
      </c>
      <c r="U1637" s="20" t="s">
        <v>753</v>
      </c>
      <c r="V1637" s="34">
        <v>43.5</v>
      </c>
      <c r="W1637" s="22">
        <v>1</v>
      </c>
      <c r="X1637" s="23"/>
    </row>
    <row r="1638" spans="1:24" s="1" customFormat="1" ht="52.05" customHeight="1" x14ac:dyDescent="0.3">
      <c r="A1638" s="11" t="s">
        <v>23</v>
      </c>
      <c r="B1638" s="11" t="s">
        <v>1754</v>
      </c>
      <c r="C1638" s="12" t="s">
        <v>1755</v>
      </c>
      <c r="D1638" s="55"/>
      <c r="E1638" s="41" t="str">
        <f>HYPERLINK("https://www.google.ru/search?q=3024234-001&amp;newwindow=1&amp;tbm=isch","Еще фото")</f>
        <v>Еще фото</v>
      </c>
      <c r="F1638" s="13"/>
      <c r="G1638" s="11" t="s">
        <v>1184</v>
      </c>
      <c r="H1638" s="11" t="s">
        <v>741</v>
      </c>
      <c r="I1638" s="14" t="s">
        <v>1185</v>
      </c>
      <c r="J1638" s="14" t="s">
        <v>29</v>
      </c>
      <c r="K1638" s="15" t="s">
        <v>59</v>
      </c>
      <c r="L1638" s="57" t="s">
        <v>1756</v>
      </c>
      <c r="M1638" s="14" t="s">
        <v>1225</v>
      </c>
      <c r="N1638" s="14" t="s">
        <v>33</v>
      </c>
      <c r="O1638" s="14" t="s">
        <v>34</v>
      </c>
      <c r="P1638" s="15" t="s">
        <v>1226</v>
      </c>
      <c r="Q1638" s="16">
        <v>16999</v>
      </c>
      <c r="R1638" s="17">
        <v>45.29</v>
      </c>
      <c r="S1638" s="18">
        <v>10694.988499999999</v>
      </c>
      <c r="T1638" s="19" t="s">
        <v>36</v>
      </c>
      <c r="U1638" s="20" t="s">
        <v>1190</v>
      </c>
      <c r="V1638" s="34">
        <v>35.5</v>
      </c>
      <c r="W1638" s="22">
        <v>1</v>
      </c>
      <c r="X1638" s="23"/>
    </row>
    <row r="1639" spans="1:24" s="1" customFormat="1" ht="61.05" customHeight="1" x14ac:dyDescent="0.3">
      <c r="A1639" s="24" t="s">
        <v>23</v>
      </c>
      <c r="B1639" s="24" t="s">
        <v>1754</v>
      </c>
      <c r="C1639" s="12" t="s">
        <v>1755</v>
      </c>
      <c r="D1639" s="56"/>
      <c r="E1639" s="41" t="str">
        <f>HYPERLINK("https://www.google.ru/search?q=3024234-001&amp;newwindow=1&amp;tbm=isch","Еще фото")</f>
        <v>Еще фото</v>
      </c>
      <c r="F1639" s="13"/>
      <c r="G1639" s="24" t="s">
        <v>1184</v>
      </c>
      <c r="H1639" s="24" t="s">
        <v>741</v>
      </c>
      <c r="I1639" s="24" t="s">
        <v>1185</v>
      </c>
      <c r="J1639" s="14" t="s">
        <v>29</v>
      </c>
      <c r="K1639" s="15" t="s">
        <v>59</v>
      </c>
      <c r="L1639" s="58"/>
      <c r="M1639" s="14" t="s">
        <v>1225</v>
      </c>
      <c r="N1639" s="14" t="s">
        <v>33</v>
      </c>
      <c r="O1639" s="14" t="s">
        <v>34</v>
      </c>
      <c r="P1639" s="15" t="s">
        <v>1226</v>
      </c>
      <c r="Q1639" s="16">
        <v>16999</v>
      </c>
      <c r="R1639" s="17">
        <v>45.29</v>
      </c>
      <c r="S1639" s="18">
        <v>10694.988499999999</v>
      </c>
      <c r="T1639" s="19" t="s">
        <v>36</v>
      </c>
      <c r="U1639" s="20" t="s">
        <v>1196</v>
      </c>
      <c r="V1639" s="34">
        <v>36.5</v>
      </c>
      <c r="W1639" s="22">
        <v>1</v>
      </c>
      <c r="X1639" s="23"/>
    </row>
    <row r="1640" spans="1:24" s="1" customFormat="1" ht="108" customHeight="1" x14ac:dyDescent="0.3">
      <c r="A1640" s="11" t="s">
        <v>23</v>
      </c>
      <c r="B1640" s="11" t="s">
        <v>1706</v>
      </c>
      <c r="C1640" s="12" t="s">
        <v>1757</v>
      </c>
      <c r="D1640" s="25"/>
      <c r="E1640" s="41" t="str">
        <f>HYPERLINK("https://www.google.ru/search?q=3024906-501&amp;newwindow=1&amp;tbm=isch","Еще фото")</f>
        <v>Еще фото</v>
      </c>
      <c r="F1640" s="13"/>
      <c r="G1640" s="11" t="s">
        <v>1184</v>
      </c>
      <c r="H1640" s="11" t="s">
        <v>741</v>
      </c>
      <c r="I1640" s="14" t="s">
        <v>1185</v>
      </c>
      <c r="J1640" s="14" t="s">
        <v>29</v>
      </c>
      <c r="K1640" s="15" t="s">
        <v>59</v>
      </c>
      <c r="L1640" s="14" t="s">
        <v>1708</v>
      </c>
      <c r="M1640" s="14" t="s">
        <v>1211</v>
      </c>
      <c r="N1640" s="14" t="s">
        <v>79</v>
      </c>
      <c r="O1640" s="14" t="s">
        <v>34</v>
      </c>
      <c r="P1640" s="15" t="s">
        <v>1758</v>
      </c>
      <c r="Q1640" s="16">
        <v>16999</v>
      </c>
      <c r="R1640" s="17">
        <v>45.29</v>
      </c>
      <c r="S1640" s="18">
        <v>10694.988499999999</v>
      </c>
      <c r="T1640" s="19" t="s">
        <v>36</v>
      </c>
      <c r="U1640" s="20" t="s">
        <v>1196</v>
      </c>
      <c r="V1640" s="34">
        <v>36.5</v>
      </c>
      <c r="W1640" s="22">
        <v>1</v>
      </c>
      <c r="X1640" s="23"/>
    </row>
    <row r="1641" spans="1:24" s="1" customFormat="1" ht="108" customHeight="1" x14ac:dyDescent="0.3">
      <c r="A1641" s="11" t="s">
        <v>23</v>
      </c>
      <c r="B1641" s="11" t="s">
        <v>1388</v>
      </c>
      <c r="C1641" s="12" t="s">
        <v>1759</v>
      </c>
      <c r="D1641" s="25"/>
      <c r="E1641" s="41" t="str">
        <f>HYPERLINK("https://www.google.ru/search?q=3026550-301&amp;newwindow=1&amp;tbm=isch","Еще фото")</f>
        <v>Еще фото</v>
      </c>
      <c r="F1641" s="13"/>
      <c r="G1641" s="11" t="s">
        <v>1184</v>
      </c>
      <c r="H1641" s="11" t="s">
        <v>741</v>
      </c>
      <c r="I1641" s="14" t="s">
        <v>1185</v>
      </c>
      <c r="J1641" s="14" t="s">
        <v>29</v>
      </c>
      <c r="K1641" s="15" t="s">
        <v>59</v>
      </c>
      <c r="L1641" s="14" t="s">
        <v>1390</v>
      </c>
      <c r="M1641" s="14" t="s">
        <v>1211</v>
      </c>
      <c r="N1641" s="14" t="s">
        <v>229</v>
      </c>
      <c r="O1641" s="14"/>
      <c r="P1641" s="15" t="s">
        <v>1397</v>
      </c>
      <c r="Q1641" s="16">
        <v>16999</v>
      </c>
      <c r="R1641" s="17">
        <v>45.29</v>
      </c>
      <c r="S1641" s="18">
        <v>10694.988499999999</v>
      </c>
      <c r="T1641" s="19" t="s">
        <v>36</v>
      </c>
      <c r="U1641" s="20" t="s">
        <v>1203</v>
      </c>
      <c r="V1641" s="22">
        <v>36</v>
      </c>
      <c r="W1641" s="22">
        <v>2</v>
      </c>
      <c r="X1641" s="23"/>
    </row>
    <row r="1642" spans="1:24" s="1" customFormat="1" ht="108" customHeight="1" x14ac:dyDescent="0.3">
      <c r="A1642" s="11" t="s">
        <v>23</v>
      </c>
      <c r="B1642" s="11" t="s">
        <v>1712</v>
      </c>
      <c r="C1642" s="12" t="s">
        <v>1760</v>
      </c>
      <c r="D1642" s="25"/>
      <c r="E1642" s="41" t="str">
        <f>HYPERLINK("https://www.google.ru/search?q=3026017-106&amp;newwindow=1&amp;tbm=isch","Еще фото")</f>
        <v>Еще фото</v>
      </c>
      <c r="F1642" s="13" t="s">
        <v>103</v>
      </c>
      <c r="G1642" s="11" t="s">
        <v>1184</v>
      </c>
      <c r="H1642" s="11" t="s">
        <v>741</v>
      </c>
      <c r="I1642" s="14" t="s">
        <v>1185</v>
      </c>
      <c r="J1642" s="14" t="s">
        <v>29</v>
      </c>
      <c r="K1642" s="15" t="s">
        <v>30</v>
      </c>
      <c r="L1642" s="14" t="s">
        <v>1714</v>
      </c>
      <c r="M1642" s="14"/>
      <c r="N1642" s="14" t="s">
        <v>84</v>
      </c>
      <c r="O1642" s="14"/>
      <c r="P1642" s="15" t="s">
        <v>1761</v>
      </c>
      <c r="Q1642" s="16">
        <v>10599</v>
      </c>
      <c r="R1642" s="17">
        <v>45.28</v>
      </c>
      <c r="S1642" s="18">
        <v>6669.9884999999995</v>
      </c>
      <c r="T1642" s="19" t="s">
        <v>36</v>
      </c>
      <c r="U1642" s="20" t="s">
        <v>746</v>
      </c>
      <c r="V1642" s="22">
        <v>39</v>
      </c>
      <c r="W1642" s="22">
        <v>1</v>
      </c>
      <c r="X1642" s="23"/>
    </row>
    <row r="1643" spans="1:24" s="1" customFormat="1" ht="108" customHeight="1" x14ac:dyDescent="0.3">
      <c r="A1643" s="11" t="s">
        <v>23</v>
      </c>
      <c r="B1643" s="11" t="s">
        <v>1762</v>
      </c>
      <c r="C1643" s="12" t="s">
        <v>1763</v>
      </c>
      <c r="D1643" s="25"/>
      <c r="E1643" s="41" t="str">
        <f>HYPERLINK("https://www.google.ru/search?q=3025852-105&amp;newwindow=1&amp;tbm=isch","Еще фото")</f>
        <v>Еще фото</v>
      </c>
      <c r="F1643" s="13"/>
      <c r="G1643" s="11" t="s">
        <v>1184</v>
      </c>
      <c r="H1643" s="11" t="s">
        <v>741</v>
      </c>
      <c r="I1643" s="14" t="s">
        <v>1185</v>
      </c>
      <c r="J1643" s="14" t="s">
        <v>674</v>
      </c>
      <c r="K1643" s="15" t="s">
        <v>723</v>
      </c>
      <c r="L1643" s="14" t="s">
        <v>1764</v>
      </c>
      <c r="M1643" s="14" t="s">
        <v>1765</v>
      </c>
      <c r="N1643" s="14" t="s">
        <v>33</v>
      </c>
      <c r="O1643" s="14"/>
      <c r="P1643" s="15" t="s">
        <v>1766</v>
      </c>
      <c r="Q1643" s="16">
        <v>18999</v>
      </c>
      <c r="R1643" s="17">
        <v>45.26</v>
      </c>
      <c r="S1643" s="18">
        <v>11959.988499999999</v>
      </c>
      <c r="T1643" s="19" t="s">
        <v>36</v>
      </c>
      <c r="U1643" s="20" t="s">
        <v>1333</v>
      </c>
      <c r="V1643" s="22">
        <v>36</v>
      </c>
      <c r="W1643" s="22">
        <v>1</v>
      </c>
      <c r="X1643" s="23"/>
    </row>
    <row r="1644" spans="1:24" s="1" customFormat="1" ht="52.05" customHeight="1" x14ac:dyDescent="0.3">
      <c r="A1644" s="11" t="s">
        <v>23</v>
      </c>
      <c r="B1644" s="11" t="s">
        <v>1767</v>
      </c>
      <c r="C1644" s="12" t="s">
        <v>1768</v>
      </c>
      <c r="D1644" s="55"/>
      <c r="E1644" s="41" t="str">
        <f>HYPERLINK("https://www.google.ru/search?q=3026370-200&amp;newwindow=1&amp;tbm=isch","Еще фото")</f>
        <v>Еще фото</v>
      </c>
      <c r="F1644" s="13"/>
      <c r="G1644" s="11" t="s">
        <v>1184</v>
      </c>
      <c r="H1644" s="11" t="s">
        <v>741</v>
      </c>
      <c r="I1644" s="14" t="s">
        <v>1185</v>
      </c>
      <c r="J1644" s="14" t="s">
        <v>674</v>
      </c>
      <c r="K1644" s="15" t="s">
        <v>30</v>
      </c>
      <c r="L1644" s="57" t="s">
        <v>1769</v>
      </c>
      <c r="M1644" s="14" t="s">
        <v>1194</v>
      </c>
      <c r="N1644" s="14" t="s">
        <v>332</v>
      </c>
      <c r="O1644" s="14" t="s">
        <v>945</v>
      </c>
      <c r="P1644" s="15" t="s">
        <v>1770</v>
      </c>
      <c r="Q1644" s="16">
        <v>18999</v>
      </c>
      <c r="R1644" s="17">
        <v>45.26</v>
      </c>
      <c r="S1644" s="18">
        <v>11959.988499999999</v>
      </c>
      <c r="T1644" s="19" t="s">
        <v>36</v>
      </c>
      <c r="U1644" s="20" t="s">
        <v>746</v>
      </c>
      <c r="V1644" s="22">
        <v>39</v>
      </c>
      <c r="W1644" s="22">
        <v>1</v>
      </c>
      <c r="X1644" s="23"/>
    </row>
    <row r="1645" spans="1:24" s="1" customFormat="1" ht="61.05" customHeight="1" x14ac:dyDescent="0.3">
      <c r="A1645" s="24" t="s">
        <v>23</v>
      </c>
      <c r="B1645" s="24" t="s">
        <v>1767</v>
      </c>
      <c r="C1645" s="12" t="s">
        <v>1768</v>
      </c>
      <c r="D1645" s="56"/>
      <c r="E1645" s="41" t="str">
        <f>HYPERLINK("https://www.google.ru/search?q=3026370-200&amp;newwindow=1&amp;tbm=isch","Еще фото")</f>
        <v>Еще фото</v>
      </c>
      <c r="F1645" s="13"/>
      <c r="G1645" s="24" t="s">
        <v>1184</v>
      </c>
      <c r="H1645" s="24" t="s">
        <v>741</v>
      </c>
      <c r="I1645" s="24" t="s">
        <v>1185</v>
      </c>
      <c r="J1645" s="14" t="s">
        <v>674</v>
      </c>
      <c r="K1645" s="15" t="s">
        <v>30</v>
      </c>
      <c r="L1645" s="58"/>
      <c r="M1645" s="14" t="s">
        <v>1194</v>
      </c>
      <c r="N1645" s="14" t="s">
        <v>332</v>
      </c>
      <c r="O1645" s="14" t="s">
        <v>945</v>
      </c>
      <c r="P1645" s="15" t="s">
        <v>1770</v>
      </c>
      <c r="Q1645" s="16">
        <v>18999</v>
      </c>
      <c r="R1645" s="17">
        <v>45.26</v>
      </c>
      <c r="S1645" s="18">
        <v>11959.988499999999</v>
      </c>
      <c r="T1645" s="19" t="s">
        <v>36</v>
      </c>
      <c r="U1645" s="20" t="s">
        <v>747</v>
      </c>
      <c r="V1645" s="34">
        <v>39.5</v>
      </c>
      <c r="W1645" s="22">
        <v>2</v>
      </c>
      <c r="X1645" s="23"/>
    </row>
    <row r="1646" spans="1:24" s="1" customFormat="1" ht="108" customHeight="1" x14ac:dyDescent="0.3">
      <c r="A1646" s="11" t="s">
        <v>23</v>
      </c>
      <c r="B1646" s="11" t="s">
        <v>1551</v>
      </c>
      <c r="C1646" s="12" t="s">
        <v>1771</v>
      </c>
      <c r="D1646" s="25"/>
      <c r="E1646" s="41" t="str">
        <f>HYPERLINK("https://www.google.ru/search?q=3026727-011&amp;newwindow=1&amp;tbm=isch","Еще фото")</f>
        <v>Еще фото</v>
      </c>
      <c r="F1646" s="13" t="s">
        <v>103</v>
      </c>
      <c r="G1646" s="11" t="s">
        <v>1184</v>
      </c>
      <c r="H1646" s="11" t="s">
        <v>741</v>
      </c>
      <c r="I1646" s="14" t="s">
        <v>1185</v>
      </c>
      <c r="J1646" s="14" t="s">
        <v>29</v>
      </c>
      <c r="K1646" s="15" t="s">
        <v>30</v>
      </c>
      <c r="L1646" s="14" t="s">
        <v>1772</v>
      </c>
      <c r="M1646" s="14"/>
      <c r="N1646" s="14" t="s">
        <v>62</v>
      </c>
      <c r="O1646" s="14"/>
      <c r="P1646" s="15" t="s">
        <v>1554</v>
      </c>
      <c r="Q1646" s="16">
        <v>9499</v>
      </c>
      <c r="R1646" s="17">
        <v>45.26</v>
      </c>
      <c r="S1646" s="18">
        <v>5979.9884999999995</v>
      </c>
      <c r="T1646" s="19" t="s">
        <v>36</v>
      </c>
      <c r="U1646" s="20" t="s">
        <v>751</v>
      </c>
      <c r="V1646" s="22">
        <v>42</v>
      </c>
      <c r="W1646" s="22">
        <v>1</v>
      </c>
      <c r="X1646" s="23"/>
    </row>
    <row r="1647" spans="1:24" s="1" customFormat="1" ht="108" customHeight="1" x14ac:dyDescent="0.3">
      <c r="A1647" s="11" t="s">
        <v>23</v>
      </c>
      <c r="B1647" s="11" t="s">
        <v>1773</v>
      </c>
      <c r="C1647" s="12" t="s">
        <v>1774</v>
      </c>
      <c r="D1647" s="25"/>
      <c r="E1647" s="41" t="str">
        <f>HYPERLINK("https://www.google.ru/search?q=3023555-601&amp;newwindow=1&amp;tbm=isch","Еще фото")</f>
        <v>Еще фото</v>
      </c>
      <c r="F1647" s="13"/>
      <c r="G1647" s="11" t="s">
        <v>1184</v>
      </c>
      <c r="H1647" s="11" t="s">
        <v>741</v>
      </c>
      <c r="I1647" s="14" t="s">
        <v>1185</v>
      </c>
      <c r="J1647" s="14" t="s">
        <v>29</v>
      </c>
      <c r="K1647" s="15" t="s">
        <v>59</v>
      </c>
      <c r="L1647" s="14" t="s">
        <v>1775</v>
      </c>
      <c r="M1647" s="14" t="s">
        <v>1211</v>
      </c>
      <c r="N1647" s="14" t="s">
        <v>69</v>
      </c>
      <c r="O1647" s="14"/>
      <c r="P1647" s="15" t="s">
        <v>1776</v>
      </c>
      <c r="Q1647" s="16">
        <v>25199</v>
      </c>
      <c r="R1647" s="17">
        <v>45.24</v>
      </c>
      <c r="S1647" s="18">
        <v>15869.988499999998</v>
      </c>
      <c r="T1647" s="19" t="s">
        <v>36</v>
      </c>
      <c r="U1647" s="20" t="s">
        <v>1241</v>
      </c>
      <c r="V1647" s="22">
        <v>35</v>
      </c>
      <c r="W1647" s="22">
        <v>2</v>
      </c>
      <c r="X1647" s="23"/>
    </row>
    <row r="1648" spans="1:24" s="1" customFormat="1" ht="108" customHeight="1" x14ac:dyDescent="0.3">
      <c r="A1648" s="11" t="s">
        <v>23</v>
      </c>
      <c r="B1648" s="11" t="s">
        <v>1777</v>
      </c>
      <c r="C1648" s="12" t="s">
        <v>1778</v>
      </c>
      <c r="D1648" s="25"/>
      <c r="E1648" s="41" t="str">
        <f>HYPERLINK("https://www.google.ru/search?q=3026634-002&amp;newwindow=1&amp;tbm=isch","Еще фото")</f>
        <v>Еще фото</v>
      </c>
      <c r="F1648" s="13"/>
      <c r="G1648" s="11" t="s">
        <v>1184</v>
      </c>
      <c r="H1648" s="11" t="s">
        <v>741</v>
      </c>
      <c r="I1648" s="14" t="s">
        <v>1185</v>
      </c>
      <c r="J1648" s="14" t="s">
        <v>260</v>
      </c>
      <c r="K1648" s="15" t="s">
        <v>723</v>
      </c>
      <c r="L1648" s="14" t="s">
        <v>1779</v>
      </c>
      <c r="M1648" s="14"/>
      <c r="N1648" s="14" t="s">
        <v>33</v>
      </c>
      <c r="O1648" s="14"/>
      <c r="P1648" s="15" t="s">
        <v>1780</v>
      </c>
      <c r="Q1648" s="16">
        <v>12599</v>
      </c>
      <c r="R1648" s="17">
        <v>45.23</v>
      </c>
      <c r="S1648" s="18">
        <v>7934.9884999999995</v>
      </c>
      <c r="T1648" s="19" t="s">
        <v>36</v>
      </c>
      <c r="U1648" s="20" t="s">
        <v>1446</v>
      </c>
      <c r="V1648" s="22">
        <v>40</v>
      </c>
      <c r="W1648" s="22">
        <v>2</v>
      </c>
      <c r="X1648" s="23"/>
    </row>
    <row r="1649" spans="1:24" s="1" customFormat="1" ht="35" customHeight="1" x14ac:dyDescent="0.3">
      <c r="A1649" s="11" t="s">
        <v>23</v>
      </c>
      <c r="B1649" s="11" t="s">
        <v>1777</v>
      </c>
      <c r="C1649" s="12" t="s">
        <v>1781</v>
      </c>
      <c r="D1649" s="59"/>
      <c r="E1649" s="41" t="str">
        <f>HYPERLINK("https://www.google.ru/search?q=3026634-003&amp;newwindow=1&amp;tbm=isch","Еще фото")</f>
        <v>Еще фото</v>
      </c>
      <c r="F1649" s="13"/>
      <c r="G1649" s="11" t="s">
        <v>1184</v>
      </c>
      <c r="H1649" s="11" t="s">
        <v>741</v>
      </c>
      <c r="I1649" s="14" t="s">
        <v>1185</v>
      </c>
      <c r="J1649" s="14" t="s">
        <v>260</v>
      </c>
      <c r="K1649" s="15" t="s">
        <v>723</v>
      </c>
      <c r="L1649" s="57" t="s">
        <v>1779</v>
      </c>
      <c r="M1649" s="14"/>
      <c r="N1649" s="14" t="s">
        <v>1541</v>
      </c>
      <c r="O1649" s="14"/>
      <c r="P1649" s="15" t="s">
        <v>1780</v>
      </c>
      <c r="Q1649" s="16">
        <v>12599</v>
      </c>
      <c r="R1649" s="17">
        <v>45.23</v>
      </c>
      <c r="S1649" s="18">
        <v>7934.9884999999995</v>
      </c>
      <c r="T1649" s="19" t="s">
        <v>36</v>
      </c>
      <c r="U1649" s="20" t="s">
        <v>1446</v>
      </c>
      <c r="V1649" s="22">
        <v>40</v>
      </c>
      <c r="W1649" s="22">
        <v>3</v>
      </c>
      <c r="X1649" s="23"/>
    </row>
    <row r="1650" spans="1:24" s="1" customFormat="1" ht="35" customHeight="1" x14ac:dyDescent="0.3">
      <c r="A1650" s="24" t="s">
        <v>23</v>
      </c>
      <c r="B1650" s="24" t="s">
        <v>1777</v>
      </c>
      <c r="C1650" s="12" t="s">
        <v>1781</v>
      </c>
      <c r="D1650" s="60"/>
      <c r="E1650" s="41" t="str">
        <f>HYPERLINK("https://www.google.ru/search?q=3026634-003&amp;newwindow=1&amp;tbm=isch","Еще фото")</f>
        <v>Еще фото</v>
      </c>
      <c r="F1650" s="13"/>
      <c r="G1650" s="24" t="s">
        <v>1184</v>
      </c>
      <c r="H1650" s="24" t="s">
        <v>741</v>
      </c>
      <c r="I1650" s="24" t="s">
        <v>1185</v>
      </c>
      <c r="J1650" s="14" t="s">
        <v>260</v>
      </c>
      <c r="K1650" s="15" t="s">
        <v>723</v>
      </c>
      <c r="L1650" s="62"/>
      <c r="M1650" s="14"/>
      <c r="N1650" s="14" t="s">
        <v>1541</v>
      </c>
      <c r="O1650" s="14"/>
      <c r="P1650" s="15" t="s">
        <v>1780</v>
      </c>
      <c r="Q1650" s="16">
        <v>12599</v>
      </c>
      <c r="R1650" s="17">
        <v>45.23</v>
      </c>
      <c r="S1650" s="18">
        <v>7934.9884999999995</v>
      </c>
      <c r="T1650" s="19" t="s">
        <v>36</v>
      </c>
      <c r="U1650" s="20" t="s">
        <v>1345</v>
      </c>
      <c r="V1650" s="22">
        <v>41</v>
      </c>
      <c r="W1650" s="22">
        <v>5</v>
      </c>
      <c r="X1650" s="23"/>
    </row>
    <row r="1651" spans="1:24" s="1" customFormat="1" ht="37.049999999999997" customHeight="1" x14ac:dyDescent="0.3">
      <c r="A1651" s="24" t="s">
        <v>23</v>
      </c>
      <c r="B1651" s="24" t="s">
        <v>1777</v>
      </c>
      <c r="C1651" s="12" t="s">
        <v>1781</v>
      </c>
      <c r="D1651" s="61"/>
      <c r="E1651" s="41" t="str">
        <f>HYPERLINK("https://www.google.ru/search?q=3026634-003&amp;newwindow=1&amp;tbm=isch","Еще фото")</f>
        <v>Еще фото</v>
      </c>
      <c r="F1651" s="13"/>
      <c r="G1651" s="24" t="s">
        <v>1184</v>
      </c>
      <c r="H1651" s="24" t="s">
        <v>741</v>
      </c>
      <c r="I1651" s="24" t="s">
        <v>1185</v>
      </c>
      <c r="J1651" s="14" t="s">
        <v>260</v>
      </c>
      <c r="K1651" s="15" t="s">
        <v>723</v>
      </c>
      <c r="L1651" s="58"/>
      <c r="M1651" s="14"/>
      <c r="N1651" s="14" t="s">
        <v>1541</v>
      </c>
      <c r="O1651" s="14"/>
      <c r="P1651" s="15" t="s">
        <v>1780</v>
      </c>
      <c r="Q1651" s="16">
        <v>12599</v>
      </c>
      <c r="R1651" s="17">
        <v>45.23</v>
      </c>
      <c r="S1651" s="18">
        <v>7934.9884999999995</v>
      </c>
      <c r="T1651" s="19" t="s">
        <v>36</v>
      </c>
      <c r="U1651" s="20" t="s">
        <v>1346</v>
      </c>
      <c r="V1651" s="34">
        <v>41.5</v>
      </c>
      <c r="W1651" s="22">
        <v>14</v>
      </c>
      <c r="X1651" s="23"/>
    </row>
    <row r="1652" spans="1:24" s="1" customFormat="1" ht="108" customHeight="1" x14ac:dyDescent="0.3">
      <c r="A1652" s="11" t="s">
        <v>23</v>
      </c>
      <c r="B1652" s="11" t="s">
        <v>1777</v>
      </c>
      <c r="C1652" s="12" t="s">
        <v>1782</v>
      </c>
      <c r="D1652" s="25"/>
      <c r="E1652" s="41" t="str">
        <f>HYPERLINK("https://www.google.ru/search?q=3026634-104&amp;newwindow=1&amp;tbm=isch","Еще фото")</f>
        <v>Еще фото</v>
      </c>
      <c r="F1652" s="13"/>
      <c r="G1652" s="11" t="s">
        <v>1184</v>
      </c>
      <c r="H1652" s="11" t="s">
        <v>741</v>
      </c>
      <c r="I1652" s="14" t="s">
        <v>1185</v>
      </c>
      <c r="J1652" s="14" t="s">
        <v>260</v>
      </c>
      <c r="K1652" s="15" t="s">
        <v>723</v>
      </c>
      <c r="L1652" s="14" t="s">
        <v>1779</v>
      </c>
      <c r="M1652" s="14"/>
      <c r="N1652" s="14" t="s">
        <v>62</v>
      </c>
      <c r="O1652" s="14"/>
      <c r="P1652" s="15" t="s">
        <v>1780</v>
      </c>
      <c r="Q1652" s="16">
        <v>12599</v>
      </c>
      <c r="R1652" s="17">
        <v>45.23</v>
      </c>
      <c r="S1652" s="18">
        <v>7934.9884999999995</v>
      </c>
      <c r="T1652" s="19" t="s">
        <v>36</v>
      </c>
      <c r="U1652" s="20" t="s">
        <v>1346</v>
      </c>
      <c r="V1652" s="34">
        <v>41.5</v>
      </c>
      <c r="W1652" s="22">
        <v>1</v>
      </c>
      <c r="X1652" s="23"/>
    </row>
    <row r="1653" spans="1:24" s="1" customFormat="1" ht="108" customHeight="1" x14ac:dyDescent="0.3">
      <c r="A1653" s="11" t="s">
        <v>23</v>
      </c>
      <c r="B1653" s="11" t="s">
        <v>1783</v>
      </c>
      <c r="C1653" s="12" t="s">
        <v>1784</v>
      </c>
      <c r="D1653" s="25"/>
      <c r="E1653" s="41" t="str">
        <f>HYPERLINK("https://www.google.ru/search?q=3021953-001&amp;newwindow=1&amp;tbm=isch","Еще фото")</f>
        <v>Еще фото</v>
      </c>
      <c r="F1653" s="13"/>
      <c r="G1653" s="11" t="s">
        <v>1184</v>
      </c>
      <c r="H1653" s="11" t="s">
        <v>741</v>
      </c>
      <c r="I1653" s="14" t="s">
        <v>1185</v>
      </c>
      <c r="J1653" s="14" t="s">
        <v>29</v>
      </c>
      <c r="K1653" s="15" t="s">
        <v>30</v>
      </c>
      <c r="L1653" s="14" t="s">
        <v>1785</v>
      </c>
      <c r="M1653" s="14" t="s">
        <v>765</v>
      </c>
      <c r="N1653" s="14" t="s">
        <v>33</v>
      </c>
      <c r="O1653" s="14" t="s">
        <v>760</v>
      </c>
      <c r="P1653" s="15" t="s">
        <v>1786</v>
      </c>
      <c r="Q1653" s="16">
        <v>8399</v>
      </c>
      <c r="R1653" s="17">
        <v>45.23</v>
      </c>
      <c r="S1653" s="18">
        <v>5289.9884999999995</v>
      </c>
      <c r="T1653" s="19" t="s">
        <v>36</v>
      </c>
      <c r="U1653" s="20" t="s">
        <v>747</v>
      </c>
      <c r="V1653" s="34">
        <v>39.5</v>
      </c>
      <c r="W1653" s="22">
        <v>1</v>
      </c>
      <c r="X1653" s="23"/>
    </row>
    <row r="1654" spans="1:24" s="1" customFormat="1" ht="108" customHeight="1" x14ac:dyDescent="0.3">
      <c r="A1654" s="11" t="s">
        <v>23</v>
      </c>
      <c r="B1654" s="11" t="s">
        <v>1787</v>
      </c>
      <c r="C1654" s="12" t="s">
        <v>1788</v>
      </c>
      <c r="D1654" s="25"/>
      <c r="E1654" s="41" t="str">
        <f>HYPERLINK("https://www.google.ru/search?q=3023658-001&amp;newwindow=1&amp;tbm=isch","Еще фото")</f>
        <v>Еще фото</v>
      </c>
      <c r="F1654" s="13"/>
      <c r="G1654" s="11" t="s">
        <v>1184</v>
      </c>
      <c r="H1654" s="11" t="s">
        <v>741</v>
      </c>
      <c r="I1654" s="14" t="s">
        <v>1185</v>
      </c>
      <c r="J1654" s="14" t="s">
        <v>29</v>
      </c>
      <c r="K1654" s="15" t="s">
        <v>59</v>
      </c>
      <c r="L1654" s="14" t="s">
        <v>1789</v>
      </c>
      <c r="M1654" s="14"/>
      <c r="N1654" s="14" t="s">
        <v>33</v>
      </c>
      <c r="O1654" s="14"/>
      <c r="P1654" s="15" t="s">
        <v>1790</v>
      </c>
      <c r="Q1654" s="16">
        <v>8399</v>
      </c>
      <c r="R1654" s="17">
        <v>45.23</v>
      </c>
      <c r="S1654" s="18">
        <v>5289.9884999999995</v>
      </c>
      <c r="T1654" s="19" t="s">
        <v>36</v>
      </c>
      <c r="U1654" s="20" t="s">
        <v>1196</v>
      </c>
      <c r="V1654" s="34">
        <v>36.5</v>
      </c>
      <c r="W1654" s="22">
        <v>1</v>
      </c>
      <c r="X1654" s="23"/>
    </row>
    <row r="1655" spans="1:24" s="1" customFormat="1" ht="108" customHeight="1" x14ac:dyDescent="0.3">
      <c r="A1655" s="11" t="s">
        <v>23</v>
      </c>
      <c r="B1655" s="11" t="s">
        <v>1791</v>
      </c>
      <c r="C1655" s="12" t="s">
        <v>1792</v>
      </c>
      <c r="D1655" s="25"/>
      <c r="E1655" s="41" t="str">
        <f>HYPERLINK("https://www.google.ru/search?q=3027876-001&amp;newwindow=1&amp;tbm=isch","Еще фото")</f>
        <v>Еще фото</v>
      </c>
      <c r="F1655" s="13"/>
      <c r="G1655" s="11" t="s">
        <v>1184</v>
      </c>
      <c r="H1655" s="11" t="s">
        <v>741</v>
      </c>
      <c r="I1655" s="14" t="s">
        <v>1185</v>
      </c>
      <c r="J1655" s="14" t="s">
        <v>211</v>
      </c>
      <c r="K1655" s="15" t="s">
        <v>30</v>
      </c>
      <c r="L1655" s="14" t="s">
        <v>1793</v>
      </c>
      <c r="M1655" s="14"/>
      <c r="N1655" s="14" t="s">
        <v>33</v>
      </c>
      <c r="O1655" s="14"/>
      <c r="P1655" s="15" t="s">
        <v>1794</v>
      </c>
      <c r="Q1655" s="16">
        <v>19899</v>
      </c>
      <c r="R1655" s="17">
        <v>45.22</v>
      </c>
      <c r="S1655" s="18">
        <v>12534.988499999999</v>
      </c>
      <c r="T1655" s="19" t="s">
        <v>36</v>
      </c>
      <c r="U1655" s="20" t="s">
        <v>752</v>
      </c>
      <c r="V1655" s="22">
        <v>43</v>
      </c>
      <c r="W1655" s="22">
        <v>1</v>
      </c>
      <c r="X1655" s="23"/>
    </row>
    <row r="1656" spans="1:24" s="1" customFormat="1" ht="108" customHeight="1" x14ac:dyDescent="0.3">
      <c r="A1656" s="11" t="s">
        <v>23</v>
      </c>
      <c r="B1656" s="11" t="s">
        <v>1795</v>
      </c>
      <c r="C1656" s="12" t="s">
        <v>1796</v>
      </c>
      <c r="D1656" s="25"/>
      <c r="E1656" s="41" t="str">
        <f>HYPERLINK("https://www.google.ru/search?q=3023559-002&amp;newwindow=1&amp;tbm=isch","Еще фото")</f>
        <v>Еще фото</v>
      </c>
      <c r="F1656" s="13"/>
      <c r="G1656" s="11" t="s">
        <v>1184</v>
      </c>
      <c r="H1656" s="11" t="s">
        <v>741</v>
      </c>
      <c r="I1656" s="14" t="s">
        <v>1185</v>
      </c>
      <c r="J1656" s="14" t="s">
        <v>29</v>
      </c>
      <c r="K1656" s="15" t="s">
        <v>59</v>
      </c>
      <c r="L1656" s="14" t="s">
        <v>1797</v>
      </c>
      <c r="M1656" s="14" t="s">
        <v>1211</v>
      </c>
      <c r="N1656" s="14" t="s">
        <v>33</v>
      </c>
      <c r="O1656" s="14" t="s">
        <v>34</v>
      </c>
      <c r="P1656" s="15" t="s">
        <v>1758</v>
      </c>
      <c r="Q1656" s="16">
        <v>13690</v>
      </c>
      <c r="R1656" s="17">
        <v>45.22</v>
      </c>
      <c r="S1656" s="18">
        <v>8624.9884999999995</v>
      </c>
      <c r="T1656" s="19" t="s">
        <v>36</v>
      </c>
      <c r="U1656" s="20" t="s">
        <v>1196</v>
      </c>
      <c r="V1656" s="34">
        <v>36.5</v>
      </c>
      <c r="W1656" s="22">
        <v>1</v>
      </c>
      <c r="X1656" s="23"/>
    </row>
    <row r="1657" spans="1:24" s="1" customFormat="1" ht="108" customHeight="1" x14ac:dyDescent="0.3">
      <c r="A1657" s="11" t="s">
        <v>23</v>
      </c>
      <c r="B1657" s="11" t="s">
        <v>1798</v>
      </c>
      <c r="C1657" s="12" t="s">
        <v>1799</v>
      </c>
      <c r="D1657" s="25"/>
      <c r="E1657" s="41" t="str">
        <f>HYPERLINK("https://www.google.ru/search?q=3025577-100&amp;newwindow=1&amp;tbm=isch","Еще фото")</f>
        <v>Еще фото</v>
      </c>
      <c r="F1657" s="13"/>
      <c r="G1657" s="11" t="s">
        <v>740</v>
      </c>
      <c r="H1657" s="11" t="s">
        <v>741</v>
      </c>
      <c r="I1657" s="14" t="s">
        <v>1185</v>
      </c>
      <c r="J1657" s="14" t="s">
        <v>743</v>
      </c>
      <c r="K1657" s="15" t="s">
        <v>30</v>
      </c>
      <c r="L1657" s="14" t="s">
        <v>1800</v>
      </c>
      <c r="M1657" s="14" t="s">
        <v>765</v>
      </c>
      <c r="N1657" s="14" t="s">
        <v>62</v>
      </c>
      <c r="O1657" s="14" t="s">
        <v>1801</v>
      </c>
      <c r="P1657" s="15" t="s">
        <v>1802</v>
      </c>
      <c r="Q1657" s="16">
        <v>22999</v>
      </c>
      <c r="R1657" s="17">
        <v>45.22</v>
      </c>
      <c r="S1657" s="18">
        <v>14489.988499999999</v>
      </c>
      <c r="T1657" s="19" t="s">
        <v>36</v>
      </c>
      <c r="U1657" s="20" t="s">
        <v>746</v>
      </c>
      <c r="V1657" s="22">
        <v>39</v>
      </c>
      <c r="W1657" s="22">
        <v>1</v>
      </c>
      <c r="X1657" s="23"/>
    </row>
    <row r="1658" spans="1:24" s="1" customFormat="1" ht="108" customHeight="1" x14ac:dyDescent="0.3">
      <c r="A1658" s="11" t="s">
        <v>23</v>
      </c>
      <c r="B1658" s="11" t="s">
        <v>1803</v>
      </c>
      <c r="C1658" s="12" t="s">
        <v>1804</v>
      </c>
      <c r="D1658" s="25"/>
      <c r="E1658" s="41" t="str">
        <f>HYPERLINK("https://www.google.ru/search?q=3028168-348&amp;newwindow=1&amp;tbm=isch","Еще фото")</f>
        <v>Еще фото</v>
      </c>
      <c r="F1658" s="13"/>
      <c r="G1658" s="11" t="s">
        <v>1184</v>
      </c>
      <c r="H1658" s="11" t="s">
        <v>741</v>
      </c>
      <c r="I1658" s="14" t="s">
        <v>1185</v>
      </c>
      <c r="J1658" s="14" t="s">
        <v>29</v>
      </c>
      <c r="K1658" s="15" t="s">
        <v>30</v>
      </c>
      <c r="L1658" s="14" t="s">
        <v>1805</v>
      </c>
      <c r="M1658" s="14" t="s">
        <v>1211</v>
      </c>
      <c r="N1658" s="14" t="s">
        <v>127</v>
      </c>
      <c r="O1658" s="14"/>
      <c r="P1658" s="15" t="s">
        <v>1806</v>
      </c>
      <c r="Q1658" s="16">
        <v>18799</v>
      </c>
      <c r="R1658" s="17">
        <v>45.21</v>
      </c>
      <c r="S1658" s="18">
        <v>11844.988499999999</v>
      </c>
      <c r="T1658" s="19" t="s">
        <v>36</v>
      </c>
      <c r="U1658" s="20" t="s">
        <v>750</v>
      </c>
      <c r="V1658" s="34">
        <v>41.5</v>
      </c>
      <c r="W1658" s="22">
        <v>1</v>
      </c>
      <c r="X1658" s="23"/>
    </row>
    <row r="1659" spans="1:24" s="1" customFormat="1" ht="108" customHeight="1" x14ac:dyDescent="0.3">
      <c r="A1659" s="11" t="s">
        <v>23</v>
      </c>
      <c r="B1659" s="11" t="s">
        <v>1807</v>
      </c>
      <c r="C1659" s="12" t="s">
        <v>1808</v>
      </c>
      <c r="D1659" s="25"/>
      <c r="E1659" s="41" t="str">
        <f>HYPERLINK("https://www.google.ru/search?q=3021057-001&amp;newwindow=1&amp;tbm=isch","Еще фото")</f>
        <v>Еще фото</v>
      </c>
      <c r="F1659" s="13"/>
      <c r="G1659" s="11" t="s">
        <v>1184</v>
      </c>
      <c r="H1659" s="11" t="s">
        <v>741</v>
      </c>
      <c r="I1659" s="14" t="s">
        <v>1185</v>
      </c>
      <c r="J1659" s="14" t="s">
        <v>43</v>
      </c>
      <c r="K1659" s="15" t="s">
        <v>59</v>
      </c>
      <c r="L1659" s="14" t="s">
        <v>1809</v>
      </c>
      <c r="M1659" s="14"/>
      <c r="N1659" s="14" t="s">
        <v>33</v>
      </c>
      <c r="O1659" s="14"/>
      <c r="P1659" s="15" t="s">
        <v>1221</v>
      </c>
      <c r="Q1659" s="16">
        <v>9490</v>
      </c>
      <c r="R1659" s="17">
        <v>45.21</v>
      </c>
      <c r="S1659" s="18">
        <v>5979.9884999999995</v>
      </c>
      <c r="T1659" s="19" t="s">
        <v>36</v>
      </c>
      <c r="U1659" s="20" t="s">
        <v>1241</v>
      </c>
      <c r="V1659" s="22">
        <v>35</v>
      </c>
      <c r="W1659" s="22">
        <v>2</v>
      </c>
      <c r="X1659" s="23"/>
    </row>
    <row r="1660" spans="1:24" s="1" customFormat="1" ht="52.05" customHeight="1" x14ac:dyDescent="0.3">
      <c r="A1660" s="11" t="s">
        <v>23</v>
      </c>
      <c r="B1660" s="11" t="s">
        <v>1810</v>
      </c>
      <c r="C1660" s="12" t="s">
        <v>1811</v>
      </c>
      <c r="D1660" s="55"/>
      <c r="E1660" s="41" t="str">
        <f>HYPERLINK("https://www.google.ru/search?q=3026729-302&amp;newwindow=1&amp;tbm=isch","Еще фото")</f>
        <v>Еще фото</v>
      </c>
      <c r="F1660" s="13"/>
      <c r="G1660" s="11" t="s">
        <v>1184</v>
      </c>
      <c r="H1660" s="11" t="s">
        <v>741</v>
      </c>
      <c r="I1660" s="14" t="s">
        <v>1185</v>
      </c>
      <c r="J1660" s="14" t="s">
        <v>29</v>
      </c>
      <c r="K1660" s="15" t="s">
        <v>30</v>
      </c>
      <c r="L1660" s="57" t="s">
        <v>1812</v>
      </c>
      <c r="M1660" s="14" t="s">
        <v>1211</v>
      </c>
      <c r="N1660" s="14" t="s">
        <v>485</v>
      </c>
      <c r="O1660" s="14"/>
      <c r="P1660" s="15" t="s">
        <v>1813</v>
      </c>
      <c r="Q1660" s="16">
        <v>24999</v>
      </c>
      <c r="R1660" s="17">
        <v>45.2</v>
      </c>
      <c r="S1660" s="18">
        <v>15754.988499999998</v>
      </c>
      <c r="T1660" s="19" t="s">
        <v>36</v>
      </c>
      <c r="U1660" s="20" t="s">
        <v>747</v>
      </c>
      <c r="V1660" s="34">
        <v>39.5</v>
      </c>
      <c r="W1660" s="22">
        <v>1</v>
      </c>
      <c r="X1660" s="23"/>
    </row>
    <row r="1661" spans="1:24" s="1" customFormat="1" ht="61.05" customHeight="1" x14ac:dyDescent="0.3">
      <c r="A1661" s="24" t="s">
        <v>23</v>
      </c>
      <c r="B1661" s="24" t="s">
        <v>1810</v>
      </c>
      <c r="C1661" s="12" t="s">
        <v>1811</v>
      </c>
      <c r="D1661" s="56"/>
      <c r="E1661" s="41" t="str">
        <f>HYPERLINK("https://www.google.ru/search?q=3026729-302&amp;newwindow=1&amp;tbm=isch","Еще фото")</f>
        <v>Еще фото</v>
      </c>
      <c r="F1661" s="13"/>
      <c r="G1661" s="24" t="s">
        <v>1184</v>
      </c>
      <c r="H1661" s="24" t="s">
        <v>741</v>
      </c>
      <c r="I1661" s="24" t="s">
        <v>1185</v>
      </c>
      <c r="J1661" s="14" t="s">
        <v>29</v>
      </c>
      <c r="K1661" s="15" t="s">
        <v>30</v>
      </c>
      <c r="L1661" s="58"/>
      <c r="M1661" s="14" t="s">
        <v>1211</v>
      </c>
      <c r="N1661" s="14" t="s">
        <v>485</v>
      </c>
      <c r="O1661" s="14"/>
      <c r="P1661" s="15" t="s">
        <v>1813</v>
      </c>
      <c r="Q1661" s="16">
        <v>24999</v>
      </c>
      <c r="R1661" s="17">
        <v>45.2</v>
      </c>
      <c r="S1661" s="18">
        <v>15754.988499999998</v>
      </c>
      <c r="T1661" s="19" t="s">
        <v>36</v>
      </c>
      <c r="U1661" s="20" t="s">
        <v>749</v>
      </c>
      <c r="V1661" s="22">
        <v>41</v>
      </c>
      <c r="W1661" s="22">
        <v>2</v>
      </c>
      <c r="X1661" s="23"/>
    </row>
    <row r="1662" spans="1:24" s="1" customFormat="1" ht="108" customHeight="1" x14ac:dyDescent="0.3">
      <c r="A1662" s="11" t="s">
        <v>23</v>
      </c>
      <c r="B1662" s="11" t="s">
        <v>1814</v>
      </c>
      <c r="C1662" s="12" t="s">
        <v>1815</v>
      </c>
      <c r="D1662" s="25"/>
      <c r="E1662" s="41" t="str">
        <f>HYPERLINK("https://www.google.ru/search?q=3025522-101&amp;newwindow=1&amp;tbm=isch","Еще фото")</f>
        <v>Еще фото</v>
      </c>
      <c r="F1662" s="13"/>
      <c r="G1662" s="11" t="s">
        <v>1184</v>
      </c>
      <c r="H1662" s="11" t="s">
        <v>741</v>
      </c>
      <c r="I1662" s="14" t="s">
        <v>1185</v>
      </c>
      <c r="J1662" s="14" t="s">
        <v>29</v>
      </c>
      <c r="K1662" s="15" t="s">
        <v>723</v>
      </c>
      <c r="L1662" s="14" t="s">
        <v>1816</v>
      </c>
      <c r="M1662" s="14" t="s">
        <v>1225</v>
      </c>
      <c r="N1662" s="14" t="s">
        <v>62</v>
      </c>
      <c r="O1662" s="14"/>
      <c r="P1662" s="15" t="s">
        <v>1817</v>
      </c>
      <c r="Q1662" s="16">
        <v>26999</v>
      </c>
      <c r="R1662" s="17">
        <v>45.18</v>
      </c>
      <c r="S1662" s="18">
        <v>17019.988499999999</v>
      </c>
      <c r="T1662" s="19" t="s">
        <v>36</v>
      </c>
      <c r="U1662" s="20" t="s">
        <v>752</v>
      </c>
      <c r="V1662" s="22">
        <v>43</v>
      </c>
      <c r="W1662" s="22">
        <v>6</v>
      </c>
      <c r="X1662" s="23"/>
    </row>
    <row r="1663" spans="1:24" s="1" customFormat="1" ht="108" customHeight="1" x14ac:dyDescent="0.3">
      <c r="A1663" s="11" t="s">
        <v>23</v>
      </c>
      <c r="B1663" s="11" t="s">
        <v>1818</v>
      </c>
      <c r="C1663" s="12" t="s">
        <v>1819</v>
      </c>
      <c r="D1663" s="25"/>
      <c r="E1663" s="41" t="str">
        <f>HYPERLINK("https://www.google.ru/search?q=3025522-400&amp;newwindow=1&amp;tbm=isch","Еще фото")</f>
        <v>Еще фото</v>
      </c>
      <c r="F1663" s="13"/>
      <c r="G1663" s="11" t="s">
        <v>1184</v>
      </c>
      <c r="H1663" s="11" t="s">
        <v>741</v>
      </c>
      <c r="I1663" s="14" t="s">
        <v>1185</v>
      </c>
      <c r="J1663" s="14" t="s">
        <v>29</v>
      </c>
      <c r="K1663" s="15" t="s">
        <v>723</v>
      </c>
      <c r="L1663" s="14" t="s">
        <v>1820</v>
      </c>
      <c r="M1663" s="14" t="s">
        <v>1225</v>
      </c>
      <c r="N1663" s="14" t="s">
        <v>115</v>
      </c>
      <c r="O1663" s="14"/>
      <c r="P1663" s="15" t="s">
        <v>1817</v>
      </c>
      <c r="Q1663" s="16">
        <v>26999</v>
      </c>
      <c r="R1663" s="17">
        <v>45.18</v>
      </c>
      <c r="S1663" s="18">
        <v>17019.988499999999</v>
      </c>
      <c r="T1663" s="19" t="s">
        <v>36</v>
      </c>
      <c r="U1663" s="20" t="s">
        <v>1345</v>
      </c>
      <c r="V1663" s="22">
        <v>41</v>
      </c>
      <c r="W1663" s="22">
        <v>1</v>
      </c>
      <c r="X1663" s="23"/>
    </row>
    <row r="1664" spans="1:24" s="1" customFormat="1" ht="108" customHeight="1" x14ac:dyDescent="0.3">
      <c r="A1664" s="11" t="s">
        <v>23</v>
      </c>
      <c r="B1664" s="11" t="s">
        <v>1821</v>
      </c>
      <c r="C1664" s="12" t="s">
        <v>1822</v>
      </c>
      <c r="D1664" s="25"/>
      <c r="E1664" s="41" t="str">
        <f>HYPERLINK("https://www.google.ru/search?q=3026534-001&amp;newwindow=1&amp;tbm=isch","Еще фото")</f>
        <v>Еще фото</v>
      </c>
      <c r="F1664" s="13"/>
      <c r="G1664" s="11" t="s">
        <v>1184</v>
      </c>
      <c r="H1664" s="11" t="s">
        <v>741</v>
      </c>
      <c r="I1664" s="14" t="s">
        <v>1185</v>
      </c>
      <c r="J1664" s="14" t="s">
        <v>29</v>
      </c>
      <c r="K1664" s="15" t="s">
        <v>30</v>
      </c>
      <c r="L1664" s="14" t="s">
        <v>1823</v>
      </c>
      <c r="M1664" s="14" t="s">
        <v>1824</v>
      </c>
      <c r="N1664" s="14" t="s">
        <v>33</v>
      </c>
      <c r="O1664" s="14"/>
      <c r="P1664" s="15" t="s">
        <v>1825</v>
      </c>
      <c r="Q1664" s="16">
        <v>26999</v>
      </c>
      <c r="R1664" s="17">
        <v>45.18</v>
      </c>
      <c r="S1664" s="18">
        <v>17019.988499999999</v>
      </c>
      <c r="T1664" s="19" t="s">
        <v>36</v>
      </c>
      <c r="U1664" s="20" t="s">
        <v>749</v>
      </c>
      <c r="V1664" s="22">
        <v>41</v>
      </c>
      <c r="W1664" s="22">
        <v>3</v>
      </c>
      <c r="X1664" s="23"/>
    </row>
    <row r="1665" spans="1:24" s="1" customFormat="1" ht="108" customHeight="1" x14ac:dyDescent="0.3">
      <c r="A1665" s="11" t="s">
        <v>23</v>
      </c>
      <c r="B1665" s="11" t="s">
        <v>1826</v>
      </c>
      <c r="C1665" s="12" t="s">
        <v>1827</v>
      </c>
      <c r="D1665" s="25"/>
      <c r="E1665" s="41" t="str">
        <f>HYPERLINK("https://www.google.ru/search?q=3025437-100&amp;newwindow=1&amp;tbm=isch","Еще фото")</f>
        <v>Еще фото</v>
      </c>
      <c r="F1665" s="13"/>
      <c r="G1665" s="11" t="s">
        <v>1184</v>
      </c>
      <c r="H1665" s="11" t="s">
        <v>741</v>
      </c>
      <c r="I1665" s="14" t="s">
        <v>1185</v>
      </c>
      <c r="J1665" s="14" t="s">
        <v>29</v>
      </c>
      <c r="K1665" s="15" t="s">
        <v>723</v>
      </c>
      <c r="L1665" s="14" t="s">
        <v>1828</v>
      </c>
      <c r="M1665" s="14" t="s">
        <v>1211</v>
      </c>
      <c r="N1665" s="14" t="s">
        <v>84</v>
      </c>
      <c r="O1665" s="14"/>
      <c r="P1665" s="15" t="s">
        <v>1254</v>
      </c>
      <c r="Q1665" s="16">
        <v>22799</v>
      </c>
      <c r="R1665" s="17">
        <v>45.17</v>
      </c>
      <c r="S1665" s="18">
        <v>14374.988499999999</v>
      </c>
      <c r="T1665" s="19" t="s">
        <v>36</v>
      </c>
      <c r="U1665" s="20" t="s">
        <v>1241</v>
      </c>
      <c r="V1665" s="34">
        <v>36.5</v>
      </c>
      <c r="W1665" s="22">
        <v>3</v>
      </c>
      <c r="X1665" s="23"/>
    </row>
    <row r="1666" spans="1:24" s="1" customFormat="1" ht="108" customHeight="1" x14ac:dyDescent="0.3">
      <c r="A1666" s="11" t="s">
        <v>23</v>
      </c>
      <c r="B1666" s="11" t="s">
        <v>1829</v>
      </c>
      <c r="C1666" s="12" t="s">
        <v>1830</v>
      </c>
      <c r="D1666" s="25"/>
      <c r="E1666" s="41" t="str">
        <f>HYPERLINK("https://www.google.ru/search?q=3023022-002&amp;newwindow=1&amp;tbm=isch","Еще фото")</f>
        <v>Еще фото</v>
      </c>
      <c r="F1666" s="13"/>
      <c r="G1666" s="11" t="s">
        <v>1184</v>
      </c>
      <c r="H1666" s="11" t="s">
        <v>741</v>
      </c>
      <c r="I1666" s="14" t="s">
        <v>1185</v>
      </c>
      <c r="J1666" s="14" t="s">
        <v>29</v>
      </c>
      <c r="K1666" s="15" t="s">
        <v>59</v>
      </c>
      <c r="L1666" s="14" t="s">
        <v>1831</v>
      </c>
      <c r="M1666" s="14"/>
      <c r="N1666" s="14" t="s">
        <v>33</v>
      </c>
      <c r="O1666" s="14"/>
      <c r="P1666" s="15" t="s">
        <v>1832</v>
      </c>
      <c r="Q1666" s="16">
        <v>8390</v>
      </c>
      <c r="R1666" s="17">
        <v>45.17</v>
      </c>
      <c r="S1666" s="18">
        <v>5289.9884999999995</v>
      </c>
      <c r="T1666" s="19" t="s">
        <v>36</v>
      </c>
      <c r="U1666" s="20" t="s">
        <v>747</v>
      </c>
      <c r="V1666" s="34">
        <v>37.5</v>
      </c>
      <c r="W1666" s="22">
        <v>1</v>
      </c>
      <c r="X1666" s="23"/>
    </row>
    <row r="1667" spans="1:24" s="1" customFormat="1" ht="108" customHeight="1" x14ac:dyDescent="0.3">
      <c r="A1667" s="11" t="s">
        <v>23</v>
      </c>
      <c r="B1667" s="11" t="s">
        <v>1833</v>
      </c>
      <c r="C1667" s="12" t="s">
        <v>1834</v>
      </c>
      <c r="D1667" s="25"/>
      <c r="E1667" s="41" t="str">
        <f>HYPERLINK("https://www.google.ru/search?q=3024480-400&amp;newwindow=1&amp;tbm=isch","Еще фото")</f>
        <v>Еще фото</v>
      </c>
      <c r="F1667" s="13"/>
      <c r="G1667" s="11" t="s">
        <v>1184</v>
      </c>
      <c r="H1667" s="11" t="s">
        <v>741</v>
      </c>
      <c r="I1667" s="14" t="s">
        <v>1185</v>
      </c>
      <c r="J1667" s="14" t="s">
        <v>29</v>
      </c>
      <c r="K1667" s="15" t="s">
        <v>59</v>
      </c>
      <c r="L1667" s="14" t="s">
        <v>1835</v>
      </c>
      <c r="M1667" s="14" t="s">
        <v>1836</v>
      </c>
      <c r="N1667" s="14" t="s">
        <v>115</v>
      </c>
      <c r="O1667" s="14" t="s">
        <v>34</v>
      </c>
      <c r="P1667" s="15" t="s">
        <v>1837</v>
      </c>
      <c r="Q1667" s="16">
        <v>25899</v>
      </c>
      <c r="R1667" s="17">
        <v>45.17</v>
      </c>
      <c r="S1667" s="18">
        <v>16329.988499999998</v>
      </c>
      <c r="T1667" s="19" t="s">
        <v>36</v>
      </c>
      <c r="U1667" s="20" t="s">
        <v>1190</v>
      </c>
      <c r="V1667" s="34">
        <v>35.5</v>
      </c>
      <c r="W1667" s="22">
        <v>1</v>
      </c>
      <c r="X1667" s="23"/>
    </row>
    <row r="1668" spans="1:24" s="1" customFormat="1" ht="108" customHeight="1" x14ac:dyDescent="0.3">
      <c r="A1668" s="11" t="s">
        <v>23</v>
      </c>
      <c r="B1668" s="11" t="s">
        <v>1838</v>
      </c>
      <c r="C1668" s="12" t="s">
        <v>1839</v>
      </c>
      <c r="D1668" s="25"/>
      <c r="E1668" s="41" t="str">
        <f>HYPERLINK("https://www.google.ru/search?q=1288295-884&amp;newwindow=1&amp;tbm=isch","Еще фото")</f>
        <v>Еще фото</v>
      </c>
      <c r="F1668" s="13"/>
      <c r="G1668" s="11" t="s">
        <v>1184</v>
      </c>
      <c r="H1668" s="11" t="s">
        <v>741</v>
      </c>
      <c r="I1668" s="14" t="s">
        <v>1185</v>
      </c>
      <c r="J1668" s="14" t="s">
        <v>29</v>
      </c>
      <c r="K1668" s="15" t="s">
        <v>59</v>
      </c>
      <c r="L1668" s="14" t="s">
        <v>1840</v>
      </c>
      <c r="M1668" s="14"/>
      <c r="N1668" s="14" t="s">
        <v>127</v>
      </c>
      <c r="O1668" s="14"/>
      <c r="P1668" s="15" t="s">
        <v>1279</v>
      </c>
      <c r="Q1668" s="16">
        <v>21699</v>
      </c>
      <c r="R1668" s="17">
        <v>45.16</v>
      </c>
      <c r="S1668" s="18">
        <v>13684.988499999999</v>
      </c>
      <c r="T1668" s="19" t="s">
        <v>36</v>
      </c>
      <c r="U1668" s="20" t="s">
        <v>747</v>
      </c>
      <c r="V1668" s="34">
        <v>37.5</v>
      </c>
      <c r="W1668" s="22">
        <v>1</v>
      </c>
      <c r="X1668" s="23"/>
    </row>
    <row r="1669" spans="1:24" s="1" customFormat="1" ht="108" customHeight="1" x14ac:dyDescent="0.3">
      <c r="A1669" s="11" t="s">
        <v>23</v>
      </c>
      <c r="B1669" s="11" t="s">
        <v>1841</v>
      </c>
      <c r="C1669" s="12" t="s">
        <v>1842</v>
      </c>
      <c r="D1669" s="25"/>
      <c r="E1669" s="41" t="str">
        <f>HYPERLINK("https://www.google.ru/search?q=3023556-400&amp;newwindow=1&amp;tbm=isch","Еще фото")</f>
        <v>Еще фото</v>
      </c>
      <c r="F1669" s="13"/>
      <c r="G1669" s="11" t="s">
        <v>1184</v>
      </c>
      <c r="H1669" s="11" t="s">
        <v>741</v>
      </c>
      <c r="I1669" s="14" t="s">
        <v>1185</v>
      </c>
      <c r="J1669" s="14" t="s">
        <v>29</v>
      </c>
      <c r="K1669" s="15" t="s">
        <v>59</v>
      </c>
      <c r="L1669" s="14" t="s">
        <v>1843</v>
      </c>
      <c r="M1669" s="14" t="s">
        <v>1211</v>
      </c>
      <c r="N1669" s="14" t="s">
        <v>115</v>
      </c>
      <c r="O1669" s="14"/>
      <c r="P1669" s="15" t="s">
        <v>1844</v>
      </c>
      <c r="Q1669" s="16">
        <v>21699</v>
      </c>
      <c r="R1669" s="17">
        <v>45.16</v>
      </c>
      <c r="S1669" s="18">
        <v>13684.988499999999</v>
      </c>
      <c r="T1669" s="19" t="s">
        <v>36</v>
      </c>
      <c r="U1669" s="20" t="s">
        <v>1196</v>
      </c>
      <c r="V1669" s="34">
        <v>36.5</v>
      </c>
      <c r="W1669" s="22">
        <v>1</v>
      </c>
      <c r="X1669" s="23"/>
    </row>
    <row r="1670" spans="1:24" s="1" customFormat="1" ht="108" customHeight="1" x14ac:dyDescent="0.3">
      <c r="A1670" s="11" t="s">
        <v>23</v>
      </c>
      <c r="B1670" s="11" t="s">
        <v>1845</v>
      </c>
      <c r="C1670" s="12" t="s">
        <v>1846</v>
      </c>
      <c r="D1670" s="25"/>
      <c r="E1670" s="41" t="str">
        <f>HYPERLINK("https://www.google.ru/search?q=3023633-304&amp;newwindow=1&amp;tbm=isch","Еще фото")</f>
        <v>Еще фото</v>
      </c>
      <c r="F1670" s="13"/>
      <c r="G1670" s="11" t="s">
        <v>1184</v>
      </c>
      <c r="H1670" s="11" t="s">
        <v>741</v>
      </c>
      <c r="I1670" s="14" t="s">
        <v>1185</v>
      </c>
      <c r="J1670" s="14" t="s">
        <v>29</v>
      </c>
      <c r="K1670" s="15" t="s">
        <v>723</v>
      </c>
      <c r="L1670" s="14" t="s">
        <v>1847</v>
      </c>
      <c r="M1670" s="14" t="s">
        <v>1211</v>
      </c>
      <c r="N1670" s="14" t="s">
        <v>127</v>
      </c>
      <c r="O1670" s="14" t="s">
        <v>34</v>
      </c>
      <c r="P1670" s="15" t="s">
        <v>1848</v>
      </c>
      <c r="Q1670" s="16">
        <v>21699</v>
      </c>
      <c r="R1670" s="17">
        <v>45.16</v>
      </c>
      <c r="S1670" s="18">
        <v>13684.988499999999</v>
      </c>
      <c r="T1670" s="19" t="s">
        <v>36</v>
      </c>
      <c r="U1670" s="20" t="s">
        <v>1445</v>
      </c>
      <c r="V1670" s="34">
        <v>39.5</v>
      </c>
      <c r="W1670" s="22">
        <v>1</v>
      </c>
      <c r="X1670" s="23"/>
    </row>
    <row r="1671" spans="1:24" s="1" customFormat="1" ht="108" customHeight="1" x14ac:dyDescent="0.3">
      <c r="A1671" s="11" t="s">
        <v>23</v>
      </c>
      <c r="B1671" s="11" t="s">
        <v>1849</v>
      </c>
      <c r="C1671" s="12" t="s">
        <v>1850</v>
      </c>
      <c r="D1671" s="25"/>
      <c r="E1671" s="41" t="str">
        <f>HYPERLINK("https://www.google.ru/search?q=3027668-300&amp;newwindow=1&amp;tbm=isch","Еще фото")</f>
        <v>Еще фото</v>
      </c>
      <c r="F1671" s="13"/>
      <c r="G1671" s="11" t="s">
        <v>1184</v>
      </c>
      <c r="H1671" s="11" t="s">
        <v>741</v>
      </c>
      <c r="I1671" s="14" t="s">
        <v>1185</v>
      </c>
      <c r="J1671" s="14" t="s">
        <v>29</v>
      </c>
      <c r="K1671" s="15" t="s">
        <v>723</v>
      </c>
      <c r="L1671" s="14" t="s">
        <v>1851</v>
      </c>
      <c r="M1671" s="14"/>
      <c r="N1671" s="14" t="s">
        <v>1852</v>
      </c>
      <c r="O1671" s="14"/>
      <c r="P1671" s="15" t="s">
        <v>1254</v>
      </c>
      <c r="Q1671" s="16">
        <v>25699</v>
      </c>
      <c r="R1671" s="17">
        <v>45.13</v>
      </c>
      <c r="S1671" s="18">
        <v>16214.988499999998</v>
      </c>
      <c r="T1671" s="19" t="s">
        <v>36</v>
      </c>
      <c r="U1671" s="20" t="s">
        <v>1445</v>
      </c>
      <c r="V1671" s="34">
        <v>39.5</v>
      </c>
      <c r="W1671" s="22">
        <v>1</v>
      </c>
      <c r="X1671" s="23"/>
    </row>
    <row r="1672" spans="1:24" s="1" customFormat="1" ht="52.05" customHeight="1" x14ac:dyDescent="0.3">
      <c r="A1672" s="11" t="s">
        <v>23</v>
      </c>
      <c r="B1672" s="11" t="s">
        <v>1853</v>
      </c>
      <c r="C1672" s="12" t="s">
        <v>1854</v>
      </c>
      <c r="D1672" s="55"/>
      <c r="E1672" s="41" t="str">
        <f>HYPERLINK("https://www.google.ru/search?q=3026685-500&amp;newwindow=1&amp;tbm=isch","Еще фото")</f>
        <v>Еще фото</v>
      </c>
      <c r="F1672" s="13"/>
      <c r="G1672" s="11" t="s">
        <v>1184</v>
      </c>
      <c r="H1672" s="11" t="s">
        <v>741</v>
      </c>
      <c r="I1672" s="14" t="s">
        <v>1185</v>
      </c>
      <c r="J1672" s="14" t="s">
        <v>29</v>
      </c>
      <c r="K1672" s="15" t="s">
        <v>59</v>
      </c>
      <c r="L1672" s="57" t="s">
        <v>1855</v>
      </c>
      <c r="M1672" s="14" t="s">
        <v>1194</v>
      </c>
      <c r="N1672" s="14" t="s">
        <v>79</v>
      </c>
      <c r="O1672" s="14"/>
      <c r="P1672" s="15" t="s">
        <v>1856</v>
      </c>
      <c r="Q1672" s="16">
        <v>11299</v>
      </c>
      <c r="R1672" s="17">
        <v>45.13</v>
      </c>
      <c r="S1672" s="18">
        <v>7129.9884999999995</v>
      </c>
      <c r="T1672" s="19" t="s">
        <v>36</v>
      </c>
      <c r="U1672" s="20" t="s">
        <v>747</v>
      </c>
      <c r="V1672" s="34">
        <v>37.5</v>
      </c>
      <c r="W1672" s="22">
        <v>3</v>
      </c>
      <c r="X1672" s="23"/>
    </row>
    <row r="1673" spans="1:24" s="1" customFormat="1" ht="61.05" customHeight="1" x14ac:dyDescent="0.3">
      <c r="A1673" s="24" t="s">
        <v>23</v>
      </c>
      <c r="B1673" s="24" t="s">
        <v>1853</v>
      </c>
      <c r="C1673" s="12" t="s">
        <v>1854</v>
      </c>
      <c r="D1673" s="56"/>
      <c r="E1673" s="41" t="str">
        <f>HYPERLINK("https://www.google.ru/search?q=3026685-500&amp;newwindow=1&amp;tbm=isch","Еще фото")</f>
        <v>Еще фото</v>
      </c>
      <c r="F1673" s="13"/>
      <c r="G1673" s="24" t="s">
        <v>1184</v>
      </c>
      <c r="H1673" s="24" t="s">
        <v>741</v>
      </c>
      <c r="I1673" s="24" t="s">
        <v>1185</v>
      </c>
      <c r="J1673" s="14" t="s">
        <v>29</v>
      </c>
      <c r="K1673" s="15" t="s">
        <v>59</v>
      </c>
      <c r="L1673" s="58"/>
      <c r="M1673" s="14" t="s">
        <v>1194</v>
      </c>
      <c r="N1673" s="14" t="s">
        <v>79</v>
      </c>
      <c r="O1673" s="14"/>
      <c r="P1673" s="15" t="s">
        <v>1856</v>
      </c>
      <c r="Q1673" s="16">
        <v>11299</v>
      </c>
      <c r="R1673" s="17">
        <v>45.13</v>
      </c>
      <c r="S1673" s="18">
        <v>7129.9884999999995</v>
      </c>
      <c r="T1673" s="19" t="s">
        <v>36</v>
      </c>
      <c r="U1673" s="20" t="s">
        <v>752</v>
      </c>
      <c r="V1673" s="22">
        <v>41</v>
      </c>
      <c r="W1673" s="22">
        <v>1</v>
      </c>
      <c r="X1673" s="23"/>
    </row>
    <row r="1674" spans="1:24" s="1" customFormat="1" ht="108" customHeight="1" x14ac:dyDescent="0.3">
      <c r="A1674" s="11" t="s">
        <v>23</v>
      </c>
      <c r="B1674" s="11" t="s">
        <v>1313</v>
      </c>
      <c r="C1674" s="12" t="s">
        <v>1857</v>
      </c>
      <c r="D1674" s="25"/>
      <c r="E1674" s="41" t="str">
        <f>HYPERLINK("https://www.google.ru/search?q=3027524-114&amp;newwindow=1&amp;tbm=isch","Еще фото")</f>
        <v>Еще фото</v>
      </c>
      <c r="F1674" s="13" t="s">
        <v>103</v>
      </c>
      <c r="G1674" s="11" t="s">
        <v>1184</v>
      </c>
      <c r="H1674" s="11" t="s">
        <v>741</v>
      </c>
      <c r="I1674" s="14" t="s">
        <v>1185</v>
      </c>
      <c r="J1674" s="14" t="s">
        <v>29</v>
      </c>
      <c r="K1674" s="15" t="s">
        <v>59</v>
      </c>
      <c r="L1674" s="14" t="s">
        <v>1315</v>
      </c>
      <c r="M1674" s="14" t="s">
        <v>1211</v>
      </c>
      <c r="N1674" s="14" t="s">
        <v>84</v>
      </c>
      <c r="O1674" s="14"/>
      <c r="P1674" s="15" t="s">
        <v>1858</v>
      </c>
      <c r="Q1674" s="16">
        <v>13299</v>
      </c>
      <c r="R1674" s="17">
        <v>45.11</v>
      </c>
      <c r="S1674" s="18">
        <v>8394.9884999999995</v>
      </c>
      <c r="T1674" s="19" t="s">
        <v>36</v>
      </c>
      <c r="U1674" s="20" t="s">
        <v>1196</v>
      </c>
      <c r="V1674" s="34">
        <v>36.5</v>
      </c>
      <c r="W1674" s="22">
        <v>1</v>
      </c>
      <c r="X1674" s="23"/>
    </row>
    <row r="1675" spans="1:24" s="1" customFormat="1" ht="108" customHeight="1" x14ac:dyDescent="0.3">
      <c r="A1675" s="11" t="s">
        <v>23</v>
      </c>
      <c r="B1675" s="11" t="s">
        <v>1859</v>
      </c>
      <c r="C1675" s="12" t="s">
        <v>1860</v>
      </c>
      <c r="D1675" s="25"/>
      <c r="E1675" s="41" t="str">
        <f>HYPERLINK("https://www.google.ru/search?q=3025130-001&amp;newwindow=1&amp;tbm=isch","Еще фото")</f>
        <v>Еще фото</v>
      </c>
      <c r="F1675" s="13"/>
      <c r="G1675" s="11" t="s">
        <v>1184</v>
      </c>
      <c r="H1675" s="11" t="s">
        <v>741</v>
      </c>
      <c r="I1675" s="14" t="s">
        <v>1185</v>
      </c>
      <c r="J1675" s="14" t="s">
        <v>29</v>
      </c>
      <c r="K1675" s="15" t="s">
        <v>59</v>
      </c>
      <c r="L1675" s="14" t="s">
        <v>1861</v>
      </c>
      <c r="M1675" s="14" t="s">
        <v>1862</v>
      </c>
      <c r="N1675" s="14" t="s">
        <v>33</v>
      </c>
      <c r="O1675" s="14" t="s">
        <v>34</v>
      </c>
      <c r="P1675" s="15" t="s">
        <v>1863</v>
      </c>
      <c r="Q1675" s="16">
        <v>10199</v>
      </c>
      <c r="R1675" s="17">
        <v>45.09</v>
      </c>
      <c r="S1675" s="18">
        <v>6439.9884999999995</v>
      </c>
      <c r="T1675" s="19" t="s">
        <v>36</v>
      </c>
      <c r="U1675" s="20" t="s">
        <v>746</v>
      </c>
      <c r="V1675" s="22">
        <v>37</v>
      </c>
      <c r="W1675" s="22">
        <v>10</v>
      </c>
      <c r="X1675" s="23"/>
    </row>
    <row r="1676" spans="1:24" s="1" customFormat="1" ht="17" customHeight="1" x14ac:dyDescent="0.3">
      <c r="A1676" s="11" t="s">
        <v>23</v>
      </c>
      <c r="B1676" s="11" t="s">
        <v>1379</v>
      </c>
      <c r="C1676" s="12" t="s">
        <v>1864</v>
      </c>
      <c r="D1676" s="59"/>
      <c r="E1676" s="41" t="str">
        <f t="shared" ref="E1676:E1681" si="62">HYPERLINK("https://www.google.ru/search?q=3024131-105&amp;newwindow=1&amp;tbm=isch","Еще фото")</f>
        <v>Еще фото</v>
      </c>
      <c r="F1676" s="13"/>
      <c r="G1676" s="11" t="s">
        <v>1184</v>
      </c>
      <c r="H1676" s="11" t="s">
        <v>741</v>
      </c>
      <c r="I1676" s="14" t="s">
        <v>1185</v>
      </c>
      <c r="J1676" s="14" t="s">
        <v>29</v>
      </c>
      <c r="K1676" s="15" t="s">
        <v>59</v>
      </c>
      <c r="L1676" s="57" t="s">
        <v>1381</v>
      </c>
      <c r="M1676" s="14" t="s">
        <v>45</v>
      </c>
      <c r="N1676" s="14" t="s">
        <v>62</v>
      </c>
      <c r="O1676" s="14" t="s">
        <v>34</v>
      </c>
      <c r="P1676" s="15" t="s">
        <v>1382</v>
      </c>
      <c r="Q1676" s="16">
        <v>7499</v>
      </c>
      <c r="R1676" s="17">
        <v>45.09</v>
      </c>
      <c r="S1676" s="18">
        <v>4735.4355000000005</v>
      </c>
      <c r="T1676" s="19" t="s">
        <v>36</v>
      </c>
      <c r="U1676" s="20" t="s">
        <v>1190</v>
      </c>
      <c r="V1676" s="34">
        <v>35.5</v>
      </c>
      <c r="W1676" s="22">
        <v>1</v>
      </c>
      <c r="X1676" s="23"/>
    </row>
    <row r="1677" spans="1:24" s="1" customFormat="1" ht="17" customHeight="1" x14ac:dyDescent="0.3">
      <c r="A1677" s="24" t="s">
        <v>23</v>
      </c>
      <c r="B1677" s="24" t="s">
        <v>1379</v>
      </c>
      <c r="C1677" s="12" t="s">
        <v>1864</v>
      </c>
      <c r="D1677" s="60"/>
      <c r="E1677" s="41" t="str">
        <f t="shared" si="62"/>
        <v>Еще фото</v>
      </c>
      <c r="F1677" s="13"/>
      <c r="G1677" s="24" t="s">
        <v>1184</v>
      </c>
      <c r="H1677" s="24" t="s">
        <v>741</v>
      </c>
      <c r="I1677" s="24" t="s">
        <v>1185</v>
      </c>
      <c r="J1677" s="14" t="s">
        <v>29</v>
      </c>
      <c r="K1677" s="15" t="s">
        <v>59</v>
      </c>
      <c r="L1677" s="62"/>
      <c r="M1677" s="14" t="s">
        <v>45</v>
      </c>
      <c r="N1677" s="14" t="s">
        <v>62</v>
      </c>
      <c r="O1677" s="14" t="s">
        <v>34</v>
      </c>
      <c r="P1677" s="15" t="s">
        <v>1382</v>
      </c>
      <c r="Q1677" s="16">
        <v>7499</v>
      </c>
      <c r="R1677" s="17">
        <v>45.09</v>
      </c>
      <c r="S1677" s="18">
        <v>4735.4355000000005</v>
      </c>
      <c r="T1677" s="19" t="s">
        <v>36</v>
      </c>
      <c r="U1677" s="20" t="s">
        <v>1203</v>
      </c>
      <c r="V1677" s="22">
        <v>36</v>
      </c>
      <c r="W1677" s="22">
        <v>7</v>
      </c>
      <c r="X1677" s="23"/>
    </row>
    <row r="1678" spans="1:24" s="1" customFormat="1" ht="17" customHeight="1" x14ac:dyDescent="0.3">
      <c r="A1678" s="24" t="s">
        <v>23</v>
      </c>
      <c r="B1678" s="24" t="s">
        <v>1379</v>
      </c>
      <c r="C1678" s="12" t="s">
        <v>1864</v>
      </c>
      <c r="D1678" s="60"/>
      <c r="E1678" s="41" t="str">
        <f t="shared" si="62"/>
        <v>Еще фото</v>
      </c>
      <c r="F1678" s="13"/>
      <c r="G1678" s="24" t="s">
        <v>1184</v>
      </c>
      <c r="H1678" s="24" t="s">
        <v>741</v>
      </c>
      <c r="I1678" s="24" t="s">
        <v>1185</v>
      </c>
      <c r="J1678" s="14" t="s">
        <v>29</v>
      </c>
      <c r="K1678" s="15" t="s">
        <v>59</v>
      </c>
      <c r="L1678" s="62"/>
      <c r="M1678" s="14" t="s">
        <v>45</v>
      </c>
      <c r="N1678" s="14" t="s">
        <v>62</v>
      </c>
      <c r="O1678" s="14" t="s">
        <v>34</v>
      </c>
      <c r="P1678" s="15" t="s">
        <v>1382</v>
      </c>
      <c r="Q1678" s="16">
        <v>7499</v>
      </c>
      <c r="R1678" s="17">
        <v>45.09</v>
      </c>
      <c r="S1678" s="18">
        <v>4735.4355000000005</v>
      </c>
      <c r="T1678" s="19" t="s">
        <v>36</v>
      </c>
      <c r="U1678" s="20" t="s">
        <v>1196</v>
      </c>
      <c r="V1678" s="34">
        <v>36.5</v>
      </c>
      <c r="W1678" s="22">
        <v>5</v>
      </c>
      <c r="X1678" s="23"/>
    </row>
    <row r="1679" spans="1:24" s="1" customFormat="1" ht="17" customHeight="1" x14ac:dyDescent="0.3">
      <c r="A1679" s="24" t="s">
        <v>23</v>
      </c>
      <c r="B1679" s="24" t="s">
        <v>1379</v>
      </c>
      <c r="C1679" s="12" t="s">
        <v>1864</v>
      </c>
      <c r="D1679" s="60"/>
      <c r="E1679" s="41" t="str">
        <f t="shared" si="62"/>
        <v>Еще фото</v>
      </c>
      <c r="F1679" s="13"/>
      <c r="G1679" s="24" t="s">
        <v>1184</v>
      </c>
      <c r="H1679" s="24" t="s">
        <v>741</v>
      </c>
      <c r="I1679" s="24" t="s">
        <v>1185</v>
      </c>
      <c r="J1679" s="14" t="s">
        <v>29</v>
      </c>
      <c r="K1679" s="15" t="s">
        <v>59</v>
      </c>
      <c r="L1679" s="62"/>
      <c r="M1679" s="14" t="s">
        <v>45</v>
      </c>
      <c r="N1679" s="14" t="s">
        <v>62</v>
      </c>
      <c r="O1679" s="14" t="s">
        <v>34</v>
      </c>
      <c r="P1679" s="15" t="s">
        <v>1382</v>
      </c>
      <c r="Q1679" s="16">
        <v>7499</v>
      </c>
      <c r="R1679" s="17">
        <v>45.09</v>
      </c>
      <c r="S1679" s="18">
        <v>4735.4355000000005</v>
      </c>
      <c r="T1679" s="19" t="s">
        <v>36</v>
      </c>
      <c r="U1679" s="20" t="s">
        <v>746</v>
      </c>
      <c r="V1679" s="22">
        <v>37</v>
      </c>
      <c r="W1679" s="22">
        <v>6</v>
      </c>
      <c r="X1679" s="23"/>
    </row>
    <row r="1680" spans="1:24" s="1" customFormat="1" ht="17" customHeight="1" x14ac:dyDescent="0.3">
      <c r="A1680" s="24" t="s">
        <v>23</v>
      </c>
      <c r="B1680" s="24" t="s">
        <v>1379</v>
      </c>
      <c r="C1680" s="12" t="s">
        <v>1864</v>
      </c>
      <c r="D1680" s="60"/>
      <c r="E1680" s="41" t="str">
        <f t="shared" si="62"/>
        <v>Еще фото</v>
      </c>
      <c r="F1680" s="13"/>
      <c r="G1680" s="24" t="s">
        <v>1184</v>
      </c>
      <c r="H1680" s="24" t="s">
        <v>741</v>
      </c>
      <c r="I1680" s="24" t="s">
        <v>1185</v>
      </c>
      <c r="J1680" s="14" t="s">
        <v>29</v>
      </c>
      <c r="K1680" s="15" t="s">
        <v>59</v>
      </c>
      <c r="L1680" s="62"/>
      <c r="M1680" s="14" t="s">
        <v>45</v>
      </c>
      <c r="N1680" s="14" t="s">
        <v>62</v>
      </c>
      <c r="O1680" s="14" t="s">
        <v>34</v>
      </c>
      <c r="P1680" s="15" t="s">
        <v>1382</v>
      </c>
      <c r="Q1680" s="16">
        <v>7499</v>
      </c>
      <c r="R1680" s="17">
        <v>45.09</v>
      </c>
      <c r="S1680" s="18">
        <v>4735.4355000000005</v>
      </c>
      <c r="T1680" s="19" t="s">
        <v>36</v>
      </c>
      <c r="U1680" s="20" t="s">
        <v>747</v>
      </c>
      <c r="V1680" s="34">
        <v>37.5</v>
      </c>
      <c r="W1680" s="22">
        <v>4</v>
      </c>
      <c r="X1680" s="23"/>
    </row>
    <row r="1681" spans="1:24" s="1" customFormat="1" ht="22.05" customHeight="1" x14ac:dyDescent="0.3">
      <c r="A1681" s="24" t="s">
        <v>23</v>
      </c>
      <c r="B1681" s="24" t="s">
        <v>1379</v>
      </c>
      <c r="C1681" s="12" t="s">
        <v>1864</v>
      </c>
      <c r="D1681" s="61"/>
      <c r="E1681" s="41" t="str">
        <f t="shared" si="62"/>
        <v>Еще фото</v>
      </c>
      <c r="F1681" s="13"/>
      <c r="G1681" s="24" t="s">
        <v>1184</v>
      </c>
      <c r="H1681" s="24" t="s">
        <v>741</v>
      </c>
      <c r="I1681" s="24" t="s">
        <v>1185</v>
      </c>
      <c r="J1681" s="14" t="s">
        <v>29</v>
      </c>
      <c r="K1681" s="15" t="s">
        <v>59</v>
      </c>
      <c r="L1681" s="58"/>
      <c r="M1681" s="14" t="s">
        <v>45</v>
      </c>
      <c r="N1681" s="14" t="s">
        <v>62</v>
      </c>
      <c r="O1681" s="14" t="s">
        <v>34</v>
      </c>
      <c r="P1681" s="15" t="s">
        <v>1382</v>
      </c>
      <c r="Q1681" s="16">
        <v>7499</v>
      </c>
      <c r="R1681" s="17">
        <v>45.09</v>
      </c>
      <c r="S1681" s="18">
        <v>4735.4355000000005</v>
      </c>
      <c r="T1681" s="19" t="s">
        <v>36</v>
      </c>
      <c r="U1681" s="20" t="s">
        <v>750</v>
      </c>
      <c r="V1681" s="34">
        <v>39.5</v>
      </c>
      <c r="W1681" s="22">
        <v>2</v>
      </c>
      <c r="X1681" s="23"/>
    </row>
    <row r="1682" spans="1:24" s="1" customFormat="1" ht="52.05" customHeight="1" x14ac:dyDescent="0.3">
      <c r="A1682" s="11" t="s">
        <v>23</v>
      </c>
      <c r="B1682" s="11" t="s">
        <v>1865</v>
      </c>
      <c r="C1682" s="12" t="s">
        <v>1866</v>
      </c>
      <c r="D1682" s="55"/>
      <c r="E1682" s="41" t="str">
        <f>HYPERLINK("https://www.google.ru/search?q=3028256-101&amp;newwindow=1&amp;tbm=isch","Еще фото")</f>
        <v>Еще фото</v>
      </c>
      <c r="F1682" s="13" t="s">
        <v>103</v>
      </c>
      <c r="G1682" s="11" t="s">
        <v>1184</v>
      </c>
      <c r="H1682" s="11" t="s">
        <v>741</v>
      </c>
      <c r="I1682" s="14" t="s">
        <v>1185</v>
      </c>
      <c r="J1682" s="14" t="s">
        <v>29</v>
      </c>
      <c r="K1682" s="15" t="s">
        <v>30</v>
      </c>
      <c r="L1682" s="57" t="s">
        <v>1867</v>
      </c>
      <c r="M1682" s="14"/>
      <c r="N1682" s="14" t="s">
        <v>84</v>
      </c>
      <c r="O1682" s="14"/>
      <c r="P1682" s="15" t="s">
        <v>1279</v>
      </c>
      <c r="Q1682" s="16">
        <v>12199</v>
      </c>
      <c r="R1682" s="17">
        <v>45.08</v>
      </c>
      <c r="S1682" s="18">
        <v>7704.9884999999995</v>
      </c>
      <c r="T1682" s="19" t="s">
        <v>36</v>
      </c>
      <c r="U1682" s="20" t="s">
        <v>748</v>
      </c>
      <c r="V1682" s="22">
        <v>40</v>
      </c>
      <c r="W1682" s="22">
        <v>2</v>
      </c>
      <c r="X1682" s="23"/>
    </row>
    <row r="1683" spans="1:24" s="1" customFormat="1" ht="61.05" customHeight="1" x14ac:dyDescent="0.3">
      <c r="A1683" s="24" t="s">
        <v>23</v>
      </c>
      <c r="B1683" s="24" t="s">
        <v>1865</v>
      </c>
      <c r="C1683" s="12" t="s">
        <v>1866</v>
      </c>
      <c r="D1683" s="56"/>
      <c r="E1683" s="41" t="str">
        <f>HYPERLINK("https://www.google.ru/search?q=3028256-101&amp;newwindow=1&amp;tbm=isch","Еще фото")</f>
        <v>Еще фото</v>
      </c>
      <c r="F1683" s="13" t="s">
        <v>103</v>
      </c>
      <c r="G1683" s="24" t="s">
        <v>1184</v>
      </c>
      <c r="H1683" s="24" t="s">
        <v>741</v>
      </c>
      <c r="I1683" s="24" t="s">
        <v>1185</v>
      </c>
      <c r="J1683" s="14" t="s">
        <v>29</v>
      </c>
      <c r="K1683" s="15" t="s">
        <v>30</v>
      </c>
      <c r="L1683" s="58"/>
      <c r="M1683" s="14"/>
      <c r="N1683" s="14" t="s">
        <v>84</v>
      </c>
      <c r="O1683" s="14"/>
      <c r="P1683" s="15" t="s">
        <v>1279</v>
      </c>
      <c r="Q1683" s="16">
        <v>12199</v>
      </c>
      <c r="R1683" s="17">
        <v>45.08</v>
      </c>
      <c r="S1683" s="18">
        <v>7704.9884999999995</v>
      </c>
      <c r="T1683" s="19" t="s">
        <v>36</v>
      </c>
      <c r="U1683" s="20" t="s">
        <v>753</v>
      </c>
      <c r="V1683" s="34">
        <v>43.5</v>
      </c>
      <c r="W1683" s="22">
        <v>1</v>
      </c>
      <c r="X1683" s="23"/>
    </row>
    <row r="1684" spans="1:24" s="1" customFormat="1" ht="21" customHeight="1" x14ac:dyDescent="0.3">
      <c r="A1684" s="11" t="s">
        <v>23</v>
      </c>
      <c r="B1684" s="11" t="s">
        <v>1868</v>
      </c>
      <c r="C1684" s="26" t="s">
        <v>1869</v>
      </c>
      <c r="D1684" s="59"/>
      <c r="E1684" s="41" t="str">
        <f>HYPERLINK("https://www.google.ru/search?q=3024888-001&amp;newwindow=1&amp;tbm=isch","Еще фото")</f>
        <v>Еще фото</v>
      </c>
      <c r="F1684" s="13"/>
      <c r="G1684" s="11" t="s">
        <v>1184</v>
      </c>
      <c r="H1684" s="11" t="s">
        <v>741</v>
      </c>
      <c r="I1684" s="14" t="s">
        <v>1185</v>
      </c>
      <c r="J1684" s="14" t="s">
        <v>29</v>
      </c>
      <c r="K1684" s="15" t="s">
        <v>59</v>
      </c>
      <c r="L1684" s="57" t="s">
        <v>1572</v>
      </c>
      <c r="M1684" s="14" t="s">
        <v>1274</v>
      </c>
      <c r="N1684" s="14" t="s">
        <v>33</v>
      </c>
      <c r="O1684" s="14" t="s">
        <v>34</v>
      </c>
      <c r="P1684" s="15" t="s">
        <v>1870</v>
      </c>
      <c r="Q1684" s="16">
        <v>8899</v>
      </c>
      <c r="R1684" s="17">
        <v>45.08</v>
      </c>
      <c r="S1684" s="18">
        <v>5620.9355000000005</v>
      </c>
      <c r="T1684" s="19" t="s">
        <v>36</v>
      </c>
      <c r="U1684" s="20" t="s">
        <v>1190</v>
      </c>
      <c r="V1684" s="34">
        <v>35.5</v>
      </c>
      <c r="W1684" s="22">
        <v>5</v>
      </c>
      <c r="X1684" s="23"/>
    </row>
    <row r="1685" spans="1:24" s="1" customFormat="1" ht="21" customHeight="1" x14ac:dyDescent="0.3">
      <c r="A1685" s="24" t="s">
        <v>23</v>
      </c>
      <c r="B1685" s="24" t="s">
        <v>1868</v>
      </c>
      <c r="C1685" s="27" t="s">
        <v>1869</v>
      </c>
      <c r="D1685" s="60"/>
      <c r="E1685" s="41" t="str">
        <f>HYPERLINK("https://www.google.ru/search?q=3024888-001&amp;newwindow=1&amp;tbm=isch","Еще фото")</f>
        <v>Еще фото</v>
      </c>
      <c r="F1685" s="13"/>
      <c r="G1685" s="24" t="s">
        <v>1184</v>
      </c>
      <c r="H1685" s="24" t="s">
        <v>741</v>
      </c>
      <c r="I1685" s="24" t="s">
        <v>1185</v>
      </c>
      <c r="J1685" s="14" t="s">
        <v>29</v>
      </c>
      <c r="K1685" s="15" t="s">
        <v>59</v>
      </c>
      <c r="L1685" s="62"/>
      <c r="M1685" s="14" t="s">
        <v>1274</v>
      </c>
      <c r="N1685" s="14" t="s">
        <v>33</v>
      </c>
      <c r="O1685" s="14" t="s">
        <v>34</v>
      </c>
      <c r="P1685" s="15" t="s">
        <v>1870</v>
      </c>
      <c r="Q1685" s="16">
        <v>8899</v>
      </c>
      <c r="R1685" s="17">
        <v>45.08</v>
      </c>
      <c r="S1685" s="18">
        <v>5620.9355000000005</v>
      </c>
      <c r="T1685" s="19" t="s">
        <v>36</v>
      </c>
      <c r="U1685" s="20" t="s">
        <v>1203</v>
      </c>
      <c r="V1685" s="22">
        <v>36</v>
      </c>
      <c r="W1685" s="22">
        <v>6</v>
      </c>
      <c r="X1685" s="23"/>
    </row>
    <row r="1686" spans="1:24" s="1" customFormat="1" ht="21" customHeight="1" x14ac:dyDescent="0.3">
      <c r="A1686" s="24" t="s">
        <v>23</v>
      </c>
      <c r="B1686" s="24" t="s">
        <v>1868</v>
      </c>
      <c r="C1686" s="27" t="s">
        <v>1869</v>
      </c>
      <c r="D1686" s="60"/>
      <c r="E1686" s="41" t="str">
        <f>HYPERLINK("https://www.google.ru/search?q=3024888-001&amp;newwindow=1&amp;tbm=isch","Еще фото")</f>
        <v>Еще фото</v>
      </c>
      <c r="F1686" s="13"/>
      <c r="G1686" s="24" t="s">
        <v>1184</v>
      </c>
      <c r="H1686" s="24" t="s">
        <v>741</v>
      </c>
      <c r="I1686" s="24" t="s">
        <v>1185</v>
      </c>
      <c r="J1686" s="14" t="s">
        <v>29</v>
      </c>
      <c r="K1686" s="15" t="s">
        <v>59</v>
      </c>
      <c r="L1686" s="62"/>
      <c r="M1686" s="14" t="s">
        <v>1274</v>
      </c>
      <c r="N1686" s="14" t="s">
        <v>33</v>
      </c>
      <c r="O1686" s="14" t="s">
        <v>34</v>
      </c>
      <c r="P1686" s="15" t="s">
        <v>1870</v>
      </c>
      <c r="Q1686" s="16">
        <v>8899</v>
      </c>
      <c r="R1686" s="17">
        <v>45.08</v>
      </c>
      <c r="S1686" s="18">
        <v>5620.9355000000005</v>
      </c>
      <c r="T1686" s="19" t="s">
        <v>36</v>
      </c>
      <c r="U1686" s="20" t="s">
        <v>1196</v>
      </c>
      <c r="V1686" s="34">
        <v>36.5</v>
      </c>
      <c r="W1686" s="22">
        <v>11</v>
      </c>
      <c r="X1686" s="23"/>
    </row>
    <row r="1687" spans="1:24" s="1" customFormat="1" ht="21" customHeight="1" x14ac:dyDescent="0.3">
      <c r="A1687" s="24" t="s">
        <v>23</v>
      </c>
      <c r="B1687" s="24" t="s">
        <v>1868</v>
      </c>
      <c r="C1687" s="27" t="s">
        <v>1869</v>
      </c>
      <c r="D1687" s="60"/>
      <c r="E1687" s="41" t="str">
        <f>HYPERLINK("https://www.google.ru/search?q=3024888-001&amp;newwindow=1&amp;tbm=isch","Еще фото")</f>
        <v>Еще фото</v>
      </c>
      <c r="F1687" s="13"/>
      <c r="G1687" s="24" t="s">
        <v>1184</v>
      </c>
      <c r="H1687" s="24" t="s">
        <v>741</v>
      </c>
      <c r="I1687" s="24" t="s">
        <v>1185</v>
      </c>
      <c r="J1687" s="14" t="s">
        <v>29</v>
      </c>
      <c r="K1687" s="15" t="s">
        <v>59</v>
      </c>
      <c r="L1687" s="62"/>
      <c r="M1687" s="14" t="s">
        <v>1274</v>
      </c>
      <c r="N1687" s="14" t="s">
        <v>33</v>
      </c>
      <c r="O1687" s="14" t="s">
        <v>34</v>
      </c>
      <c r="P1687" s="15" t="s">
        <v>1870</v>
      </c>
      <c r="Q1687" s="16">
        <v>8899</v>
      </c>
      <c r="R1687" s="17">
        <v>45.08</v>
      </c>
      <c r="S1687" s="18">
        <v>5620.9355000000005</v>
      </c>
      <c r="T1687" s="19" t="s">
        <v>36</v>
      </c>
      <c r="U1687" s="20" t="s">
        <v>746</v>
      </c>
      <c r="V1687" s="22">
        <v>37</v>
      </c>
      <c r="W1687" s="22">
        <v>6</v>
      </c>
      <c r="X1687" s="23"/>
    </row>
    <row r="1688" spans="1:24" s="1" customFormat="1" ht="32" customHeight="1" x14ac:dyDescent="0.3">
      <c r="A1688" s="24" t="s">
        <v>23</v>
      </c>
      <c r="B1688" s="24" t="s">
        <v>1868</v>
      </c>
      <c r="C1688" s="27" t="s">
        <v>1869</v>
      </c>
      <c r="D1688" s="61"/>
      <c r="E1688" s="41" t="str">
        <f>HYPERLINK("https://www.google.ru/search?q=3024888-001&amp;newwindow=1&amp;tbm=isch","Еще фото")</f>
        <v>Еще фото</v>
      </c>
      <c r="F1688" s="13"/>
      <c r="G1688" s="24" t="s">
        <v>1184</v>
      </c>
      <c r="H1688" s="24" t="s">
        <v>741</v>
      </c>
      <c r="I1688" s="24" t="s">
        <v>1185</v>
      </c>
      <c r="J1688" s="14" t="s">
        <v>29</v>
      </c>
      <c r="K1688" s="15" t="s">
        <v>59</v>
      </c>
      <c r="L1688" s="58"/>
      <c r="M1688" s="14" t="s">
        <v>1274</v>
      </c>
      <c r="N1688" s="14" t="s">
        <v>33</v>
      </c>
      <c r="O1688" s="14" t="s">
        <v>34</v>
      </c>
      <c r="P1688" s="15" t="s">
        <v>1870</v>
      </c>
      <c r="Q1688" s="16">
        <v>8899</v>
      </c>
      <c r="R1688" s="17">
        <v>45.08</v>
      </c>
      <c r="S1688" s="18">
        <v>5620.9355000000005</v>
      </c>
      <c r="T1688" s="19" t="s">
        <v>36</v>
      </c>
      <c r="U1688" s="20" t="s">
        <v>750</v>
      </c>
      <c r="V1688" s="34">
        <v>39.5</v>
      </c>
      <c r="W1688" s="22">
        <v>1</v>
      </c>
      <c r="X1688" s="23"/>
    </row>
    <row r="1689" spans="1:24" s="1" customFormat="1" ht="52.05" customHeight="1" x14ac:dyDescent="0.3">
      <c r="A1689" s="11" t="s">
        <v>23</v>
      </c>
      <c r="B1689" s="11" t="s">
        <v>1795</v>
      </c>
      <c r="C1689" s="12" t="s">
        <v>1871</v>
      </c>
      <c r="D1689" s="55"/>
      <c r="E1689" s="41" t="str">
        <f>HYPERLINK("https://www.google.ru/search?q=3023559-604&amp;newwindow=1&amp;tbm=isch","Еще фото")</f>
        <v>Еще фото</v>
      </c>
      <c r="F1689" s="13"/>
      <c r="G1689" s="11" t="s">
        <v>1184</v>
      </c>
      <c r="H1689" s="11" t="s">
        <v>741</v>
      </c>
      <c r="I1689" s="14" t="s">
        <v>1185</v>
      </c>
      <c r="J1689" s="14" t="s">
        <v>29</v>
      </c>
      <c r="K1689" s="15" t="s">
        <v>59</v>
      </c>
      <c r="L1689" s="57" t="s">
        <v>1797</v>
      </c>
      <c r="M1689" s="14" t="s">
        <v>1211</v>
      </c>
      <c r="N1689" s="14" t="s">
        <v>69</v>
      </c>
      <c r="O1689" s="14" t="s">
        <v>34</v>
      </c>
      <c r="P1689" s="15" t="s">
        <v>1872</v>
      </c>
      <c r="Q1689" s="16">
        <v>19299</v>
      </c>
      <c r="R1689" s="17">
        <v>45.07</v>
      </c>
      <c r="S1689" s="18">
        <v>12189.988499999999</v>
      </c>
      <c r="T1689" s="19" t="s">
        <v>36</v>
      </c>
      <c r="U1689" s="20" t="s">
        <v>1203</v>
      </c>
      <c r="V1689" s="22">
        <v>36</v>
      </c>
      <c r="W1689" s="22">
        <v>2</v>
      </c>
      <c r="X1689" s="23"/>
    </row>
    <row r="1690" spans="1:24" s="1" customFormat="1" ht="61.05" customHeight="1" x14ac:dyDescent="0.3">
      <c r="A1690" s="24" t="s">
        <v>23</v>
      </c>
      <c r="B1690" s="24" t="s">
        <v>1795</v>
      </c>
      <c r="C1690" s="12" t="s">
        <v>1871</v>
      </c>
      <c r="D1690" s="56"/>
      <c r="E1690" s="41" t="str">
        <f>HYPERLINK("https://www.google.ru/search?q=3023559-604&amp;newwindow=1&amp;tbm=isch","Еще фото")</f>
        <v>Еще фото</v>
      </c>
      <c r="F1690" s="13"/>
      <c r="G1690" s="24" t="s">
        <v>1184</v>
      </c>
      <c r="H1690" s="24" t="s">
        <v>741</v>
      </c>
      <c r="I1690" s="24" t="s">
        <v>1185</v>
      </c>
      <c r="J1690" s="14" t="s">
        <v>29</v>
      </c>
      <c r="K1690" s="15" t="s">
        <v>59</v>
      </c>
      <c r="L1690" s="58"/>
      <c r="M1690" s="14" t="s">
        <v>1211</v>
      </c>
      <c r="N1690" s="14" t="s">
        <v>69</v>
      </c>
      <c r="O1690" s="14" t="s">
        <v>34</v>
      </c>
      <c r="P1690" s="15" t="s">
        <v>1872</v>
      </c>
      <c r="Q1690" s="16">
        <v>19299</v>
      </c>
      <c r="R1690" s="17">
        <v>45.07</v>
      </c>
      <c r="S1690" s="18">
        <v>12189.988499999999</v>
      </c>
      <c r="T1690" s="19" t="s">
        <v>36</v>
      </c>
      <c r="U1690" s="20" t="s">
        <v>1196</v>
      </c>
      <c r="V1690" s="34">
        <v>36.5</v>
      </c>
      <c r="W1690" s="22">
        <v>1</v>
      </c>
      <c r="X1690" s="23"/>
    </row>
    <row r="1691" spans="1:24" s="1" customFormat="1" ht="108" customHeight="1" x14ac:dyDescent="0.3">
      <c r="A1691" s="11" t="s">
        <v>23</v>
      </c>
      <c r="B1691" s="11" t="s">
        <v>1873</v>
      </c>
      <c r="C1691" s="12" t="s">
        <v>1874</v>
      </c>
      <c r="D1691" s="25"/>
      <c r="E1691" s="41" t="str">
        <f>HYPERLINK("https://www.google.ru/search?q=3020976-004&amp;newwindow=1&amp;tbm=isch","Еще фото")</f>
        <v>Еще фото</v>
      </c>
      <c r="F1691" s="13"/>
      <c r="G1691" s="11" t="s">
        <v>1184</v>
      </c>
      <c r="H1691" s="11" t="s">
        <v>741</v>
      </c>
      <c r="I1691" s="14" t="s">
        <v>1185</v>
      </c>
      <c r="J1691" s="14" t="s">
        <v>29</v>
      </c>
      <c r="K1691" s="15" t="s">
        <v>59</v>
      </c>
      <c r="L1691" s="14" t="s">
        <v>1875</v>
      </c>
      <c r="M1691" s="14" t="s">
        <v>1211</v>
      </c>
      <c r="N1691" s="14" t="s">
        <v>33</v>
      </c>
      <c r="O1691" s="14" t="s">
        <v>760</v>
      </c>
      <c r="P1691" s="15" t="s">
        <v>1876</v>
      </c>
      <c r="Q1691" s="16">
        <v>15290</v>
      </c>
      <c r="R1691" s="17">
        <v>45.06</v>
      </c>
      <c r="S1691" s="18">
        <v>9659.9884999999995</v>
      </c>
      <c r="T1691" s="19" t="s">
        <v>36</v>
      </c>
      <c r="U1691" s="20" t="s">
        <v>1203</v>
      </c>
      <c r="V1691" s="22">
        <v>36</v>
      </c>
      <c r="W1691" s="22">
        <v>5</v>
      </c>
      <c r="X1691" s="23"/>
    </row>
    <row r="1692" spans="1:24" s="1" customFormat="1" ht="108" customHeight="1" x14ac:dyDescent="0.3">
      <c r="A1692" s="11" t="s">
        <v>23</v>
      </c>
      <c r="B1692" s="11" t="s">
        <v>1877</v>
      </c>
      <c r="C1692" s="12" t="s">
        <v>1878</v>
      </c>
      <c r="D1692" s="25"/>
      <c r="E1692" s="41" t="str">
        <f>HYPERLINK("https://www.google.ru/search?q=3023007-003&amp;newwindow=1&amp;tbm=isch","Еще фото")</f>
        <v>Еще фото</v>
      </c>
      <c r="F1692" s="13"/>
      <c r="G1692" s="11" t="s">
        <v>1184</v>
      </c>
      <c r="H1692" s="11" t="s">
        <v>741</v>
      </c>
      <c r="I1692" s="14" t="s">
        <v>1185</v>
      </c>
      <c r="J1692" s="14" t="s">
        <v>29</v>
      </c>
      <c r="K1692" s="15" t="s">
        <v>30</v>
      </c>
      <c r="L1692" s="14" t="s">
        <v>1879</v>
      </c>
      <c r="M1692" s="14" t="s">
        <v>1211</v>
      </c>
      <c r="N1692" s="14" t="s">
        <v>33</v>
      </c>
      <c r="O1692" s="14"/>
      <c r="P1692" s="15" t="s">
        <v>1880</v>
      </c>
      <c r="Q1692" s="16">
        <v>24199</v>
      </c>
      <c r="R1692" s="17">
        <v>45.04</v>
      </c>
      <c r="S1692" s="18">
        <v>15294.988499999999</v>
      </c>
      <c r="T1692" s="19" t="s">
        <v>36</v>
      </c>
      <c r="U1692" s="20" t="s">
        <v>749</v>
      </c>
      <c r="V1692" s="22">
        <v>41</v>
      </c>
      <c r="W1692" s="22">
        <v>1</v>
      </c>
      <c r="X1692" s="23"/>
    </row>
    <row r="1693" spans="1:24" s="1" customFormat="1" ht="108" customHeight="1" x14ac:dyDescent="0.3">
      <c r="A1693" s="11" t="s">
        <v>23</v>
      </c>
      <c r="B1693" s="11" t="s">
        <v>1306</v>
      </c>
      <c r="C1693" s="12" t="s">
        <v>1881</v>
      </c>
      <c r="D1693" s="25"/>
      <c r="E1693" s="41" t="str">
        <f>HYPERLINK("https://www.google.ru/search?q=3023561-602&amp;newwindow=1&amp;tbm=isch","Еще фото")</f>
        <v>Еще фото</v>
      </c>
      <c r="F1693" s="13"/>
      <c r="G1693" s="11" t="s">
        <v>1184</v>
      </c>
      <c r="H1693" s="11" t="s">
        <v>741</v>
      </c>
      <c r="I1693" s="14" t="s">
        <v>1185</v>
      </c>
      <c r="J1693" s="14" t="s">
        <v>29</v>
      </c>
      <c r="K1693" s="15" t="s">
        <v>59</v>
      </c>
      <c r="L1693" s="14" t="s">
        <v>1308</v>
      </c>
      <c r="M1693" s="14" t="s">
        <v>1187</v>
      </c>
      <c r="N1693" s="14" t="s">
        <v>69</v>
      </c>
      <c r="O1693" s="14" t="s">
        <v>34</v>
      </c>
      <c r="P1693" s="15" t="s">
        <v>1309</v>
      </c>
      <c r="Q1693" s="16">
        <v>24199</v>
      </c>
      <c r="R1693" s="17">
        <v>45.04</v>
      </c>
      <c r="S1693" s="18">
        <v>15294.988499999999</v>
      </c>
      <c r="T1693" s="19" t="s">
        <v>36</v>
      </c>
      <c r="U1693" s="20" t="s">
        <v>1337</v>
      </c>
      <c r="V1693" s="34">
        <v>43.5</v>
      </c>
      <c r="W1693" s="22">
        <v>1</v>
      </c>
      <c r="X1693" s="23"/>
    </row>
    <row r="1694" spans="1:24" s="1" customFormat="1" ht="108" customHeight="1" x14ac:dyDescent="0.3">
      <c r="A1694" s="11" t="s">
        <v>23</v>
      </c>
      <c r="B1694" s="11" t="s">
        <v>1882</v>
      </c>
      <c r="C1694" s="12" t="s">
        <v>1883</v>
      </c>
      <c r="D1694" s="25"/>
      <c r="E1694" s="41" t="str">
        <f>HYPERLINK("https://www.google.ru/search?q=3024155-002&amp;newwindow=1&amp;tbm=isch","Еще фото")</f>
        <v>Еще фото</v>
      </c>
      <c r="F1694" s="13"/>
      <c r="G1694" s="11" t="s">
        <v>1184</v>
      </c>
      <c r="H1694" s="11" t="s">
        <v>741</v>
      </c>
      <c r="I1694" s="14" t="s">
        <v>1185</v>
      </c>
      <c r="J1694" s="14" t="s">
        <v>29</v>
      </c>
      <c r="K1694" s="15" t="s">
        <v>59</v>
      </c>
      <c r="L1694" s="14" t="s">
        <v>1884</v>
      </c>
      <c r="M1694" s="14" t="s">
        <v>1211</v>
      </c>
      <c r="N1694" s="14" t="s">
        <v>33</v>
      </c>
      <c r="O1694" s="14" t="s">
        <v>34</v>
      </c>
      <c r="P1694" s="15" t="s">
        <v>1885</v>
      </c>
      <c r="Q1694" s="16">
        <v>24199</v>
      </c>
      <c r="R1694" s="17">
        <v>45.04</v>
      </c>
      <c r="S1694" s="18">
        <v>15294.988499999999</v>
      </c>
      <c r="T1694" s="19" t="s">
        <v>36</v>
      </c>
      <c r="U1694" s="20" t="s">
        <v>1190</v>
      </c>
      <c r="V1694" s="34">
        <v>35.5</v>
      </c>
      <c r="W1694" s="22">
        <v>1</v>
      </c>
      <c r="X1694" s="23"/>
    </row>
    <row r="1695" spans="1:24" s="1" customFormat="1" ht="108" customHeight="1" x14ac:dyDescent="0.3">
      <c r="A1695" s="11" t="s">
        <v>23</v>
      </c>
      <c r="B1695" s="11" t="s">
        <v>1882</v>
      </c>
      <c r="C1695" s="12" t="s">
        <v>1886</v>
      </c>
      <c r="D1695" s="25"/>
      <c r="E1695" s="41" t="str">
        <f>HYPERLINK("https://www.google.ru/search?q=3024155-006&amp;newwindow=1&amp;tbm=isch","Еще фото")</f>
        <v>Еще фото</v>
      </c>
      <c r="F1695" s="13"/>
      <c r="G1695" s="11" t="s">
        <v>1184</v>
      </c>
      <c r="H1695" s="11" t="s">
        <v>741</v>
      </c>
      <c r="I1695" s="14" t="s">
        <v>1185</v>
      </c>
      <c r="J1695" s="14" t="s">
        <v>29</v>
      </c>
      <c r="K1695" s="15" t="s">
        <v>59</v>
      </c>
      <c r="L1695" s="14" t="s">
        <v>1884</v>
      </c>
      <c r="M1695" s="14" t="s">
        <v>1211</v>
      </c>
      <c r="N1695" s="14" t="s">
        <v>33</v>
      </c>
      <c r="O1695" s="14"/>
      <c r="P1695" s="15" t="s">
        <v>1887</v>
      </c>
      <c r="Q1695" s="16">
        <v>24199</v>
      </c>
      <c r="R1695" s="17">
        <v>45.04</v>
      </c>
      <c r="S1695" s="18">
        <v>15294.988499999999</v>
      </c>
      <c r="T1695" s="19" t="s">
        <v>36</v>
      </c>
      <c r="U1695" s="20" t="s">
        <v>1196</v>
      </c>
      <c r="V1695" s="34">
        <v>36.5</v>
      </c>
      <c r="W1695" s="22">
        <v>1</v>
      </c>
      <c r="X1695" s="23"/>
    </row>
    <row r="1696" spans="1:24" s="1" customFormat="1" ht="108" customHeight="1" x14ac:dyDescent="0.3">
      <c r="A1696" s="11" t="s">
        <v>23</v>
      </c>
      <c r="B1696" s="11" t="s">
        <v>1888</v>
      </c>
      <c r="C1696" s="12" t="s">
        <v>1889</v>
      </c>
      <c r="D1696" s="25"/>
      <c r="E1696" s="41" t="str">
        <f>HYPERLINK("https://www.google.ru/search?q=3025435-104&amp;newwindow=1&amp;tbm=isch","Еще фото")</f>
        <v>Еще фото</v>
      </c>
      <c r="F1696" s="13"/>
      <c r="G1696" s="11" t="s">
        <v>1184</v>
      </c>
      <c r="H1696" s="11" t="s">
        <v>741</v>
      </c>
      <c r="I1696" s="14" t="s">
        <v>1185</v>
      </c>
      <c r="J1696" s="14" t="s">
        <v>29</v>
      </c>
      <c r="K1696" s="15" t="s">
        <v>30</v>
      </c>
      <c r="L1696" s="14" t="s">
        <v>1890</v>
      </c>
      <c r="M1696" s="14" t="s">
        <v>1211</v>
      </c>
      <c r="N1696" s="14" t="s">
        <v>84</v>
      </c>
      <c r="O1696" s="14"/>
      <c r="P1696" s="15" t="s">
        <v>1254</v>
      </c>
      <c r="Q1696" s="16">
        <v>24199</v>
      </c>
      <c r="R1696" s="17">
        <v>45.04</v>
      </c>
      <c r="S1696" s="18">
        <v>15294.988499999999</v>
      </c>
      <c r="T1696" s="19" t="s">
        <v>36</v>
      </c>
      <c r="U1696" s="20" t="s">
        <v>752</v>
      </c>
      <c r="V1696" s="22">
        <v>43</v>
      </c>
      <c r="W1696" s="22">
        <v>1</v>
      </c>
      <c r="X1696" s="23"/>
    </row>
    <row r="1697" spans="1:24" s="1" customFormat="1" ht="108" customHeight="1" x14ac:dyDescent="0.3">
      <c r="A1697" s="11" t="s">
        <v>23</v>
      </c>
      <c r="B1697" s="11" t="s">
        <v>1247</v>
      </c>
      <c r="C1697" s="12" t="s">
        <v>1891</v>
      </c>
      <c r="D1697" s="25"/>
      <c r="E1697" s="41" t="str">
        <f>HYPERLINK("https://www.google.ru/search?q=3027189-106&amp;newwindow=1&amp;tbm=isch","Еще фото")</f>
        <v>Еще фото</v>
      </c>
      <c r="F1697" s="13"/>
      <c r="G1697" s="11" t="s">
        <v>1184</v>
      </c>
      <c r="H1697" s="11" t="s">
        <v>741</v>
      </c>
      <c r="I1697" s="14" t="s">
        <v>1185</v>
      </c>
      <c r="J1697" s="14" t="s">
        <v>29</v>
      </c>
      <c r="K1697" s="15" t="s">
        <v>30</v>
      </c>
      <c r="L1697" s="14" t="s">
        <v>1892</v>
      </c>
      <c r="M1697" s="14" t="s">
        <v>1211</v>
      </c>
      <c r="N1697" s="14" t="s">
        <v>62</v>
      </c>
      <c r="O1697" s="14"/>
      <c r="P1697" s="15" t="s">
        <v>1893</v>
      </c>
      <c r="Q1697" s="16">
        <v>19099</v>
      </c>
      <c r="R1697" s="17">
        <v>45.02</v>
      </c>
      <c r="S1697" s="18">
        <v>12074.988499999999</v>
      </c>
      <c r="T1697" s="19" t="s">
        <v>36</v>
      </c>
      <c r="U1697" s="20" t="s">
        <v>748</v>
      </c>
      <c r="V1697" s="22">
        <v>40</v>
      </c>
      <c r="W1697" s="22">
        <v>1</v>
      </c>
      <c r="X1697" s="23"/>
    </row>
    <row r="1698" spans="1:24" s="1" customFormat="1" ht="21" customHeight="1" x14ac:dyDescent="0.3">
      <c r="A1698" s="11" t="s">
        <v>23</v>
      </c>
      <c r="B1698" s="11" t="s">
        <v>1894</v>
      </c>
      <c r="C1698" s="26" t="s">
        <v>1895</v>
      </c>
      <c r="D1698" s="59"/>
      <c r="E1698" s="41" t="str">
        <f>HYPERLINK("https://www.google.ru/search?q=3027187-200&amp;newwindow=1&amp;tbm=isch","Еще фото")</f>
        <v>Еще фото</v>
      </c>
      <c r="F1698" s="13"/>
      <c r="G1698" s="11" t="s">
        <v>1184</v>
      </c>
      <c r="H1698" s="11" t="s">
        <v>741</v>
      </c>
      <c r="I1698" s="14" t="s">
        <v>1185</v>
      </c>
      <c r="J1698" s="14" t="s">
        <v>29</v>
      </c>
      <c r="K1698" s="15" t="s">
        <v>30</v>
      </c>
      <c r="L1698" s="57" t="s">
        <v>1896</v>
      </c>
      <c r="M1698" s="14" t="s">
        <v>1211</v>
      </c>
      <c r="N1698" s="14" t="s">
        <v>229</v>
      </c>
      <c r="O1698" s="14"/>
      <c r="P1698" s="15" t="s">
        <v>1250</v>
      </c>
      <c r="Q1698" s="16">
        <v>15999</v>
      </c>
      <c r="R1698" s="17">
        <v>45.01</v>
      </c>
      <c r="S1698" s="18">
        <v>10117.4355</v>
      </c>
      <c r="T1698" s="19" t="s">
        <v>36</v>
      </c>
      <c r="U1698" s="20" t="s">
        <v>747</v>
      </c>
      <c r="V1698" s="34">
        <v>39.5</v>
      </c>
      <c r="W1698" s="22">
        <v>1</v>
      </c>
      <c r="X1698" s="23"/>
    </row>
    <row r="1699" spans="1:24" s="1" customFormat="1" ht="21" customHeight="1" x14ac:dyDescent="0.3">
      <c r="A1699" s="24" t="s">
        <v>23</v>
      </c>
      <c r="B1699" s="24" t="s">
        <v>1894</v>
      </c>
      <c r="C1699" s="27" t="s">
        <v>1895</v>
      </c>
      <c r="D1699" s="60"/>
      <c r="E1699" s="41" t="str">
        <f>HYPERLINK("https://www.google.ru/search?q=3027187-200&amp;newwindow=1&amp;tbm=isch","Еще фото")</f>
        <v>Еще фото</v>
      </c>
      <c r="F1699" s="13"/>
      <c r="G1699" s="24" t="s">
        <v>1184</v>
      </c>
      <c r="H1699" s="24" t="s">
        <v>741</v>
      </c>
      <c r="I1699" s="24" t="s">
        <v>1185</v>
      </c>
      <c r="J1699" s="14" t="s">
        <v>29</v>
      </c>
      <c r="K1699" s="15" t="s">
        <v>30</v>
      </c>
      <c r="L1699" s="62"/>
      <c r="M1699" s="14" t="s">
        <v>1211</v>
      </c>
      <c r="N1699" s="14" t="s">
        <v>229</v>
      </c>
      <c r="O1699" s="14"/>
      <c r="P1699" s="15" t="s">
        <v>1250</v>
      </c>
      <c r="Q1699" s="16">
        <v>15999</v>
      </c>
      <c r="R1699" s="17">
        <v>45.01</v>
      </c>
      <c r="S1699" s="18">
        <v>10117.4355</v>
      </c>
      <c r="T1699" s="19" t="s">
        <v>36</v>
      </c>
      <c r="U1699" s="20" t="s">
        <v>748</v>
      </c>
      <c r="V1699" s="22">
        <v>40</v>
      </c>
      <c r="W1699" s="22">
        <v>1</v>
      </c>
      <c r="X1699" s="23"/>
    </row>
    <row r="1700" spans="1:24" s="1" customFormat="1" ht="21" customHeight="1" x14ac:dyDescent="0.3">
      <c r="A1700" s="24" t="s">
        <v>23</v>
      </c>
      <c r="B1700" s="24" t="s">
        <v>1894</v>
      </c>
      <c r="C1700" s="27" t="s">
        <v>1895</v>
      </c>
      <c r="D1700" s="60"/>
      <c r="E1700" s="41" t="str">
        <f>HYPERLINK("https://www.google.ru/search?q=3027187-200&amp;newwindow=1&amp;tbm=isch","Еще фото")</f>
        <v>Еще фото</v>
      </c>
      <c r="F1700" s="13"/>
      <c r="G1700" s="24" t="s">
        <v>1184</v>
      </c>
      <c r="H1700" s="24" t="s">
        <v>741</v>
      </c>
      <c r="I1700" s="24" t="s">
        <v>1185</v>
      </c>
      <c r="J1700" s="14" t="s">
        <v>29</v>
      </c>
      <c r="K1700" s="15" t="s">
        <v>30</v>
      </c>
      <c r="L1700" s="62"/>
      <c r="M1700" s="14" t="s">
        <v>1211</v>
      </c>
      <c r="N1700" s="14" t="s">
        <v>229</v>
      </c>
      <c r="O1700" s="14"/>
      <c r="P1700" s="15" t="s">
        <v>1250</v>
      </c>
      <c r="Q1700" s="16">
        <v>15999</v>
      </c>
      <c r="R1700" s="17">
        <v>45.01</v>
      </c>
      <c r="S1700" s="18">
        <v>10117.4355</v>
      </c>
      <c r="T1700" s="19" t="s">
        <v>36</v>
      </c>
      <c r="U1700" s="20" t="s">
        <v>749</v>
      </c>
      <c r="V1700" s="22">
        <v>41</v>
      </c>
      <c r="W1700" s="22">
        <v>1</v>
      </c>
      <c r="X1700" s="23"/>
    </row>
    <row r="1701" spans="1:24" s="1" customFormat="1" ht="21" customHeight="1" x14ac:dyDescent="0.3">
      <c r="A1701" s="24" t="s">
        <v>23</v>
      </c>
      <c r="B1701" s="24" t="s">
        <v>1894</v>
      </c>
      <c r="C1701" s="27" t="s">
        <v>1895</v>
      </c>
      <c r="D1701" s="60"/>
      <c r="E1701" s="41" t="str">
        <f>HYPERLINK("https://www.google.ru/search?q=3027187-200&amp;newwindow=1&amp;tbm=isch","Еще фото")</f>
        <v>Еще фото</v>
      </c>
      <c r="F1701" s="13"/>
      <c r="G1701" s="24" t="s">
        <v>1184</v>
      </c>
      <c r="H1701" s="24" t="s">
        <v>741</v>
      </c>
      <c r="I1701" s="24" t="s">
        <v>1185</v>
      </c>
      <c r="J1701" s="14" t="s">
        <v>29</v>
      </c>
      <c r="K1701" s="15" t="s">
        <v>30</v>
      </c>
      <c r="L1701" s="62"/>
      <c r="M1701" s="14" t="s">
        <v>1211</v>
      </c>
      <c r="N1701" s="14" t="s">
        <v>229</v>
      </c>
      <c r="O1701" s="14"/>
      <c r="P1701" s="15" t="s">
        <v>1250</v>
      </c>
      <c r="Q1701" s="16">
        <v>15999</v>
      </c>
      <c r="R1701" s="17">
        <v>45.01</v>
      </c>
      <c r="S1701" s="18">
        <v>10117.4355</v>
      </c>
      <c r="T1701" s="19" t="s">
        <v>36</v>
      </c>
      <c r="U1701" s="20" t="s">
        <v>750</v>
      </c>
      <c r="V1701" s="34">
        <v>41.5</v>
      </c>
      <c r="W1701" s="22">
        <v>1</v>
      </c>
      <c r="X1701" s="23"/>
    </row>
    <row r="1702" spans="1:24" s="1" customFormat="1" ht="32" customHeight="1" x14ac:dyDescent="0.3">
      <c r="A1702" s="24" t="s">
        <v>23</v>
      </c>
      <c r="B1702" s="24" t="s">
        <v>1894</v>
      </c>
      <c r="C1702" s="27" t="s">
        <v>1895</v>
      </c>
      <c r="D1702" s="61"/>
      <c r="E1702" s="41" t="str">
        <f>HYPERLINK("https://www.google.ru/search?q=3027187-200&amp;newwindow=1&amp;tbm=isch","Еще фото")</f>
        <v>Еще фото</v>
      </c>
      <c r="F1702" s="13"/>
      <c r="G1702" s="24" t="s">
        <v>1184</v>
      </c>
      <c r="H1702" s="24" t="s">
        <v>741</v>
      </c>
      <c r="I1702" s="24" t="s">
        <v>1185</v>
      </c>
      <c r="J1702" s="14" t="s">
        <v>29</v>
      </c>
      <c r="K1702" s="15" t="s">
        <v>30</v>
      </c>
      <c r="L1702" s="58"/>
      <c r="M1702" s="14" t="s">
        <v>1211</v>
      </c>
      <c r="N1702" s="14" t="s">
        <v>229</v>
      </c>
      <c r="O1702" s="14"/>
      <c r="P1702" s="15" t="s">
        <v>1250</v>
      </c>
      <c r="Q1702" s="16">
        <v>15999</v>
      </c>
      <c r="R1702" s="17">
        <v>45.01</v>
      </c>
      <c r="S1702" s="18">
        <v>10117.4355</v>
      </c>
      <c r="T1702" s="19" t="s">
        <v>36</v>
      </c>
      <c r="U1702" s="20" t="s">
        <v>753</v>
      </c>
      <c r="V1702" s="34">
        <v>43.5</v>
      </c>
      <c r="W1702" s="22">
        <v>2</v>
      </c>
      <c r="X1702" s="23"/>
    </row>
    <row r="1703" spans="1:24" s="1" customFormat="1" ht="52.05" customHeight="1" x14ac:dyDescent="0.3">
      <c r="A1703" s="11" t="s">
        <v>23</v>
      </c>
      <c r="B1703" s="11" t="s">
        <v>1306</v>
      </c>
      <c r="C1703" s="12" t="s">
        <v>1897</v>
      </c>
      <c r="D1703" s="55"/>
      <c r="E1703" s="41" t="str">
        <f>HYPERLINK("https://www.google.ru/search?q=3023561-503&amp;newwindow=1&amp;tbm=isch","Еще фото")</f>
        <v>Еще фото</v>
      </c>
      <c r="F1703" s="13"/>
      <c r="G1703" s="11" t="s">
        <v>1184</v>
      </c>
      <c r="H1703" s="11" t="s">
        <v>741</v>
      </c>
      <c r="I1703" s="14" t="s">
        <v>1185</v>
      </c>
      <c r="J1703" s="14" t="s">
        <v>29</v>
      </c>
      <c r="K1703" s="15" t="s">
        <v>59</v>
      </c>
      <c r="L1703" s="57" t="s">
        <v>1308</v>
      </c>
      <c r="M1703" s="14" t="s">
        <v>1187</v>
      </c>
      <c r="N1703" s="14" t="s">
        <v>79</v>
      </c>
      <c r="O1703" s="14" t="s">
        <v>34</v>
      </c>
      <c r="P1703" s="15" t="s">
        <v>1309</v>
      </c>
      <c r="Q1703" s="16">
        <v>24199</v>
      </c>
      <c r="R1703" s="17">
        <v>45.01</v>
      </c>
      <c r="S1703" s="18">
        <v>15303.9355</v>
      </c>
      <c r="T1703" s="19" t="s">
        <v>36</v>
      </c>
      <c r="U1703" s="20" t="s">
        <v>1196</v>
      </c>
      <c r="V1703" s="34">
        <v>36.5</v>
      </c>
      <c r="W1703" s="22">
        <v>2</v>
      </c>
      <c r="X1703" s="23"/>
    </row>
    <row r="1704" spans="1:24" s="1" customFormat="1" ht="61.05" customHeight="1" x14ac:dyDescent="0.3">
      <c r="A1704" s="24" t="s">
        <v>23</v>
      </c>
      <c r="B1704" s="24" t="s">
        <v>1306</v>
      </c>
      <c r="C1704" s="12" t="s">
        <v>1897</v>
      </c>
      <c r="D1704" s="56"/>
      <c r="E1704" s="41" t="str">
        <f>HYPERLINK("https://www.google.ru/search?q=3023561-503&amp;newwindow=1&amp;tbm=isch","Еще фото")</f>
        <v>Еще фото</v>
      </c>
      <c r="F1704" s="13"/>
      <c r="G1704" s="24" t="s">
        <v>1184</v>
      </c>
      <c r="H1704" s="24" t="s">
        <v>741</v>
      </c>
      <c r="I1704" s="24" t="s">
        <v>1185</v>
      </c>
      <c r="J1704" s="14" t="s">
        <v>29</v>
      </c>
      <c r="K1704" s="15" t="s">
        <v>59</v>
      </c>
      <c r="L1704" s="58"/>
      <c r="M1704" s="14" t="s">
        <v>1187</v>
      </c>
      <c r="N1704" s="14" t="s">
        <v>79</v>
      </c>
      <c r="O1704" s="14" t="s">
        <v>34</v>
      </c>
      <c r="P1704" s="15" t="s">
        <v>1309</v>
      </c>
      <c r="Q1704" s="16">
        <v>24199</v>
      </c>
      <c r="R1704" s="17">
        <v>45.01</v>
      </c>
      <c r="S1704" s="18">
        <v>15303.9355</v>
      </c>
      <c r="T1704" s="19" t="s">
        <v>36</v>
      </c>
      <c r="U1704" s="20" t="s">
        <v>748</v>
      </c>
      <c r="V1704" s="22">
        <v>38</v>
      </c>
      <c r="W1704" s="22">
        <v>1</v>
      </c>
      <c r="X1704" s="23"/>
    </row>
    <row r="1705" spans="1:24" s="1" customFormat="1" ht="17" customHeight="1" x14ac:dyDescent="0.3">
      <c r="A1705" s="11" t="s">
        <v>23</v>
      </c>
      <c r="B1705" s="11" t="s">
        <v>1242</v>
      </c>
      <c r="C1705" s="12" t="s">
        <v>1898</v>
      </c>
      <c r="D1705" s="59"/>
      <c r="E1705" s="41" t="str">
        <f t="shared" ref="E1705:E1710" si="63">HYPERLINK("https://www.google.ru/search?q=3026736-001&amp;newwindow=1&amp;tbm=isch","Еще фото")</f>
        <v>Еще фото</v>
      </c>
      <c r="F1705" s="28" t="s">
        <v>138</v>
      </c>
      <c r="G1705" s="11" t="s">
        <v>1184</v>
      </c>
      <c r="H1705" s="11" t="s">
        <v>741</v>
      </c>
      <c r="I1705" s="14" t="s">
        <v>1185</v>
      </c>
      <c r="J1705" s="14" t="s">
        <v>674</v>
      </c>
      <c r="K1705" s="15" t="s">
        <v>30</v>
      </c>
      <c r="L1705" s="57" t="s">
        <v>1244</v>
      </c>
      <c r="M1705" s="14" t="s">
        <v>1245</v>
      </c>
      <c r="N1705" s="14" t="s">
        <v>33</v>
      </c>
      <c r="O1705" s="14"/>
      <c r="P1705" s="15" t="s">
        <v>1899</v>
      </c>
      <c r="Q1705" s="16">
        <v>27399</v>
      </c>
      <c r="R1705" s="17">
        <v>45.01</v>
      </c>
      <c r="S1705" s="18">
        <v>17327.9355</v>
      </c>
      <c r="T1705" s="19" t="s">
        <v>36</v>
      </c>
      <c r="U1705" s="20" t="s">
        <v>747</v>
      </c>
      <c r="V1705" s="34">
        <v>39.5</v>
      </c>
      <c r="W1705" s="22">
        <v>8</v>
      </c>
      <c r="X1705" s="23"/>
    </row>
    <row r="1706" spans="1:24" s="1" customFormat="1" ht="17" customHeight="1" x14ac:dyDescent="0.3">
      <c r="A1706" s="24" t="s">
        <v>23</v>
      </c>
      <c r="B1706" s="24" t="s">
        <v>1242</v>
      </c>
      <c r="C1706" s="12" t="s">
        <v>1898</v>
      </c>
      <c r="D1706" s="60"/>
      <c r="E1706" s="41" t="str">
        <f t="shared" si="63"/>
        <v>Еще фото</v>
      </c>
      <c r="F1706" s="28" t="s">
        <v>138</v>
      </c>
      <c r="G1706" s="24" t="s">
        <v>1184</v>
      </c>
      <c r="H1706" s="24" t="s">
        <v>741</v>
      </c>
      <c r="I1706" s="24" t="s">
        <v>1185</v>
      </c>
      <c r="J1706" s="14" t="s">
        <v>674</v>
      </c>
      <c r="K1706" s="15" t="s">
        <v>30</v>
      </c>
      <c r="L1706" s="62"/>
      <c r="M1706" s="14" t="s">
        <v>1245</v>
      </c>
      <c r="N1706" s="14" t="s">
        <v>33</v>
      </c>
      <c r="O1706" s="14"/>
      <c r="P1706" s="15" t="s">
        <v>1899</v>
      </c>
      <c r="Q1706" s="16">
        <v>27399</v>
      </c>
      <c r="R1706" s="17">
        <v>45.01</v>
      </c>
      <c r="S1706" s="18">
        <v>17327.9355</v>
      </c>
      <c r="T1706" s="19" t="s">
        <v>36</v>
      </c>
      <c r="U1706" s="20" t="s">
        <v>748</v>
      </c>
      <c r="V1706" s="22">
        <v>40</v>
      </c>
      <c r="W1706" s="22">
        <v>3</v>
      </c>
      <c r="X1706" s="23"/>
    </row>
    <row r="1707" spans="1:24" s="1" customFormat="1" ht="17" customHeight="1" x14ac:dyDescent="0.3">
      <c r="A1707" s="24" t="s">
        <v>23</v>
      </c>
      <c r="B1707" s="24" t="s">
        <v>1242</v>
      </c>
      <c r="C1707" s="12" t="s">
        <v>1898</v>
      </c>
      <c r="D1707" s="60"/>
      <c r="E1707" s="41" t="str">
        <f t="shared" si="63"/>
        <v>Еще фото</v>
      </c>
      <c r="F1707" s="28" t="s">
        <v>138</v>
      </c>
      <c r="G1707" s="24" t="s">
        <v>1184</v>
      </c>
      <c r="H1707" s="24" t="s">
        <v>741</v>
      </c>
      <c r="I1707" s="24" t="s">
        <v>1185</v>
      </c>
      <c r="J1707" s="14" t="s">
        <v>674</v>
      </c>
      <c r="K1707" s="15" t="s">
        <v>30</v>
      </c>
      <c r="L1707" s="62"/>
      <c r="M1707" s="14" t="s">
        <v>1245</v>
      </c>
      <c r="N1707" s="14" t="s">
        <v>33</v>
      </c>
      <c r="O1707" s="14"/>
      <c r="P1707" s="15" t="s">
        <v>1899</v>
      </c>
      <c r="Q1707" s="16">
        <v>27399</v>
      </c>
      <c r="R1707" s="17">
        <v>45.01</v>
      </c>
      <c r="S1707" s="18">
        <v>17327.9355</v>
      </c>
      <c r="T1707" s="19" t="s">
        <v>36</v>
      </c>
      <c r="U1707" s="20" t="s">
        <v>749</v>
      </c>
      <c r="V1707" s="22">
        <v>41</v>
      </c>
      <c r="W1707" s="22">
        <v>11</v>
      </c>
      <c r="X1707" s="23"/>
    </row>
    <row r="1708" spans="1:24" s="1" customFormat="1" ht="17" customHeight="1" x14ac:dyDescent="0.3">
      <c r="A1708" s="24" t="s">
        <v>23</v>
      </c>
      <c r="B1708" s="24" t="s">
        <v>1242</v>
      </c>
      <c r="C1708" s="12" t="s">
        <v>1898</v>
      </c>
      <c r="D1708" s="60"/>
      <c r="E1708" s="41" t="str">
        <f t="shared" si="63"/>
        <v>Еще фото</v>
      </c>
      <c r="F1708" s="28" t="s">
        <v>138</v>
      </c>
      <c r="G1708" s="24" t="s">
        <v>1184</v>
      </c>
      <c r="H1708" s="24" t="s">
        <v>741</v>
      </c>
      <c r="I1708" s="24" t="s">
        <v>1185</v>
      </c>
      <c r="J1708" s="14" t="s">
        <v>674</v>
      </c>
      <c r="K1708" s="15" t="s">
        <v>30</v>
      </c>
      <c r="L1708" s="62"/>
      <c r="M1708" s="14" t="s">
        <v>1245</v>
      </c>
      <c r="N1708" s="14" t="s">
        <v>33</v>
      </c>
      <c r="O1708" s="14"/>
      <c r="P1708" s="15" t="s">
        <v>1899</v>
      </c>
      <c r="Q1708" s="16">
        <v>27399</v>
      </c>
      <c r="R1708" s="17">
        <v>45.01</v>
      </c>
      <c r="S1708" s="18">
        <v>17327.9355</v>
      </c>
      <c r="T1708" s="19" t="s">
        <v>36</v>
      </c>
      <c r="U1708" s="20" t="s">
        <v>750</v>
      </c>
      <c r="V1708" s="34">
        <v>41.5</v>
      </c>
      <c r="W1708" s="22">
        <v>8</v>
      </c>
      <c r="X1708" s="23"/>
    </row>
    <row r="1709" spans="1:24" s="1" customFormat="1" ht="17" customHeight="1" x14ac:dyDescent="0.3">
      <c r="A1709" s="24" t="s">
        <v>23</v>
      </c>
      <c r="B1709" s="24" t="s">
        <v>1242</v>
      </c>
      <c r="C1709" s="12" t="s">
        <v>1898</v>
      </c>
      <c r="D1709" s="60"/>
      <c r="E1709" s="41" t="str">
        <f t="shared" si="63"/>
        <v>Еще фото</v>
      </c>
      <c r="F1709" s="28" t="s">
        <v>138</v>
      </c>
      <c r="G1709" s="24" t="s">
        <v>1184</v>
      </c>
      <c r="H1709" s="24" t="s">
        <v>741</v>
      </c>
      <c r="I1709" s="24" t="s">
        <v>1185</v>
      </c>
      <c r="J1709" s="14" t="s">
        <v>674</v>
      </c>
      <c r="K1709" s="15" t="s">
        <v>30</v>
      </c>
      <c r="L1709" s="62"/>
      <c r="M1709" s="14" t="s">
        <v>1245</v>
      </c>
      <c r="N1709" s="14" t="s">
        <v>33</v>
      </c>
      <c r="O1709" s="14"/>
      <c r="P1709" s="15" t="s">
        <v>1899</v>
      </c>
      <c r="Q1709" s="16">
        <v>27399</v>
      </c>
      <c r="R1709" s="17">
        <v>45.01</v>
      </c>
      <c r="S1709" s="18">
        <v>17327.9355</v>
      </c>
      <c r="T1709" s="19" t="s">
        <v>36</v>
      </c>
      <c r="U1709" s="20" t="s">
        <v>751</v>
      </c>
      <c r="V1709" s="22">
        <v>42</v>
      </c>
      <c r="W1709" s="22">
        <v>2</v>
      </c>
      <c r="X1709" s="23"/>
    </row>
    <row r="1710" spans="1:24" s="1" customFormat="1" ht="22.05" customHeight="1" x14ac:dyDescent="0.3">
      <c r="A1710" s="24" t="s">
        <v>23</v>
      </c>
      <c r="B1710" s="24" t="s">
        <v>1242</v>
      </c>
      <c r="C1710" s="12" t="s">
        <v>1898</v>
      </c>
      <c r="D1710" s="61"/>
      <c r="E1710" s="41" t="str">
        <f t="shared" si="63"/>
        <v>Еще фото</v>
      </c>
      <c r="F1710" s="28" t="s">
        <v>138</v>
      </c>
      <c r="G1710" s="24" t="s">
        <v>1184</v>
      </c>
      <c r="H1710" s="24" t="s">
        <v>741</v>
      </c>
      <c r="I1710" s="24" t="s">
        <v>1185</v>
      </c>
      <c r="J1710" s="14" t="s">
        <v>674</v>
      </c>
      <c r="K1710" s="15" t="s">
        <v>30</v>
      </c>
      <c r="L1710" s="58"/>
      <c r="M1710" s="14" t="s">
        <v>1245</v>
      </c>
      <c r="N1710" s="14" t="s">
        <v>33</v>
      </c>
      <c r="O1710" s="14"/>
      <c r="P1710" s="15" t="s">
        <v>1899</v>
      </c>
      <c r="Q1710" s="16">
        <v>27399</v>
      </c>
      <c r="R1710" s="17">
        <v>45.01</v>
      </c>
      <c r="S1710" s="18">
        <v>17327.9355</v>
      </c>
      <c r="T1710" s="19" t="s">
        <v>36</v>
      </c>
      <c r="U1710" s="20" t="s">
        <v>752</v>
      </c>
      <c r="V1710" s="22">
        <v>43</v>
      </c>
      <c r="W1710" s="22">
        <v>1</v>
      </c>
      <c r="X1710" s="23"/>
    </row>
    <row r="1711" spans="1:24" s="1" customFormat="1" ht="26" customHeight="1" x14ac:dyDescent="0.3">
      <c r="A1711" s="11" t="s">
        <v>23</v>
      </c>
      <c r="B1711" s="11" t="s">
        <v>1900</v>
      </c>
      <c r="C1711" s="12" t="s">
        <v>1901</v>
      </c>
      <c r="D1711" s="59"/>
      <c r="E1711" s="41" t="str">
        <f>HYPERLINK("https://www.google.ru/search?q=3023748-001&amp;newwindow=1&amp;tbm=isch","Еще фото")</f>
        <v>Еще фото</v>
      </c>
      <c r="F1711" s="13"/>
      <c r="G1711" s="11" t="s">
        <v>740</v>
      </c>
      <c r="H1711" s="11" t="s">
        <v>741</v>
      </c>
      <c r="I1711" s="14" t="s">
        <v>1185</v>
      </c>
      <c r="J1711" s="14" t="s">
        <v>743</v>
      </c>
      <c r="K1711" s="15" t="s">
        <v>30</v>
      </c>
      <c r="L1711" s="57" t="s">
        <v>1902</v>
      </c>
      <c r="M1711" s="14" t="s">
        <v>765</v>
      </c>
      <c r="N1711" s="14" t="s">
        <v>33</v>
      </c>
      <c r="O1711" s="14"/>
      <c r="P1711" s="15" t="s">
        <v>1903</v>
      </c>
      <c r="Q1711" s="16">
        <v>23999</v>
      </c>
      <c r="R1711" s="17">
        <v>43</v>
      </c>
      <c r="S1711" s="18">
        <v>15731.344499999999</v>
      </c>
      <c r="T1711" s="19" t="s">
        <v>36</v>
      </c>
      <c r="U1711" s="20" t="s">
        <v>747</v>
      </c>
      <c r="V1711" s="34">
        <v>39.5</v>
      </c>
      <c r="W1711" s="22">
        <v>6</v>
      </c>
      <c r="X1711" s="23"/>
    </row>
    <row r="1712" spans="1:24" s="1" customFormat="1" ht="26" customHeight="1" x14ac:dyDescent="0.3">
      <c r="A1712" s="24" t="s">
        <v>23</v>
      </c>
      <c r="B1712" s="24" t="s">
        <v>1900</v>
      </c>
      <c r="C1712" s="12" t="s">
        <v>1901</v>
      </c>
      <c r="D1712" s="60"/>
      <c r="E1712" s="41" t="str">
        <f>HYPERLINK("https://www.google.ru/search?q=3023748-001&amp;newwindow=1&amp;tbm=isch","Еще фото")</f>
        <v>Еще фото</v>
      </c>
      <c r="F1712" s="13"/>
      <c r="G1712" s="24" t="s">
        <v>740</v>
      </c>
      <c r="H1712" s="24" t="s">
        <v>741</v>
      </c>
      <c r="I1712" s="24" t="s">
        <v>1185</v>
      </c>
      <c r="J1712" s="14" t="s">
        <v>743</v>
      </c>
      <c r="K1712" s="15" t="s">
        <v>30</v>
      </c>
      <c r="L1712" s="62"/>
      <c r="M1712" s="14" t="s">
        <v>765</v>
      </c>
      <c r="N1712" s="14" t="s">
        <v>33</v>
      </c>
      <c r="O1712" s="14"/>
      <c r="P1712" s="15" t="s">
        <v>1903</v>
      </c>
      <c r="Q1712" s="16">
        <v>23999</v>
      </c>
      <c r="R1712" s="17">
        <v>43</v>
      </c>
      <c r="S1712" s="18">
        <v>15731.344499999999</v>
      </c>
      <c r="T1712" s="19" t="s">
        <v>36</v>
      </c>
      <c r="U1712" s="20" t="s">
        <v>748</v>
      </c>
      <c r="V1712" s="22">
        <v>40</v>
      </c>
      <c r="W1712" s="22">
        <v>4</v>
      </c>
      <c r="X1712" s="23"/>
    </row>
    <row r="1713" spans="1:24" s="1" customFormat="1" ht="26" customHeight="1" x14ac:dyDescent="0.3">
      <c r="A1713" s="24" t="s">
        <v>23</v>
      </c>
      <c r="B1713" s="24" t="s">
        <v>1900</v>
      </c>
      <c r="C1713" s="12" t="s">
        <v>1901</v>
      </c>
      <c r="D1713" s="60"/>
      <c r="E1713" s="41" t="str">
        <f>HYPERLINK("https://www.google.ru/search?q=3023748-001&amp;newwindow=1&amp;tbm=isch","Еще фото")</f>
        <v>Еще фото</v>
      </c>
      <c r="F1713" s="13"/>
      <c r="G1713" s="24" t="s">
        <v>740</v>
      </c>
      <c r="H1713" s="24" t="s">
        <v>741</v>
      </c>
      <c r="I1713" s="24" t="s">
        <v>1185</v>
      </c>
      <c r="J1713" s="14" t="s">
        <v>743</v>
      </c>
      <c r="K1713" s="15" t="s">
        <v>30</v>
      </c>
      <c r="L1713" s="62"/>
      <c r="M1713" s="14" t="s">
        <v>765</v>
      </c>
      <c r="N1713" s="14" t="s">
        <v>33</v>
      </c>
      <c r="O1713" s="14"/>
      <c r="P1713" s="15" t="s">
        <v>1903</v>
      </c>
      <c r="Q1713" s="16">
        <v>23999</v>
      </c>
      <c r="R1713" s="17">
        <v>43</v>
      </c>
      <c r="S1713" s="18">
        <v>15731.344499999999</v>
      </c>
      <c r="T1713" s="19" t="s">
        <v>36</v>
      </c>
      <c r="U1713" s="20" t="s">
        <v>749</v>
      </c>
      <c r="V1713" s="22">
        <v>41</v>
      </c>
      <c r="W1713" s="22">
        <v>4</v>
      </c>
      <c r="X1713" s="23"/>
    </row>
    <row r="1714" spans="1:24" s="1" customFormat="1" ht="26" customHeight="1" x14ac:dyDescent="0.3">
      <c r="A1714" s="24" t="s">
        <v>23</v>
      </c>
      <c r="B1714" s="24" t="s">
        <v>1900</v>
      </c>
      <c r="C1714" s="12" t="s">
        <v>1901</v>
      </c>
      <c r="D1714" s="61"/>
      <c r="E1714" s="41" t="str">
        <f>HYPERLINK("https://www.google.ru/search?q=3023748-001&amp;newwindow=1&amp;tbm=isch","Еще фото")</f>
        <v>Еще фото</v>
      </c>
      <c r="F1714" s="13"/>
      <c r="G1714" s="24" t="s">
        <v>740</v>
      </c>
      <c r="H1714" s="24" t="s">
        <v>741</v>
      </c>
      <c r="I1714" s="24" t="s">
        <v>1185</v>
      </c>
      <c r="J1714" s="14" t="s">
        <v>743</v>
      </c>
      <c r="K1714" s="15" t="s">
        <v>30</v>
      </c>
      <c r="L1714" s="58"/>
      <c r="M1714" s="14" t="s">
        <v>765</v>
      </c>
      <c r="N1714" s="14" t="s">
        <v>33</v>
      </c>
      <c r="O1714" s="14"/>
      <c r="P1714" s="15" t="s">
        <v>1903</v>
      </c>
      <c r="Q1714" s="16">
        <v>23999</v>
      </c>
      <c r="R1714" s="17">
        <v>43</v>
      </c>
      <c r="S1714" s="18">
        <v>15731.344499999999</v>
      </c>
      <c r="T1714" s="19" t="s">
        <v>36</v>
      </c>
      <c r="U1714" s="20" t="s">
        <v>750</v>
      </c>
      <c r="V1714" s="34">
        <v>41.5</v>
      </c>
      <c r="W1714" s="22">
        <v>6</v>
      </c>
      <c r="X1714" s="23"/>
    </row>
    <row r="1715" spans="1:24" s="1" customFormat="1" ht="11" customHeight="1" x14ac:dyDescent="0.3">
      <c r="A1715" s="11" t="s">
        <v>23</v>
      </c>
      <c r="B1715" s="11" t="s">
        <v>1904</v>
      </c>
      <c r="C1715" s="12" t="s">
        <v>1905</v>
      </c>
      <c r="D1715" s="59"/>
      <c r="E1715" s="41" t="str">
        <f t="shared" ref="E1715:E1726" si="64">HYPERLINK("https://www.google.ru/search?q=6009107-102&amp;newwindow=1&amp;tbm=isch","Еще фото")</f>
        <v>Еще фото</v>
      </c>
      <c r="F1715" s="13"/>
      <c r="G1715" s="11" t="s">
        <v>1184</v>
      </c>
      <c r="H1715" s="11" t="s">
        <v>741</v>
      </c>
      <c r="I1715" s="14" t="s">
        <v>1185</v>
      </c>
      <c r="J1715" s="14" t="s">
        <v>29</v>
      </c>
      <c r="K1715" s="15" t="s">
        <v>30</v>
      </c>
      <c r="L1715" s="57" t="s">
        <v>1906</v>
      </c>
      <c r="M1715" s="14"/>
      <c r="N1715" s="14" t="s">
        <v>84</v>
      </c>
      <c r="O1715" s="14"/>
      <c r="P1715" s="15" t="s">
        <v>1893</v>
      </c>
      <c r="Q1715" s="16">
        <v>14499</v>
      </c>
      <c r="R1715" s="17">
        <v>43</v>
      </c>
      <c r="S1715" s="18">
        <v>9504.0944999999992</v>
      </c>
      <c r="T1715" s="19" t="s">
        <v>36</v>
      </c>
      <c r="U1715" s="20" t="s">
        <v>747</v>
      </c>
      <c r="V1715" s="34">
        <v>39.5</v>
      </c>
      <c r="W1715" s="22">
        <v>4</v>
      </c>
      <c r="X1715" s="23"/>
    </row>
    <row r="1716" spans="1:24" s="1" customFormat="1" ht="11" customHeight="1" x14ac:dyDescent="0.3">
      <c r="A1716" s="24" t="s">
        <v>23</v>
      </c>
      <c r="B1716" s="24" t="s">
        <v>1904</v>
      </c>
      <c r="C1716" s="12" t="s">
        <v>1905</v>
      </c>
      <c r="D1716" s="60"/>
      <c r="E1716" s="41" t="str">
        <f t="shared" si="64"/>
        <v>Еще фото</v>
      </c>
      <c r="F1716" s="13"/>
      <c r="G1716" s="24" t="s">
        <v>1184</v>
      </c>
      <c r="H1716" s="24" t="s">
        <v>741</v>
      </c>
      <c r="I1716" s="24" t="s">
        <v>1185</v>
      </c>
      <c r="J1716" s="14" t="s">
        <v>29</v>
      </c>
      <c r="K1716" s="15" t="s">
        <v>30</v>
      </c>
      <c r="L1716" s="62"/>
      <c r="M1716" s="14"/>
      <c r="N1716" s="14" t="s">
        <v>84</v>
      </c>
      <c r="O1716" s="14"/>
      <c r="P1716" s="15" t="s">
        <v>1893</v>
      </c>
      <c r="Q1716" s="16">
        <v>14499</v>
      </c>
      <c r="R1716" s="17">
        <v>43</v>
      </c>
      <c r="S1716" s="18">
        <v>9504.0944999999992</v>
      </c>
      <c r="T1716" s="19" t="s">
        <v>36</v>
      </c>
      <c r="U1716" s="20" t="s">
        <v>748</v>
      </c>
      <c r="V1716" s="22">
        <v>40</v>
      </c>
      <c r="W1716" s="22">
        <v>11</v>
      </c>
      <c r="X1716" s="23"/>
    </row>
    <row r="1717" spans="1:24" s="1" customFormat="1" ht="11" customHeight="1" x14ac:dyDescent="0.3">
      <c r="A1717" s="24" t="s">
        <v>23</v>
      </c>
      <c r="B1717" s="24" t="s">
        <v>1904</v>
      </c>
      <c r="C1717" s="12" t="s">
        <v>1905</v>
      </c>
      <c r="D1717" s="60"/>
      <c r="E1717" s="41" t="str">
        <f t="shared" si="64"/>
        <v>Еще фото</v>
      </c>
      <c r="F1717" s="13"/>
      <c r="G1717" s="24" t="s">
        <v>1184</v>
      </c>
      <c r="H1717" s="24" t="s">
        <v>741</v>
      </c>
      <c r="I1717" s="24" t="s">
        <v>1185</v>
      </c>
      <c r="J1717" s="14" t="s">
        <v>29</v>
      </c>
      <c r="K1717" s="15" t="s">
        <v>30</v>
      </c>
      <c r="L1717" s="62"/>
      <c r="M1717" s="14"/>
      <c r="N1717" s="14" t="s">
        <v>84</v>
      </c>
      <c r="O1717" s="14"/>
      <c r="P1717" s="15" t="s">
        <v>1893</v>
      </c>
      <c r="Q1717" s="16">
        <v>14499</v>
      </c>
      <c r="R1717" s="17">
        <v>43</v>
      </c>
      <c r="S1717" s="18">
        <v>9504.0944999999992</v>
      </c>
      <c r="T1717" s="19" t="s">
        <v>36</v>
      </c>
      <c r="U1717" s="20" t="s">
        <v>749</v>
      </c>
      <c r="V1717" s="22">
        <v>41</v>
      </c>
      <c r="W1717" s="22">
        <v>7</v>
      </c>
      <c r="X1717" s="23"/>
    </row>
    <row r="1718" spans="1:24" s="1" customFormat="1" ht="11" customHeight="1" x14ac:dyDescent="0.3">
      <c r="A1718" s="24" t="s">
        <v>23</v>
      </c>
      <c r="B1718" s="24" t="s">
        <v>1904</v>
      </c>
      <c r="C1718" s="12" t="s">
        <v>1905</v>
      </c>
      <c r="D1718" s="60"/>
      <c r="E1718" s="41" t="str">
        <f t="shared" si="64"/>
        <v>Еще фото</v>
      </c>
      <c r="F1718" s="13"/>
      <c r="G1718" s="24" t="s">
        <v>1184</v>
      </c>
      <c r="H1718" s="24" t="s">
        <v>741</v>
      </c>
      <c r="I1718" s="24" t="s">
        <v>1185</v>
      </c>
      <c r="J1718" s="14" t="s">
        <v>29</v>
      </c>
      <c r="K1718" s="15" t="s">
        <v>30</v>
      </c>
      <c r="L1718" s="62"/>
      <c r="M1718" s="14"/>
      <c r="N1718" s="14" t="s">
        <v>84</v>
      </c>
      <c r="O1718" s="14"/>
      <c r="P1718" s="15" t="s">
        <v>1893</v>
      </c>
      <c r="Q1718" s="16">
        <v>14499</v>
      </c>
      <c r="R1718" s="17">
        <v>43</v>
      </c>
      <c r="S1718" s="18">
        <v>9504.0944999999992</v>
      </c>
      <c r="T1718" s="19" t="s">
        <v>36</v>
      </c>
      <c r="U1718" s="20" t="s">
        <v>750</v>
      </c>
      <c r="V1718" s="34">
        <v>41.5</v>
      </c>
      <c r="W1718" s="22">
        <v>14</v>
      </c>
      <c r="X1718" s="23"/>
    </row>
    <row r="1719" spans="1:24" s="1" customFormat="1" ht="11" customHeight="1" x14ac:dyDescent="0.3">
      <c r="A1719" s="24" t="s">
        <v>23</v>
      </c>
      <c r="B1719" s="24" t="s">
        <v>1904</v>
      </c>
      <c r="C1719" s="12" t="s">
        <v>1905</v>
      </c>
      <c r="D1719" s="60"/>
      <c r="E1719" s="41" t="str">
        <f t="shared" si="64"/>
        <v>Еще фото</v>
      </c>
      <c r="F1719" s="13"/>
      <c r="G1719" s="24" t="s">
        <v>1184</v>
      </c>
      <c r="H1719" s="24" t="s">
        <v>741</v>
      </c>
      <c r="I1719" s="24" t="s">
        <v>1185</v>
      </c>
      <c r="J1719" s="14" t="s">
        <v>29</v>
      </c>
      <c r="K1719" s="15" t="s">
        <v>30</v>
      </c>
      <c r="L1719" s="62"/>
      <c r="M1719" s="14"/>
      <c r="N1719" s="14" t="s">
        <v>84</v>
      </c>
      <c r="O1719" s="14"/>
      <c r="P1719" s="15" t="s">
        <v>1893</v>
      </c>
      <c r="Q1719" s="16">
        <v>14499</v>
      </c>
      <c r="R1719" s="17">
        <v>43</v>
      </c>
      <c r="S1719" s="18">
        <v>9504.0944999999992</v>
      </c>
      <c r="T1719" s="19" t="s">
        <v>36</v>
      </c>
      <c r="U1719" s="20" t="s">
        <v>751</v>
      </c>
      <c r="V1719" s="22">
        <v>42</v>
      </c>
      <c r="W1719" s="22">
        <v>15</v>
      </c>
      <c r="X1719" s="23"/>
    </row>
    <row r="1720" spans="1:24" s="1" customFormat="1" ht="11" customHeight="1" x14ac:dyDescent="0.3">
      <c r="A1720" s="24" t="s">
        <v>23</v>
      </c>
      <c r="B1720" s="24" t="s">
        <v>1904</v>
      </c>
      <c r="C1720" s="12" t="s">
        <v>1905</v>
      </c>
      <c r="D1720" s="60"/>
      <c r="E1720" s="41" t="str">
        <f t="shared" si="64"/>
        <v>Еще фото</v>
      </c>
      <c r="F1720" s="13"/>
      <c r="G1720" s="24" t="s">
        <v>1184</v>
      </c>
      <c r="H1720" s="24" t="s">
        <v>741</v>
      </c>
      <c r="I1720" s="24" t="s">
        <v>1185</v>
      </c>
      <c r="J1720" s="14" t="s">
        <v>29</v>
      </c>
      <c r="K1720" s="15" t="s">
        <v>30</v>
      </c>
      <c r="L1720" s="62"/>
      <c r="M1720" s="14"/>
      <c r="N1720" s="14" t="s">
        <v>84</v>
      </c>
      <c r="O1720" s="14"/>
      <c r="P1720" s="15" t="s">
        <v>1893</v>
      </c>
      <c r="Q1720" s="16">
        <v>14499</v>
      </c>
      <c r="R1720" s="17">
        <v>43</v>
      </c>
      <c r="S1720" s="18">
        <v>9504.0944999999992</v>
      </c>
      <c r="T1720" s="19" t="s">
        <v>36</v>
      </c>
      <c r="U1720" s="20" t="s">
        <v>752</v>
      </c>
      <c r="V1720" s="22">
        <v>43</v>
      </c>
      <c r="W1720" s="22">
        <v>13</v>
      </c>
      <c r="X1720" s="23"/>
    </row>
    <row r="1721" spans="1:24" s="1" customFormat="1" ht="11" customHeight="1" x14ac:dyDescent="0.3">
      <c r="A1721" s="24" t="s">
        <v>23</v>
      </c>
      <c r="B1721" s="24" t="s">
        <v>1904</v>
      </c>
      <c r="C1721" s="12" t="s">
        <v>1905</v>
      </c>
      <c r="D1721" s="60"/>
      <c r="E1721" s="41" t="str">
        <f t="shared" si="64"/>
        <v>Еще фото</v>
      </c>
      <c r="F1721" s="13"/>
      <c r="G1721" s="24" t="s">
        <v>1184</v>
      </c>
      <c r="H1721" s="24" t="s">
        <v>741</v>
      </c>
      <c r="I1721" s="24" t="s">
        <v>1185</v>
      </c>
      <c r="J1721" s="14" t="s">
        <v>29</v>
      </c>
      <c r="K1721" s="15" t="s">
        <v>30</v>
      </c>
      <c r="L1721" s="62"/>
      <c r="M1721" s="14"/>
      <c r="N1721" s="14" t="s">
        <v>84</v>
      </c>
      <c r="O1721" s="14"/>
      <c r="P1721" s="15" t="s">
        <v>1893</v>
      </c>
      <c r="Q1721" s="16">
        <v>14499</v>
      </c>
      <c r="R1721" s="17">
        <v>43</v>
      </c>
      <c r="S1721" s="18">
        <v>9504.0944999999992</v>
      </c>
      <c r="T1721" s="19" t="s">
        <v>36</v>
      </c>
      <c r="U1721" s="20" t="s">
        <v>753</v>
      </c>
      <c r="V1721" s="34">
        <v>43.5</v>
      </c>
      <c r="W1721" s="22">
        <v>16</v>
      </c>
      <c r="X1721" s="23"/>
    </row>
    <row r="1722" spans="1:24" s="1" customFormat="1" ht="11" customHeight="1" x14ac:dyDescent="0.3">
      <c r="A1722" s="24" t="s">
        <v>23</v>
      </c>
      <c r="B1722" s="24" t="s">
        <v>1904</v>
      </c>
      <c r="C1722" s="12" t="s">
        <v>1905</v>
      </c>
      <c r="D1722" s="60"/>
      <c r="E1722" s="41" t="str">
        <f t="shared" si="64"/>
        <v>Еще фото</v>
      </c>
      <c r="F1722" s="13"/>
      <c r="G1722" s="24" t="s">
        <v>1184</v>
      </c>
      <c r="H1722" s="24" t="s">
        <v>741</v>
      </c>
      <c r="I1722" s="24" t="s">
        <v>1185</v>
      </c>
      <c r="J1722" s="14" t="s">
        <v>29</v>
      </c>
      <c r="K1722" s="15" t="s">
        <v>30</v>
      </c>
      <c r="L1722" s="62"/>
      <c r="M1722" s="14"/>
      <c r="N1722" s="14" t="s">
        <v>84</v>
      </c>
      <c r="O1722" s="14"/>
      <c r="P1722" s="15" t="s">
        <v>1893</v>
      </c>
      <c r="Q1722" s="16">
        <v>14499</v>
      </c>
      <c r="R1722" s="17">
        <v>43</v>
      </c>
      <c r="S1722" s="18">
        <v>9504.0944999999992</v>
      </c>
      <c r="T1722" s="19" t="s">
        <v>36</v>
      </c>
      <c r="U1722" s="20" t="s">
        <v>754</v>
      </c>
      <c r="V1722" s="22">
        <v>44</v>
      </c>
      <c r="W1722" s="22">
        <v>10</v>
      </c>
      <c r="X1722" s="23"/>
    </row>
    <row r="1723" spans="1:24" s="1" customFormat="1" ht="11" customHeight="1" x14ac:dyDescent="0.3">
      <c r="A1723" s="24" t="s">
        <v>23</v>
      </c>
      <c r="B1723" s="24" t="s">
        <v>1904</v>
      </c>
      <c r="C1723" s="12" t="s">
        <v>1905</v>
      </c>
      <c r="D1723" s="60"/>
      <c r="E1723" s="41" t="str">
        <f t="shared" si="64"/>
        <v>Еще фото</v>
      </c>
      <c r="F1723" s="13"/>
      <c r="G1723" s="24" t="s">
        <v>1184</v>
      </c>
      <c r="H1723" s="24" t="s">
        <v>741</v>
      </c>
      <c r="I1723" s="24" t="s">
        <v>1185</v>
      </c>
      <c r="J1723" s="14" t="s">
        <v>29</v>
      </c>
      <c r="K1723" s="15" t="s">
        <v>30</v>
      </c>
      <c r="L1723" s="62"/>
      <c r="M1723" s="14"/>
      <c r="N1723" s="14" t="s">
        <v>84</v>
      </c>
      <c r="O1723" s="14"/>
      <c r="P1723" s="15" t="s">
        <v>1893</v>
      </c>
      <c r="Q1723" s="16">
        <v>14499</v>
      </c>
      <c r="R1723" s="17">
        <v>43</v>
      </c>
      <c r="S1723" s="18">
        <v>9504.0944999999992</v>
      </c>
      <c r="T1723" s="19" t="s">
        <v>36</v>
      </c>
      <c r="U1723" s="20" t="s">
        <v>755</v>
      </c>
      <c r="V1723" s="34">
        <v>44.5</v>
      </c>
      <c r="W1723" s="22">
        <v>11</v>
      </c>
      <c r="X1723" s="23"/>
    </row>
    <row r="1724" spans="1:24" s="1" customFormat="1" ht="11" customHeight="1" x14ac:dyDescent="0.3">
      <c r="A1724" s="14" t="s">
        <v>23</v>
      </c>
      <c r="B1724" s="14" t="s">
        <v>1904</v>
      </c>
      <c r="C1724" s="12" t="s">
        <v>1905</v>
      </c>
      <c r="D1724" s="60"/>
      <c r="E1724" s="41" t="str">
        <f t="shared" si="64"/>
        <v>Еще фото</v>
      </c>
      <c r="F1724" s="29"/>
      <c r="G1724" s="14" t="s">
        <v>1184</v>
      </c>
      <c r="H1724" s="14" t="s">
        <v>741</v>
      </c>
      <c r="I1724" s="14" t="s">
        <v>1185</v>
      </c>
      <c r="J1724" s="14" t="s">
        <v>29</v>
      </c>
      <c r="K1724" s="14" t="s">
        <v>30</v>
      </c>
      <c r="L1724" s="62"/>
      <c r="M1724" s="14"/>
      <c r="N1724" s="14" t="s">
        <v>84</v>
      </c>
      <c r="O1724" s="14"/>
      <c r="P1724" s="14" t="s">
        <v>1893</v>
      </c>
      <c r="Q1724" s="30">
        <v>14499</v>
      </c>
      <c r="R1724" s="31">
        <v>43</v>
      </c>
      <c r="S1724" s="32">
        <v>9504.0944999999992</v>
      </c>
      <c r="T1724" s="19" t="s">
        <v>36</v>
      </c>
      <c r="U1724" s="20" t="s">
        <v>1337</v>
      </c>
      <c r="V1724" s="22">
        <v>45</v>
      </c>
      <c r="W1724" s="22">
        <v>9</v>
      </c>
      <c r="X1724" s="23"/>
    </row>
    <row r="1725" spans="1:24" s="1" customFormat="1" ht="11" customHeight="1" x14ac:dyDescent="0.3">
      <c r="A1725" s="14" t="s">
        <v>23</v>
      </c>
      <c r="B1725" s="14" t="s">
        <v>1904</v>
      </c>
      <c r="C1725" s="12" t="s">
        <v>1905</v>
      </c>
      <c r="D1725" s="60"/>
      <c r="E1725" s="41" t="str">
        <f t="shared" si="64"/>
        <v>Еще фото</v>
      </c>
      <c r="F1725" s="29"/>
      <c r="G1725" s="14" t="s">
        <v>1184</v>
      </c>
      <c r="H1725" s="14" t="s">
        <v>741</v>
      </c>
      <c r="I1725" s="14" t="s">
        <v>1185</v>
      </c>
      <c r="J1725" s="14" t="s">
        <v>29</v>
      </c>
      <c r="K1725" s="14" t="s">
        <v>30</v>
      </c>
      <c r="L1725" s="62"/>
      <c r="M1725" s="14"/>
      <c r="N1725" s="14" t="s">
        <v>84</v>
      </c>
      <c r="O1725" s="14"/>
      <c r="P1725" s="14" t="s">
        <v>1893</v>
      </c>
      <c r="Q1725" s="30">
        <v>14499</v>
      </c>
      <c r="R1725" s="31">
        <v>43</v>
      </c>
      <c r="S1725" s="32">
        <v>9504.0944999999992</v>
      </c>
      <c r="T1725" s="19" t="s">
        <v>36</v>
      </c>
      <c r="U1725" s="20" t="s">
        <v>1907</v>
      </c>
      <c r="V1725" s="22">
        <v>46</v>
      </c>
      <c r="W1725" s="22">
        <v>4</v>
      </c>
      <c r="X1725" s="23"/>
    </row>
    <row r="1726" spans="1:24" s="1" customFormat="1" ht="11" customHeight="1" x14ac:dyDescent="0.3">
      <c r="A1726" s="14" t="s">
        <v>23</v>
      </c>
      <c r="B1726" s="14" t="s">
        <v>1904</v>
      </c>
      <c r="C1726" s="12" t="s">
        <v>1905</v>
      </c>
      <c r="D1726" s="61"/>
      <c r="E1726" s="41" t="str">
        <f t="shared" si="64"/>
        <v>Еще фото</v>
      </c>
      <c r="F1726" s="29"/>
      <c r="G1726" s="14" t="s">
        <v>1184</v>
      </c>
      <c r="H1726" s="14" t="s">
        <v>741</v>
      </c>
      <c r="I1726" s="14" t="s">
        <v>1185</v>
      </c>
      <c r="J1726" s="14" t="s">
        <v>29</v>
      </c>
      <c r="K1726" s="14" t="s">
        <v>30</v>
      </c>
      <c r="L1726" s="58"/>
      <c r="M1726" s="14"/>
      <c r="N1726" s="14" t="s">
        <v>84</v>
      </c>
      <c r="O1726" s="14"/>
      <c r="P1726" s="14" t="s">
        <v>1893</v>
      </c>
      <c r="Q1726" s="30">
        <v>14499</v>
      </c>
      <c r="R1726" s="31">
        <v>43</v>
      </c>
      <c r="S1726" s="32">
        <v>9504.0944999999992</v>
      </c>
      <c r="T1726" s="19" t="s">
        <v>36</v>
      </c>
      <c r="U1726" s="20" t="s">
        <v>1908</v>
      </c>
      <c r="V1726" s="34">
        <v>46.5</v>
      </c>
      <c r="W1726" s="22">
        <v>2</v>
      </c>
      <c r="X1726" s="23"/>
    </row>
    <row r="1727" spans="1:24" s="1" customFormat="1" ht="21" customHeight="1" x14ac:dyDescent="0.3">
      <c r="A1727" s="11" t="s">
        <v>23</v>
      </c>
      <c r="B1727" s="11" t="s">
        <v>1909</v>
      </c>
      <c r="C1727" s="26" t="s">
        <v>1910</v>
      </c>
      <c r="D1727" s="59"/>
      <c r="E1727" s="41" t="str">
        <f>HYPERLINK("https://www.google.ru/search?q=1285490-410&amp;newwindow=1&amp;tbm=isch","Еще фото")</f>
        <v>Еще фото</v>
      </c>
      <c r="F1727" s="13"/>
      <c r="G1727" s="11" t="s">
        <v>1184</v>
      </c>
      <c r="H1727" s="11" t="s">
        <v>741</v>
      </c>
      <c r="I1727" s="14" t="s">
        <v>1185</v>
      </c>
      <c r="J1727" s="14" t="s">
        <v>29</v>
      </c>
      <c r="K1727" s="15" t="s">
        <v>59</v>
      </c>
      <c r="L1727" s="57" t="s">
        <v>1590</v>
      </c>
      <c r="M1727" s="14" t="s">
        <v>1565</v>
      </c>
      <c r="N1727" s="14" t="s">
        <v>115</v>
      </c>
      <c r="O1727" s="14" t="s">
        <v>34</v>
      </c>
      <c r="P1727" s="15" t="s">
        <v>1284</v>
      </c>
      <c r="Q1727" s="16">
        <v>8399</v>
      </c>
      <c r="R1727" s="17">
        <v>40</v>
      </c>
      <c r="S1727" s="18">
        <v>5795.3099999999995</v>
      </c>
      <c r="T1727" s="19" t="s">
        <v>36</v>
      </c>
      <c r="U1727" s="20" t="s">
        <v>1241</v>
      </c>
      <c r="V1727" s="22">
        <v>35</v>
      </c>
      <c r="W1727" s="22">
        <v>2</v>
      </c>
      <c r="X1727" s="23"/>
    </row>
    <row r="1728" spans="1:24" s="1" customFormat="1" ht="21" customHeight="1" x14ac:dyDescent="0.3">
      <c r="A1728" s="24" t="s">
        <v>23</v>
      </c>
      <c r="B1728" s="24" t="s">
        <v>1909</v>
      </c>
      <c r="C1728" s="27" t="s">
        <v>1910</v>
      </c>
      <c r="D1728" s="60"/>
      <c r="E1728" s="41" t="str">
        <f>HYPERLINK("https://www.google.ru/search?q=1285490-410&amp;newwindow=1&amp;tbm=isch","Еще фото")</f>
        <v>Еще фото</v>
      </c>
      <c r="F1728" s="13"/>
      <c r="G1728" s="24" t="s">
        <v>1184</v>
      </c>
      <c r="H1728" s="24" t="s">
        <v>741</v>
      </c>
      <c r="I1728" s="24" t="s">
        <v>1185</v>
      </c>
      <c r="J1728" s="14" t="s">
        <v>29</v>
      </c>
      <c r="K1728" s="15" t="s">
        <v>59</v>
      </c>
      <c r="L1728" s="62"/>
      <c r="M1728" s="14" t="s">
        <v>1565</v>
      </c>
      <c r="N1728" s="14" t="s">
        <v>115</v>
      </c>
      <c r="O1728" s="14" t="s">
        <v>34</v>
      </c>
      <c r="P1728" s="15" t="s">
        <v>1284</v>
      </c>
      <c r="Q1728" s="16">
        <v>8399</v>
      </c>
      <c r="R1728" s="17">
        <v>40</v>
      </c>
      <c r="S1728" s="18">
        <v>5795.3099999999995</v>
      </c>
      <c r="T1728" s="19" t="s">
        <v>36</v>
      </c>
      <c r="U1728" s="20" t="s">
        <v>1190</v>
      </c>
      <c r="V1728" s="34">
        <v>35.5</v>
      </c>
      <c r="W1728" s="22">
        <v>1</v>
      </c>
      <c r="X1728" s="23"/>
    </row>
    <row r="1729" spans="1:24" s="1" customFormat="1" ht="21" customHeight="1" x14ac:dyDescent="0.3">
      <c r="A1729" s="24" t="s">
        <v>23</v>
      </c>
      <c r="B1729" s="24" t="s">
        <v>1909</v>
      </c>
      <c r="C1729" s="27" t="s">
        <v>1910</v>
      </c>
      <c r="D1729" s="60"/>
      <c r="E1729" s="41" t="str">
        <f>HYPERLINK("https://www.google.ru/search?q=1285490-410&amp;newwindow=1&amp;tbm=isch","Еще фото")</f>
        <v>Еще фото</v>
      </c>
      <c r="F1729" s="13"/>
      <c r="G1729" s="24" t="s">
        <v>1184</v>
      </c>
      <c r="H1729" s="24" t="s">
        <v>741</v>
      </c>
      <c r="I1729" s="24" t="s">
        <v>1185</v>
      </c>
      <c r="J1729" s="14" t="s">
        <v>29</v>
      </c>
      <c r="K1729" s="15" t="s">
        <v>59</v>
      </c>
      <c r="L1729" s="62"/>
      <c r="M1729" s="14" t="s">
        <v>1565</v>
      </c>
      <c r="N1729" s="14" t="s">
        <v>115</v>
      </c>
      <c r="O1729" s="14" t="s">
        <v>34</v>
      </c>
      <c r="P1729" s="15" t="s">
        <v>1284</v>
      </c>
      <c r="Q1729" s="16">
        <v>8399</v>
      </c>
      <c r="R1729" s="17">
        <v>40</v>
      </c>
      <c r="S1729" s="18">
        <v>5795.3099999999995</v>
      </c>
      <c r="T1729" s="19" t="s">
        <v>36</v>
      </c>
      <c r="U1729" s="20" t="s">
        <v>1203</v>
      </c>
      <c r="V1729" s="22">
        <v>36</v>
      </c>
      <c r="W1729" s="22">
        <v>3</v>
      </c>
      <c r="X1729" s="23"/>
    </row>
    <row r="1730" spans="1:24" s="1" customFormat="1" ht="21" customHeight="1" x14ac:dyDescent="0.3">
      <c r="A1730" s="24" t="s">
        <v>23</v>
      </c>
      <c r="B1730" s="24" t="s">
        <v>1909</v>
      </c>
      <c r="C1730" s="27" t="s">
        <v>1910</v>
      </c>
      <c r="D1730" s="60"/>
      <c r="E1730" s="41" t="str">
        <f>HYPERLINK("https://www.google.ru/search?q=1285490-410&amp;newwindow=1&amp;tbm=isch","Еще фото")</f>
        <v>Еще фото</v>
      </c>
      <c r="F1730" s="13"/>
      <c r="G1730" s="24" t="s">
        <v>1184</v>
      </c>
      <c r="H1730" s="24" t="s">
        <v>741</v>
      </c>
      <c r="I1730" s="24" t="s">
        <v>1185</v>
      </c>
      <c r="J1730" s="14" t="s">
        <v>29</v>
      </c>
      <c r="K1730" s="15" t="s">
        <v>59</v>
      </c>
      <c r="L1730" s="62"/>
      <c r="M1730" s="14" t="s">
        <v>1565</v>
      </c>
      <c r="N1730" s="14" t="s">
        <v>115</v>
      </c>
      <c r="O1730" s="14" t="s">
        <v>34</v>
      </c>
      <c r="P1730" s="15" t="s">
        <v>1284</v>
      </c>
      <c r="Q1730" s="16">
        <v>8399</v>
      </c>
      <c r="R1730" s="17">
        <v>40</v>
      </c>
      <c r="S1730" s="18">
        <v>5795.3099999999995</v>
      </c>
      <c r="T1730" s="19" t="s">
        <v>36</v>
      </c>
      <c r="U1730" s="20" t="s">
        <v>1196</v>
      </c>
      <c r="V1730" s="34">
        <v>36.5</v>
      </c>
      <c r="W1730" s="22">
        <v>2</v>
      </c>
      <c r="X1730" s="23"/>
    </row>
    <row r="1731" spans="1:24" s="1" customFormat="1" ht="32" customHeight="1" x14ac:dyDescent="0.3">
      <c r="A1731" s="24" t="s">
        <v>23</v>
      </c>
      <c r="B1731" s="24" t="s">
        <v>1909</v>
      </c>
      <c r="C1731" s="27" t="s">
        <v>1910</v>
      </c>
      <c r="D1731" s="61"/>
      <c r="E1731" s="41" t="str">
        <f>HYPERLINK("https://www.google.ru/search?q=1285490-410&amp;newwindow=1&amp;tbm=isch","Еще фото")</f>
        <v>Еще фото</v>
      </c>
      <c r="F1731" s="13"/>
      <c r="G1731" s="24" t="s">
        <v>1184</v>
      </c>
      <c r="H1731" s="24" t="s">
        <v>741</v>
      </c>
      <c r="I1731" s="24" t="s">
        <v>1185</v>
      </c>
      <c r="J1731" s="14" t="s">
        <v>29</v>
      </c>
      <c r="K1731" s="15" t="s">
        <v>59</v>
      </c>
      <c r="L1731" s="58"/>
      <c r="M1731" s="14" t="s">
        <v>1565</v>
      </c>
      <c r="N1731" s="14" t="s">
        <v>115</v>
      </c>
      <c r="O1731" s="14" t="s">
        <v>34</v>
      </c>
      <c r="P1731" s="15" t="s">
        <v>1284</v>
      </c>
      <c r="Q1731" s="16">
        <v>8399</v>
      </c>
      <c r="R1731" s="17">
        <v>40</v>
      </c>
      <c r="S1731" s="18">
        <v>5795.3099999999995</v>
      </c>
      <c r="T1731" s="19" t="s">
        <v>36</v>
      </c>
      <c r="U1731" s="20" t="s">
        <v>746</v>
      </c>
      <c r="V1731" s="22">
        <v>37</v>
      </c>
      <c r="W1731" s="22">
        <v>2</v>
      </c>
      <c r="X1731" s="23"/>
    </row>
    <row r="1732" spans="1:24" s="1" customFormat="1" ht="26" customHeight="1" x14ac:dyDescent="0.3">
      <c r="A1732" s="11" t="s">
        <v>23</v>
      </c>
      <c r="B1732" s="11" t="s">
        <v>1909</v>
      </c>
      <c r="C1732" s="12" t="s">
        <v>1911</v>
      </c>
      <c r="D1732" s="59"/>
      <c r="E1732" s="41" t="str">
        <f>HYPERLINK("https://www.google.ru/search?q=1285490-923&amp;newwindow=1&amp;tbm=isch","Еще фото")</f>
        <v>Еще фото</v>
      </c>
      <c r="F1732" s="13"/>
      <c r="G1732" s="11" t="s">
        <v>1184</v>
      </c>
      <c r="H1732" s="11" t="s">
        <v>741</v>
      </c>
      <c r="I1732" s="14" t="s">
        <v>1185</v>
      </c>
      <c r="J1732" s="14" t="s">
        <v>29</v>
      </c>
      <c r="K1732" s="15" t="s">
        <v>59</v>
      </c>
      <c r="L1732" s="57" t="s">
        <v>1590</v>
      </c>
      <c r="M1732" s="14" t="s">
        <v>1565</v>
      </c>
      <c r="N1732" s="14" t="s">
        <v>382</v>
      </c>
      <c r="O1732" s="14" t="s">
        <v>34</v>
      </c>
      <c r="P1732" s="15" t="s">
        <v>1284</v>
      </c>
      <c r="Q1732" s="16">
        <v>8399</v>
      </c>
      <c r="R1732" s="17">
        <v>40</v>
      </c>
      <c r="S1732" s="18">
        <v>5795.3099999999995</v>
      </c>
      <c r="T1732" s="19" t="s">
        <v>36</v>
      </c>
      <c r="U1732" s="20" t="s">
        <v>1241</v>
      </c>
      <c r="V1732" s="22">
        <v>35</v>
      </c>
      <c r="W1732" s="22">
        <v>7</v>
      </c>
      <c r="X1732" s="23"/>
    </row>
    <row r="1733" spans="1:24" s="1" customFormat="1" ht="26" customHeight="1" x14ac:dyDescent="0.3">
      <c r="A1733" s="24" t="s">
        <v>23</v>
      </c>
      <c r="B1733" s="24" t="s">
        <v>1909</v>
      </c>
      <c r="C1733" s="12" t="s">
        <v>1911</v>
      </c>
      <c r="D1733" s="60"/>
      <c r="E1733" s="41" t="str">
        <f>HYPERLINK("https://www.google.ru/search?q=1285490-923&amp;newwindow=1&amp;tbm=isch","Еще фото")</f>
        <v>Еще фото</v>
      </c>
      <c r="F1733" s="13"/>
      <c r="G1733" s="24" t="s">
        <v>1184</v>
      </c>
      <c r="H1733" s="24" t="s">
        <v>741</v>
      </c>
      <c r="I1733" s="24" t="s">
        <v>1185</v>
      </c>
      <c r="J1733" s="14" t="s">
        <v>29</v>
      </c>
      <c r="K1733" s="15" t="s">
        <v>59</v>
      </c>
      <c r="L1733" s="62"/>
      <c r="M1733" s="14" t="s">
        <v>1565</v>
      </c>
      <c r="N1733" s="14" t="s">
        <v>382</v>
      </c>
      <c r="O1733" s="14" t="s">
        <v>34</v>
      </c>
      <c r="P1733" s="15" t="s">
        <v>1284</v>
      </c>
      <c r="Q1733" s="16">
        <v>8399</v>
      </c>
      <c r="R1733" s="17">
        <v>40</v>
      </c>
      <c r="S1733" s="18">
        <v>5795.3099999999995</v>
      </c>
      <c r="T1733" s="19" t="s">
        <v>36</v>
      </c>
      <c r="U1733" s="20" t="s">
        <v>1190</v>
      </c>
      <c r="V1733" s="34">
        <v>35.5</v>
      </c>
      <c r="W1733" s="22">
        <v>1</v>
      </c>
      <c r="X1733" s="23"/>
    </row>
    <row r="1734" spans="1:24" s="1" customFormat="1" ht="26" customHeight="1" x14ac:dyDescent="0.3">
      <c r="A1734" s="24" t="s">
        <v>23</v>
      </c>
      <c r="B1734" s="24" t="s">
        <v>1909</v>
      </c>
      <c r="C1734" s="12" t="s">
        <v>1911</v>
      </c>
      <c r="D1734" s="60"/>
      <c r="E1734" s="41" t="str">
        <f>HYPERLINK("https://www.google.ru/search?q=1285490-923&amp;newwindow=1&amp;tbm=isch","Еще фото")</f>
        <v>Еще фото</v>
      </c>
      <c r="F1734" s="13"/>
      <c r="G1734" s="24" t="s">
        <v>1184</v>
      </c>
      <c r="H1734" s="24" t="s">
        <v>741</v>
      </c>
      <c r="I1734" s="24" t="s">
        <v>1185</v>
      </c>
      <c r="J1734" s="14" t="s">
        <v>29</v>
      </c>
      <c r="K1734" s="15" t="s">
        <v>59</v>
      </c>
      <c r="L1734" s="62"/>
      <c r="M1734" s="14" t="s">
        <v>1565</v>
      </c>
      <c r="N1734" s="14" t="s">
        <v>382</v>
      </c>
      <c r="O1734" s="14" t="s">
        <v>34</v>
      </c>
      <c r="P1734" s="15" t="s">
        <v>1284</v>
      </c>
      <c r="Q1734" s="16">
        <v>8399</v>
      </c>
      <c r="R1734" s="17">
        <v>40</v>
      </c>
      <c r="S1734" s="18">
        <v>5795.3099999999995</v>
      </c>
      <c r="T1734" s="19" t="s">
        <v>36</v>
      </c>
      <c r="U1734" s="20" t="s">
        <v>1203</v>
      </c>
      <c r="V1734" s="22">
        <v>36</v>
      </c>
      <c r="W1734" s="22">
        <v>1</v>
      </c>
      <c r="X1734" s="23"/>
    </row>
    <row r="1735" spans="1:24" s="1" customFormat="1" ht="26" customHeight="1" x14ac:dyDescent="0.3">
      <c r="A1735" s="24" t="s">
        <v>23</v>
      </c>
      <c r="B1735" s="24" t="s">
        <v>1909</v>
      </c>
      <c r="C1735" s="12" t="s">
        <v>1911</v>
      </c>
      <c r="D1735" s="61"/>
      <c r="E1735" s="41" t="str">
        <f>HYPERLINK("https://www.google.ru/search?q=1285490-923&amp;newwindow=1&amp;tbm=isch","Еще фото")</f>
        <v>Еще фото</v>
      </c>
      <c r="F1735" s="13"/>
      <c r="G1735" s="24" t="s">
        <v>1184</v>
      </c>
      <c r="H1735" s="24" t="s">
        <v>741</v>
      </c>
      <c r="I1735" s="24" t="s">
        <v>1185</v>
      </c>
      <c r="J1735" s="14" t="s">
        <v>29</v>
      </c>
      <c r="K1735" s="15" t="s">
        <v>59</v>
      </c>
      <c r="L1735" s="58"/>
      <c r="M1735" s="14" t="s">
        <v>1565</v>
      </c>
      <c r="N1735" s="14" t="s">
        <v>382</v>
      </c>
      <c r="O1735" s="14" t="s">
        <v>34</v>
      </c>
      <c r="P1735" s="15" t="s">
        <v>1284</v>
      </c>
      <c r="Q1735" s="16">
        <v>8399</v>
      </c>
      <c r="R1735" s="17">
        <v>40</v>
      </c>
      <c r="S1735" s="18">
        <v>5795.3099999999995</v>
      </c>
      <c r="T1735" s="19" t="s">
        <v>36</v>
      </c>
      <c r="U1735" s="20" t="s">
        <v>1196</v>
      </c>
      <c r="V1735" s="34">
        <v>36.5</v>
      </c>
      <c r="W1735" s="22">
        <v>2</v>
      </c>
      <c r="X1735" s="23"/>
    </row>
    <row r="1736" spans="1:24" s="1" customFormat="1" ht="52.05" customHeight="1" x14ac:dyDescent="0.3">
      <c r="A1736" s="11" t="s">
        <v>23</v>
      </c>
      <c r="B1736" s="11" t="s">
        <v>1912</v>
      </c>
      <c r="C1736" s="12" t="s">
        <v>1913</v>
      </c>
      <c r="D1736" s="55"/>
      <c r="E1736" s="41" t="str">
        <f>HYPERLINK("https://www.google.ru/search?q=3000097-602&amp;newwindow=1&amp;tbm=isch","Еще фото")</f>
        <v>Еще фото</v>
      </c>
      <c r="F1736" s="13"/>
      <c r="G1736" s="11" t="s">
        <v>1184</v>
      </c>
      <c r="H1736" s="11" t="s">
        <v>741</v>
      </c>
      <c r="I1736" s="14" t="s">
        <v>1185</v>
      </c>
      <c r="J1736" s="14" t="s">
        <v>29</v>
      </c>
      <c r="K1736" s="15" t="s">
        <v>59</v>
      </c>
      <c r="L1736" s="57" t="s">
        <v>1914</v>
      </c>
      <c r="M1736" s="14"/>
      <c r="N1736" s="14" t="s">
        <v>69</v>
      </c>
      <c r="O1736" s="14" t="s">
        <v>760</v>
      </c>
      <c r="P1736" s="15" t="s">
        <v>1915</v>
      </c>
      <c r="Q1736" s="16">
        <v>8199</v>
      </c>
      <c r="R1736" s="17">
        <v>40</v>
      </c>
      <c r="S1736" s="18">
        <v>5657.3099999999995</v>
      </c>
      <c r="T1736" s="19" t="s">
        <v>36</v>
      </c>
      <c r="U1736" s="20" t="s">
        <v>746</v>
      </c>
      <c r="V1736" s="22">
        <v>37</v>
      </c>
      <c r="W1736" s="22">
        <v>2</v>
      </c>
      <c r="X1736" s="23"/>
    </row>
    <row r="1737" spans="1:24" s="1" customFormat="1" ht="61.05" customHeight="1" x14ac:dyDescent="0.3">
      <c r="A1737" s="24" t="s">
        <v>23</v>
      </c>
      <c r="B1737" s="24" t="s">
        <v>1912</v>
      </c>
      <c r="C1737" s="12" t="s">
        <v>1913</v>
      </c>
      <c r="D1737" s="56"/>
      <c r="E1737" s="41" t="str">
        <f>HYPERLINK("https://www.google.ru/search?q=3000097-602&amp;newwindow=1&amp;tbm=isch","Еще фото")</f>
        <v>Еще фото</v>
      </c>
      <c r="F1737" s="13"/>
      <c r="G1737" s="24" t="s">
        <v>1184</v>
      </c>
      <c r="H1737" s="24" t="s">
        <v>741</v>
      </c>
      <c r="I1737" s="24" t="s">
        <v>1185</v>
      </c>
      <c r="J1737" s="14" t="s">
        <v>29</v>
      </c>
      <c r="K1737" s="15" t="s">
        <v>59</v>
      </c>
      <c r="L1737" s="58"/>
      <c r="M1737" s="14"/>
      <c r="N1737" s="14" t="s">
        <v>69</v>
      </c>
      <c r="O1737" s="14" t="s">
        <v>760</v>
      </c>
      <c r="P1737" s="15" t="s">
        <v>1915</v>
      </c>
      <c r="Q1737" s="16">
        <v>8199</v>
      </c>
      <c r="R1737" s="17">
        <v>40</v>
      </c>
      <c r="S1737" s="18">
        <v>5657.3099999999995</v>
      </c>
      <c r="T1737" s="19" t="s">
        <v>36</v>
      </c>
      <c r="U1737" s="20" t="s">
        <v>747</v>
      </c>
      <c r="V1737" s="34">
        <v>37.5</v>
      </c>
      <c r="W1737" s="22">
        <v>2</v>
      </c>
      <c r="X1737" s="23"/>
    </row>
    <row r="1738" spans="1:24" s="1" customFormat="1" ht="108" customHeight="1" x14ac:dyDescent="0.3">
      <c r="A1738" s="11" t="s">
        <v>23</v>
      </c>
      <c r="B1738" s="11" t="s">
        <v>1916</v>
      </c>
      <c r="C1738" s="12" t="s">
        <v>1917</v>
      </c>
      <c r="D1738" s="25"/>
      <c r="E1738" s="41" t="str">
        <f>HYPERLINK("https://www.google.ru/search?q=3000145-600&amp;newwindow=1&amp;tbm=isch","Еще фото")</f>
        <v>Еще фото</v>
      </c>
      <c r="F1738" s="13"/>
      <c r="G1738" s="11" t="s">
        <v>1184</v>
      </c>
      <c r="H1738" s="11" t="s">
        <v>741</v>
      </c>
      <c r="I1738" s="14" t="s">
        <v>1185</v>
      </c>
      <c r="J1738" s="14" t="s">
        <v>29</v>
      </c>
      <c r="K1738" s="15" t="s">
        <v>50</v>
      </c>
      <c r="L1738" s="14" t="s">
        <v>1918</v>
      </c>
      <c r="M1738" s="14"/>
      <c r="N1738" s="14" t="s">
        <v>69</v>
      </c>
      <c r="O1738" s="14"/>
      <c r="P1738" s="15" t="s">
        <v>1615</v>
      </c>
      <c r="Q1738" s="16">
        <v>8299</v>
      </c>
      <c r="R1738" s="17">
        <v>40</v>
      </c>
      <c r="S1738" s="18">
        <v>5726.3099999999995</v>
      </c>
      <c r="T1738" s="19" t="s">
        <v>36</v>
      </c>
      <c r="U1738" s="20" t="s">
        <v>1196</v>
      </c>
      <c r="V1738" s="22">
        <v>38</v>
      </c>
      <c r="W1738" s="22">
        <v>1</v>
      </c>
      <c r="X1738" s="23"/>
    </row>
    <row r="1739" spans="1:24" s="1" customFormat="1" ht="21" customHeight="1" x14ac:dyDescent="0.3">
      <c r="A1739" s="11" t="s">
        <v>23</v>
      </c>
      <c r="B1739" s="11" t="s">
        <v>1919</v>
      </c>
      <c r="C1739" s="26" t="s">
        <v>1920</v>
      </c>
      <c r="D1739" s="59"/>
      <c r="E1739" s="41" t="str">
        <f>HYPERLINK("https://www.google.ru/search?q=3022281-001&amp;newwindow=1&amp;tbm=isch","Еще фото")</f>
        <v>Еще фото</v>
      </c>
      <c r="F1739" s="28" t="s">
        <v>138</v>
      </c>
      <c r="G1739" s="11" t="s">
        <v>1184</v>
      </c>
      <c r="H1739" s="11" t="s">
        <v>741</v>
      </c>
      <c r="I1739" s="14" t="s">
        <v>1185</v>
      </c>
      <c r="J1739" s="14" t="s">
        <v>29</v>
      </c>
      <c r="K1739" s="15" t="s">
        <v>30</v>
      </c>
      <c r="L1739" s="57" t="s">
        <v>1921</v>
      </c>
      <c r="M1739" s="14" t="s">
        <v>45</v>
      </c>
      <c r="N1739" s="14" t="s">
        <v>33</v>
      </c>
      <c r="O1739" s="14"/>
      <c r="P1739" s="15" t="s">
        <v>1922</v>
      </c>
      <c r="Q1739" s="16">
        <v>11999</v>
      </c>
      <c r="R1739" s="17">
        <v>40</v>
      </c>
      <c r="S1739" s="18">
        <v>8279.31</v>
      </c>
      <c r="T1739" s="19" t="s">
        <v>36</v>
      </c>
      <c r="U1739" s="20" t="s">
        <v>748</v>
      </c>
      <c r="V1739" s="22">
        <v>40</v>
      </c>
      <c r="W1739" s="22">
        <v>1</v>
      </c>
      <c r="X1739" s="23"/>
    </row>
    <row r="1740" spans="1:24" s="1" customFormat="1" ht="21" customHeight="1" x14ac:dyDescent="0.3">
      <c r="A1740" s="24" t="s">
        <v>23</v>
      </c>
      <c r="B1740" s="24" t="s">
        <v>1919</v>
      </c>
      <c r="C1740" s="27" t="s">
        <v>1920</v>
      </c>
      <c r="D1740" s="60"/>
      <c r="E1740" s="41" t="str">
        <f>HYPERLINK("https://www.google.ru/search?q=3022281-001&amp;newwindow=1&amp;tbm=isch","Еще фото")</f>
        <v>Еще фото</v>
      </c>
      <c r="F1740" s="28" t="s">
        <v>138</v>
      </c>
      <c r="G1740" s="24" t="s">
        <v>1184</v>
      </c>
      <c r="H1740" s="24" t="s">
        <v>741</v>
      </c>
      <c r="I1740" s="24" t="s">
        <v>1185</v>
      </c>
      <c r="J1740" s="14" t="s">
        <v>29</v>
      </c>
      <c r="K1740" s="15" t="s">
        <v>30</v>
      </c>
      <c r="L1740" s="62"/>
      <c r="M1740" s="14" t="s">
        <v>45</v>
      </c>
      <c r="N1740" s="14" t="s">
        <v>33</v>
      </c>
      <c r="O1740" s="14"/>
      <c r="P1740" s="15" t="s">
        <v>1922</v>
      </c>
      <c r="Q1740" s="16">
        <v>11999</v>
      </c>
      <c r="R1740" s="17">
        <v>40</v>
      </c>
      <c r="S1740" s="18">
        <v>8279.31</v>
      </c>
      <c r="T1740" s="19" t="s">
        <v>36</v>
      </c>
      <c r="U1740" s="20" t="s">
        <v>751</v>
      </c>
      <c r="V1740" s="22">
        <v>42</v>
      </c>
      <c r="W1740" s="22">
        <v>1</v>
      </c>
      <c r="X1740" s="23"/>
    </row>
    <row r="1741" spans="1:24" s="1" customFormat="1" ht="21" customHeight="1" x14ac:dyDescent="0.3">
      <c r="A1741" s="24" t="s">
        <v>23</v>
      </c>
      <c r="B1741" s="24" t="s">
        <v>1919</v>
      </c>
      <c r="C1741" s="27" t="s">
        <v>1920</v>
      </c>
      <c r="D1741" s="60"/>
      <c r="E1741" s="41" t="str">
        <f>HYPERLINK("https://www.google.ru/search?q=3022281-001&amp;newwindow=1&amp;tbm=isch","Еще фото")</f>
        <v>Еще фото</v>
      </c>
      <c r="F1741" s="28" t="s">
        <v>138</v>
      </c>
      <c r="G1741" s="24" t="s">
        <v>1184</v>
      </c>
      <c r="H1741" s="24" t="s">
        <v>741</v>
      </c>
      <c r="I1741" s="24" t="s">
        <v>1185</v>
      </c>
      <c r="J1741" s="14" t="s">
        <v>29</v>
      </c>
      <c r="K1741" s="15" t="s">
        <v>30</v>
      </c>
      <c r="L1741" s="62"/>
      <c r="M1741" s="14" t="s">
        <v>45</v>
      </c>
      <c r="N1741" s="14" t="s">
        <v>33</v>
      </c>
      <c r="O1741" s="14"/>
      <c r="P1741" s="15" t="s">
        <v>1922</v>
      </c>
      <c r="Q1741" s="16">
        <v>11999</v>
      </c>
      <c r="R1741" s="17">
        <v>40</v>
      </c>
      <c r="S1741" s="18">
        <v>8279.31</v>
      </c>
      <c r="T1741" s="19" t="s">
        <v>36</v>
      </c>
      <c r="U1741" s="20" t="s">
        <v>752</v>
      </c>
      <c r="V1741" s="22">
        <v>43</v>
      </c>
      <c r="W1741" s="22">
        <v>9</v>
      </c>
      <c r="X1741" s="23"/>
    </row>
    <row r="1742" spans="1:24" s="1" customFormat="1" ht="21" customHeight="1" x14ac:dyDescent="0.3">
      <c r="A1742" s="24" t="s">
        <v>23</v>
      </c>
      <c r="B1742" s="24" t="s">
        <v>1919</v>
      </c>
      <c r="C1742" s="27" t="s">
        <v>1920</v>
      </c>
      <c r="D1742" s="60"/>
      <c r="E1742" s="41" t="str">
        <f>HYPERLINK("https://www.google.ru/search?q=3022281-001&amp;newwindow=1&amp;tbm=isch","Еще фото")</f>
        <v>Еще фото</v>
      </c>
      <c r="F1742" s="28" t="s">
        <v>138</v>
      </c>
      <c r="G1742" s="24" t="s">
        <v>1184</v>
      </c>
      <c r="H1742" s="24" t="s">
        <v>741</v>
      </c>
      <c r="I1742" s="24" t="s">
        <v>1185</v>
      </c>
      <c r="J1742" s="14" t="s">
        <v>29</v>
      </c>
      <c r="K1742" s="15" t="s">
        <v>30</v>
      </c>
      <c r="L1742" s="62"/>
      <c r="M1742" s="14" t="s">
        <v>45</v>
      </c>
      <c r="N1742" s="14" t="s">
        <v>33</v>
      </c>
      <c r="O1742" s="14"/>
      <c r="P1742" s="15" t="s">
        <v>1922</v>
      </c>
      <c r="Q1742" s="16">
        <v>11999</v>
      </c>
      <c r="R1742" s="17">
        <v>40</v>
      </c>
      <c r="S1742" s="18">
        <v>8279.31</v>
      </c>
      <c r="T1742" s="19" t="s">
        <v>36</v>
      </c>
      <c r="U1742" s="20" t="s">
        <v>753</v>
      </c>
      <c r="V1742" s="34">
        <v>43.5</v>
      </c>
      <c r="W1742" s="22">
        <v>4</v>
      </c>
      <c r="X1742" s="23"/>
    </row>
    <row r="1743" spans="1:24" s="1" customFormat="1" ht="32" customHeight="1" x14ac:dyDescent="0.3">
      <c r="A1743" s="24" t="s">
        <v>23</v>
      </c>
      <c r="B1743" s="24" t="s">
        <v>1919</v>
      </c>
      <c r="C1743" s="27" t="s">
        <v>1920</v>
      </c>
      <c r="D1743" s="61"/>
      <c r="E1743" s="41" t="str">
        <f>HYPERLINK("https://www.google.ru/search?q=3022281-001&amp;newwindow=1&amp;tbm=isch","Еще фото")</f>
        <v>Еще фото</v>
      </c>
      <c r="F1743" s="28" t="s">
        <v>138</v>
      </c>
      <c r="G1743" s="24" t="s">
        <v>1184</v>
      </c>
      <c r="H1743" s="24" t="s">
        <v>741</v>
      </c>
      <c r="I1743" s="24" t="s">
        <v>1185</v>
      </c>
      <c r="J1743" s="14" t="s">
        <v>29</v>
      </c>
      <c r="K1743" s="15" t="s">
        <v>30</v>
      </c>
      <c r="L1743" s="58"/>
      <c r="M1743" s="14" t="s">
        <v>45</v>
      </c>
      <c r="N1743" s="14" t="s">
        <v>33</v>
      </c>
      <c r="O1743" s="14"/>
      <c r="P1743" s="15" t="s">
        <v>1922</v>
      </c>
      <c r="Q1743" s="16">
        <v>11999</v>
      </c>
      <c r="R1743" s="17">
        <v>40</v>
      </c>
      <c r="S1743" s="18">
        <v>8279.31</v>
      </c>
      <c r="T1743" s="19" t="s">
        <v>36</v>
      </c>
      <c r="U1743" s="20" t="s">
        <v>754</v>
      </c>
      <c r="V1743" s="22">
        <v>44</v>
      </c>
      <c r="W1743" s="22">
        <v>6</v>
      </c>
      <c r="X1743" s="23"/>
    </row>
    <row r="1744" spans="1:24" s="1" customFormat="1" ht="35" customHeight="1" x14ac:dyDescent="0.3">
      <c r="A1744" s="11" t="s">
        <v>23</v>
      </c>
      <c r="B1744" s="11" t="s">
        <v>1923</v>
      </c>
      <c r="C1744" s="12" t="s">
        <v>1924</v>
      </c>
      <c r="D1744" s="59"/>
      <c r="E1744" s="41" t="str">
        <f>HYPERLINK("https://www.google.ru/search?q=3022604-601&amp;newwindow=1&amp;tbm=isch","Еще фото")</f>
        <v>Еще фото</v>
      </c>
      <c r="F1744" s="13"/>
      <c r="G1744" s="11" t="s">
        <v>1184</v>
      </c>
      <c r="H1744" s="11" t="s">
        <v>741</v>
      </c>
      <c r="I1744" s="14" t="s">
        <v>1185</v>
      </c>
      <c r="J1744" s="14" t="s">
        <v>29</v>
      </c>
      <c r="K1744" s="15" t="s">
        <v>59</v>
      </c>
      <c r="L1744" s="57" t="s">
        <v>1925</v>
      </c>
      <c r="M1744" s="14" t="s">
        <v>1274</v>
      </c>
      <c r="N1744" s="14" t="s">
        <v>69</v>
      </c>
      <c r="O1744" s="14" t="s">
        <v>34</v>
      </c>
      <c r="P1744" s="15" t="s">
        <v>1926</v>
      </c>
      <c r="Q1744" s="16">
        <v>6799</v>
      </c>
      <c r="R1744" s="17">
        <v>40</v>
      </c>
      <c r="S1744" s="18">
        <v>4691.3099999999995</v>
      </c>
      <c r="T1744" s="19" t="s">
        <v>36</v>
      </c>
      <c r="U1744" s="20" t="s">
        <v>1203</v>
      </c>
      <c r="V1744" s="22">
        <v>36</v>
      </c>
      <c r="W1744" s="22">
        <v>1</v>
      </c>
      <c r="X1744" s="23"/>
    </row>
    <row r="1745" spans="1:24" s="1" customFormat="1" ht="35" customHeight="1" x14ac:dyDescent="0.3">
      <c r="A1745" s="24" t="s">
        <v>23</v>
      </c>
      <c r="B1745" s="24" t="s">
        <v>1923</v>
      </c>
      <c r="C1745" s="12" t="s">
        <v>1924</v>
      </c>
      <c r="D1745" s="60"/>
      <c r="E1745" s="41" t="str">
        <f>HYPERLINK("https://www.google.ru/search?q=3022604-601&amp;newwindow=1&amp;tbm=isch","Еще фото")</f>
        <v>Еще фото</v>
      </c>
      <c r="F1745" s="13"/>
      <c r="G1745" s="24" t="s">
        <v>1184</v>
      </c>
      <c r="H1745" s="24" t="s">
        <v>741</v>
      </c>
      <c r="I1745" s="24" t="s">
        <v>1185</v>
      </c>
      <c r="J1745" s="14" t="s">
        <v>29</v>
      </c>
      <c r="K1745" s="15" t="s">
        <v>59</v>
      </c>
      <c r="L1745" s="62"/>
      <c r="M1745" s="14" t="s">
        <v>1274</v>
      </c>
      <c r="N1745" s="14" t="s">
        <v>69</v>
      </c>
      <c r="O1745" s="14" t="s">
        <v>34</v>
      </c>
      <c r="P1745" s="15" t="s">
        <v>1926</v>
      </c>
      <c r="Q1745" s="16">
        <v>6799</v>
      </c>
      <c r="R1745" s="17">
        <v>40</v>
      </c>
      <c r="S1745" s="18">
        <v>4691.3099999999995</v>
      </c>
      <c r="T1745" s="19" t="s">
        <v>36</v>
      </c>
      <c r="U1745" s="20" t="s">
        <v>746</v>
      </c>
      <c r="V1745" s="22">
        <v>37</v>
      </c>
      <c r="W1745" s="22">
        <v>3</v>
      </c>
      <c r="X1745" s="23"/>
    </row>
    <row r="1746" spans="1:24" s="1" customFormat="1" ht="37.049999999999997" customHeight="1" x14ac:dyDescent="0.3">
      <c r="A1746" s="24" t="s">
        <v>23</v>
      </c>
      <c r="B1746" s="24" t="s">
        <v>1923</v>
      </c>
      <c r="C1746" s="12" t="s">
        <v>1924</v>
      </c>
      <c r="D1746" s="61"/>
      <c r="E1746" s="41" t="str">
        <f>HYPERLINK("https://www.google.ru/search?q=3022604-601&amp;newwindow=1&amp;tbm=isch","Еще фото")</f>
        <v>Еще фото</v>
      </c>
      <c r="F1746" s="13"/>
      <c r="G1746" s="24" t="s">
        <v>1184</v>
      </c>
      <c r="H1746" s="24" t="s">
        <v>741</v>
      </c>
      <c r="I1746" s="24" t="s">
        <v>1185</v>
      </c>
      <c r="J1746" s="14" t="s">
        <v>29</v>
      </c>
      <c r="K1746" s="15" t="s">
        <v>59</v>
      </c>
      <c r="L1746" s="58"/>
      <c r="M1746" s="14" t="s">
        <v>1274</v>
      </c>
      <c r="N1746" s="14" t="s">
        <v>69</v>
      </c>
      <c r="O1746" s="14" t="s">
        <v>34</v>
      </c>
      <c r="P1746" s="15" t="s">
        <v>1926</v>
      </c>
      <c r="Q1746" s="16">
        <v>6799</v>
      </c>
      <c r="R1746" s="17">
        <v>40</v>
      </c>
      <c r="S1746" s="18">
        <v>4691.3099999999995</v>
      </c>
      <c r="T1746" s="19" t="s">
        <v>36</v>
      </c>
      <c r="U1746" s="20" t="s">
        <v>747</v>
      </c>
      <c r="V1746" s="34">
        <v>37.5</v>
      </c>
      <c r="W1746" s="22">
        <v>1</v>
      </c>
      <c r="X1746" s="23"/>
    </row>
    <row r="1747" spans="1:24" s="1" customFormat="1" ht="21" customHeight="1" x14ac:dyDescent="0.3">
      <c r="A1747" s="11" t="s">
        <v>23</v>
      </c>
      <c r="B1747" s="11" t="s">
        <v>1841</v>
      </c>
      <c r="C1747" s="26" t="s">
        <v>1927</v>
      </c>
      <c r="D1747" s="59"/>
      <c r="E1747" s="41" t="str">
        <f>HYPERLINK("https://www.google.ru/search?q=3023556-002&amp;newwindow=1&amp;tbm=isch","Еще фото")</f>
        <v>Еще фото</v>
      </c>
      <c r="F1747" s="13"/>
      <c r="G1747" s="11" t="s">
        <v>1184</v>
      </c>
      <c r="H1747" s="11" t="s">
        <v>741</v>
      </c>
      <c r="I1747" s="14" t="s">
        <v>1185</v>
      </c>
      <c r="J1747" s="14" t="s">
        <v>29</v>
      </c>
      <c r="K1747" s="15" t="s">
        <v>59</v>
      </c>
      <c r="L1747" s="57" t="s">
        <v>1928</v>
      </c>
      <c r="M1747" s="14" t="s">
        <v>1211</v>
      </c>
      <c r="N1747" s="14" t="s">
        <v>33</v>
      </c>
      <c r="O1747" s="14" t="s">
        <v>34</v>
      </c>
      <c r="P1747" s="15" t="s">
        <v>1929</v>
      </c>
      <c r="Q1747" s="16">
        <v>21699</v>
      </c>
      <c r="R1747" s="17">
        <v>40</v>
      </c>
      <c r="S1747" s="18">
        <v>14972.309999999998</v>
      </c>
      <c r="T1747" s="19" t="s">
        <v>36</v>
      </c>
      <c r="U1747" s="20" t="s">
        <v>1190</v>
      </c>
      <c r="V1747" s="34">
        <v>35.5</v>
      </c>
      <c r="W1747" s="22">
        <v>2</v>
      </c>
      <c r="X1747" s="23"/>
    </row>
    <row r="1748" spans="1:24" s="1" customFormat="1" ht="21" customHeight="1" x14ac:dyDescent="0.3">
      <c r="A1748" s="24" t="s">
        <v>23</v>
      </c>
      <c r="B1748" s="24" t="s">
        <v>1841</v>
      </c>
      <c r="C1748" s="27" t="s">
        <v>1927</v>
      </c>
      <c r="D1748" s="60"/>
      <c r="E1748" s="41" t="str">
        <f>HYPERLINK("https://www.google.ru/search?q=3023556-002&amp;newwindow=1&amp;tbm=isch","Еще фото")</f>
        <v>Еще фото</v>
      </c>
      <c r="F1748" s="13"/>
      <c r="G1748" s="24" t="s">
        <v>1184</v>
      </c>
      <c r="H1748" s="24" t="s">
        <v>741</v>
      </c>
      <c r="I1748" s="24" t="s">
        <v>1185</v>
      </c>
      <c r="J1748" s="14" t="s">
        <v>29</v>
      </c>
      <c r="K1748" s="15" t="s">
        <v>59</v>
      </c>
      <c r="L1748" s="62"/>
      <c r="M1748" s="14" t="s">
        <v>1211</v>
      </c>
      <c r="N1748" s="14" t="s">
        <v>33</v>
      </c>
      <c r="O1748" s="14" t="s">
        <v>34</v>
      </c>
      <c r="P1748" s="15" t="s">
        <v>1929</v>
      </c>
      <c r="Q1748" s="16">
        <v>21699</v>
      </c>
      <c r="R1748" s="17">
        <v>40</v>
      </c>
      <c r="S1748" s="18">
        <v>14972.309999999998</v>
      </c>
      <c r="T1748" s="19" t="s">
        <v>36</v>
      </c>
      <c r="U1748" s="20" t="s">
        <v>1203</v>
      </c>
      <c r="V1748" s="22">
        <v>36</v>
      </c>
      <c r="W1748" s="22">
        <v>4</v>
      </c>
      <c r="X1748" s="23"/>
    </row>
    <row r="1749" spans="1:24" s="1" customFormat="1" ht="21" customHeight="1" x14ac:dyDescent="0.3">
      <c r="A1749" s="24" t="s">
        <v>23</v>
      </c>
      <c r="B1749" s="24" t="s">
        <v>1841</v>
      </c>
      <c r="C1749" s="27" t="s">
        <v>1927</v>
      </c>
      <c r="D1749" s="60"/>
      <c r="E1749" s="41" t="str">
        <f>HYPERLINK("https://www.google.ru/search?q=3023556-002&amp;newwindow=1&amp;tbm=isch","Еще фото")</f>
        <v>Еще фото</v>
      </c>
      <c r="F1749" s="13"/>
      <c r="G1749" s="24" t="s">
        <v>1184</v>
      </c>
      <c r="H1749" s="24" t="s">
        <v>741</v>
      </c>
      <c r="I1749" s="24" t="s">
        <v>1185</v>
      </c>
      <c r="J1749" s="14" t="s">
        <v>29</v>
      </c>
      <c r="K1749" s="15" t="s">
        <v>59</v>
      </c>
      <c r="L1749" s="62"/>
      <c r="M1749" s="14" t="s">
        <v>1211</v>
      </c>
      <c r="N1749" s="14" t="s">
        <v>33</v>
      </c>
      <c r="O1749" s="14" t="s">
        <v>34</v>
      </c>
      <c r="P1749" s="15" t="s">
        <v>1929</v>
      </c>
      <c r="Q1749" s="16">
        <v>21699</v>
      </c>
      <c r="R1749" s="17">
        <v>40</v>
      </c>
      <c r="S1749" s="18">
        <v>14972.309999999998</v>
      </c>
      <c r="T1749" s="19" t="s">
        <v>36</v>
      </c>
      <c r="U1749" s="20" t="s">
        <v>1196</v>
      </c>
      <c r="V1749" s="34">
        <v>36.5</v>
      </c>
      <c r="W1749" s="22">
        <v>4</v>
      </c>
      <c r="X1749" s="23"/>
    </row>
    <row r="1750" spans="1:24" s="1" customFormat="1" ht="21" customHeight="1" x14ac:dyDescent="0.3">
      <c r="A1750" s="24" t="s">
        <v>23</v>
      </c>
      <c r="B1750" s="24" t="s">
        <v>1841</v>
      </c>
      <c r="C1750" s="27" t="s">
        <v>1927</v>
      </c>
      <c r="D1750" s="60"/>
      <c r="E1750" s="41" t="str">
        <f>HYPERLINK("https://www.google.ru/search?q=3023556-002&amp;newwindow=1&amp;tbm=isch","Еще фото")</f>
        <v>Еще фото</v>
      </c>
      <c r="F1750" s="13"/>
      <c r="G1750" s="24" t="s">
        <v>1184</v>
      </c>
      <c r="H1750" s="24" t="s">
        <v>741</v>
      </c>
      <c r="I1750" s="24" t="s">
        <v>1185</v>
      </c>
      <c r="J1750" s="14" t="s">
        <v>29</v>
      </c>
      <c r="K1750" s="15" t="s">
        <v>59</v>
      </c>
      <c r="L1750" s="62"/>
      <c r="M1750" s="14" t="s">
        <v>1211</v>
      </c>
      <c r="N1750" s="14" t="s">
        <v>33</v>
      </c>
      <c r="O1750" s="14" t="s">
        <v>34</v>
      </c>
      <c r="P1750" s="15" t="s">
        <v>1929</v>
      </c>
      <c r="Q1750" s="16">
        <v>21699</v>
      </c>
      <c r="R1750" s="17">
        <v>40</v>
      </c>
      <c r="S1750" s="18">
        <v>14972.309999999998</v>
      </c>
      <c r="T1750" s="19" t="s">
        <v>36</v>
      </c>
      <c r="U1750" s="20" t="s">
        <v>746</v>
      </c>
      <c r="V1750" s="22">
        <v>37</v>
      </c>
      <c r="W1750" s="22">
        <v>2</v>
      </c>
      <c r="X1750" s="23"/>
    </row>
    <row r="1751" spans="1:24" s="1" customFormat="1" ht="32" customHeight="1" x14ac:dyDescent="0.3">
      <c r="A1751" s="24" t="s">
        <v>23</v>
      </c>
      <c r="B1751" s="24" t="s">
        <v>1841</v>
      </c>
      <c r="C1751" s="27" t="s">
        <v>1927</v>
      </c>
      <c r="D1751" s="61"/>
      <c r="E1751" s="41" t="str">
        <f>HYPERLINK("https://www.google.ru/search?q=3023556-002&amp;newwindow=1&amp;tbm=isch","Еще фото")</f>
        <v>Еще фото</v>
      </c>
      <c r="F1751" s="13"/>
      <c r="G1751" s="24" t="s">
        <v>1184</v>
      </c>
      <c r="H1751" s="24" t="s">
        <v>741</v>
      </c>
      <c r="I1751" s="24" t="s">
        <v>1185</v>
      </c>
      <c r="J1751" s="14" t="s">
        <v>29</v>
      </c>
      <c r="K1751" s="15" t="s">
        <v>59</v>
      </c>
      <c r="L1751" s="58"/>
      <c r="M1751" s="14" t="s">
        <v>1211</v>
      </c>
      <c r="N1751" s="14" t="s">
        <v>33</v>
      </c>
      <c r="O1751" s="14" t="s">
        <v>34</v>
      </c>
      <c r="P1751" s="15" t="s">
        <v>1929</v>
      </c>
      <c r="Q1751" s="16">
        <v>21699</v>
      </c>
      <c r="R1751" s="17">
        <v>40</v>
      </c>
      <c r="S1751" s="18">
        <v>14972.309999999998</v>
      </c>
      <c r="T1751" s="19" t="s">
        <v>36</v>
      </c>
      <c r="U1751" s="20" t="s">
        <v>747</v>
      </c>
      <c r="V1751" s="34">
        <v>37.5</v>
      </c>
      <c r="W1751" s="22">
        <v>4</v>
      </c>
      <c r="X1751" s="23"/>
    </row>
    <row r="1752" spans="1:24" s="1" customFormat="1" ht="52.05" customHeight="1" x14ac:dyDescent="0.3">
      <c r="A1752" s="11" t="s">
        <v>23</v>
      </c>
      <c r="B1752" s="11" t="s">
        <v>1795</v>
      </c>
      <c r="C1752" s="12" t="s">
        <v>1930</v>
      </c>
      <c r="D1752" s="55"/>
      <c r="E1752" s="41" t="str">
        <f>HYPERLINK("https://www.google.ru/search?q=3023559-601&amp;newwindow=1&amp;tbm=isch","Еще фото")</f>
        <v>Еще фото</v>
      </c>
      <c r="F1752" s="13"/>
      <c r="G1752" s="11" t="s">
        <v>1184</v>
      </c>
      <c r="H1752" s="11" t="s">
        <v>741</v>
      </c>
      <c r="I1752" s="14" t="s">
        <v>1185</v>
      </c>
      <c r="J1752" s="14" t="s">
        <v>29</v>
      </c>
      <c r="K1752" s="15" t="s">
        <v>59</v>
      </c>
      <c r="L1752" s="57" t="s">
        <v>1797</v>
      </c>
      <c r="M1752" s="14" t="s">
        <v>1211</v>
      </c>
      <c r="N1752" s="14" t="s">
        <v>198</v>
      </c>
      <c r="O1752" s="14" t="s">
        <v>34</v>
      </c>
      <c r="P1752" s="15" t="s">
        <v>1872</v>
      </c>
      <c r="Q1752" s="16">
        <v>19299</v>
      </c>
      <c r="R1752" s="17">
        <v>40</v>
      </c>
      <c r="S1752" s="18">
        <v>13316.309999999998</v>
      </c>
      <c r="T1752" s="19" t="s">
        <v>36</v>
      </c>
      <c r="U1752" s="20" t="s">
        <v>1196</v>
      </c>
      <c r="V1752" s="34">
        <v>36.5</v>
      </c>
      <c r="W1752" s="22">
        <v>3</v>
      </c>
      <c r="X1752" s="23"/>
    </row>
    <row r="1753" spans="1:24" s="1" customFormat="1" ht="61.05" customHeight="1" x14ac:dyDescent="0.3">
      <c r="A1753" s="24" t="s">
        <v>23</v>
      </c>
      <c r="B1753" s="24" t="s">
        <v>1795</v>
      </c>
      <c r="C1753" s="12" t="s">
        <v>1930</v>
      </c>
      <c r="D1753" s="56"/>
      <c r="E1753" s="41" t="str">
        <f>HYPERLINK("https://www.google.ru/search?q=3023559-601&amp;newwindow=1&amp;tbm=isch","Еще фото")</f>
        <v>Еще фото</v>
      </c>
      <c r="F1753" s="13"/>
      <c r="G1753" s="24" t="s">
        <v>1184</v>
      </c>
      <c r="H1753" s="24" t="s">
        <v>741</v>
      </c>
      <c r="I1753" s="24" t="s">
        <v>1185</v>
      </c>
      <c r="J1753" s="14" t="s">
        <v>29</v>
      </c>
      <c r="K1753" s="15" t="s">
        <v>59</v>
      </c>
      <c r="L1753" s="58"/>
      <c r="M1753" s="14" t="s">
        <v>1211</v>
      </c>
      <c r="N1753" s="14" t="s">
        <v>198</v>
      </c>
      <c r="O1753" s="14" t="s">
        <v>34</v>
      </c>
      <c r="P1753" s="15" t="s">
        <v>1872</v>
      </c>
      <c r="Q1753" s="16">
        <v>19299</v>
      </c>
      <c r="R1753" s="17">
        <v>40</v>
      </c>
      <c r="S1753" s="18">
        <v>13316.309999999998</v>
      </c>
      <c r="T1753" s="19" t="s">
        <v>36</v>
      </c>
      <c r="U1753" s="20" t="s">
        <v>746</v>
      </c>
      <c r="V1753" s="22">
        <v>37</v>
      </c>
      <c r="W1753" s="22">
        <v>7</v>
      </c>
      <c r="X1753" s="23"/>
    </row>
    <row r="1754" spans="1:24" s="1" customFormat="1" ht="108" customHeight="1" x14ac:dyDescent="0.3">
      <c r="A1754" s="11" t="s">
        <v>23</v>
      </c>
      <c r="B1754" s="11" t="s">
        <v>1931</v>
      </c>
      <c r="C1754" s="12" t="s">
        <v>1932</v>
      </c>
      <c r="D1754" s="25"/>
      <c r="E1754" s="41" t="str">
        <f>HYPERLINK("https://www.google.ru/search?q=3024134-001&amp;newwindow=1&amp;tbm=isch","Еще фото")</f>
        <v>Еще фото</v>
      </c>
      <c r="F1754" s="13"/>
      <c r="G1754" s="11" t="s">
        <v>1184</v>
      </c>
      <c r="H1754" s="11" t="s">
        <v>741</v>
      </c>
      <c r="I1754" s="14" t="s">
        <v>1185</v>
      </c>
      <c r="J1754" s="14" t="s">
        <v>29</v>
      </c>
      <c r="K1754" s="15" t="s">
        <v>30</v>
      </c>
      <c r="L1754" s="14" t="s">
        <v>1933</v>
      </c>
      <c r="M1754" s="14" t="s">
        <v>45</v>
      </c>
      <c r="N1754" s="14" t="s">
        <v>33</v>
      </c>
      <c r="O1754" s="14" t="s">
        <v>34</v>
      </c>
      <c r="P1754" s="15" t="s">
        <v>1934</v>
      </c>
      <c r="Q1754" s="16">
        <v>7699</v>
      </c>
      <c r="R1754" s="17">
        <v>40</v>
      </c>
      <c r="S1754" s="18">
        <v>5312.3099999999995</v>
      </c>
      <c r="T1754" s="19" t="s">
        <v>36</v>
      </c>
      <c r="U1754" s="20" t="s">
        <v>747</v>
      </c>
      <c r="V1754" s="34">
        <v>39.5</v>
      </c>
      <c r="W1754" s="22">
        <v>2</v>
      </c>
      <c r="X1754" s="23"/>
    </row>
    <row r="1755" spans="1:24" s="1" customFormat="1" ht="21" customHeight="1" x14ac:dyDescent="0.3">
      <c r="A1755" s="11" t="s">
        <v>23</v>
      </c>
      <c r="B1755" s="11" t="s">
        <v>1935</v>
      </c>
      <c r="C1755" s="26" t="s">
        <v>1936</v>
      </c>
      <c r="D1755" s="59"/>
      <c r="E1755" s="41" t="str">
        <f>HYPERLINK("https://www.google.ru/search?q=3024186-102&amp;newwindow=1&amp;tbm=isch","Еще фото")</f>
        <v>Еще фото</v>
      </c>
      <c r="F1755" s="28" t="s">
        <v>138</v>
      </c>
      <c r="G1755" s="11" t="s">
        <v>1184</v>
      </c>
      <c r="H1755" s="11" t="s">
        <v>741</v>
      </c>
      <c r="I1755" s="14" t="s">
        <v>1185</v>
      </c>
      <c r="J1755" s="14" t="s">
        <v>29</v>
      </c>
      <c r="K1755" s="15" t="s">
        <v>30</v>
      </c>
      <c r="L1755" s="57" t="s">
        <v>1937</v>
      </c>
      <c r="M1755" s="14" t="s">
        <v>1194</v>
      </c>
      <c r="N1755" s="14" t="s">
        <v>1938</v>
      </c>
      <c r="O1755" s="14"/>
      <c r="P1755" s="15" t="s">
        <v>1939</v>
      </c>
      <c r="Q1755" s="16">
        <v>14999</v>
      </c>
      <c r="R1755" s="17">
        <v>40</v>
      </c>
      <c r="S1755" s="18">
        <v>10349.31</v>
      </c>
      <c r="T1755" s="19" t="s">
        <v>36</v>
      </c>
      <c r="U1755" s="20" t="s">
        <v>746</v>
      </c>
      <c r="V1755" s="22">
        <v>39</v>
      </c>
      <c r="W1755" s="22">
        <v>3</v>
      </c>
      <c r="X1755" s="23"/>
    </row>
    <row r="1756" spans="1:24" s="1" customFormat="1" ht="21" customHeight="1" x14ac:dyDescent="0.3">
      <c r="A1756" s="24" t="s">
        <v>23</v>
      </c>
      <c r="B1756" s="24" t="s">
        <v>1935</v>
      </c>
      <c r="C1756" s="27" t="s">
        <v>1936</v>
      </c>
      <c r="D1756" s="60"/>
      <c r="E1756" s="41" t="str">
        <f>HYPERLINK("https://www.google.ru/search?q=3024186-102&amp;newwindow=1&amp;tbm=isch","Еще фото")</f>
        <v>Еще фото</v>
      </c>
      <c r="F1756" s="28" t="s">
        <v>138</v>
      </c>
      <c r="G1756" s="24" t="s">
        <v>1184</v>
      </c>
      <c r="H1756" s="24" t="s">
        <v>741</v>
      </c>
      <c r="I1756" s="24" t="s">
        <v>1185</v>
      </c>
      <c r="J1756" s="14" t="s">
        <v>29</v>
      </c>
      <c r="K1756" s="15" t="s">
        <v>30</v>
      </c>
      <c r="L1756" s="62"/>
      <c r="M1756" s="14" t="s">
        <v>1194</v>
      </c>
      <c r="N1756" s="14" t="s">
        <v>1938</v>
      </c>
      <c r="O1756" s="14"/>
      <c r="P1756" s="15" t="s">
        <v>1939</v>
      </c>
      <c r="Q1756" s="16">
        <v>14999</v>
      </c>
      <c r="R1756" s="17">
        <v>40</v>
      </c>
      <c r="S1756" s="18">
        <v>10349.31</v>
      </c>
      <c r="T1756" s="19" t="s">
        <v>36</v>
      </c>
      <c r="U1756" s="20" t="s">
        <v>747</v>
      </c>
      <c r="V1756" s="34">
        <v>39.5</v>
      </c>
      <c r="W1756" s="22">
        <v>1</v>
      </c>
      <c r="X1756" s="23"/>
    </row>
    <row r="1757" spans="1:24" s="1" customFormat="1" ht="21" customHeight="1" x14ac:dyDescent="0.3">
      <c r="A1757" s="24" t="s">
        <v>23</v>
      </c>
      <c r="B1757" s="24" t="s">
        <v>1935</v>
      </c>
      <c r="C1757" s="27" t="s">
        <v>1936</v>
      </c>
      <c r="D1757" s="60"/>
      <c r="E1757" s="41" t="str">
        <f>HYPERLINK("https://www.google.ru/search?q=3024186-102&amp;newwindow=1&amp;tbm=isch","Еще фото")</f>
        <v>Еще фото</v>
      </c>
      <c r="F1757" s="28" t="s">
        <v>138</v>
      </c>
      <c r="G1757" s="24" t="s">
        <v>1184</v>
      </c>
      <c r="H1757" s="24" t="s">
        <v>741</v>
      </c>
      <c r="I1757" s="24" t="s">
        <v>1185</v>
      </c>
      <c r="J1757" s="14" t="s">
        <v>29</v>
      </c>
      <c r="K1757" s="15" t="s">
        <v>30</v>
      </c>
      <c r="L1757" s="62"/>
      <c r="M1757" s="14" t="s">
        <v>1194</v>
      </c>
      <c r="N1757" s="14" t="s">
        <v>1938</v>
      </c>
      <c r="O1757" s="14"/>
      <c r="P1757" s="15" t="s">
        <v>1939</v>
      </c>
      <c r="Q1757" s="16">
        <v>14999</v>
      </c>
      <c r="R1757" s="17">
        <v>40</v>
      </c>
      <c r="S1757" s="18">
        <v>10349.31</v>
      </c>
      <c r="T1757" s="19" t="s">
        <v>36</v>
      </c>
      <c r="U1757" s="20" t="s">
        <v>748</v>
      </c>
      <c r="V1757" s="22">
        <v>40</v>
      </c>
      <c r="W1757" s="22">
        <v>2</v>
      </c>
      <c r="X1757" s="23"/>
    </row>
    <row r="1758" spans="1:24" s="1" customFormat="1" ht="21" customHeight="1" x14ac:dyDescent="0.3">
      <c r="A1758" s="24" t="s">
        <v>23</v>
      </c>
      <c r="B1758" s="24" t="s">
        <v>1935</v>
      </c>
      <c r="C1758" s="27" t="s">
        <v>1936</v>
      </c>
      <c r="D1758" s="60"/>
      <c r="E1758" s="41" t="str">
        <f>HYPERLINK("https://www.google.ru/search?q=3024186-102&amp;newwindow=1&amp;tbm=isch","Еще фото")</f>
        <v>Еще фото</v>
      </c>
      <c r="F1758" s="28" t="s">
        <v>138</v>
      </c>
      <c r="G1758" s="24" t="s">
        <v>1184</v>
      </c>
      <c r="H1758" s="24" t="s">
        <v>741</v>
      </c>
      <c r="I1758" s="24" t="s">
        <v>1185</v>
      </c>
      <c r="J1758" s="14" t="s">
        <v>29</v>
      </c>
      <c r="K1758" s="15" t="s">
        <v>30</v>
      </c>
      <c r="L1758" s="62"/>
      <c r="M1758" s="14" t="s">
        <v>1194</v>
      </c>
      <c r="N1758" s="14" t="s">
        <v>1938</v>
      </c>
      <c r="O1758" s="14"/>
      <c r="P1758" s="15" t="s">
        <v>1939</v>
      </c>
      <c r="Q1758" s="16">
        <v>14999</v>
      </c>
      <c r="R1758" s="17">
        <v>40</v>
      </c>
      <c r="S1758" s="18">
        <v>10349.31</v>
      </c>
      <c r="T1758" s="19" t="s">
        <v>36</v>
      </c>
      <c r="U1758" s="20" t="s">
        <v>749</v>
      </c>
      <c r="V1758" s="22">
        <v>41</v>
      </c>
      <c r="W1758" s="22">
        <v>1</v>
      </c>
      <c r="X1758" s="23"/>
    </row>
    <row r="1759" spans="1:24" s="1" customFormat="1" ht="32" customHeight="1" x14ac:dyDescent="0.3">
      <c r="A1759" s="24" t="s">
        <v>23</v>
      </c>
      <c r="B1759" s="24" t="s">
        <v>1935</v>
      </c>
      <c r="C1759" s="27" t="s">
        <v>1936</v>
      </c>
      <c r="D1759" s="61"/>
      <c r="E1759" s="41" t="str">
        <f>HYPERLINK("https://www.google.ru/search?q=3024186-102&amp;newwindow=1&amp;tbm=isch","Еще фото")</f>
        <v>Еще фото</v>
      </c>
      <c r="F1759" s="28" t="s">
        <v>138</v>
      </c>
      <c r="G1759" s="24" t="s">
        <v>1184</v>
      </c>
      <c r="H1759" s="24" t="s">
        <v>741</v>
      </c>
      <c r="I1759" s="24" t="s">
        <v>1185</v>
      </c>
      <c r="J1759" s="14" t="s">
        <v>29</v>
      </c>
      <c r="K1759" s="15" t="s">
        <v>30</v>
      </c>
      <c r="L1759" s="58"/>
      <c r="M1759" s="14" t="s">
        <v>1194</v>
      </c>
      <c r="N1759" s="14" t="s">
        <v>1938</v>
      </c>
      <c r="O1759" s="14"/>
      <c r="P1759" s="15" t="s">
        <v>1939</v>
      </c>
      <c r="Q1759" s="16">
        <v>14999</v>
      </c>
      <c r="R1759" s="17">
        <v>40</v>
      </c>
      <c r="S1759" s="18">
        <v>10349.31</v>
      </c>
      <c r="T1759" s="19" t="s">
        <v>36</v>
      </c>
      <c r="U1759" s="20" t="s">
        <v>750</v>
      </c>
      <c r="V1759" s="34">
        <v>41.5</v>
      </c>
      <c r="W1759" s="22">
        <v>2</v>
      </c>
      <c r="X1759" s="23"/>
    </row>
    <row r="1760" spans="1:24" s="1" customFormat="1" ht="26" customHeight="1" x14ac:dyDescent="0.3">
      <c r="A1760" s="11" t="s">
        <v>23</v>
      </c>
      <c r="B1760" s="11" t="s">
        <v>1940</v>
      </c>
      <c r="C1760" s="12" t="s">
        <v>1941</v>
      </c>
      <c r="D1760" s="59"/>
      <c r="E1760" s="41" t="str">
        <f>HYPERLINK("https://www.google.ru/search?q=3024191-106&amp;newwindow=1&amp;tbm=isch","Еще фото")</f>
        <v>Еще фото</v>
      </c>
      <c r="F1760" s="13"/>
      <c r="G1760" s="11" t="s">
        <v>1184</v>
      </c>
      <c r="H1760" s="11" t="s">
        <v>741</v>
      </c>
      <c r="I1760" s="14" t="s">
        <v>1185</v>
      </c>
      <c r="J1760" s="14" t="s">
        <v>29</v>
      </c>
      <c r="K1760" s="15" t="s">
        <v>59</v>
      </c>
      <c r="L1760" s="57" t="s">
        <v>1738</v>
      </c>
      <c r="M1760" s="14" t="s">
        <v>1274</v>
      </c>
      <c r="N1760" s="14" t="s">
        <v>1942</v>
      </c>
      <c r="O1760" s="14"/>
      <c r="P1760" s="15" t="s">
        <v>1740</v>
      </c>
      <c r="Q1760" s="16">
        <v>14999</v>
      </c>
      <c r="R1760" s="17">
        <v>40</v>
      </c>
      <c r="S1760" s="18">
        <v>10349.31</v>
      </c>
      <c r="T1760" s="19" t="s">
        <v>36</v>
      </c>
      <c r="U1760" s="20" t="s">
        <v>1241</v>
      </c>
      <c r="V1760" s="22">
        <v>35</v>
      </c>
      <c r="W1760" s="22">
        <v>1</v>
      </c>
      <c r="X1760" s="23"/>
    </row>
    <row r="1761" spans="1:24" s="1" customFormat="1" ht="26" customHeight="1" x14ac:dyDescent="0.3">
      <c r="A1761" s="24" t="s">
        <v>23</v>
      </c>
      <c r="B1761" s="24" t="s">
        <v>1940</v>
      </c>
      <c r="C1761" s="12" t="s">
        <v>1941</v>
      </c>
      <c r="D1761" s="60"/>
      <c r="E1761" s="41" t="str">
        <f>HYPERLINK("https://www.google.ru/search?q=3024191-106&amp;newwindow=1&amp;tbm=isch","Еще фото")</f>
        <v>Еще фото</v>
      </c>
      <c r="F1761" s="13"/>
      <c r="G1761" s="24" t="s">
        <v>1184</v>
      </c>
      <c r="H1761" s="24" t="s">
        <v>741</v>
      </c>
      <c r="I1761" s="24" t="s">
        <v>1185</v>
      </c>
      <c r="J1761" s="14" t="s">
        <v>29</v>
      </c>
      <c r="K1761" s="15" t="s">
        <v>59</v>
      </c>
      <c r="L1761" s="62"/>
      <c r="M1761" s="14" t="s">
        <v>1274</v>
      </c>
      <c r="N1761" s="14" t="s">
        <v>1942</v>
      </c>
      <c r="O1761" s="14"/>
      <c r="P1761" s="15" t="s">
        <v>1740</v>
      </c>
      <c r="Q1761" s="16">
        <v>14999</v>
      </c>
      <c r="R1761" s="17">
        <v>40</v>
      </c>
      <c r="S1761" s="18">
        <v>10349.31</v>
      </c>
      <c r="T1761" s="19" t="s">
        <v>36</v>
      </c>
      <c r="U1761" s="20" t="s">
        <v>1190</v>
      </c>
      <c r="V1761" s="34">
        <v>35.5</v>
      </c>
      <c r="W1761" s="22">
        <v>2</v>
      </c>
      <c r="X1761" s="23"/>
    </row>
    <row r="1762" spans="1:24" s="1" customFormat="1" ht="26" customHeight="1" x14ac:dyDescent="0.3">
      <c r="A1762" s="24" t="s">
        <v>23</v>
      </c>
      <c r="B1762" s="24" t="s">
        <v>1940</v>
      </c>
      <c r="C1762" s="12" t="s">
        <v>1941</v>
      </c>
      <c r="D1762" s="60"/>
      <c r="E1762" s="41" t="str">
        <f>HYPERLINK("https://www.google.ru/search?q=3024191-106&amp;newwindow=1&amp;tbm=isch","Еще фото")</f>
        <v>Еще фото</v>
      </c>
      <c r="F1762" s="13"/>
      <c r="G1762" s="24" t="s">
        <v>1184</v>
      </c>
      <c r="H1762" s="24" t="s">
        <v>741</v>
      </c>
      <c r="I1762" s="24" t="s">
        <v>1185</v>
      </c>
      <c r="J1762" s="14" t="s">
        <v>29</v>
      </c>
      <c r="K1762" s="15" t="s">
        <v>59</v>
      </c>
      <c r="L1762" s="62"/>
      <c r="M1762" s="14" t="s">
        <v>1274</v>
      </c>
      <c r="N1762" s="14" t="s">
        <v>1942</v>
      </c>
      <c r="O1762" s="14"/>
      <c r="P1762" s="15" t="s">
        <v>1740</v>
      </c>
      <c r="Q1762" s="16">
        <v>14999</v>
      </c>
      <c r="R1762" s="17">
        <v>40</v>
      </c>
      <c r="S1762" s="18">
        <v>10349.31</v>
      </c>
      <c r="T1762" s="19" t="s">
        <v>36</v>
      </c>
      <c r="U1762" s="20" t="s">
        <v>1203</v>
      </c>
      <c r="V1762" s="22">
        <v>36</v>
      </c>
      <c r="W1762" s="22">
        <v>4</v>
      </c>
      <c r="X1762" s="23"/>
    </row>
    <row r="1763" spans="1:24" s="1" customFormat="1" ht="26" customHeight="1" x14ac:dyDescent="0.3">
      <c r="A1763" s="24" t="s">
        <v>23</v>
      </c>
      <c r="B1763" s="24" t="s">
        <v>1940</v>
      </c>
      <c r="C1763" s="12" t="s">
        <v>1941</v>
      </c>
      <c r="D1763" s="61"/>
      <c r="E1763" s="41" t="str">
        <f>HYPERLINK("https://www.google.ru/search?q=3024191-106&amp;newwindow=1&amp;tbm=isch","Еще фото")</f>
        <v>Еще фото</v>
      </c>
      <c r="F1763" s="13"/>
      <c r="G1763" s="24" t="s">
        <v>1184</v>
      </c>
      <c r="H1763" s="24" t="s">
        <v>741</v>
      </c>
      <c r="I1763" s="24" t="s">
        <v>1185</v>
      </c>
      <c r="J1763" s="14" t="s">
        <v>29</v>
      </c>
      <c r="K1763" s="15" t="s">
        <v>59</v>
      </c>
      <c r="L1763" s="58"/>
      <c r="M1763" s="14" t="s">
        <v>1274</v>
      </c>
      <c r="N1763" s="14" t="s">
        <v>1942</v>
      </c>
      <c r="O1763" s="14"/>
      <c r="P1763" s="15" t="s">
        <v>1740</v>
      </c>
      <c r="Q1763" s="16">
        <v>14999</v>
      </c>
      <c r="R1763" s="17">
        <v>40</v>
      </c>
      <c r="S1763" s="18">
        <v>10349.31</v>
      </c>
      <c r="T1763" s="19" t="s">
        <v>36</v>
      </c>
      <c r="U1763" s="20" t="s">
        <v>1196</v>
      </c>
      <c r="V1763" s="34">
        <v>36.5</v>
      </c>
      <c r="W1763" s="22">
        <v>3</v>
      </c>
      <c r="X1763" s="23"/>
    </row>
    <row r="1764" spans="1:24" s="1" customFormat="1" ht="26" customHeight="1" x14ac:dyDescent="0.3">
      <c r="A1764" s="11" t="s">
        <v>23</v>
      </c>
      <c r="B1764" s="11" t="s">
        <v>1943</v>
      </c>
      <c r="C1764" s="12" t="s">
        <v>1944</v>
      </c>
      <c r="D1764" s="59"/>
      <c r="E1764" s="41" t="str">
        <f>HYPERLINK("https://www.google.ru/search?q=3024738-001&amp;newwindow=1&amp;tbm=isch","Еще фото")</f>
        <v>Еще фото</v>
      </c>
      <c r="F1764" s="28" t="s">
        <v>138</v>
      </c>
      <c r="G1764" s="11" t="s">
        <v>1184</v>
      </c>
      <c r="H1764" s="11" t="s">
        <v>741</v>
      </c>
      <c r="I1764" s="14" t="s">
        <v>1185</v>
      </c>
      <c r="J1764" s="14" t="s">
        <v>29</v>
      </c>
      <c r="K1764" s="15" t="s">
        <v>30</v>
      </c>
      <c r="L1764" s="57" t="s">
        <v>1945</v>
      </c>
      <c r="M1764" s="14" t="s">
        <v>1211</v>
      </c>
      <c r="N1764" s="14" t="s">
        <v>33</v>
      </c>
      <c r="O1764" s="14" t="s">
        <v>34</v>
      </c>
      <c r="P1764" s="15" t="s">
        <v>1946</v>
      </c>
      <c r="Q1764" s="16">
        <v>14999</v>
      </c>
      <c r="R1764" s="17">
        <v>40</v>
      </c>
      <c r="S1764" s="18">
        <v>10349.31</v>
      </c>
      <c r="T1764" s="19" t="s">
        <v>36</v>
      </c>
      <c r="U1764" s="20" t="s">
        <v>747</v>
      </c>
      <c r="V1764" s="34">
        <v>39.5</v>
      </c>
      <c r="W1764" s="22">
        <v>1</v>
      </c>
      <c r="X1764" s="23"/>
    </row>
    <row r="1765" spans="1:24" s="1" customFormat="1" ht="26" customHeight="1" x14ac:dyDescent="0.3">
      <c r="A1765" s="24" t="s">
        <v>23</v>
      </c>
      <c r="B1765" s="24" t="s">
        <v>1943</v>
      </c>
      <c r="C1765" s="12" t="s">
        <v>1944</v>
      </c>
      <c r="D1765" s="60"/>
      <c r="E1765" s="41" t="str">
        <f>HYPERLINK("https://www.google.ru/search?q=3024738-001&amp;newwindow=1&amp;tbm=isch","Еще фото")</f>
        <v>Еще фото</v>
      </c>
      <c r="F1765" s="28" t="s">
        <v>138</v>
      </c>
      <c r="G1765" s="24" t="s">
        <v>1184</v>
      </c>
      <c r="H1765" s="24" t="s">
        <v>741</v>
      </c>
      <c r="I1765" s="24" t="s">
        <v>1185</v>
      </c>
      <c r="J1765" s="14" t="s">
        <v>29</v>
      </c>
      <c r="K1765" s="15" t="s">
        <v>30</v>
      </c>
      <c r="L1765" s="62"/>
      <c r="M1765" s="14" t="s">
        <v>1211</v>
      </c>
      <c r="N1765" s="14" t="s">
        <v>33</v>
      </c>
      <c r="O1765" s="14" t="s">
        <v>34</v>
      </c>
      <c r="P1765" s="15" t="s">
        <v>1946</v>
      </c>
      <c r="Q1765" s="16">
        <v>14999</v>
      </c>
      <c r="R1765" s="17">
        <v>40</v>
      </c>
      <c r="S1765" s="18">
        <v>10349.31</v>
      </c>
      <c r="T1765" s="19" t="s">
        <v>36</v>
      </c>
      <c r="U1765" s="20" t="s">
        <v>748</v>
      </c>
      <c r="V1765" s="22">
        <v>40</v>
      </c>
      <c r="W1765" s="22">
        <v>3</v>
      </c>
      <c r="X1765" s="23"/>
    </row>
    <row r="1766" spans="1:24" s="1" customFormat="1" ht="26" customHeight="1" x14ac:dyDescent="0.3">
      <c r="A1766" s="24" t="s">
        <v>23</v>
      </c>
      <c r="B1766" s="24" t="s">
        <v>1943</v>
      </c>
      <c r="C1766" s="12" t="s">
        <v>1944</v>
      </c>
      <c r="D1766" s="60"/>
      <c r="E1766" s="41" t="str">
        <f>HYPERLINK("https://www.google.ru/search?q=3024738-001&amp;newwindow=1&amp;tbm=isch","Еще фото")</f>
        <v>Еще фото</v>
      </c>
      <c r="F1766" s="28" t="s">
        <v>138</v>
      </c>
      <c r="G1766" s="24" t="s">
        <v>1184</v>
      </c>
      <c r="H1766" s="24" t="s">
        <v>741</v>
      </c>
      <c r="I1766" s="24" t="s">
        <v>1185</v>
      </c>
      <c r="J1766" s="14" t="s">
        <v>29</v>
      </c>
      <c r="K1766" s="15" t="s">
        <v>30</v>
      </c>
      <c r="L1766" s="62"/>
      <c r="M1766" s="14" t="s">
        <v>1211</v>
      </c>
      <c r="N1766" s="14" t="s">
        <v>33</v>
      </c>
      <c r="O1766" s="14" t="s">
        <v>34</v>
      </c>
      <c r="P1766" s="15" t="s">
        <v>1946</v>
      </c>
      <c r="Q1766" s="16">
        <v>14999</v>
      </c>
      <c r="R1766" s="17">
        <v>40</v>
      </c>
      <c r="S1766" s="18">
        <v>10349.31</v>
      </c>
      <c r="T1766" s="19" t="s">
        <v>36</v>
      </c>
      <c r="U1766" s="20" t="s">
        <v>749</v>
      </c>
      <c r="V1766" s="22">
        <v>41</v>
      </c>
      <c r="W1766" s="22">
        <v>6</v>
      </c>
      <c r="X1766" s="23"/>
    </row>
    <row r="1767" spans="1:24" s="1" customFormat="1" ht="26" customHeight="1" x14ac:dyDescent="0.3">
      <c r="A1767" s="24" t="s">
        <v>23</v>
      </c>
      <c r="B1767" s="24" t="s">
        <v>1943</v>
      </c>
      <c r="C1767" s="12" t="s">
        <v>1944</v>
      </c>
      <c r="D1767" s="61"/>
      <c r="E1767" s="41" t="str">
        <f>HYPERLINK("https://www.google.ru/search?q=3024738-001&amp;newwindow=1&amp;tbm=isch","Еще фото")</f>
        <v>Еще фото</v>
      </c>
      <c r="F1767" s="28" t="s">
        <v>138</v>
      </c>
      <c r="G1767" s="24" t="s">
        <v>1184</v>
      </c>
      <c r="H1767" s="24" t="s">
        <v>741</v>
      </c>
      <c r="I1767" s="24" t="s">
        <v>1185</v>
      </c>
      <c r="J1767" s="14" t="s">
        <v>29</v>
      </c>
      <c r="K1767" s="15" t="s">
        <v>30</v>
      </c>
      <c r="L1767" s="58"/>
      <c r="M1767" s="14" t="s">
        <v>1211</v>
      </c>
      <c r="N1767" s="14" t="s">
        <v>33</v>
      </c>
      <c r="O1767" s="14" t="s">
        <v>34</v>
      </c>
      <c r="P1767" s="15" t="s">
        <v>1946</v>
      </c>
      <c r="Q1767" s="16">
        <v>14999</v>
      </c>
      <c r="R1767" s="17">
        <v>40</v>
      </c>
      <c r="S1767" s="18">
        <v>10349.31</v>
      </c>
      <c r="T1767" s="19" t="s">
        <v>36</v>
      </c>
      <c r="U1767" s="20" t="s">
        <v>750</v>
      </c>
      <c r="V1767" s="34">
        <v>41.5</v>
      </c>
      <c r="W1767" s="22">
        <v>5</v>
      </c>
      <c r="X1767" s="23"/>
    </row>
    <row r="1768" spans="1:24" s="1" customFormat="1" ht="52.05" customHeight="1" x14ac:dyDescent="0.3">
      <c r="A1768" s="11" t="s">
        <v>23</v>
      </c>
      <c r="B1768" s="11" t="s">
        <v>1570</v>
      </c>
      <c r="C1768" s="12" t="s">
        <v>1947</v>
      </c>
      <c r="D1768" s="55"/>
      <c r="E1768" s="41" t="str">
        <f>HYPERLINK("https://www.google.ru/search?q=3024877-002&amp;newwindow=1&amp;tbm=isch","Еще фото")</f>
        <v>Еще фото</v>
      </c>
      <c r="F1768" s="13"/>
      <c r="G1768" s="11" t="s">
        <v>1184</v>
      </c>
      <c r="H1768" s="11" t="s">
        <v>741</v>
      </c>
      <c r="I1768" s="14" t="s">
        <v>1185</v>
      </c>
      <c r="J1768" s="14" t="s">
        <v>29</v>
      </c>
      <c r="K1768" s="15" t="s">
        <v>30</v>
      </c>
      <c r="L1768" s="57" t="s">
        <v>1572</v>
      </c>
      <c r="M1768" s="14" t="s">
        <v>1194</v>
      </c>
      <c r="N1768" s="14" t="s">
        <v>33</v>
      </c>
      <c r="O1768" s="14" t="s">
        <v>34</v>
      </c>
      <c r="P1768" s="15" t="s">
        <v>1573</v>
      </c>
      <c r="Q1768" s="16">
        <v>10999</v>
      </c>
      <c r="R1768" s="17">
        <v>40</v>
      </c>
      <c r="S1768" s="18">
        <v>7589.3099999999986</v>
      </c>
      <c r="T1768" s="19" t="s">
        <v>36</v>
      </c>
      <c r="U1768" s="20" t="s">
        <v>746</v>
      </c>
      <c r="V1768" s="22">
        <v>39</v>
      </c>
      <c r="W1768" s="22">
        <v>1</v>
      </c>
      <c r="X1768" s="23"/>
    </row>
    <row r="1769" spans="1:24" s="1" customFormat="1" ht="61.05" customHeight="1" x14ac:dyDescent="0.3">
      <c r="A1769" s="24" t="s">
        <v>23</v>
      </c>
      <c r="B1769" s="24" t="s">
        <v>1570</v>
      </c>
      <c r="C1769" s="12" t="s">
        <v>1947</v>
      </c>
      <c r="D1769" s="56"/>
      <c r="E1769" s="41" t="str">
        <f>HYPERLINK("https://www.google.ru/search?q=3024877-002&amp;newwindow=1&amp;tbm=isch","Еще фото")</f>
        <v>Еще фото</v>
      </c>
      <c r="F1769" s="13"/>
      <c r="G1769" s="24" t="s">
        <v>1184</v>
      </c>
      <c r="H1769" s="24" t="s">
        <v>741</v>
      </c>
      <c r="I1769" s="24" t="s">
        <v>1185</v>
      </c>
      <c r="J1769" s="14" t="s">
        <v>29</v>
      </c>
      <c r="K1769" s="15" t="s">
        <v>30</v>
      </c>
      <c r="L1769" s="58"/>
      <c r="M1769" s="14" t="s">
        <v>1194</v>
      </c>
      <c r="N1769" s="14" t="s">
        <v>33</v>
      </c>
      <c r="O1769" s="14" t="s">
        <v>34</v>
      </c>
      <c r="P1769" s="15" t="s">
        <v>1573</v>
      </c>
      <c r="Q1769" s="16">
        <v>10999</v>
      </c>
      <c r="R1769" s="17">
        <v>40</v>
      </c>
      <c r="S1769" s="18">
        <v>7589.3099999999986</v>
      </c>
      <c r="T1769" s="19" t="s">
        <v>36</v>
      </c>
      <c r="U1769" s="20" t="s">
        <v>749</v>
      </c>
      <c r="V1769" s="22">
        <v>41</v>
      </c>
      <c r="W1769" s="22">
        <v>2</v>
      </c>
      <c r="X1769" s="23"/>
    </row>
    <row r="1770" spans="1:24" s="1" customFormat="1" ht="26" customHeight="1" x14ac:dyDescent="0.3">
      <c r="A1770" s="11" t="s">
        <v>23</v>
      </c>
      <c r="B1770" s="11" t="s">
        <v>1570</v>
      </c>
      <c r="C1770" s="12" t="s">
        <v>1948</v>
      </c>
      <c r="D1770" s="59"/>
      <c r="E1770" s="41" t="str">
        <f>HYPERLINK("https://www.google.ru/search?q=3024877-003&amp;newwindow=1&amp;tbm=isch","Еще фото")</f>
        <v>Еще фото</v>
      </c>
      <c r="F1770" s="13"/>
      <c r="G1770" s="11" t="s">
        <v>1184</v>
      </c>
      <c r="H1770" s="11" t="s">
        <v>741</v>
      </c>
      <c r="I1770" s="14" t="s">
        <v>1185</v>
      </c>
      <c r="J1770" s="14" t="s">
        <v>29</v>
      </c>
      <c r="K1770" s="15" t="s">
        <v>30</v>
      </c>
      <c r="L1770" s="57" t="s">
        <v>1572</v>
      </c>
      <c r="M1770" s="14" t="s">
        <v>1194</v>
      </c>
      <c r="N1770" s="14" t="s">
        <v>33</v>
      </c>
      <c r="O1770" s="14" t="s">
        <v>34</v>
      </c>
      <c r="P1770" s="15" t="s">
        <v>1573</v>
      </c>
      <c r="Q1770" s="16">
        <v>10999</v>
      </c>
      <c r="R1770" s="17">
        <v>40</v>
      </c>
      <c r="S1770" s="18">
        <v>7589.3099999999986</v>
      </c>
      <c r="T1770" s="19" t="s">
        <v>36</v>
      </c>
      <c r="U1770" s="20" t="s">
        <v>746</v>
      </c>
      <c r="V1770" s="22">
        <v>39</v>
      </c>
      <c r="W1770" s="22">
        <v>3</v>
      </c>
      <c r="X1770" s="23"/>
    </row>
    <row r="1771" spans="1:24" s="1" customFormat="1" ht="26" customHeight="1" x14ac:dyDescent="0.3">
      <c r="A1771" s="24" t="s">
        <v>23</v>
      </c>
      <c r="B1771" s="24" t="s">
        <v>1570</v>
      </c>
      <c r="C1771" s="12" t="s">
        <v>1948</v>
      </c>
      <c r="D1771" s="60"/>
      <c r="E1771" s="41" t="str">
        <f>HYPERLINK("https://www.google.ru/search?q=3024877-003&amp;newwindow=1&amp;tbm=isch","Еще фото")</f>
        <v>Еще фото</v>
      </c>
      <c r="F1771" s="13"/>
      <c r="G1771" s="24" t="s">
        <v>1184</v>
      </c>
      <c r="H1771" s="24" t="s">
        <v>741</v>
      </c>
      <c r="I1771" s="24" t="s">
        <v>1185</v>
      </c>
      <c r="J1771" s="14" t="s">
        <v>29</v>
      </c>
      <c r="K1771" s="15" t="s">
        <v>30</v>
      </c>
      <c r="L1771" s="62"/>
      <c r="M1771" s="14" t="s">
        <v>1194</v>
      </c>
      <c r="N1771" s="14" t="s">
        <v>33</v>
      </c>
      <c r="O1771" s="14" t="s">
        <v>34</v>
      </c>
      <c r="P1771" s="15" t="s">
        <v>1573</v>
      </c>
      <c r="Q1771" s="16">
        <v>10999</v>
      </c>
      <c r="R1771" s="17">
        <v>40</v>
      </c>
      <c r="S1771" s="18">
        <v>7589.3099999999986</v>
      </c>
      <c r="T1771" s="19" t="s">
        <v>36</v>
      </c>
      <c r="U1771" s="20" t="s">
        <v>747</v>
      </c>
      <c r="V1771" s="34">
        <v>39.5</v>
      </c>
      <c r="W1771" s="22">
        <v>2</v>
      </c>
      <c r="X1771" s="23"/>
    </row>
    <row r="1772" spans="1:24" s="1" customFormat="1" ht="26" customHeight="1" x14ac:dyDescent="0.3">
      <c r="A1772" s="24" t="s">
        <v>23</v>
      </c>
      <c r="B1772" s="24" t="s">
        <v>1570</v>
      </c>
      <c r="C1772" s="12" t="s">
        <v>1948</v>
      </c>
      <c r="D1772" s="60"/>
      <c r="E1772" s="41" t="str">
        <f>HYPERLINK("https://www.google.ru/search?q=3024877-003&amp;newwindow=1&amp;tbm=isch","Еще фото")</f>
        <v>Еще фото</v>
      </c>
      <c r="F1772" s="13"/>
      <c r="G1772" s="24" t="s">
        <v>1184</v>
      </c>
      <c r="H1772" s="24" t="s">
        <v>741</v>
      </c>
      <c r="I1772" s="24" t="s">
        <v>1185</v>
      </c>
      <c r="J1772" s="14" t="s">
        <v>29</v>
      </c>
      <c r="K1772" s="15" t="s">
        <v>30</v>
      </c>
      <c r="L1772" s="62"/>
      <c r="M1772" s="14" t="s">
        <v>1194</v>
      </c>
      <c r="N1772" s="14" t="s">
        <v>33</v>
      </c>
      <c r="O1772" s="14" t="s">
        <v>34</v>
      </c>
      <c r="P1772" s="15" t="s">
        <v>1573</v>
      </c>
      <c r="Q1772" s="16">
        <v>10999</v>
      </c>
      <c r="R1772" s="17">
        <v>40</v>
      </c>
      <c r="S1772" s="18">
        <v>7589.3099999999986</v>
      </c>
      <c r="T1772" s="19" t="s">
        <v>36</v>
      </c>
      <c r="U1772" s="20" t="s">
        <v>748</v>
      </c>
      <c r="V1772" s="22">
        <v>40</v>
      </c>
      <c r="W1772" s="22">
        <v>2</v>
      </c>
      <c r="X1772" s="23"/>
    </row>
    <row r="1773" spans="1:24" s="1" customFormat="1" ht="26" customHeight="1" x14ac:dyDescent="0.3">
      <c r="A1773" s="24" t="s">
        <v>23</v>
      </c>
      <c r="B1773" s="24" t="s">
        <v>1570</v>
      </c>
      <c r="C1773" s="12" t="s">
        <v>1948</v>
      </c>
      <c r="D1773" s="61"/>
      <c r="E1773" s="41" t="str">
        <f>HYPERLINK("https://www.google.ru/search?q=3024877-003&amp;newwindow=1&amp;tbm=isch","Еще фото")</f>
        <v>Еще фото</v>
      </c>
      <c r="F1773" s="13"/>
      <c r="G1773" s="24" t="s">
        <v>1184</v>
      </c>
      <c r="H1773" s="24" t="s">
        <v>741</v>
      </c>
      <c r="I1773" s="24" t="s">
        <v>1185</v>
      </c>
      <c r="J1773" s="14" t="s">
        <v>29</v>
      </c>
      <c r="K1773" s="15" t="s">
        <v>30</v>
      </c>
      <c r="L1773" s="58"/>
      <c r="M1773" s="14" t="s">
        <v>1194</v>
      </c>
      <c r="N1773" s="14" t="s">
        <v>33</v>
      </c>
      <c r="O1773" s="14" t="s">
        <v>34</v>
      </c>
      <c r="P1773" s="15" t="s">
        <v>1573</v>
      </c>
      <c r="Q1773" s="16">
        <v>10999</v>
      </c>
      <c r="R1773" s="17">
        <v>40</v>
      </c>
      <c r="S1773" s="18">
        <v>7589.3099999999986</v>
      </c>
      <c r="T1773" s="19" t="s">
        <v>36</v>
      </c>
      <c r="U1773" s="20" t="s">
        <v>750</v>
      </c>
      <c r="V1773" s="34">
        <v>41.5</v>
      </c>
      <c r="W1773" s="22">
        <v>1</v>
      </c>
      <c r="X1773" s="23"/>
    </row>
    <row r="1774" spans="1:24" s="1" customFormat="1" ht="52.05" customHeight="1" x14ac:dyDescent="0.3">
      <c r="A1774" s="11" t="s">
        <v>23</v>
      </c>
      <c r="B1774" s="11" t="s">
        <v>1570</v>
      </c>
      <c r="C1774" s="12" t="s">
        <v>1949</v>
      </c>
      <c r="D1774" s="55"/>
      <c r="E1774" s="41" t="str">
        <f>HYPERLINK("https://www.google.ru/search?q=3024877-105&amp;newwindow=1&amp;tbm=isch","Еще фото")</f>
        <v>Еще фото</v>
      </c>
      <c r="F1774" s="13"/>
      <c r="G1774" s="11" t="s">
        <v>1184</v>
      </c>
      <c r="H1774" s="11" t="s">
        <v>741</v>
      </c>
      <c r="I1774" s="14" t="s">
        <v>1185</v>
      </c>
      <c r="J1774" s="14" t="s">
        <v>29</v>
      </c>
      <c r="K1774" s="15" t="s">
        <v>30</v>
      </c>
      <c r="L1774" s="57" t="s">
        <v>1572</v>
      </c>
      <c r="M1774" s="14" t="s">
        <v>1194</v>
      </c>
      <c r="N1774" s="14" t="s">
        <v>33</v>
      </c>
      <c r="O1774" s="14"/>
      <c r="P1774" s="15" t="s">
        <v>1573</v>
      </c>
      <c r="Q1774" s="16">
        <v>10899</v>
      </c>
      <c r="R1774" s="17">
        <v>40</v>
      </c>
      <c r="S1774" s="18">
        <v>7520.3099999999986</v>
      </c>
      <c r="T1774" s="19" t="s">
        <v>36</v>
      </c>
      <c r="U1774" s="20" t="s">
        <v>746</v>
      </c>
      <c r="V1774" s="22">
        <v>39</v>
      </c>
      <c r="W1774" s="22">
        <v>3</v>
      </c>
      <c r="X1774" s="23"/>
    </row>
    <row r="1775" spans="1:24" s="1" customFormat="1" ht="61.05" customHeight="1" x14ac:dyDescent="0.3">
      <c r="A1775" s="24" t="s">
        <v>23</v>
      </c>
      <c r="B1775" s="24" t="s">
        <v>1570</v>
      </c>
      <c r="C1775" s="12" t="s">
        <v>1949</v>
      </c>
      <c r="D1775" s="56"/>
      <c r="E1775" s="41" t="str">
        <f>HYPERLINK("https://www.google.ru/search?q=3024877-105&amp;newwindow=1&amp;tbm=isch","Еще фото")</f>
        <v>Еще фото</v>
      </c>
      <c r="F1775" s="13"/>
      <c r="G1775" s="24" t="s">
        <v>1184</v>
      </c>
      <c r="H1775" s="24" t="s">
        <v>741</v>
      </c>
      <c r="I1775" s="24" t="s">
        <v>1185</v>
      </c>
      <c r="J1775" s="14" t="s">
        <v>29</v>
      </c>
      <c r="K1775" s="15" t="s">
        <v>30</v>
      </c>
      <c r="L1775" s="58"/>
      <c r="M1775" s="14" t="s">
        <v>1194</v>
      </c>
      <c r="N1775" s="14" t="s">
        <v>33</v>
      </c>
      <c r="O1775" s="14"/>
      <c r="P1775" s="15" t="s">
        <v>1573</v>
      </c>
      <c r="Q1775" s="16">
        <v>10899</v>
      </c>
      <c r="R1775" s="17">
        <v>40</v>
      </c>
      <c r="S1775" s="18">
        <v>7520.3099999999986</v>
      </c>
      <c r="T1775" s="19" t="s">
        <v>36</v>
      </c>
      <c r="U1775" s="20" t="s">
        <v>747</v>
      </c>
      <c r="V1775" s="34">
        <v>39.5</v>
      </c>
      <c r="W1775" s="22">
        <v>3</v>
      </c>
      <c r="X1775" s="23"/>
    </row>
    <row r="1776" spans="1:24" s="1" customFormat="1" ht="13.05" customHeight="1" x14ac:dyDescent="0.3">
      <c r="A1776" s="11" t="s">
        <v>23</v>
      </c>
      <c r="B1776" s="11" t="s">
        <v>1255</v>
      </c>
      <c r="C1776" s="12" t="s">
        <v>1950</v>
      </c>
      <c r="D1776" s="59"/>
      <c r="E1776" s="41" t="str">
        <f t="shared" ref="E1776:E1783" si="65">HYPERLINK("https://www.google.ru/search?q=3024878-002&amp;newwindow=1&amp;tbm=isch","Еще фото")</f>
        <v>Еще фото</v>
      </c>
      <c r="F1776" s="13"/>
      <c r="G1776" s="11" t="s">
        <v>1184</v>
      </c>
      <c r="H1776" s="11" t="s">
        <v>741</v>
      </c>
      <c r="I1776" s="14" t="s">
        <v>1185</v>
      </c>
      <c r="J1776" s="14" t="s">
        <v>29</v>
      </c>
      <c r="K1776" s="15" t="s">
        <v>30</v>
      </c>
      <c r="L1776" s="57" t="s">
        <v>1206</v>
      </c>
      <c r="M1776" s="14" t="s">
        <v>1194</v>
      </c>
      <c r="N1776" s="14" t="s">
        <v>33</v>
      </c>
      <c r="O1776" s="14" t="s">
        <v>34</v>
      </c>
      <c r="P1776" s="15" t="s">
        <v>1258</v>
      </c>
      <c r="Q1776" s="16">
        <v>9899</v>
      </c>
      <c r="R1776" s="17">
        <v>40</v>
      </c>
      <c r="S1776" s="18">
        <v>6830.3099999999995</v>
      </c>
      <c r="T1776" s="19" t="s">
        <v>36</v>
      </c>
      <c r="U1776" s="33" t="s">
        <v>746</v>
      </c>
      <c r="V1776" s="22">
        <v>39</v>
      </c>
      <c r="W1776" s="22">
        <v>7</v>
      </c>
      <c r="X1776" s="23"/>
    </row>
    <row r="1777" spans="1:24" s="1" customFormat="1" ht="13.05" customHeight="1" x14ac:dyDescent="0.3">
      <c r="A1777" s="24" t="s">
        <v>23</v>
      </c>
      <c r="B1777" s="24" t="s">
        <v>1255</v>
      </c>
      <c r="C1777" s="12" t="s">
        <v>1950</v>
      </c>
      <c r="D1777" s="60"/>
      <c r="E1777" s="41" t="str">
        <f t="shared" si="65"/>
        <v>Еще фото</v>
      </c>
      <c r="F1777" s="13"/>
      <c r="G1777" s="24" t="s">
        <v>1184</v>
      </c>
      <c r="H1777" s="24" t="s">
        <v>741</v>
      </c>
      <c r="I1777" s="24" t="s">
        <v>1185</v>
      </c>
      <c r="J1777" s="14" t="s">
        <v>29</v>
      </c>
      <c r="K1777" s="15" t="s">
        <v>30</v>
      </c>
      <c r="L1777" s="62"/>
      <c r="M1777" s="14" t="s">
        <v>1194</v>
      </c>
      <c r="N1777" s="14" t="s">
        <v>33</v>
      </c>
      <c r="O1777" s="14" t="s">
        <v>34</v>
      </c>
      <c r="P1777" s="15" t="s">
        <v>1258</v>
      </c>
      <c r="Q1777" s="16">
        <v>9899</v>
      </c>
      <c r="R1777" s="17">
        <v>40</v>
      </c>
      <c r="S1777" s="18">
        <v>6830.3099999999995</v>
      </c>
      <c r="T1777" s="19" t="s">
        <v>36</v>
      </c>
      <c r="U1777" s="20" t="s">
        <v>747</v>
      </c>
      <c r="V1777" s="34">
        <v>39.5</v>
      </c>
      <c r="W1777" s="22">
        <v>4</v>
      </c>
      <c r="X1777" s="23"/>
    </row>
    <row r="1778" spans="1:24" s="1" customFormat="1" ht="13.05" customHeight="1" x14ac:dyDescent="0.3">
      <c r="A1778" s="24" t="s">
        <v>23</v>
      </c>
      <c r="B1778" s="24" t="s">
        <v>1255</v>
      </c>
      <c r="C1778" s="12" t="s">
        <v>1950</v>
      </c>
      <c r="D1778" s="60"/>
      <c r="E1778" s="41" t="str">
        <f t="shared" si="65"/>
        <v>Еще фото</v>
      </c>
      <c r="F1778" s="13"/>
      <c r="G1778" s="24" t="s">
        <v>1184</v>
      </c>
      <c r="H1778" s="24" t="s">
        <v>741</v>
      </c>
      <c r="I1778" s="24" t="s">
        <v>1185</v>
      </c>
      <c r="J1778" s="14" t="s">
        <v>29</v>
      </c>
      <c r="K1778" s="15" t="s">
        <v>30</v>
      </c>
      <c r="L1778" s="62"/>
      <c r="M1778" s="14" t="s">
        <v>1194</v>
      </c>
      <c r="N1778" s="14" t="s">
        <v>33</v>
      </c>
      <c r="O1778" s="14" t="s">
        <v>34</v>
      </c>
      <c r="P1778" s="15" t="s">
        <v>1258</v>
      </c>
      <c r="Q1778" s="16">
        <v>9899</v>
      </c>
      <c r="R1778" s="17">
        <v>40</v>
      </c>
      <c r="S1778" s="18">
        <v>6830.3099999999995</v>
      </c>
      <c r="T1778" s="19" t="s">
        <v>36</v>
      </c>
      <c r="U1778" s="20" t="s">
        <v>748</v>
      </c>
      <c r="V1778" s="22">
        <v>40</v>
      </c>
      <c r="W1778" s="22">
        <v>7</v>
      </c>
      <c r="X1778" s="23"/>
    </row>
    <row r="1779" spans="1:24" s="1" customFormat="1" ht="13.05" customHeight="1" x14ac:dyDescent="0.3">
      <c r="A1779" s="24" t="s">
        <v>23</v>
      </c>
      <c r="B1779" s="24" t="s">
        <v>1255</v>
      </c>
      <c r="C1779" s="12" t="s">
        <v>1950</v>
      </c>
      <c r="D1779" s="60"/>
      <c r="E1779" s="41" t="str">
        <f t="shared" si="65"/>
        <v>Еще фото</v>
      </c>
      <c r="F1779" s="13"/>
      <c r="G1779" s="24" t="s">
        <v>1184</v>
      </c>
      <c r="H1779" s="24" t="s">
        <v>741</v>
      </c>
      <c r="I1779" s="24" t="s">
        <v>1185</v>
      </c>
      <c r="J1779" s="14" t="s">
        <v>29</v>
      </c>
      <c r="K1779" s="15" t="s">
        <v>30</v>
      </c>
      <c r="L1779" s="62"/>
      <c r="M1779" s="14" t="s">
        <v>1194</v>
      </c>
      <c r="N1779" s="14" t="s">
        <v>33</v>
      </c>
      <c r="O1779" s="14" t="s">
        <v>34</v>
      </c>
      <c r="P1779" s="15" t="s">
        <v>1258</v>
      </c>
      <c r="Q1779" s="16">
        <v>9899</v>
      </c>
      <c r="R1779" s="17">
        <v>40</v>
      </c>
      <c r="S1779" s="18">
        <v>6830.3099999999995</v>
      </c>
      <c r="T1779" s="19" t="s">
        <v>36</v>
      </c>
      <c r="U1779" s="20" t="s">
        <v>749</v>
      </c>
      <c r="V1779" s="22">
        <v>41</v>
      </c>
      <c r="W1779" s="22">
        <v>3</v>
      </c>
      <c r="X1779" s="23"/>
    </row>
    <row r="1780" spans="1:24" s="1" customFormat="1" ht="13.05" customHeight="1" x14ac:dyDescent="0.3">
      <c r="A1780" s="24" t="s">
        <v>23</v>
      </c>
      <c r="B1780" s="24" t="s">
        <v>1255</v>
      </c>
      <c r="C1780" s="12" t="s">
        <v>1950</v>
      </c>
      <c r="D1780" s="60"/>
      <c r="E1780" s="41" t="str">
        <f t="shared" si="65"/>
        <v>Еще фото</v>
      </c>
      <c r="F1780" s="13"/>
      <c r="G1780" s="24" t="s">
        <v>1184</v>
      </c>
      <c r="H1780" s="24" t="s">
        <v>741</v>
      </c>
      <c r="I1780" s="24" t="s">
        <v>1185</v>
      </c>
      <c r="J1780" s="14" t="s">
        <v>29</v>
      </c>
      <c r="K1780" s="15" t="s">
        <v>30</v>
      </c>
      <c r="L1780" s="62"/>
      <c r="M1780" s="14" t="s">
        <v>1194</v>
      </c>
      <c r="N1780" s="14" t="s">
        <v>33</v>
      </c>
      <c r="O1780" s="14" t="s">
        <v>34</v>
      </c>
      <c r="P1780" s="15" t="s">
        <v>1258</v>
      </c>
      <c r="Q1780" s="16">
        <v>9899</v>
      </c>
      <c r="R1780" s="17">
        <v>40</v>
      </c>
      <c r="S1780" s="18">
        <v>6830.3099999999995</v>
      </c>
      <c r="T1780" s="19" t="s">
        <v>36</v>
      </c>
      <c r="U1780" s="20" t="s">
        <v>750</v>
      </c>
      <c r="V1780" s="34">
        <v>41.5</v>
      </c>
      <c r="W1780" s="22">
        <v>7</v>
      </c>
      <c r="X1780" s="23"/>
    </row>
    <row r="1781" spans="1:24" s="1" customFormat="1" ht="13.05" customHeight="1" x14ac:dyDescent="0.3">
      <c r="A1781" s="24" t="s">
        <v>23</v>
      </c>
      <c r="B1781" s="24" t="s">
        <v>1255</v>
      </c>
      <c r="C1781" s="12" t="s">
        <v>1950</v>
      </c>
      <c r="D1781" s="60"/>
      <c r="E1781" s="41" t="str">
        <f t="shared" si="65"/>
        <v>Еще фото</v>
      </c>
      <c r="F1781" s="13"/>
      <c r="G1781" s="24" t="s">
        <v>1184</v>
      </c>
      <c r="H1781" s="24" t="s">
        <v>741</v>
      </c>
      <c r="I1781" s="24" t="s">
        <v>1185</v>
      </c>
      <c r="J1781" s="14" t="s">
        <v>29</v>
      </c>
      <c r="K1781" s="15" t="s">
        <v>30</v>
      </c>
      <c r="L1781" s="62"/>
      <c r="M1781" s="14" t="s">
        <v>1194</v>
      </c>
      <c r="N1781" s="14" t="s">
        <v>33</v>
      </c>
      <c r="O1781" s="14" t="s">
        <v>34</v>
      </c>
      <c r="P1781" s="15" t="s">
        <v>1258</v>
      </c>
      <c r="Q1781" s="16">
        <v>9899</v>
      </c>
      <c r="R1781" s="17">
        <v>40</v>
      </c>
      <c r="S1781" s="18">
        <v>6830.3099999999995</v>
      </c>
      <c r="T1781" s="19" t="s">
        <v>36</v>
      </c>
      <c r="U1781" s="20" t="s">
        <v>751</v>
      </c>
      <c r="V1781" s="22">
        <v>42</v>
      </c>
      <c r="W1781" s="22">
        <v>4</v>
      </c>
      <c r="X1781" s="23"/>
    </row>
    <row r="1782" spans="1:24" s="1" customFormat="1" ht="13.05" customHeight="1" x14ac:dyDescent="0.3">
      <c r="A1782" s="24" t="s">
        <v>23</v>
      </c>
      <c r="B1782" s="24" t="s">
        <v>1255</v>
      </c>
      <c r="C1782" s="12" t="s">
        <v>1950</v>
      </c>
      <c r="D1782" s="60"/>
      <c r="E1782" s="41" t="str">
        <f t="shared" si="65"/>
        <v>Еще фото</v>
      </c>
      <c r="F1782" s="13"/>
      <c r="G1782" s="24" t="s">
        <v>1184</v>
      </c>
      <c r="H1782" s="24" t="s">
        <v>741</v>
      </c>
      <c r="I1782" s="24" t="s">
        <v>1185</v>
      </c>
      <c r="J1782" s="14" t="s">
        <v>29</v>
      </c>
      <c r="K1782" s="15" t="s">
        <v>30</v>
      </c>
      <c r="L1782" s="62"/>
      <c r="M1782" s="14" t="s">
        <v>1194</v>
      </c>
      <c r="N1782" s="14" t="s">
        <v>33</v>
      </c>
      <c r="O1782" s="14" t="s">
        <v>34</v>
      </c>
      <c r="P1782" s="15" t="s">
        <v>1258</v>
      </c>
      <c r="Q1782" s="16">
        <v>9899</v>
      </c>
      <c r="R1782" s="17">
        <v>40</v>
      </c>
      <c r="S1782" s="18">
        <v>6830.3099999999995</v>
      </c>
      <c r="T1782" s="19" t="s">
        <v>36</v>
      </c>
      <c r="U1782" s="20" t="s">
        <v>752</v>
      </c>
      <c r="V1782" s="22">
        <v>43</v>
      </c>
      <c r="W1782" s="22">
        <v>1</v>
      </c>
      <c r="X1782" s="23"/>
    </row>
    <row r="1783" spans="1:24" s="1" customFormat="1" ht="18" customHeight="1" x14ac:dyDescent="0.3">
      <c r="A1783" s="24" t="s">
        <v>23</v>
      </c>
      <c r="B1783" s="24" t="s">
        <v>1255</v>
      </c>
      <c r="C1783" s="12" t="s">
        <v>1950</v>
      </c>
      <c r="D1783" s="61"/>
      <c r="E1783" s="41" t="str">
        <f t="shared" si="65"/>
        <v>Еще фото</v>
      </c>
      <c r="F1783" s="13"/>
      <c r="G1783" s="24" t="s">
        <v>1184</v>
      </c>
      <c r="H1783" s="24" t="s">
        <v>741</v>
      </c>
      <c r="I1783" s="24" t="s">
        <v>1185</v>
      </c>
      <c r="J1783" s="14" t="s">
        <v>29</v>
      </c>
      <c r="K1783" s="15" t="s">
        <v>30</v>
      </c>
      <c r="L1783" s="58"/>
      <c r="M1783" s="14" t="s">
        <v>1194</v>
      </c>
      <c r="N1783" s="14" t="s">
        <v>33</v>
      </c>
      <c r="O1783" s="14" t="s">
        <v>34</v>
      </c>
      <c r="P1783" s="15" t="s">
        <v>1258</v>
      </c>
      <c r="Q1783" s="16">
        <v>9899</v>
      </c>
      <c r="R1783" s="17">
        <v>40</v>
      </c>
      <c r="S1783" s="18">
        <v>6830.3099999999995</v>
      </c>
      <c r="T1783" s="19" t="s">
        <v>36</v>
      </c>
      <c r="U1783" s="20" t="s">
        <v>753</v>
      </c>
      <c r="V1783" s="34">
        <v>43.5</v>
      </c>
      <c r="W1783" s="22">
        <v>1</v>
      </c>
      <c r="X1783" s="23"/>
    </row>
    <row r="1784" spans="1:24" s="1" customFormat="1" ht="35" customHeight="1" x14ac:dyDescent="0.3">
      <c r="A1784" s="11" t="s">
        <v>23</v>
      </c>
      <c r="B1784" s="11" t="s">
        <v>1255</v>
      </c>
      <c r="C1784" s="12" t="s">
        <v>1951</v>
      </c>
      <c r="D1784" s="59"/>
      <c r="E1784" s="41" t="str">
        <f>HYPERLINK("https://www.google.ru/search?q=3024878-005&amp;newwindow=1&amp;tbm=isch","Еще фото")</f>
        <v>Еще фото</v>
      </c>
      <c r="F1784" s="13"/>
      <c r="G1784" s="11" t="s">
        <v>1184</v>
      </c>
      <c r="H1784" s="11" t="s">
        <v>741</v>
      </c>
      <c r="I1784" s="14" t="s">
        <v>1185</v>
      </c>
      <c r="J1784" s="14" t="s">
        <v>29</v>
      </c>
      <c r="K1784" s="15" t="s">
        <v>30</v>
      </c>
      <c r="L1784" s="57" t="s">
        <v>1257</v>
      </c>
      <c r="M1784" s="14" t="s">
        <v>1194</v>
      </c>
      <c r="N1784" s="14" t="s">
        <v>1952</v>
      </c>
      <c r="O1784" s="14"/>
      <c r="P1784" s="15" t="s">
        <v>1953</v>
      </c>
      <c r="Q1784" s="16">
        <v>9099</v>
      </c>
      <c r="R1784" s="17">
        <v>40</v>
      </c>
      <c r="S1784" s="18">
        <v>6278.3099999999995</v>
      </c>
      <c r="T1784" s="19" t="s">
        <v>36</v>
      </c>
      <c r="U1784" s="20" t="s">
        <v>746</v>
      </c>
      <c r="V1784" s="22">
        <v>39</v>
      </c>
      <c r="W1784" s="22">
        <v>1</v>
      </c>
      <c r="X1784" s="23"/>
    </row>
    <row r="1785" spans="1:24" s="1" customFormat="1" ht="35" customHeight="1" x14ac:dyDescent="0.3">
      <c r="A1785" s="24" t="s">
        <v>23</v>
      </c>
      <c r="B1785" s="24" t="s">
        <v>1255</v>
      </c>
      <c r="C1785" s="12" t="s">
        <v>1951</v>
      </c>
      <c r="D1785" s="60"/>
      <c r="E1785" s="41" t="str">
        <f>HYPERLINK("https://www.google.ru/search?q=3024878-005&amp;newwindow=1&amp;tbm=isch","Еще фото")</f>
        <v>Еще фото</v>
      </c>
      <c r="F1785" s="13"/>
      <c r="G1785" s="24" t="s">
        <v>1184</v>
      </c>
      <c r="H1785" s="24" t="s">
        <v>741</v>
      </c>
      <c r="I1785" s="24" t="s">
        <v>1185</v>
      </c>
      <c r="J1785" s="14" t="s">
        <v>29</v>
      </c>
      <c r="K1785" s="15" t="s">
        <v>30</v>
      </c>
      <c r="L1785" s="62"/>
      <c r="M1785" s="14" t="s">
        <v>1194</v>
      </c>
      <c r="N1785" s="14" t="s">
        <v>1952</v>
      </c>
      <c r="O1785" s="14"/>
      <c r="P1785" s="15" t="s">
        <v>1953</v>
      </c>
      <c r="Q1785" s="16">
        <v>9099</v>
      </c>
      <c r="R1785" s="17">
        <v>40</v>
      </c>
      <c r="S1785" s="18">
        <v>6278.3099999999995</v>
      </c>
      <c r="T1785" s="19" t="s">
        <v>36</v>
      </c>
      <c r="U1785" s="20" t="s">
        <v>747</v>
      </c>
      <c r="V1785" s="34">
        <v>39.5</v>
      </c>
      <c r="W1785" s="22">
        <v>4</v>
      </c>
      <c r="X1785" s="23"/>
    </row>
    <row r="1786" spans="1:24" s="1" customFormat="1" ht="37.049999999999997" customHeight="1" x14ac:dyDescent="0.3">
      <c r="A1786" s="24" t="s">
        <v>23</v>
      </c>
      <c r="B1786" s="24" t="s">
        <v>1255</v>
      </c>
      <c r="C1786" s="12" t="s">
        <v>1951</v>
      </c>
      <c r="D1786" s="61"/>
      <c r="E1786" s="41" t="str">
        <f>HYPERLINK("https://www.google.ru/search?q=3024878-005&amp;newwindow=1&amp;tbm=isch","Еще фото")</f>
        <v>Еще фото</v>
      </c>
      <c r="F1786" s="13"/>
      <c r="G1786" s="24" t="s">
        <v>1184</v>
      </c>
      <c r="H1786" s="24" t="s">
        <v>741</v>
      </c>
      <c r="I1786" s="24" t="s">
        <v>1185</v>
      </c>
      <c r="J1786" s="14" t="s">
        <v>29</v>
      </c>
      <c r="K1786" s="15" t="s">
        <v>30</v>
      </c>
      <c r="L1786" s="58"/>
      <c r="M1786" s="14" t="s">
        <v>1194</v>
      </c>
      <c r="N1786" s="14" t="s">
        <v>1952</v>
      </c>
      <c r="O1786" s="14"/>
      <c r="P1786" s="15" t="s">
        <v>1953</v>
      </c>
      <c r="Q1786" s="16">
        <v>9099</v>
      </c>
      <c r="R1786" s="17">
        <v>40</v>
      </c>
      <c r="S1786" s="18">
        <v>6278.3099999999995</v>
      </c>
      <c r="T1786" s="19" t="s">
        <v>36</v>
      </c>
      <c r="U1786" s="20" t="s">
        <v>748</v>
      </c>
      <c r="V1786" s="22">
        <v>40</v>
      </c>
      <c r="W1786" s="22">
        <v>4</v>
      </c>
      <c r="X1786" s="23"/>
    </row>
    <row r="1787" spans="1:24" s="1" customFormat="1" ht="21" customHeight="1" x14ac:dyDescent="0.3">
      <c r="A1787" s="11" t="s">
        <v>23</v>
      </c>
      <c r="B1787" s="11" t="s">
        <v>1255</v>
      </c>
      <c r="C1787" s="26" t="s">
        <v>1954</v>
      </c>
      <c r="D1787" s="59"/>
      <c r="E1787" s="41" t="str">
        <f>HYPERLINK("https://www.google.ru/search?q=3024878-104&amp;newwindow=1&amp;tbm=isch","Еще фото")</f>
        <v>Еще фото</v>
      </c>
      <c r="F1787" s="13"/>
      <c r="G1787" s="11" t="s">
        <v>1184</v>
      </c>
      <c r="H1787" s="11" t="s">
        <v>741</v>
      </c>
      <c r="I1787" s="14" t="s">
        <v>1185</v>
      </c>
      <c r="J1787" s="14" t="s">
        <v>29</v>
      </c>
      <c r="K1787" s="15" t="s">
        <v>30</v>
      </c>
      <c r="L1787" s="57" t="s">
        <v>1257</v>
      </c>
      <c r="M1787" s="14" t="s">
        <v>1194</v>
      </c>
      <c r="N1787" s="14" t="s">
        <v>62</v>
      </c>
      <c r="O1787" s="14" t="s">
        <v>34</v>
      </c>
      <c r="P1787" s="15" t="s">
        <v>1202</v>
      </c>
      <c r="Q1787" s="16">
        <v>8899</v>
      </c>
      <c r="R1787" s="17">
        <v>40</v>
      </c>
      <c r="S1787" s="18">
        <v>6140.3099999999995</v>
      </c>
      <c r="T1787" s="19" t="s">
        <v>36</v>
      </c>
      <c r="U1787" s="20" t="s">
        <v>746</v>
      </c>
      <c r="V1787" s="22">
        <v>39</v>
      </c>
      <c r="W1787" s="22">
        <v>5</v>
      </c>
      <c r="X1787" s="23"/>
    </row>
    <row r="1788" spans="1:24" s="1" customFormat="1" ht="21" customHeight="1" x14ac:dyDescent="0.3">
      <c r="A1788" s="24" t="s">
        <v>23</v>
      </c>
      <c r="B1788" s="24" t="s">
        <v>1255</v>
      </c>
      <c r="C1788" s="27" t="s">
        <v>1954</v>
      </c>
      <c r="D1788" s="60"/>
      <c r="E1788" s="41" t="str">
        <f>HYPERLINK("https://www.google.ru/search?q=3024878-104&amp;newwindow=1&amp;tbm=isch","Еще фото")</f>
        <v>Еще фото</v>
      </c>
      <c r="F1788" s="13"/>
      <c r="G1788" s="24" t="s">
        <v>1184</v>
      </c>
      <c r="H1788" s="24" t="s">
        <v>741</v>
      </c>
      <c r="I1788" s="24" t="s">
        <v>1185</v>
      </c>
      <c r="J1788" s="14" t="s">
        <v>29</v>
      </c>
      <c r="K1788" s="15" t="s">
        <v>30</v>
      </c>
      <c r="L1788" s="62"/>
      <c r="M1788" s="14" t="s">
        <v>1194</v>
      </c>
      <c r="N1788" s="14" t="s">
        <v>62</v>
      </c>
      <c r="O1788" s="14" t="s">
        <v>34</v>
      </c>
      <c r="P1788" s="15" t="s">
        <v>1202</v>
      </c>
      <c r="Q1788" s="16">
        <v>8899</v>
      </c>
      <c r="R1788" s="17">
        <v>40</v>
      </c>
      <c r="S1788" s="18">
        <v>6140.3099999999995</v>
      </c>
      <c r="T1788" s="19" t="s">
        <v>36</v>
      </c>
      <c r="U1788" s="20" t="s">
        <v>747</v>
      </c>
      <c r="V1788" s="34">
        <v>39.5</v>
      </c>
      <c r="W1788" s="22">
        <v>4</v>
      </c>
      <c r="X1788" s="23"/>
    </row>
    <row r="1789" spans="1:24" s="1" customFormat="1" ht="21" customHeight="1" x14ac:dyDescent="0.3">
      <c r="A1789" s="24" t="s">
        <v>23</v>
      </c>
      <c r="B1789" s="24" t="s">
        <v>1255</v>
      </c>
      <c r="C1789" s="27" t="s">
        <v>1954</v>
      </c>
      <c r="D1789" s="60"/>
      <c r="E1789" s="41" t="str">
        <f>HYPERLINK("https://www.google.ru/search?q=3024878-104&amp;newwindow=1&amp;tbm=isch","Еще фото")</f>
        <v>Еще фото</v>
      </c>
      <c r="F1789" s="13"/>
      <c r="G1789" s="24" t="s">
        <v>1184</v>
      </c>
      <c r="H1789" s="24" t="s">
        <v>741</v>
      </c>
      <c r="I1789" s="24" t="s">
        <v>1185</v>
      </c>
      <c r="J1789" s="14" t="s">
        <v>29</v>
      </c>
      <c r="K1789" s="15" t="s">
        <v>30</v>
      </c>
      <c r="L1789" s="62"/>
      <c r="M1789" s="14" t="s">
        <v>1194</v>
      </c>
      <c r="N1789" s="14" t="s">
        <v>62</v>
      </c>
      <c r="O1789" s="14" t="s">
        <v>34</v>
      </c>
      <c r="P1789" s="15" t="s">
        <v>1202</v>
      </c>
      <c r="Q1789" s="16">
        <v>8899</v>
      </c>
      <c r="R1789" s="17">
        <v>40</v>
      </c>
      <c r="S1789" s="18">
        <v>6140.3099999999995</v>
      </c>
      <c r="T1789" s="19" t="s">
        <v>36</v>
      </c>
      <c r="U1789" s="20" t="s">
        <v>748</v>
      </c>
      <c r="V1789" s="22">
        <v>40</v>
      </c>
      <c r="W1789" s="22">
        <v>3</v>
      </c>
      <c r="X1789" s="23"/>
    </row>
    <row r="1790" spans="1:24" s="1" customFormat="1" ht="21" customHeight="1" x14ac:dyDescent="0.3">
      <c r="A1790" s="24" t="s">
        <v>23</v>
      </c>
      <c r="B1790" s="24" t="s">
        <v>1255</v>
      </c>
      <c r="C1790" s="27" t="s">
        <v>1954</v>
      </c>
      <c r="D1790" s="60"/>
      <c r="E1790" s="41" t="str">
        <f>HYPERLINK("https://www.google.ru/search?q=3024878-104&amp;newwindow=1&amp;tbm=isch","Еще фото")</f>
        <v>Еще фото</v>
      </c>
      <c r="F1790" s="13"/>
      <c r="G1790" s="24" t="s">
        <v>1184</v>
      </c>
      <c r="H1790" s="24" t="s">
        <v>741</v>
      </c>
      <c r="I1790" s="24" t="s">
        <v>1185</v>
      </c>
      <c r="J1790" s="14" t="s">
        <v>29</v>
      </c>
      <c r="K1790" s="15" t="s">
        <v>30</v>
      </c>
      <c r="L1790" s="62"/>
      <c r="M1790" s="14" t="s">
        <v>1194</v>
      </c>
      <c r="N1790" s="14" t="s">
        <v>62</v>
      </c>
      <c r="O1790" s="14" t="s">
        <v>34</v>
      </c>
      <c r="P1790" s="15" t="s">
        <v>1202</v>
      </c>
      <c r="Q1790" s="16">
        <v>8899</v>
      </c>
      <c r="R1790" s="17">
        <v>40</v>
      </c>
      <c r="S1790" s="18">
        <v>6140.3099999999995</v>
      </c>
      <c r="T1790" s="19" t="s">
        <v>36</v>
      </c>
      <c r="U1790" s="20" t="s">
        <v>749</v>
      </c>
      <c r="V1790" s="22">
        <v>41</v>
      </c>
      <c r="W1790" s="22">
        <v>1</v>
      </c>
      <c r="X1790" s="23"/>
    </row>
    <row r="1791" spans="1:24" s="1" customFormat="1" ht="32" customHeight="1" x14ac:dyDescent="0.3">
      <c r="A1791" s="24" t="s">
        <v>23</v>
      </c>
      <c r="B1791" s="24" t="s">
        <v>1255</v>
      </c>
      <c r="C1791" s="27" t="s">
        <v>1954</v>
      </c>
      <c r="D1791" s="61"/>
      <c r="E1791" s="41" t="str">
        <f>HYPERLINK("https://www.google.ru/search?q=3024878-104&amp;newwindow=1&amp;tbm=isch","Еще фото")</f>
        <v>Еще фото</v>
      </c>
      <c r="F1791" s="13"/>
      <c r="G1791" s="24" t="s">
        <v>1184</v>
      </c>
      <c r="H1791" s="24" t="s">
        <v>741</v>
      </c>
      <c r="I1791" s="24" t="s">
        <v>1185</v>
      </c>
      <c r="J1791" s="14" t="s">
        <v>29</v>
      </c>
      <c r="K1791" s="15" t="s">
        <v>30</v>
      </c>
      <c r="L1791" s="58"/>
      <c r="M1791" s="14" t="s">
        <v>1194</v>
      </c>
      <c r="N1791" s="14" t="s">
        <v>62</v>
      </c>
      <c r="O1791" s="14" t="s">
        <v>34</v>
      </c>
      <c r="P1791" s="15" t="s">
        <v>1202</v>
      </c>
      <c r="Q1791" s="16">
        <v>8899</v>
      </c>
      <c r="R1791" s="17">
        <v>40</v>
      </c>
      <c r="S1791" s="18">
        <v>6140.3099999999995</v>
      </c>
      <c r="T1791" s="19" t="s">
        <v>36</v>
      </c>
      <c r="U1791" s="20" t="s">
        <v>750</v>
      </c>
      <c r="V1791" s="34">
        <v>41.5</v>
      </c>
      <c r="W1791" s="22">
        <v>2</v>
      </c>
      <c r="X1791" s="23"/>
    </row>
    <row r="1792" spans="1:24" s="1" customFormat="1" ht="26" customHeight="1" x14ac:dyDescent="0.3">
      <c r="A1792" s="11" t="s">
        <v>23</v>
      </c>
      <c r="B1792" s="11" t="s">
        <v>1955</v>
      </c>
      <c r="C1792" s="12" t="s">
        <v>1956</v>
      </c>
      <c r="D1792" s="59"/>
      <c r="E1792" s="41" t="str">
        <f>HYPERLINK("https://www.google.ru/search?q=3024888-102&amp;newwindow=1&amp;tbm=isch","Еще фото")</f>
        <v>Еще фото</v>
      </c>
      <c r="F1792" s="13"/>
      <c r="G1792" s="11" t="s">
        <v>1184</v>
      </c>
      <c r="H1792" s="11" t="s">
        <v>741</v>
      </c>
      <c r="I1792" s="14" t="s">
        <v>1185</v>
      </c>
      <c r="J1792" s="14" t="s">
        <v>29</v>
      </c>
      <c r="K1792" s="15" t="s">
        <v>59</v>
      </c>
      <c r="L1792" s="57" t="s">
        <v>1572</v>
      </c>
      <c r="M1792" s="14" t="s">
        <v>1274</v>
      </c>
      <c r="N1792" s="14" t="s">
        <v>1957</v>
      </c>
      <c r="O1792" s="14"/>
      <c r="P1792" s="15" t="s">
        <v>1958</v>
      </c>
      <c r="Q1792" s="16">
        <v>12999</v>
      </c>
      <c r="R1792" s="17">
        <v>40</v>
      </c>
      <c r="S1792" s="18">
        <v>8969.31</v>
      </c>
      <c r="T1792" s="19" t="s">
        <v>36</v>
      </c>
      <c r="U1792" s="20" t="s">
        <v>1241</v>
      </c>
      <c r="V1792" s="22">
        <v>35</v>
      </c>
      <c r="W1792" s="22">
        <v>3</v>
      </c>
      <c r="X1792" s="23"/>
    </row>
    <row r="1793" spans="1:24" s="1" customFormat="1" ht="26" customHeight="1" x14ac:dyDescent="0.3">
      <c r="A1793" s="24" t="s">
        <v>23</v>
      </c>
      <c r="B1793" s="24" t="s">
        <v>1955</v>
      </c>
      <c r="C1793" s="12" t="s">
        <v>1956</v>
      </c>
      <c r="D1793" s="60"/>
      <c r="E1793" s="41" t="str">
        <f>HYPERLINK("https://www.google.ru/search?q=3024888-102&amp;newwindow=1&amp;tbm=isch","Еще фото")</f>
        <v>Еще фото</v>
      </c>
      <c r="F1793" s="13"/>
      <c r="G1793" s="24" t="s">
        <v>1184</v>
      </c>
      <c r="H1793" s="24" t="s">
        <v>741</v>
      </c>
      <c r="I1793" s="24" t="s">
        <v>1185</v>
      </c>
      <c r="J1793" s="14" t="s">
        <v>29</v>
      </c>
      <c r="K1793" s="15" t="s">
        <v>59</v>
      </c>
      <c r="L1793" s="62"/>
      <c r="M1793" s="14" t="s">
        <v>1274</v>
      </c>
      <c r="N1793" s="14" t="s">
        <v>1957</v>
      </c>
      <c r="O1793" s="14"/>
      <c r="P1793" s="15" t="s">
        <v>1958</v>
      </c>
      <c r="Q1793" s="16">
        <v>12999</v>
      </c>
      <c r="R1793" s="17">
        <v>40</v>
      </c>
      <c r="S1793" s="18">
        <v>8969.31</v>
      </c>
      <c r="T1793" s="19" t="s">
        <v>36</v>
      </c>
      <c r="U1793" s="20" t="s">
        <v>1190</v>
      </c>
      <c r="V1793" s="34">
        <v>35.5</v>
      </c>
      <c r="W1793" s="22">
        <v>3</v>
      </c>
      <c r="X1793" s="23"/>
    </row>
    <row r="1794" spans="1:24" s="1" customFormat="1" ht="26" customHeight="1" x14ac:dyDescent="0.3">
      <c r="A1794" s="24" t="s">
        <v>23</v>
      </c>
      <c r="B1794" s="24" t="s">
        <v>1955</v>
      </c>
      <c r="C1794" s="12" t="s">
        <v>1956</v>
      </c>
      <c r="D1794" s="60"/>
      <c r="E1794" s="41" t="str">
        <f>HYPERLINK("https://www.google.ru/search?q=3024888-102&amp;newwindow=1&amp;tbm=isch","Еще фото")</f>
        <v>Еще фото</v>
      </c>
      <c r="F1794" s="13"/>
      <c r="G1794" s="24" t="s">
        <v>1184</v>
      </c>
      <c r="H1794" s="24" t="s">
        <v>741</v>
      </c>
      <c r="I1794" s="24" t="s">
        <v>1185</v>
      </c>
      <c r="J1794" s="14" t="s">
        <v>29</v>
      </c>
      <c r="K1794" s="15" t="s">
        <v>59</v>
      </c>
      <c r="L1794" s="62"/>
      <c r="M1794" s="14" t="s">
        <v>1274</v>
      </c>
      <c r="N1794" s="14" t="s">
        <v>1957</v>
      </c>
      <c r="O1794" s="14"/>
      <c r="P1794" s="15" t="s">
        <v>1958</v>
      </c>
      <c r="Q1794" s="16">
        <v>12999</v>
      </c>
      <c r="R1794" s="17">
        <v>40</v>
      </c>
      <c r="S1794" s="18">
        <v>8969.31</v>
      </c>
      <c r="T1794" s="19" t="s">
        <v>36</v>
      </c>
      <c r="U1794" s="20" t="s">
        <v>1203</v>
      </c>
      <c r="V1794" s="22">
        <v>36</v>
      </c>
      <c r="W1794" s="22">
        <v>1</v>
      </c>
      <c r="X1794" s="23"/>
    </row>
    <row r="1795" spans="1:24" s="1" customFormat="1" ht="26" customHeight="1" x14ac:dyDescent="0.3">
      <c r="A1795" s="24" t="s">
        <v>23</v>
      </c>
      <c r="B1795" s="24" t="s">
        <v>1955</v>
      </c>
      <c r="C1795" s="12" t="s">
        <v>1956</v>
      </c>
      <c r="D1795" s="61"/>
      <c r="E1795" s="41" t="str">
        <f>HYPERLINK("https://www.google.ru/search?q=3024888-102&amp;newwindow=1&amp;tbm=isch","Еще фото")</f>
        <v>Еще фото</v>
      </c>
      <c r="F1795" s="13"/>
      <c r="G1795" s="24" t="s">
        <v>1184</v>
      </c>
      <c r="H1795" s="24" t="s">
        <v>741</v>
      </c>
      <c r="I1795" s="24" t="s">
        <v>1185</v>
      </c>
      <c r="J1795" s="14" t="s">
        <v>29</v>
      </c>
      <c r="K1795" s="15" t="s">
        <v>59</v>
      </c>
      <c r="L1795" s="58"/>
      <c r="M1795" s="14" t="s">
        <v>1274</v>
      </c>
      <c r="N1795" s="14" t="s">
        <v>1957</v>
      </c>
      <c r="O1795" s="14"/>
      <c r="P1795" s="15" t="s">
        <v>1958</v>
      </c>
      <c r="Q1795" s="16">
        <v>12999</v>
      </c>
      <c r="R1795" s="17">
        <v>40</v>
      </c>
      <c r="S1795" s="18">
        <v>8969.31</v>
      </c>
      <c r="T1795" s="19" t="s">
        <v>36</v>
      </c>
      <c r="U1795" s="20" t="s">
        <v>1196</v>
      </c>
      <c r="V1795" s="34">
        <v>36.5</v>
      </c>
      <c r="W1795" s="22">
        <v>1</v>
      </c>
      <c r="X1795" s="23"/>
    </row>
    <row r="1796" spans="1:24" s="1" customFormat="1" ht="21" customHeight="1" x14ac:dyDescent="0.3">
      <c r="A1796" s="11" t="s">
        <v>23</v>
      </c>
      <c r="B1796" s="11" t="s">
        <v>1197</v>
      </c>
      <c r="C1796" s="26" t="s">
        <v>1959</v>
      </c>
      <c r="D1796" s="59"/>
      <c r="E1796" s="41" t="str">
        <f>HYPERLINK("https://www.google.ru/search?q=3024889-101&amp;newwindow=1&amp;tbm=isch","Еще фото")</f>
        <v>Еще фото</v>
      </c>
      <c r="F1796" s="13"/>
      <c r="G1796" s="11" t="s">
        <v>1184</v>
      </c>
      <c r="H1796" s="11" t="s">
        <v>741</v>
      </c>
      <c r="I1796" s="14" t="s">
        <v>1185</v>
      </c>
      <c r="J1796" s="14" t="s">
        <v>29</v>
      </c>
      <c r="K1796" s="15" t="s">
        <v>59</v>
      </c>
      <c r="L1796" s="57" t="s">
        <v>1199</v>
      </c>
      <c r="M1796" s="14" t="s">
        <v>1194</v>
      </c>
      <c r="N1796" s="14" t="s">
        <v>62</v>
      </c>
      <c r="O1796" s="14" t="s">
        <v>34</v>
      </c>
      <c r="P1796" s="15" t="s">
        <v>1202</v>
      </c>
      <c r="Q1796" s="16">
        <v>9299</v>
      </c>
      <c r="R1796" s="17">
        <v>40</v>
      </c>
      <c r="S1796" s="18">
        <v>6416.3099999999995</v>
      </c>
      <c r="T1796" s="19" t="s">
        <v>36</v>
      </c>
      <c r="U1796" s="20" t="s">
        <v>1190</v>
      </c>
      <c r="V1796" s="34">
        <v>35.5</v>
      </c>
      <c r="W1796" s="22">
        <v>5</v>
      </c>
      <c r="X1796" s="23"/>
    </row>
    <row r="1797" spans="1:24" s="1" customFormat="1" ht="21" customHeight="1" x14ac:dyDescent="0.3">
      <c r="A1797" s="24" t="s">
        <v>23</v>
      </c>
      <c r="B1797" s="24" t="s">
        <v>1197</v>
      </c>
      <c r="C1797" s="27" t="s">
        <v>1959</v>
      </c>
      <c r="D1797" s="60"/>
      <c r="E1797" s="41" t="str">
        <f>HYPERLINK("https://www.google.ru/search?q=3024889-101&amp;newwindow=1&amp;tbm=isch","Еще фото")</f>
        <v>Еще фото</v>
      </c>
      <c r="F1797" s="13"/>
      <c r="G1797" s="24" t="s">
        <v>1184</v>
      </c>
      <c r="H1797" s="24" t="s">
        <v>741</v>
      </c>
      <c r="I1797" s="24" t="s">
        <v>1185</v>
      </c>
      <c r="J1797" s="14" t="s">
        <v>29</v>
      </c>
      <c r="K1797" s="15" t="s">
        <v>59</v>
      </c>
      <c r="L1797" s="62"/>
      <c r="M1797" s="14" t="s">
        <v>1194</v>
      </c>
      <c r="N1797" s="14" t="s">
        <v>62</v>
      </c>
      <c r="O1797" s="14" t="s">
        <v>34</v>
      </c>
      <c r="P1797" s="15" t="s">
        <v>1202</v>
      </c>
      <c r="Q1797" s="16">
        <v>9299</v>
      </c>
      <c r="R1797" s="17">
        <v>40</v>
      </c>
      <c r="S1797" s="18">
        <v>6416.3099999999995</v>
      </c>
      <c r="T1797" s="19" t="s">
        <v>36</v>
      </c>
      <c r="U1797" s="20" t="s">
        <v>1203</v>
      </c>
      <c r="V1797" s="22">
        <v>36</v>
      </c>
      <c r="W1797" s="22">
        <v>7</v>
      </c>
      <c r="X1797" s="23"/>
    </row>
    <row r="1798" spans="1:24" s="1" customFormat="1" ht="21" customHeight="1" x14ac:dyDescent="0.3">
      <c r="A1798" s="24" t="s">
        <v>23</v>
      </c>
      <c r="B1798" s="24" t="s">
        <v>1197</v>
      </c>
      <c r="C1798" s="27" t="s">
        <v>1959</v>
      </c>
      <c r="D1798" s="60"/>
      <c r="E1798" s="41" t="str">
        <f>HYPERLINK("https://www.google.ru/search?q=3024889-101&amp;newwindow=1&amp;tbm=isch","Еще фото")</f>
        <v>Еще фото</v>
      </c>
      <c r="F1798" s="13"/>
      <c r="G1798" s="24" t="s">
        <v>1184</v>
      </c>
      <c r="H1798" s="24" t="s">
        <v>741</v>
      </c>
      <c r="I1798" s="24" t="s">
        <v>1185</v>
      </c>
      <c r="J1798" s="14" t="s">
        <v>29</v>
      </c>
      <c r="K1798" s="15" t="s">
        <v>59</v>
      </c>
      <c r="L1798" s="62"/>
      <c r="M1798" s="14" t="s">
        <v>1194</v>
      </c>
      <c r="N1798" s="14" t="s">
        <v>62</v>
      </c>
      <c r="O1798" s="14" t="s">
        <v>34</v>
      </c>
      <c r="P1798" s="15" t="s">
        <v>1202</v>
      </c>
      <c r="Q1798" s="16">
        <v>9299</v>
      </c>
      <c r="R1798" s="17">
        <v>40</v>
      </c>
      <c r="S1798" s="18">
        <v>6416.3099999999995</v>
      </c>
      <c r="T1798" s="19" t="s">
        <v>36</v>
      </c>
      <c r="U1798" s="20" t="s">
        <v>1196</v>
      </c>
      <c r="V1798" s="34">
        <v>36.5</v>
      </c>
      <c r="W1798" s="22">
        <v>11</v>
      </c>
      <c r="X1798" s="23"/>
    </row>
    <row r="1799" spans="1:24" s="1" customFormat="1" ht="21" customHeight="1" x14ac:dyDescent="0.3">
      <c r="A1799" s="24" t="s">
        <v>23</v>
      </c>
      <c r="B1799" s="24" t="s">
        <v>1197</v>
      </c>
      <c r="C1799" s="27" t="s">
        <v>1959</v>
      </c>
      <c r="D1799" s="60"/>
      <c r="E1799" s="41" t="str">
        <f>HYPERLINK("https://www.google.ru/search?q=3024889-101&amp;newwindow=1&amp;tbm=isch","Еще фото")</f>
        <v>Еще фото</v>
      </c>
      <c r="F1799" s="13"/>
      <c r="G1799" s="24" t="s">
        <v>1184</v>
      </c>
      <c r="H1799" s="24" t="s">
        <v>741</v>
      </c>
      <c r="I1799" s="24" t="s">
        <v>1185</v>
      </c>
      <c r="J1799" s="14" t="s">
        <v>29</v>
      </c>
      <c r="K1799" s="15" t="s">
        <v>59</v>
      </c>
      <c r="L1799" s="62"/>
      <c r="M1799" s="14" t="s">
        <v>1194</v>
      </c>
      <c r="N1799" s="14" t="s">
        <v>62</v>
      </c>
      <c r="O1799" s="14" t="s">
        <v>34</v>
      </c>
      <c r="P1799" s="15" t="s">
        <v>1202</v>
      </c>
      <c r="Q1799" s="16">
        <v>9299</v>
      </c>
      <c r="R1799" s="17">
        <v>40</v>
      </c>
      <c r="S1799" s="18">
        <v>6416.3099999999995</v>
      </c>
      <c r="T1799" s="19" t="s">
        <v>36</v>
      </c>
      <c r="U1799" s="20" t="s">
        <v>746</v>
      </c>
      <c r="V1799" s="22">
        <v>37</v>
      </c>
      <c r="W1799" s="22">
        <v>8</v>
      </c>
      <c r="X1799" s="23"/>
    </row>
    <row r="1800" spans="1:24" s="1" customFormat="1" ht="32" customHeight="1" x14ac:dyDescent="0.3">
      <c r="A1800" s="24" t="s">
        <v>23</v>
      </c>
      <c r="B1800" s="24" t="s">
        <v>1197</v>
      </c>
      <c r="C1800" s="27" t="s">
        <v>1959</v>
      </c>
      <c r="D1800" s="61"/>
      <c r="E1800" s="41" t="str">
        <f>HYPERLINK("https://www.google.ru/search?q=3024889-101&amp;newwindow=1&amp;tbm=isch","Еще фото")</f>
        <v>Еще фото</v>
      </c>
      <c r="F1800" s="13"/>
      <c r="G1800" s="24" t="s">
        <v>1184</v>
      </c>
      <c r="H1800" s="24" t="s">
        <v>741</v>
      </c>
      <c r="I1800" s="24" t="s">
        <v>1185</v>
      </c>
      <c r="J1800" s="14" t="s">
        <v>29</v>
      </c>
      <c r="K1800" s="15" t="s">
        <v>59</v>
      </c>
      <c r="L1800" s="58"/>
      <c r="M1800" s="14" t="s">
        <v>1194</v>
      </c>
      <c r="N1800" s="14" t="s">
        <v>62</v>
      </c>
      <c r="O1800" s="14" t="s">
        <v>34</v>
      </c>
      <c r="P1800" s="15" t="s">
        <v>1202</v>
      </c>
      <c r="Q1800" s="16">
        <v>9299</v>
      </c>
      <c r="R1800" s="17">
        <v>40</v>
      </c>
      <c r="S1800" s="18">
        <v>6416.3099999999995</v>
      </c>
      <c r="T1800" s="19" t="s">
        <v>36</v>
      </c>
      <c r="U1800" s="20" t="s">
        <v>747</v>
      </c>
      <c r="V1800" s="34">
        <v>37.5</v>
      </c>
      <c r="W1800" s="22">
        <v>2</v>
      </c>
      <c r="X1800" s="23"/>
    </row>
    <row r="1801" spans="1:24" s="1" customFormat="1" ht="108" customHeight="1" x14ac:dyDescent="0.3">
      <c r="A1801" s="11" t="s">
        <v>23</v>
      </c>
      <c r="B1801" s="11" t="s">
        <v>1267</v>
      </c>
      <c r="C1801" s="12" t="s">
        <v>1960</v>
      </c>
      <c r="D1801" s="25"/>
      <c r="E1801" s="41" t="str">
        <f>HYPERLINK("https://www.google.ru/search?q=3024894-001&amp;newwindow=1&amp;tbm=isch","Еще фото")</f>
        <v>Еще фото</v>
      </c>
      <c r="F1801" s="13"/>
      <c r="G1801" s="11" t="s">
        <v>1184</v>
      </c>
      <c r="H1801" s="11" t="s">
        <v>741</v>
      </c>
      <c r="I1801" s="14" t="s">
        <v>1185</v>
      </c>
      <c r="J1801" s="14" t="s">
        <v>29</v>
      </c>
      <c r="K1801" s="15" t="s">
        <v>59</v>
      </c>
      <c r="L1801" s="14" t="s">
        <v>1269</v>
      </c>
      <c r="M1801" s="14" t="s">
        <v>45</v>
      </c>
      <c r="N1801" s="14" t="s">
        <v>33</v>
      </c>
      <c r="O1801" s="14"/>
      <c r="P1801" s="15" t="s">
        <v>1270</v>
      </c>
      <c r="Q1801" s="16">
        <v>7999</v>
      </c>
      <c r="R1801" s="17">
        <v>40</v>
      </c>
      <c r="S1801" s="18">
        <v>5519.3099999999995</v>
      </c>
      <c r="T1801" s="19" t="s">
        <v>36</v>
      </c>
      <c r="U1801" s="20" t="s">
        <v>1196</v>
      </c>
      <c r="V1801" s="34">
        <v>36.5</v>
      </c>
      <c r="W1801" s="22">
        <v>2</v>
      </c>
      <c r="X1801" s="23"/>
    </row>
    <row r="1802" spans="1:24" s="1" customFormat="1" ht="35" customHeight="1" x14ac:dyDescent="0.3">
      <c r="A1802" s="11" t="s">
        <v>23</v>
      </c>
      <c r="B1802" s="11" t="s">
        <v>1267</v>
      </c>
      <c r="C1802" s="12" t="s">
        <v>1961</v>
      </c>
      <c r="D1802" s="59"/>
      <c r="E1802" s="41" t="str">
        <f>HYPERLINK("https://www.google.ru/search?q=3024894-002&amp;newwindow=1&amp;tbm=isch","Еще фото")</f>
        <v>Еще фото</v>
      </c>
      <c r="F1802" s="13"/>
      <c r="G1802" s="11" t="s">
        <v>1184</v>
      </c>
      <c r="H1802" s="11" t="s">
        <v>741</v>
      </c>
      <c r="I1802" s="14" t="s">
        <v>1185</v>
      </c>
      <c r="J1802" s="14" t="s">
        <v>29</v>
      </c>
      <c r="K1802" s="15" t="s">
        <v>59</v>
      </c>
      <c r="L1802" s="57" t="s">
        <v>1269</v>
      </c>
      <c r="M1802" s="14" t="s">
        <v>45</v>
      </c>
      <c r="N1802" s="14" t="s">
        <v>33</v>
      </c>
      <c r="O1802" s="14"/>
      <c r="P1802" s="15" t="s">
        <v>1279</v>
      </c>
      <c r="Q1802" s="16">
        <v>8299</v>
      </c>
      <c r="R1802" s="17">
        <v>40</v>
      </c>
      <c r="S1802" s="18">
        <v>5726.3099999999995</v>
      </c>
      <c r="T1802" s="19" t="s">
        <v>36</v>
      </c>
      <c r="U1802" s="20" t="s">
        <v>1203</v>
      </c>
      <c r="V1802" s="22">
        <v>36</v>
      </c>
      <c r="W1802" s="22">
        <v>3</v>
      </c>
      <c r="X1802" s="23"/>
    </row>
    <row r="1803" spans="1:24" s="1" customFormat="1" ht="35" customHeight="1" x14ac:dyDescent="0.3">
      <c r="A1803" s="24" t="s">
        <v>23</v>
      </c>
      <c r="B1803" s="24" t="s">
        <v>1267</v>
      </c>
      <c r="C1803" s="12" t="s">
        <v>1961</v>
      </c>
      <c r="D1803" s="60"/>
      <c r="E1803" s="41" t="str">
        <f>HYPERLINK("https://www.google.ru/search?q=3024894-002&amp;newwindow=1&amp;tbm=isch","Еще фото")</f>
        <v>Еще фото</v>
      </c>
      <c r="F1803" s="13"/>
      <c r="G1803" s="24" t="s">
        <v>1184</v>
      </c>
      <c r="H1803" s="24" t="s">
        <v>741</v>
      </c>
      <c r="I1803" s="24" t="s">
        <v>1185</v>
      </c>
      <c r="J1803" s="14" t="s">
        <v>29</v>
      </c>
      <c r="K1803" s="15" t="s">
        <v>59</v>
      </c>
      <c r="L1803" s="62"/>
      <c r="M1803" s="14" t="s">
        <v>45</v>
      </c>
      <c r="N1803" s="14" t="s">
        <v>33</v>
      </c>
      <c r="O1803" s="14"/>
      <c r="P1803" s="15" t="s">
        <v>1279</v>
      </c>
      <c r="Q1803" s="16">
        <v>8299</v>
      </c>
      <c r="R1803" s="17">
        <v>40</v>
      </c>
      <c r="S1803" s="18">
        <v>5726.3099999999995</v>
      </c>
      <c r="T1803" s="19" t="s">
        <v>36</v>
      </c>
      <c r="U1803" s="20" t="s">
        <v>1196</v>
      </c>
      <c r="V1803" s="34">
        <v>36.5</v>
      </c>
      <c r="W1803" s="22">
        <v>4</v>
      </c>
      <c r="X1803" s="23"/>
    </row>
    <row r="1804" spans="1:24" s="1" customFormat="1" ht="37.049999999999997" customHeight="1" x14ac:dyDescent="0.3">
      <c r="A1804" s="24" t="s">
        <v>23</v>
      </c>
      <c r="B1804" s="24" t="s">
        <v>1267</v>
      </c>
      <c r="C1804" s="12" t="s">
        <v>1961</v>
      </c>
      <c r="D1804" s="61"/>
      <c r="E1804" s="41" t="str">
        <f>HYPERLINK("https://www.google.ru/search?q=3024894-002&amp;newwindow=1&amp;tbm=isch","Еще фото")</f>
        <v>Еще фото</v>
      </c>
      <c r="F1804" s="13"/>
      <c r="G1804" s="24" t="s">
        <v>1184</v>
      </c>
      <c r="H1804" s="24" t="s">
        <v>741</v>
      </c>
      <c r="I1804" s="24" t="s">
        <v>1185</v>
      </c>
      <c r="J1804" s="14" t="s">
        <v>29</v>
      </c>
      <c r="K1804" s="15" t="s">
        <v>59</v>
      </c>
      <c r="L1804" s="58"/>
      <c r="M1804" s="14" t="s">
        <v>45</v>
      </c>
      <c r="N1804" s="14" t="s">
        <v>33</v>
      </c>
      <c r="O1804" s="14"/>
      <c r="P1804" s="15" t="s">
        <v>1279</v>
      </c>
      <c r="Q1804" s="16">
        <v>8299</v>
      </c>
      <c r="R1804" s="17">
        <v>40</v>
      </c>
      <c r="S1804" s="18">
        <v>5726.3099999999995</v>
      </c>
      <c r="T1804" s="19" t="s">
        <v>36</v>
      </c>
      <c r="U1804" s="20" t="s">
        <v>746</v>
      </c>
      <c r="V1804" s="22">
        <v>37</v>
      </c>
      <c r="W1804" s="22">
        <v>1</v>
      </c>
      <c r="X1804" s="23"/>
    </row>
    <row r="1805" spans="1:24" s="1" customFormat="1" ht="35" customHeight="1" x14ac:dyDescent="0.3">
      <c r="A1805" s="11" t="s">
        <v>23</v>
      </c>
      <c r="B1805" s="11" t="s">
        <v>1267</v>
      </c>
      <c r="C1805" s="12" t="s">
        <v>1962</v>
      </c>
      <c r="D1805" s="59"/>
      <c r="E1805" s="41" t="str">
        <f>HYPERLINK("https://www.google.ru/search?q=3024894-005&amp;newwindow=1&amp;tbm=isch","Еще фото")</f>
        <v>Еще фото</v>
      </c>
      <c r="F1805" s="13"/>
      <c r="G1805" s="11" t="s">
        <v>1184</v>
      </c>
      <c r="H1805" s="11" t="s">
        <v>741</v>
      </c>
      <c r="I1805" s="14" t="s">
        <v>1185</v>
      </c>
      <c r="J1805" s="14" t="s">
        <v>29</v>
      </c>
      <c r="K1805" s="15" t="s">
        <v>59</v>
      </c>
      <c r="L1805" s="57" t="s">
        <v>1269</v>
      </c>
      <c r="M1805" s="14" t="s">
        <v>45</v>
      </c>
      <c r="N1805" s="14" t="s">
        <v>33</v>
      </c>
      <c r="O1805" s="14"/>
      <c r="P1805" s="15" t="s">
        <v>1963</v>
      </c>
      <c r="Q1805" s="16">
        <v>8799</v>
      </c>
      <c r="R1805" s="17">
        <v>40</v>
      </c>
      <c r="S1805" s="18">
        <v>6071.3099999999995</v>
      </c>
      <c r="T1805" s="19" t="s">
        <v>36</v>
      </c>
      <c r="U1805" s="20" t="s">
        <v>1190</v>
      </c>
      <c r="V1805" s="34">
        <v>35.5</v>
      </c>
      <c r="W1805" s="22">
        <v>1</v>
      </c>
      <c r="X1805" s="23"/>
    </row>
    <row r="1806" spans="1:24" s="1" customFormat="1" ht="35" customHeight="1" x14ac:dyDescent="0.3">
      <c r="A1806" s="24" t="s">
        <v>23</v>
      </c>
      <c r="B1806" s="24" t="s">
        <v>1267</v>
      </c>
      <c r="C1806" s="12" t="s">
        <v>1962</v>
      </c>
      <c r="D1806" s="60"/>
      <c r="E1806" s="41" t="str">
        <f>HYPERLINK("https://www.google.ru/search?q=3024894-005&amp;newwindow=1&amp;tbm=isch","Еще фото")</f>
        <v>Еще фото</v>
      </c>
      <c r="F1806" s="13"/>
      <c r="G1806" s="24" t="s">
        <v>1184</v>
      </c>
      <c r="H1806" s="24" t="s">
        <v>741</v>
      </c>
      <c r="I1806" s="24" t="s">
        <v>1185</v>
      </c>
      <c r="J1806" s="14" t="s">
        <v>29</v>
      </c>
      <c r="K1806" s="15" t="s">
        <v>59</v>
      </c>
      <c r="L1806" s="62"/>
      <c r="M1806" s="14" t="s">
        <v>45</v>
      </c>
      <c r="N1806" s="14" t="s">
        <v>33</v>
      </c>
      <c r="O1806" s="14"/>
      <c r="P1806" s="15" t="s">
        <v>1963</v>
      </c>
      <c r="Q1806" s="16">
        <v>8799</v>
      </c>
      <c r="R1806" s="17">
        <v>40</v>
      </c>
      <c r="S1806" s="18">
        <v>6071.3099999999995</v>
      </c>
      <c r="T1806" s="19" t="s">
        <v>36</v>
      </c>
      <c r="U1806" s="20" t="s">
        <v>1196</v>
      </c>
      <c r="V1806" s="34">
        <v>36.5</v>
      </c>
      <c r="W1806" s="22">
        <v>5</v>
      </c>
      <c r="X1806" s="23"/>
    </row>
    <row r="1807" spans="1:24" s="1" customFormat="1" ht="37.049999999999997" customHeight="1" x14ac:dyDescent="0.3">
      <c r="A1807" s="24" t="s">
        <v>23</v>
      </c>
      <c r="B1807" s="24" t="s">
        <v>1267</v>
      </c>
      <c r="C1807" s="12" t="s">
        <v>1962</v>
      </c>
      <c r="D1807" s="61"/>
      <c r="E1807" s="41" t="str">
        <f>HYPERLINK("https://www.google.ru/search?q=3024894-005&amp;newwindow=1&amp;tbm=isch","Еще фото")</f>
        <v>Еще фото</v>
      </c>
      <c r="F1807" s="13"/>
      <c r="G1807" s="24" t="s">
        <v>1184</v>
      </c>
      <c r="H1807" s="24" t="s">
        <v>741</v>
      </c>
      <c r="I1807" s="24" t="s">
        <v>1185</v>
      </c>
      <c r="J1807" s="14" t="s">
        <v>29</v>
      </c>
      <c r="K1807" s="15" t="s">
        <v>59</v>
      </c>
      <c r="L1807" s="58"/>
      <c r="M1807" s="14" t="s">
        <v>45</v>
      </c>
      <c r="N1807" s="14" t="s">
        <v>33</v>
      </c>
      <c r="O1807" s="14"/>
      <c r="P1807" s="15" t="s">
        <v>1963</v>
      </c>
      <c r="Q1807" s="16">
        <v>8799</v>
      </c>
      <c r="R1807" s="17">
        <v>40</v>
      </c>
      <c r="S1807" s="18">
        <v>6071.3099999999995</v>
      </c>
      <c r="T1807" s="19" t="s">
        <v>36</v>
      </c>
      <c r="U1807" s="20" t="s">
        <v>746</v>
      </c>
      <c r="V1807" s="22">
        <v>37</v>
      </c>
      <c r="W1807" s="22">
        <v>5</v>
      </c>
      <c r="X1807" s="23"/>
    </row>
    <row r="1808" spans="1:24" s="1" customFormat="1" ht="108" customHeight="1" x14ac:dyDescent="0.3">
      <c r="A1808" s="11" t="s">
        <v>23</v>
      </c>
      <c r="B1808" s="11" t="s">
        <v>1964</v>
      </c>
      <c r="C1808" s="12" t="s">
        <v>1965</v>
      </c>
      <c r="D1808" s="25"/>
      <c r="E1808" s="41" t="str">
        <f>HYPERLINK("https://www.google.ru/search?q=3024897-601&amp;newwindow=1&amp;tbm=isch","Еще фото")</f>
        <v>Еще фото</v>
      </c>
      <c r="F1808" s="13"/>
      <c r="G1808" s="11" t="s">
        <v>1184</v>
      </c>
      <c r="H1808" s="11" t="s">
        <v>741</v>
      </c>
      <c r="I1808" s="14" t="s">
        <v>1185</v>
      </c>
      <c r="J1808" s="14" t="s">
        <v>29</v>
      </c>
      <c r="K1808" s="15" t="s">
        <v>30</v>
      </c>
      <c r="L1808" s="14" t="s">
        <v>1966</v>
      </c>
      <c r="M1808" s="14" t="s">
        <v>1211</v>
      </c>
      <c r="N1808" s="14" t="s">
        <v>198</v>
      </c>
      <c r="O1808" s="14"/>
      <c r="P1808" s="15" t="s">
        <v>1790</v>
      </c>
      <c r="Q1808" s="16">
        <v>13899</v>
      </c>
      <c r="R1808" s="17">
        <v>40</v>
      </c>
      <c r="S1808" s="18">
        <v>9590.31</v>
      </c>
      <c r="T1808" s="19" t="s">
        <v>36</v>
      </c>
      <c r="U1808" s="20" t="s">
        <v>750</v>
      </c>
      <c r="V1808" s="34">
        <v>41.5</v>
      </c>
      <c r="W1808" s="22">
        <v>1</v>
      </c>
      <c r="X1808" s="23"/>
    </row>
    <row r="1809" spans="1:24" s="1" customFormat="1" ht="35" customHeight="1" x14ac:dyDescent="0.3">
      <c r="A1809" s="11" t="s">
        <v>23</v>
      </c>
      <c r="B1809" s="11" t="s">
        <v>1706</v>
      </c>
      <c r="C1809" s="12" t="s">
        <v>1967</v>
      </c>
      <c r="D1809" s="59"/>
      <c r="E1809" s="41" t="str">
        <f>HYPERLINK("https://www.google.ru/search?q=3024906-302&amp;newwindow=1&amp;tbm=isch","Еще фото")</f>
        <v>Еще фото</v>
      </c>
      <c r="F1809" s="13"/>
      <c r="G1809" s="11" t="s">
        <v>1184</v>
      </c>
      <c r="H1809" s="11" t="s">
        <v>741</v>
      </c>
      <c r="I1809" s="14" t="s">
        <v>1185</v>
      </c>
      <c r="J1809" s="14" t="s">
        <v>29</v>
      </c>
      <c r="K1809" s="15" t="s">
        <v>59</v>
      </c>
      <c r="L1809" s="57" t="s">
        <v>1708</v>
      </c>
      <c r="M1809" s="14" t="s">
        <v>1211</v>
      </c>
      <c r="N1809" s="14" t="s">
        <v>62</v>
      </c>
      <c r="O1809" s="14" t="s">
        <v>34</v>
      </c>
      <c r="P1809" s="15" t="s">
        <v>1709</v>
      </c>
      <c r="Q1809" s="16">
        <v>16999</v>
      </c>
      <c r="R1809" s="17">
        <v>40</v>
      </c>
      <c r="S1809" s="18">
        <v>11729.31</v>
      </c>
      <c r="T1809" s="19" t="s">
        <v>36</v>
      </c>
      <c r="U1809" s="20" t="s">
        <v>1196</v>
      </c>
      <c r="V1809" s="34">
        <v>36.5</v>
      </c>
      <c r="W1809" s="22">
        <v>9</v>
      </c>
      <c r="X1809" s="23"/>
    </row>
    <row r="1810" spans="1:24" s="1" customFormat="1" ht="35" customHeight="1" x14ac:dyDescent="0.3">
      <c r="A1810" s="24" t="s">
        <v>23</v>
      </c>
      <c r="B1810" s="24" t="s">
        <v>1706</v>
      </c>
      <c r="C1810" s="12" t="s">
        <v>1967</v>
      </c>
      <c r="D1810" s="60"/>
      <c r="E1810" s="41" t="str">
        <f>HYPERLINK("https://www.google.ru/search?q=3024906-302&amp;newwindow=1&amp;tbm=isch","Еще фото")</f>
        <v>Еще фото</v>
      </c>
      <c r="F1810" s="13"/>
      <c r="G1810" s="24" t="s">
        <v>1184</v>
      </c>
      <c r="H1810" s="24" t="s">
        <v>741</v>
      </c>
      <c r="I1810" s="24" t="s">
        <v>1185</v>
      </c>
      <c r="J1810" s="14" t="s">
        <v>29</v>
      </c>
      <c r="K1810" s="15" t="s">
        <v>59</v>
      </c>
      <c r="L1810" s="62"/>
      <c r="M1810" s="14" t="s">
        <v>1211</v>
      </c>
      <c r="N1810" s="14" t="s">
        <v>62</v>
      </c>
      <c r="O1810" s="14" t="s">
        <v>34</v>
      </c>
      <c r="P1810" s="15" t="s">
        <v>1709</v>
      </c>
      <c r="Q1810" s="16">
        <v>16999</v>
      </c>
      <c r="R1810" s="17">
        <v>40</v>
      </c>
      <c r="S1810" s="18">
        <v>11729.31</v>
      </c>
      <c r="T1810" s="19" t="s">
        <v>36</v>
      </c>
      <c r="U1810" s="20" t="s">
        <v>746</v>
      </c>
      <c r="V1810" s="22">
        <v>37</v>
      </c>
      <c r="W1810" s="22">
        <v>2</v>
      </c>
      <c r="X1810" s="23"/>
    </row>
    <row r="1811" spans="1:24" s="1" customFormat="1" ht="37.049999999999997" customHeight="1" x14ac:dyDescent="0.3">
      <c r="A1811" s="24" t="s">
        <v>23</v>
      </c>
      <c r="B1811" s="24" t="s">
        <v>1706</v>
      </c>
      <c r="C1811" s="12" t="s">
        <v>1967</v>
      </c>
      <c r="D1811" s="61"/>
      <c r="E1811" s="41" t="str">
        <f>HYPERLINK("https://www.google.ru/search?q=3024906-302&amp;newwindow=1&amp;tbm=isch","Еще фото")</f>
        <v>Еще фото</v>
      </c>
      <c r="F1811" s="13"/>
      <c r="G1811" s="24" t="s">
        <v>1184</v>
      </c>
      <c r="H1811" s="24" t="s">
        <v>741</v>
      </c>
      <c r="I1811" s="24" t="s">
        <v>1185</v>
      </c>
      <c r="J1811" s="14" t="s">
        <v>29</v>
      </c>
      <c r="K1811" s="15" t="s">
        <v>59</v>
      </c>
      <c r="L1811" s="58"/>
      <c r="M1811" s="14" t="s">
        <v>1211</v>
      </c>
      <c r="N1811" s="14" t="s">
        <v>62</v>
      </c>
      <c r="O1811" s="14" t="s">
        <v>34</v>
      </c>
      <c r="P1811" s="15" t="s">
        <v>1709</v>
      </c>
      <c r="Q1811" s="16">
        <v>16999</v>
      </c>
      <c r="R1811" s="17">
        <v>40</v>
      </c>
      <c r="S1811" s="18">
        <v>11729.31</v>
      </c>
      <c r="T1811" s="19" t="s">
        <v>36</v>
      </c>
      <c r="U1811" s="20" t="s">
        <v>747</v>
      </c>
      <c r="V1811" s="34">
        <v>37.5</v>
      </c>
      <c r="W1811" s="22">
        <v>6</v>
      </c>
      <c r="X1811" s="23"/>
    </row>
    <row r="1812" spans="1:24" s="1" customFormat="1" ht="26" customHeight="1" x14ac:dyDescent="0.3">
      <c r="A1812" s="11" t="s">
        <v>23</v>
      </c>
      <c r="B1812" s="11" t="s">
        <v>1968</v>
      </c>
      <c r="C1812" s="12" t="s">
        <v>1969</v>
      </c>
      <c r="D1812" s="59"/>
      <c r="E1812" s="41" t="str">
        <f>HYPERLINK("https://www.google.ru/search?q=3025053-001&amp;newwindow=1&amp;tbm=isch","Еще фото")</f>
        <v>Еще фото</v>
      </c>
      <c r="F1812" s="13"/>
      <c r="G1812" s="11" t="s">
        <v>1184</v>
      </c>
      <c r="H1812" s="11" t="s">
        <v>741</v>
      </c>
      <c r="I1812" s="14" t="s">
        <v>1185</v>
      </c>
      <c r="J1812" s="14" t="s">
        <v>29</v>
      </c>
      <c r="K1812" s="15" t="s">
        <v>59</v>
      </c>
      <c r="L1812" s="57" t="s">
        <v>1697</v>
      </c>
      <c r="M1812" s="14" t="s">
        <v>1698</v>
      </c>
      <c r="N1812" s="14" t="s">
        <v>33</v>
      </c>
      <c r="O1812" s="14"/>
      <c r="P1812" s="15" t="s">
        <v>1970</v>
      </c>
      <c r="Q1812" s="16">
        <v>11999</v>
      </c>
      <c r="R1812" s="17">
        <v>40</v>
      </c>
      <c r="S1812" s="18">
        <v>8279.31</v>
      </c>
      <c r="T1812" s="19" t="s">
        <v>36</v>
      </c>
      <c r="U1812" s="20" t="s">
        <v>1203</v>
      </c>
      <c r="V1812" s="22">
        <v>36</v>
      </c>
      <c r="W1812" s="22">
        <v>1</v>
      </c>
      <c r="X1812" s="23"/>
    </row>
    <row r="1813" spans="1:24" s="1" customFormat="1" ht="26" customHeight="1" x14ac:dyDescent="0.3">
      <c r="A1813" s="24" t="s">
        <v>23</v>
      </c>
      <c r="B1813" s="24" t="s">
        <v>1968</v>
      </c>
      <c r="C1813" s="12" t="s">
        <v>1969</v>
      </c>
      <c r="D1813" s="60"/>
      <c r="E1813" s="41" t="str">
        <f>HYPERLINK("https://www.google.ru/search?q=3025053-001&amp;newwindow=1&amp;tbm=isch","Еще фото")</f>
        <v>Еще фото</v>
      </c>
      <c r="F1813" s="13"/>
      <c r="G1813" s="24" t="s">
        <v>1184</v>
      </c>
      <c r="H1813" s="24" t="s">
        <v>741</v>
      </c>
      <c r="I1813" s="24" t="s">
        <v>1185</v>
      </c>
      <c r="J1813" s="14" t="s">
        <v>29</v>
      </c>
      <c r="K1813" s="15" t="s">
        <v>59</v>
      </c>
      <c r="L1813" s="62"/>
      <c r="M1813" s="14" t="s">
        <v>1698</v>
      </c>
      <c r="N1813" s="14" t="s">
        <v>33</v>
      </c>
      <c r="O1813" s="14"/>
      <c r="P1813" s="15" t="s">
        <v>1970</v>
      </c>
      <c r="Q1813" s="16">
        <v>11999</v>
      </c>
      <c r="R1813" s="17">
        <v>40</v>
      </c>
      <c r="S1813" s="18">
        <v>8279.31</v>
      </c>
      <c r="T1813" s="19" t="s">
        <v>36</v>
      </c>
      <c r="U1813" s="20" t="s">
        <v>1196</v>
      </c>
      <c r="V1813" s="34">
        <v>36.5</v>
      </c>
      <c r="W1813" s="22">
        <v>1</v>
      </c>
      <c r="X1813" s="23"/>
    </row>
    <row r="1814" spans="1:24" s="1" customFormat="1" ht="26" customHeight="1" x14ac:dyDescent="0.3">
      <c r="A1814" s="24" t="s">
        <v>23</v>
      </c>
      <c r="B1814" s="24" t="s">
        <v>1968</v>
      </c>
      <c r="C1814" s="12" t="s">
        <v>1969</v>
      </c>
      <c r="D1814" s="60"/>
      <c r="E1814" s="41" t="str">
        <f>HYPERLINK("https://www.google.ru/search?q=3025053-001&amp;newwindow=1&amp;tbm=isch","Еще фото")</f>
        <v>Еще фото</v>
      </c>
      <c r="F1814" s="13"/>
      <c r="G1814" s="24" t="s">
        <v>1184</v>
      </c>
      <c r="H1814" s="24" t="s">
        <v>741</v>
      </c>
      <c r="I1814" s="24" t="s">
        <v>1185</v>
      </c>
      <c r="J1814" s="14" t="s">
        <v>29</v>
      </c>
      <c r="K1814" s="15" t="s">
        <v>59</v>
      </c>
      <c r="L1814" s="62"/>
      <c r="M1814" s="14" t="s">
        <v>1698</v>
      </c>
      <c r="N1814" s="14" t="s">
        <v>33</v>
      </c>
      <c r="O1814" s="14"/>
      <c r="P1814" s="15" t="s">
        <v>1970</v>
      </c>
      <c r="Q1814" s="16">
        <v>11999</v>
      </c>
      <c r="R1814" s="17">
        <v>40</v>
      </c>
      <c r="S1814" s="18">
        <v>8279.31</v>
      </c>
      <c r="T1814" s="19" t="s">
        <v>36</v>
      </c>
      <c r="U1814" s="20" t="s">
        <v>746</v>
      </c>
      <c r="V1814" s="22">
        <v>37</v>
      </c>
      <c r="W1814" s="22">
        <v>3</v>
      </c>
      <c r="X1814" s="23"/>
    </row>
    <row r="1815" spans="1:24" s="1" customFormat="1" ht="26" customHeight="1" x14ac:dyDescent="0.3">
      <c r="A1815" s="24" t="s">
        <v>23</v>
      </c>
      <c r="B1815" s="24" t="s">
        <v>1968</v>
      </c>
      <c r="C1815" s="12" t="s">
        <v>1969</v>
      </c>
      <c r="D1815" s="61"/>
      <c r="E1815" s="41" t="str">
        <f>HYPERLINK("https://www.google.ru/search?q=3025053-001&amp;newwindow=1&amp;tbm=isch","Еще фото")</f>
        <v>Еще фото</v>
      </c>
      <c r="F1815" s="13"/>
      <c r="G1815" s="24" t="s">
        <v>1184</v>
      </c>
      <c r="H1815" s="24" t="s">
        <v>741</v>
      </c>
      <c r="I1815" s="24" t="s">
        <v>1185</v>
      </c>
      <c r="J1815" s="14" t="s">
        <v>29</v>
      </c>
      <c r="K1815" s="15" t="s">
        <v>59</v>
      </c>
      <c r="L1815" s="58"/>
      <c r="M1815" s="14" t="s">
        <v>1698</v>
      </c>
      <c r="N1815" s="14" t="s">
        <v>33</v>
      </c>
      <c r="O1815" s="14"/>
      <c r="P1815" s="15" t="s">
        <v>1970</v>
      </c>
      <c r="Q1815" s="16">
        <v>11999</v>
      </c>
      <c r="R1815" s="17">
        <v>40</v>
      </c>
      <c r="S1815" s="18">
        <v>8279.31</v>
      </c>
      <c r="T1815" s="19" t="s">
        <v>36</v>
      </c>
      <c r="U1815" s="20" t="s">
        <v>747</v>
      </c>
      <c r="V1815" s="34">
        <v>37.5</v>
      </c>
      <c r="W1815" s="22">
        <v>3</v>
      </c>
      <c r="X1815" s="23"/>
    </row>
    <row r="1816" spans="1:24" s="1" customFormat="1" ht="21" customHeight="1" x14ac:dyDescent="0.3">
      <c r="A1816" s="11" t="s">
        <v>23</v>
      </c>
      <c r="B1816" s="11" t="s">
        <v>1251</v>
      </c>
      <c r="C1816" s="26" t="s">
        <v>1971</v>
      </c>
      <c r="D1816" s="59"/>
      <c r="E1816" s="41" t="str">
        <f>HYPERLINK("https://www.google.ru/search?q=3025060-105&amp;newwindow=1&amp;tbm=isch","Еще фото")</f>
        <v>Еще фото</v>
      </c>
      <c r="F1816" s="28" t="s">
        <v>138</v>
      </c>
      <c r="G1816" s="11" t="s">
        <v>1184</v>
      </c>
      <c r="H1816" s="11" t="s">
        <v>741</v>
      </c>
      <c r="I1816" s="14" t="s">
        <v>1185</v>
      </c>
      <c r="J1816" s="14" t="s">
        <v>29</v>
      </c>
      <c r="K1816" s="15" t="s">
        <v>59</v>
      </c>
      <c r="L1816" s="57" t="s">
        <v>1972</v>
      </c>
      <c r="M1816" s="14"/>
      <c r="N1816" s="14" t="s">
        <v>62</v>
      </c>
      <c r="O1816" s="14"/>
      <c r="P1816" s="15" t="s">
        <v>1973</v>
      </c>
      <c r="Q1816" s="16">
        <v>9999</v>
      </c>
      <c r="R1816" s="17">
        <v>40</v>
      </c>
      <c r="S1816" s="18">
        <v>6899.3099999999995</v>
      </c>
      <c r="T1816" s="19" t="s">
        <v>36</v>
      </c>
      <c r="U1816" s="20" t="s">
        <v>1203</v>
      </c>
      <c r="V1816" s="22">
        <v>36</v>
      </c>
      <c r="W1816" s="22">
        <v>1</v>
      </c>
      <c r="X1816" s="23"/>
    </row>
    <row r="1817" spans="1:24" s="1" customFormat="1" ht="21" customHeight="1" x14ac:dyDescent="0.3">
      <c r="A1817" s="24" t="s">
        <v>23</v>
      </c>
      <c r="B1817" s="24" t="s">
        <v>1251</v>
      </c>
      <c r="C1817" s="27" t="s">
        <v>1971</v>
      </c>
      <c r="D1817" s="60"/>
      <c r="E1817" s="41" t="str">
        <f>HYPERLINK("https://www.google.ru/search?q=3025060-105&amp;newwindow=1&amp;tbm=isch","Еще фото")</f>
        <v>Еще фото</v>
      </c>
      <c r="F1817" s="28" t="s">
        <v>138</v>
      </c>
      <c r="G1817" s="24" t="s">
        <v>1184</v>
      </c>
      <c r="H1817" s="24" t="s">
        <v>741</v>
      </c>
      <c r="I1817" s="24" t="s">
        <v>1185</v>
      </c>
      <c r="J1817" s="14" t="s">
        <v>29</v>
      </c>
      <c r="K1817" s="15" t="s">
        <v>59</v>
      </c>
      <c r="L1817" s="62"/>
      <c r="M1817" s="14"/>
      <c r="N1817" s="14" t="s">
        <v>62</v>
      </c>
      <c r="O1817" s="14"/>
      <c r="P1817" s="15" t="s">
        <v>1973</v>
      </c>
      <c r="Q1817" s="16">
        <v>9999</v>
      </c>
      <c r="R1817" s="17">
        <v>40</v>
      </c>
      <c r="S1817" s="18">
        <v>6899.3099999999995</v>
      </c>
      <c r="T1817" s="19" t="s">
        <v>36</v>
      </c>
      <c r="U1817" s="20" t="s">
        <v>1196</v>
      </c>
      <c r="V1817" s="34">
        <v>36.5</v>
      </c>
      <c r="W1817" s="22">
        <v>3</v>
      </c>
      <c r="X1817" s="23"/>
    </row>
    <row r="1818" spans="1:24" s="1" customFormat="1" ht="21" customHeight="1" x14ac:dyDescent="0.3">
      <c r="A1818" s="24" t="s">
        <v>23</v>
      </c>
      <c r="B1818" s="24" t="s">
        <v>1251</v>
      </c>
      <c r="C1818" s="27" t="s">
        <v>1971</v>
      </c>
      <c r="D1818" s="60"/>
      <c r="E1818" s="41" t="str">
        <f>HYPERLINK("https://www.google.ru/search?q=3025060-105&amp;newwindow=1&amp;tbm=isch","Еще фото")</f>
        <v>Еще фото</v>
      </c>
      <c r="F1818" s="28" t="s">
        <v>138</v>
      </c>
      <c r="G1818" s="24" t="s">
        <v>1184</v>
      </c>
      <c r="H1818" s="24" t="s">
        <v>741</v>
      </c>
      <c r="I1818" s="24" t="s">
        <v>1185</v>
      </c>
      <c r="J1818" s="14" t="s">
        <v>29</v>
      </c>
      <c r="K1818" s="15" t="s">
        <v>59</v>
      </c>
      <c r="L1818" s="62"/>
      <c r="M1818" s="14"/>
      <c r="N1818" s="14" t="s">
        <v>62</v>
      </c>
      <c r="O1818" s="14"/>
      <c r="P1818" s="15" t="s">
        <v>1973</v>
      </c>
      <c r="Q1818" s="16">
        <v>9999</v>
      </c>
      <c r="R1818" s="17">
        <v>40</v>
      </c>
      <c r="S1818" s="18">
        <v>6899.3099999999995</v>
      </c>
      <c r="T1818" s="19" t="s">
        <v>36</v>
      </c>
      <c r="U1818" s="20" t="s">
        <v>746</v>
      </c>
      <c r="V1818" s="22">
        <v>37</v>
      </c>
      <c r="W1818" s="22">
        <v>3</v>
      </c>
      <c r="X1818" s="23"/>
    </row>
    <row r="1819" spans="1:24" s="1" customFormat="1" ht="21" customHeight="1" x14ac:dyDescent="0.3">
      <c r="A1819" s="24" t="s">
        <v>23</v>
      </c>
      <c r="B1819" s="24" t="s">
        <v>1251</v>
      </c>
      <c r="C1819" s="27" t="s">
        <v>1971</v>
      </c>
      <c r="D1819" s="60"/>
      <c r="E1819" s="41" t="str">
        <f>HYPERLINK("https://www.google.ru/search?q=3025060-105&amp;newwindow=1&amp;tbm=isch","Еще фото")</f>
        <v>Еще фото</v>
      </c>
      <c r="F1819" s="28" t="s">
        <v>138</v>
      </c>
      <c r="G1819" s="24" t="s">
        <v>1184</v>
      </c>
      <c r="H1819" s="24" t="s">
        <v>741</v>
      </c>
      <c r="I1819" s="24" t="s">
        <v>1185</v>
      </c>
      <c r="J1819" s="14" t="s">
        <v>29</v>
      </c>
      <c r="K1819" s="15" t="s">
        <v>59</v>
      </c>
      <c r="L1819" s="62"/>
      <c r="M1819" s="14"/>
      <c r="N1819" s="14" t="s">
        <v>62</v>
      </c>
      <c r="O1819" s="14"/>
      <c r="P1819" s="15" t="s">
        <v>1973</v>
      </c>
      <c r="Q1819" s="16">
        <v>9999</v>
      </c>
      <c r="R1819" s="17">
        <v>40</v>
      </c>
      <c r="S1819" s="18">
        <v>6899.3099999999995</v>
      </c>
      <c r="T1819" s="19" t="s">
        <v>36</v>
      </c>
      <c r="U1819" s="20" t="s">
        <v>747</v>
      </c>
      <c r="V1819" s="34">
        <v>37.5</v>
      </c>
      <c r="W1819" s="22">
        <v>6</v>
      </c>
      <c r="X1819" s="23"/>
    </row>
    <row r="1820" spans="1:24" s="1" customFormat="1" ht="32" customHeight="1" x14ac:dyDescent="0.3">
      <c r="A1820" s="24" t="s">
        <v>23</v>
      </c>
      <c r="B1820" s="24" t="s">
        <v>1251</v>
      </c>
      <c r="C1820" s="27" t="s">
        <v>1971</v>
      </c>
      <c r="D1820" s="61"/>
      <c r="E1820" s="41" t="str">
        <f>HYPERLINK("https://www.google.ru/search?q=3025060-105&amp;newwindow=1&amp;tbm=isch","Еще фото")</f>
        <v>Еще фото</v>
      </c>
      <c r="F1820" s="28" t="s">
        <v>138</v>
      </c>
      <c r="G1820" s="24" t="s">
        <v>1184</v>
      </c>
      <c r="H1820" s="24" t="s">
        <v>741</v>
      </c>
      <c r="I1820" s="24" t="s">
        <v>1185</v>
      </c>
      <c r="J1820" s="14" t="s">
        <v>29</v>
      </c>
      <c r="K1820" s="15" t="s">
        <v>59</v>
      </c>
      <c r="L1820" s="58"/>
      <c r="M1820" s="14"/>
      <c r="N1820" s="14" t="s">
        <v>62</v>
      </c>
      <c r="O1820" s="14"/>
      <c r="P1820" s="15" t="s">
        <v>1973</v>
      </c>
      <c r="Q1820" s="16">
        <v>9999</v>
      </c>
      <c r="R1820" s="17">
        <v>40</v>
      </c>
      <c r="S1820" s="18">
        <v>6899.3099999999995</v>
      </c>
      <c r="T1820" s="19" t="s">
        <v>36</v>
      </c>
      <c r="U1820" s="20" t="s">
        <v>750</v>
      </c>
      <c r="V1820" s="34">
        <v>39.5</v>
      </c>
      <c r="W1820" s="22">
        <v>1</v>
      </c>
      <c r="X1820" s="23"/>
    </row>
    <row r="1821" spans="1:24" s="1" customFormat="1" ht="52.05" customHeight="1" x14ac:dyDescent="0.3">
      <c r="A1821" s="11" t="s">
        <v>23</v>
      </c>
      <c r="B1821" s="11" t="s">
        <v>1974</v>
      </c>
      <c r="C1821" s="12" t="s">
        <v>1975</v>
      </c>
      <c r="D1821" s="55"/>
      <c r="E1821" s="41" t="str">
        <f>HYPERLINK("https://www.google.ru/search?q=3025355-001&amp;newwindow=1&amp;tbm=isch","Еще фото")</f>
        <v>Еще фото</v>
      </c>
      <c r="F1821" s="13"/>
      <c r="G1821" s="11" t="s">
        <v>1184</v>
      </c>
      <c r="H1821" s="11" t="s">
        <v>741</v>
      </c>
      <c r="I1821" s="14" t="s">
        <v>1185</v>
      </c>
      <c r="J1821" s="14" t="s">
        <v>29</v>
      </c>
      <c r="K1821" s="15" t="s">
        <v>59</v>
      </c>
      <c r="L1821" s="57" t="s">
        <v>1976</v>
      </c>
      <c r="M1821" s="14" t="s">
        <v>1211</v>
      </c>
      <c r="N1821" s="14" t="s">
        <v>33</v>
      </c>
      <c r="O1821" s="14" t="s">
        <v>34</v>
      </c>
      <c r="P1821" s="15" t="s">
        <v>1977</v>
      </c>
      <c r="Q1821" s="16">
        <v>20699</v>
      </c>
      <c r="R1821" s="17">
        <v>40</v>
      </c>
      <c r="S1821" s="18">
        <v>14282.309999999998</v>
      </c>
      <c r="T1821" s="19" t="s">
        <v>36</v>
      </c>
      <c r="U1821" s="20" t="s">
        <v>1196</v>
      </c>
      <c r="V1821" s="34">
        <v>36.5</v>
      </c>
      <c r="W1821" s="22">
        <v>1</v>
      </c>
      <c r="X1821" s="23"/>
    </row>
    <row r="1822" spans="1:24" s="1" customFormat="1" ht="61.05" customHeight="1" x14ac:dyDescent="0.3">
      <c r="A1822" s="24" t="s">
        <v>23</v>
      </c>
      <c r="B1822" s="24" t="s">
        <v>1974</v>
      </c>
      <c r="C1822" s="12" t="s">
        <v>1975</v>
      </c>
      <c r="D1822" s="56"/>
      <c r="E1822" s="41" t="str">
        <f>HYPERLINK("https://www.google.ru/search?q=3025355-001&amp;newwindow=1&amp;tbm=isch","Еще фото")</f>
        <v>Еще фото</v>
      </c>
      <c r="F1822" s="13"/>
      <c r="G1822" s="24" t="s">
        <v>1184</v>
      </c>
      <c r="H1822" s="24" t="s">
        <v>741</v>
      </c>
      <c r="I1822" s="24" t="s">
        <v>1185</v>
      </c>
      <c r="J1822" s="14" t="s">
        <v>29</v>
      </c>
      <c r="K1822" s="15" t="s">
        <v>59</v>
      </c>
      <c r="L1822" s="58"/>
      <c r="M1822" s="14" t="s">
        <v>1211</v>
      </c>
      <c r="N1822" s="14" t="s">
        <v>33</v>
      </c>
      <c r="O1822" s="14" t="s">
        <v>34</v>
      </c>
      <c r="P1822" s="15" t="s">
        <v>1977</v>
      </c>
      <c r="Q1822" s="16">
        <v>20699</v>
      </c>
      <c r="R1822" s="17">
        <v>40</v>
      </c>
      <c r="S1822" s="18">
        <v>14282.309999999998</v>
      </c>
      <c r="T1822" s="19" t="s">
        <v>36</v>
      </c>
      <c r="U1822" s="20" t="s">
        <v>746</v>
      </c>
      <c r="V1822" s="22">
        <v>37</v>
      </c>
      <c r="W1822" s="22">
        <v>1</v>
      </c>
      <c r="X1822" s="23"/>
    </row>
    <row r="1823" spans="1:24" s="1" customFormat="1" ht="35" customHeight="1" x14ac:dyDescent="0.3">
      <c r="A1823" s="11" t="s">
        <v>23</v>
      </c>
      <c r="B1823" s="11" t="s">
        <v>1978</v>
      </c>
      <c r="C1823" s="12" t="s">
        <v>1979</v>
      </c>
      <c r="D1823" s="59"/>
      <c r="E1823" s="41" t="str">
        <f>HYPERLINK("https://www.google.ru/search?q=3025421-001&amp;newwindow=1&amp;tbm=isch","Еще фото")</f>
        <v>Еще фото</v>
      </c>
      <c r="F1823" s="13"/>
      <c r="G1823" s="11" t="s">
        <v>1184</v>
      </c>
      <c r="H1823" s="11" t="s">
        <v>741</v>
      </c>
      <c r="I1823" s="14" t="s">
        <v>1185</v>
      </c>
      <c r="J1823" s="14" t="s">
        <v>29</v>
      </c>
      <c r="K1823" s="15" t="s">
        <v>30</v>
      </c>
      <c r="L1823" s="57" t="s">
        <v>1980</v>
      </c>
      <c r="M1823" s="14"/>
      <c r="N1823" s="14" t="s">
        <v>33</v>
      </c>
      <c r="O1823" s="14"/>
      <c r="P1823" s="15" t="s">
        <v>1981</v>
      </c>
      <c r="Q1823" s="16">
        <v>9999</v>
      </c>
      <c r="R1823" s="17">
        <v>40</v>
      </c>
      <c r="S1823" s="18">
        <v>6899.3099999999995</v>
      </c>
      <c r="T1823" s="19" t="s">
        <v>36</v>
      </c>
      <c r="U1823" s="20" t="s">
        <v>746</v>
      </c>
      <c r="V1823" s="22">
        <v>39</v>
      </c>
      <c r="W1823" s="22">
        <v>1</v>
      </c>
      <c r="X1823" s="23"/>
    </row>
    <row r="1824" spans="1:24" s="1" customFormat="1" ht="35" customHeight="1" x14ac:dyDescent="0.3">
      <c r="A1824" s="24" t="s">
        <v>23</v>
      </c>
      <c r="B1824" s="24" t="s">
        <v>1978</v>
      </c>
      <c r="C1824" s="12" t="s">
        <v>1979</v>
      </c>
      <c r="D1824" s="60"/>
      <c r="E1824" s="41" t="str">
        <f>HYPERLINK("https://www.google.ru/search?q=3025421-001&amp;newwindow=1&amp;tbm=isch","Еще фото")</f>
        <v>Еще фото</v>
      </c>
      <c r="F1824" s="13"/>
      <c r="G1824" s="24" t="s">
        <v>1184</v>
      </c>
      <c r="H1824" s="24" t="s">
        <v>741</v>
      </c>
      <c r="I1824" s="24" t="s">
        <v>1185</v>
      </c>
      <c r="J1824" s="14" t="s">
        <v>29</v>
      </c>
      <c r="K1824" s="15" t="s">
        <v>30</v>
      </c>
      <c r="L1824" s="62"/>
      <c r="M1824" s="14"/>
      <c r="N1824" s="14" t="s">
        <v>33</v>
      </c>
      <c r="O1824" s="14"/>
      <c r="P1824" s="15" t="s">
        <v>1981</v>
      </c>
      <c r="Q1824" s="16">
        <v>9999</v>
      </c>
      <c r="R1824" s="17">
        <v>40</v>
      </c>
      <c r="S1824" s="18">
        <v>6899.3099999999995</v>
      </c>
      <c r="T1824" s="19" t="s">
        <v>36</v>
      </c>
      <c r="U1824" s="20" t="s">
        <v>747</v>
      </c>
      <c r="V1824" s="34">
        <v>39.5</v>
      </c>
      <c r="W1824" s="22">
        <v>12</v>
      </c>
      <c r="X1824" s="23"/>
    </row>
    <row r="1825" spans="1:24" s="1" customFormat="1" ht="37.049999999999997" customHeight="1" x14ac:dyDescent="0.3">
      <c r="A1825" s="24" t="s">
        <v>23</v>
      </c>
      <c r="B1825" s="24" t="s">
        <v>1978</v>
      </c>
      <c r="C1825" s="12" t="s">
        <v>1979</v>
      </c>
      <c r="D1825" s="61"/>
      <c r="E1825" s="41" t="str">
        <f>HYPERLINK("https://www.google.ru/search?q=3025421-001&amp;newwindow=1&amp;tbm=isch","Еще фото")</f>
        <v>Еще фото</v>
      </c>
      <c r="F1825" s="13"/>
      <c r="G1825" s="24" t="s">
        <v>1184</v>
      </c>
      <c r="H1825" s="24" t="s">
        <v>741</v>
      </c>
      <c r="I1825" s="24" t="s">
        <v>1185</v>
      </c>
      <c r="J1825" s="14" t="s">
        <v>29</v>
      </c>
      <c r="K1825" s="15" t="s">
        <v>30</v>
      </c>
      <c r="L1825" s="58"/>
      <c r="M1825" s="14"/>
      <c r="N1825" s="14" t="s">
        <v>33</v>
      </c>
      <c r="O1825" s="14"/>
      <c r="P1825" s="15" t="s">
        <v>1981</v>
      </c>
      <c r="Q1825" s="16">
        <v>9999</v>
      </c>
      <c r="R1825" s="17">
        <v>40</v>
      </c>
      <c r="S1825" s="18">
        <v>6899.3099999999995</v>
      </c>
      <c r="T1825" s="19" t="s">
        <v>36</v>
      </c>
      <c r="U1825" s="20" t="s">
        <v>750</v>
      </c>
      <c r="V1825" s="34">
        <v>41.5</v>
      </c>
      <c r="W1825" s="22">
        <v>1</v>
      </c>
      <c r="X1825" s="23"/>
    </row>
    <row r="1826" spans="1:24" s="1" customFormat="1" ht="35" customHeight="1" x14ac:dyDescent="0.3">
      <c r="A1826" s="11" t="s">
        <v>23</v>
      </c>
      <c r="B1826" s="11" t="s">
        <v>1982</v>
      </c>
      <c r="C1826" s="12" t="s">
        <v>1983</v>
      </c>
      <c r="D1826" s="59"/>
      <c r="E1826" s="41" t="str">
        <f>HYPERLINK("https://www.google.ru/search?q=3025421-003&amp;newwindow=1&amp;tbm=isch","Еще фото")</f>
        <v>Еще фото</v>
      </c>
      <c r="F1826" s="28" t="s">
        <v>138</v>
      </c>
      <c r="G1826" s="11" t="s">
        <v>1184</v>
      </c>
      <c r="H1826" s="11" t="s">
        <v>741</v>
      </c>
      <c r="I1826" s="14" t="s">
        <v>1185</v>
      </c>
      <c r="J1826" s="14" t="s">
        <v>29</v>
      </c>
      <c r="K1826" s="15" t="s">
        <v>30</v>
      </c>
      <c r="L1826" s="57" t="s">
        <v>1980</v>
      </c>
      <c r="M1826" s="14"/>
      <c r="N1826" s="14" t="s">
        <v>33</v>
      </c>
      <c r="O1826" s="14"/>
      <c r="P1826" s="15" t="s">
        <v>1981</v>
      </c>
      <c r="Q1826" s="16">
        <v>9999</v>
      </c>
      <c r="R1826" s="17">
        <v>40</v>
      </c>
      <c r="S1826" s="18">
        <v>6899.3099999999995</v>
      </c>
      <c r="T1826" s="19" t="s">
        <v>36</v>
      </c>
      <c r="U1826" s="20" t="s">
        <v>746</v>
      </c>
      <c r="V1826" s="22">
        <v>39</v>
      </c>
      <c r="W1826" s="22">
        <v>1</v>
      </c>
      <c r="X1826" s="23"/>
    </row>
    <row r="1827" spans="1:24" s="1" customFormat="1" ht="35" customHeight="1" x14ac:dyDescent="0.3">
      <c r="A1827" s="24" t="s">
        <v>23</v>
      </c>
      <c r="B1827" s="24" t="s">
        <v>1982</v>
      </c>
      <c r="C1827" s="12" t="s">
        <v>1983</v>
      </c>
      <c r="D1827" s="60"/>
      <c r="E1827" s="41" t="str">
        <f>HYPERLINK("https://www.google.ru/search?q=3025421-003&amp;newwindow=1&amp;tbm=isch","Еще фото")</f>
        <v>Еще фото</v>
      </c>
      <c r="F1827" s="28" t="s">
        <v>138</v>
      </c>
      <c r="G1827" s="24" t="s">
        <v>1184</v>
      </c>
      <c r="H1827" s="24" t="s">
        <v>741</v>
      </c>
      <c r="I1827" s="24" t="s">
        <v>1185</v>
      </c>
      <c r="J1827" s="14" t="s">
        <v>29</v>
      </c>
      <c r="K1827" s="15" t="s">
        <v>30</v>
      </c>
      <c r="L1827" s="62"/>
      <c r="M1827" s="14"/>
      <c r="N1827" s="14" t="s">
        <v>33</v>
      </c>
      <c r="O1827" s="14"/>
      <c r="P1827" s="15" t="s">
        <v>1981</v>
      </c>
      <c r="Q1827" s="16">
        <v>9999</v>
      </c>
      <c r="R1827" s="17">
        <v>40</v>
      </c>
      <c r="S1827" s="18">
        <v>6899.3099999999995</v>
      </c>
      <c r="T1827" s="19" t="s">
        <v>36</v>
      </c>
      <c r="U1827" s="20" t="s">
        <v>747</v>
      </c>
      <c r="V1827" s="34">
        <v>39.5</v>
      </c>
      <c r="W1827" s="22">
        <v>1</v>
      </c>
      <c r="X1827" s="23"/>
    </row>
    <row r="1828" spans="1:24" s="1" customFormat="1" ht="37.049999999999997" customHeight="1" x14ac:dyDescent="0.3">
      <c r="A1828" s="24" t="s">
        <v>23</v>
      </c>
      <c r="B1828" s="24" t="s">
        <v>1982</v>
      </c>
      <c r="C1828" s="12" t="s">
        <v>1983</v>
      </c>
      <c r="D1828" s="61"/>
      <c r="E1828" s="41" t="str">
        <f>HYPERLINK("https://www.google.ru/search?q=3025421-003&amp;newwindow=1&amp;tbm=isch","Еще фото")</f>
        <v>Еще фото</v>
      </c>
      <c r="F1828" s="28" t="s">
        <v>138</v>
      </c>
      <c r="G1828" s="24" t="s">
        <v>1184</v>
      </c>
      <c r="H1828" s="24" t="s">
        <v>741</v>
      </c>
      <c r="I1828" s="24" t="s">
        <v>1185</v>
      </c>
      <c r="J1828" s="14" t="s">
        <v>29</v>
      </c>
      <c r="K1828" s="15" t="s">
        <v>30</v>
      </c>
      <c r="L1828" s="58"/>
      <c r="M1828" s="14"/>
      <c r="N1828" s="14" t="s">
        <v>33</v>
      </c>
      <c r="O1828" s="14"/>
      <c r="P1828" s="15" t="s">
        <v>1981</v>
      </c>
      <c r="Q1828" s="16">
        <v>9999</v>
      </c>
      <c r="R1828" s="17">
        <v>40</v>
      </c>
      <c r="S1828" s="18">
        <v>6899.3099999999995</v>
      </c>
      <c r="T1828" s="19" t="s">
        <v>36</v>
      </c>
      <c r="U1828" s="20" t="s">
        <v>748</v>
      </c>
      <c r="V1828" s="22">
        <v>40</v>
      </c>
      <c r="W1828" s="22">
        <v>2</v>
      </c>
      <c r="X1828" s="23"/>
    </row>
    <row r="1829" spans="1:24" s="1" customFormat="1" ht="21" customHeight="1" x14ac:dyDescent="0.3">
      <c r="A1829" s="11" t="s">
        <v>23</v>
      </c>
      <c r="B1829" s="11" t="s">
        <v>1603</v>
      </c>
      <c r="C1829" s="26" t="s">
        <v>1984</v>
      </c>
      <c r="D1829" s="59"/>
      <c r="E1829" s="41" t="str">
        <f>HYPERLINK("https://www.google.ru/search?q=3025424-002&amp;newwindow=1&amp;tbm=isch","Еще фото")</f>
        <v>Еще фото</v>
      </c>
      <c r="F1829" s="13"/>
      <c r="G1829" s="11" t="s">
        <v>1184</v>
      </c>
      <c r="H1829" s="11" t="s">
        <v>741</v>
      </c>
      <c r="I1829" s="14" t="s">
        <v>1185</v>
      </c>
      <c r="J1829" s="14" t="s">
        <v>29</v>
      </c>
      <c r="K1829" s="15" t="s">
        <v>30</v>
      </c>
      <c r="L1829" s="57" t="s">
        <v>1605</v>
      </c>
      <c r="M1829" s="14" t="s">
        <v>1194</v>
      </c>
      <c r="N1829" s="14" t="s">
        <v>33</v>
      </c>
      <c r="O1829" s="14"/>
      <c r="P1829" s="15" t="s">
        <v>1606</v>
      </c>
      <c r="Q1829" s="16">
        <v>9299</v>
      </c>
      <c r="R1829" s="17">
        <v>40</v>
      </c>
      <c r="S1829" s="18">
        <v>6416.3099999999995</v>
      </c>
      <c r="T1829" s="19" t="s">
        <v>36</v>
      </c>
      <c r="U1829" s="20" t="s">
        <v>746</v>
      </c>
      <c r="V1829" s="22">
        <v>39</v>
      </c>
      <c r="W1829" s="22">
        <v>1</v>
      </c>
      <c r="X1829" s="23"/>
    </row>
    <row r="1830" spans="1:24" s="1" customFormat="1" ht="21" customHeight="1" x14ac:dyDescent="0.3">
      <c r="A1830" s="24" t="s">
        <v>23</v>
      </c>
      <c r="B1830" s="24" t="s">
        <v>1603</v>
      </c>
      <c r="C1830" s="27" t="s">
        <v>1984</v>
      </c>
      <c r="D1830" s="60"/>
      <c r="E1830" s="41" t="str">
        <f>HYPERLINK("https://www.google.ru/search?q=3025424-002&amp;newwindow=1&amp;tbm=isch","Еще фото")</f>
        <v>Еще фото</v>
      </c>
      <c r="F1830" s="13"/>
      <c r="G1830" s="24" t="s">
        <v>1184</v>
      </c>
      <c r="H1830" s="24" t="s">
        <v>741</v>
      </c>
      <c r="I1830" s="24" t="s">
        <v>1185</v>
      </c>
      <c r="J1830" s="14" t="s">
        <v>29</v>
      </c>
      <c r="K1830" s="15" t="s">
        <v>30</v>
      </c>
      <c r="L1830" s="62"/>
      <c r="M1830" s="14" t="s">
        <v>1194</v>
      </c>
      <c r="N1830" s="14" t="s">
        <v>33</v>
      </c>
      <c r="O1830" s="14"/>
      <c r="P1830" s="15" t="s">
        <v>1606</v>
      </c>
      <c r="Q1830" s="16">
        <v>9299</v>
      </c>
      <c r="R1830" s="17">
        <v>40</v>
      </c>
      <c r="S1830" s="18">
        <v>6416.3099999999995</v>
      </c>
      <c r="T1830" s="19" t="s">
        <v>36</v>
      </c>
      <c r="U1830" s="20" t="s">
        <v>747</v>
      </c>
      <c r="V1830" s="34">
        <v>39.5</v>
      </c>
      <c r="W1830" s="22">
        <v>2</v>
      </c>
      <c r="X1830" s="23"/>
    </row>
    <row r="1831" spans="1:24" s="1" customFormat="1" ht="21" customHeight="1" x14ac:dyDescent="0.3">
      <c r="A1831" s="24" t="s">
        <v>23</v>
      </c>
      <c r="B1831" s="24" t="s">
        <v>1603</v>
      </c>
      <c r="C1831" s="27" t="s">
        <v>1984</v>
      </c>
      <c r="D1831" s="60"/>
      <c r="E1831" s="41" t="str">
        <f>HYPERLINK("https://www.google.ru/search?q=3025424-002&amp;newwindow=1&amp;tbm=isch","Еще фото")</f>
        <v>Еще фото</v>
      </c>
      <c r="F1831" s="13"/>
      <c r="G1831" s="24" t="s">
        <v>1184</v>
      </c>
      <c r="H1831" s="24" t="s">
        <v>741</v>
      </c>
      <c r="I1831" s="24" t="s">
        <v>1185</v>
      </c>
      <c r="J1831" s="14" t="s">
        <v>29</v>
      </c>
      <c r="K1831" s="15" t="s">
        <v>30</v>
      </c>
      <c r="L1831" s="62"/>
      <c r="M1831" s="14" t="s">
        <v>1194</v>
      </c>
      <c r="N1831" s="14" t="s">
        <v>33</v>
      </c>
      <c r="O1831" s="14"/>
      <c r="P1831" s="15" t="s">
        <v>1606</v>
      </c>
      <c r="Q1831" s="16">
        <v>9299</v>
      </c>
      <c r="R1831" s="17">
        <v>40</v>
      </c>
      <c r="S1831" s="18">
        <v>6416.3099999999995</v>
      </c>
      <c r="T1831" s="19" t="s">
        <v>36</v>
      </c>
      <c r="U1831" s="20" t="s">
        <v>748</v>
      </c>
      <c r="V1831" s="22">
        <v>40</v>
      </c>
      <c r="W1831" s="22">
        <v>1</v>
      </c>
      <c r="X1831" s="23"/>
    </row>
    <row r="1832" spans="1:24" s="1" customFormat="1" ht="21" customHeight="1" x14ac:dyDescent="0.3">
      <c r="A1832" s="24" t="s">
        <v>23</v>
      </c>
      <c r="B1832" s="24" t="s">
        <v>1603</v>
      </c>
      <c r="C1832" s="27" t="s">
        <v>1984</v>
      </c>
      <c r="D1832" s="60"/>
      <c r="E1832" s="41" t="str">
        <f>HYPERLINK("https://www.google.ru/search?q=3025424-002&amp;newwindow=1&amp;tbm=isch","Еще фото")</f>
        <v>Еще фото</v>
      </c>
      <c r="F1832" s="13"/>
      <c r="G1832" s="24" t="s">
        <v>1184</v>
      </c>
      <c r="H1832" s="24" t="s">
        <v>741</v>
      </c>
      <c r="I1832" s="24" t="s">
        <v>1185</v>
      </c>
      <c r="J1832" s="14" t="s">
        <v>29</v>
      </c>
      <c r="K1832" s="15" t="s">
        <v>30</v>
      </c>
      <c r="L1832" s="62"/>
      <c r="M1832" s="14" t="s">
        <v>1194</v>
      </c>
      <c r="N1832" s="14" t="s">
        <v>33</v>
      </c>
      <c r="O1832" s="14"/>
      <c r="P1832" s="15" t="s">
        <v>1606</v>
      </c>
      <c r="Q1832" s="16">
        <v>9299</v>
      </c>
      <c r="R1832" s="17">
        <v>40</v>
      </c>
      <c r="S1832" s="18">
        <v>6416.3099999999995</v>
      </c>
      <c r="T1832" s="19" t="s">
        <v>36</v>
      </c>
      <c r="U1832" s="20" t="s">
        <v>749</v>
      </c>
      <c r="V1832" s="22">
        <v>41</v>
      </c>
      <c r="W1832" s="22">
        <v>1</v>
      </c>
      <c r="X1832" s="23"/>
    </row>
    <row r="1833" spans="1:24" s="1" customFormat="1" ht="32" customHeight="1" x14ac:dyDescent="0.3">
      <c r="A1833" s="24" t="s">
        <v>23</v>
      </c>
      <c r="B1833" s="24" t="s">
        <v>1603</v>
      </c>
      <c r="C1833" s="27" t="s">
        <v>1984</v>
      </c>
      <c r="D1833" s="61"/>
      <c r="E1833" s="41" t="str">
        <f>HYPERLINK("https://www.google.ru/search?q=3025424-002&amp;newwindow=1&amp;tbm=isch","Еще фото")</f>
        <v>Еще фото</v>
      </c>
      <c r="F1833" s="13"/>
      <c r="G1833" s="24" t="s">
        <v>1184</v>
      </c>
      <c r="H1833" s="24" t="s">
        <v>741</v>
      </c>
      <c r="I1833" s="24" t="s">
        <v>1185</v>
      </c>
      <c r="J1833" s="14" t="s">
        <v>29</v>
      </c>
      <c r="K1833" s="15" t="s">
        <v>30</v>
      </c>
      <c r="L1833" s="58"/>
      <c r="M1833" s="14" t="s">
        <v>1194</v>
      </c>
      <c r="N1833" s="14" t="s">
        <v>33</v>
      </c>
      <c r="O1833" s="14"/>
      <c r="P1833" s="15" t="s">
        <v>1606</v>
      </c>
      <c r="Q1833" s="16">
        <v>9299</v>
      </c>
      <c r="R1833" s="17">
        <v>40</v>
      </c>
      <c r="S1833" s="18">
        <v>6416.3099999999995</v>
      </c>
      <c r="T1833" s="19" t="s">
        <v>36</v>
      </c>
      <c r="U1833" s="20" t="s">
        <v>750</v>
      </c>
      <c r="V1833" s="34">
        <v>41.5</v>
      </c>
      <c r="W1833" s="22">
        <v>1</v>
      </c>
      <c r="X1833" s="23"/>
    </row>
    <row r="1834" spans="1:24" s="1" customFormat="1" ht="17" customHeight="1" x14ac:dyDescent="0.3">
      <c r="A1834" s="11" t="s">
        <v>23</v>
      </c>
      <c r="B1834" s="11" t="s">
        <v>1985</v>
      </c>
      <c r="C1834" s="12" t="s">
        <v>1986</v>
      </c>
      <c r="D1834" s="59"/>
      <c r="E1834" s="41" t="str">
        <f t="shared" ref="E1834:E1839" si="66">HYPERLINK("https://www.google.ru/search?q=3025427-001&amp;newwindow=1&amp;tbm=isch","Еще фото")</f>
        <v>Еще фото</v>
      </c>
      <c r="F1834" s="13"/>
      <c r="G1834" s="11" t="s">
        <v>1184</v>
      </c>
      <c r="H1834" s="11" t="s">
        <v>741</v>
      </c>
      <c r="I1834" s="14" t="s">
        <v>1185</v>
      </c>
      <c r="J1834" s="14" t="s">
        <v>29</v>
      </c>
      <c r="K1834" s="15" t="s">
        <v>59</v>
      </c>
      <c r="L1834" s="57" t="s">
        <v>1987</v>
      </c>
      <c r="M1834" s="14" t="s">
        <v>1988</v>
      </c>
      <c r="N1834" s="14" t="s">
        <v>33</v>
      </c>
      <c r="O1834" s="14"/>
      <c r="P1834" s="15" t="s">
        <v>1195</v>
      </c>
      <c r="Q1834" s="16">
        <v>10499</v>
      </c>
      <c r="R1834" s="17">
        <v>40</v>
      </c>
      <c r="S1834" s="18">
        <v>7244.3099999999986</v>
      </c>
      <c r="T1834" s="19" t="s">
        <v>36</v>
      </c>
      <c r="U1834" s="20" t="s">
        <v>1203</v>
      </c>
      <c r="V1834" s="22">
        <v>36</v>
      </c>
      <c r="W1834" s="22">
        <v>3</v>
      </c>
      <c r="X1834" s="23"/>
    </row>
    <row r="1835" spans="1:24" s="1" customFormat="1" ht="17" customHeight="1" x14ac:dyDescent="0.3">
      <c r="A1835" s="24" t="s">
        <v>23</v>
      </c>
      <c r="B1835" s="24" t="s">
        <v>1985</v>
      </c>
      <c r="C1835" s="12" t="s">
        <v>1986</v>
      </c>
      <c r="D1835" s="60"/>
      <c r="E1835" s="41" t="str">
        <f t="shared" si="66"/>
        <v>Еще фото</v>
      </c>
      <c r="F1835" s="13"/>
      <c r="G1835" s="24" t="s">
        <v>1184</v>
      </c>
      <c r="H1835" s="24" t="s">
        <v>741</v>
      </c>
      <c r="I1835" s="24" t="s">
        <v>1185</v>
      </c>
      <c r="J1835" s="14" t="s">
        <v>29</v>
      </c>
      <c r="K1835" s="15" t="s">
        <v>59</v>
      </c>
      <c r="L1835" s="62"/>
      <c r="M1835" s="14" t="s">
        <v>1988</v>
      </c>
      <c r="N1835" s="14" t="s">
        <v>33</v>
      </c>
      <c r="O1835" s="14"/>
      <c r="P1835" s="15" t="s">
        <v>1195</v>
      </c>
      <c r="Q1835" s="16">
        <v>10499</v>
      </c>
      <c r="R1835" s="17">
        <v>40</v>
      </c>
      <c r="S1835" s="18">
        <v>7244.3099999999986</v>
      </c>
      <c r="T1835" s="19" t="s">
        <v>36</v>
      </c>
      <c r="U1835" s="20" t="s">
        <v>1196</v>
      </c>
      <c r="V1835" s="34">
        <v>36.5</v>
      </c>
      <c r="W1835" s="22">
        <v>4</v>
      </c>
      <c r="X1835" s="23"/>
    </row>
    <row r="1836" spans="1:24" s="1" customFormat="1" ht="17" customHeight="1" x14ac:dyDescent="0.3">
      <c r="A1836" s="24" t="s">
        <v>23</v>
      </c>
      <c r="B1836" s="24" t="s">
        <v>1985</v>
      </c>
      <c r="C1836" s="12" t="s">
        <v>1986</v>
      </c>
      <c r="D1836" s="60"/>
      <c r="E1836" s="41" t="str">
        <f t="shared" si="66"/>
        <v>Еще фото</v>
      </c>
      <c r="F1836" s="13"/>
      <c r="G1836" s="24" t="s">
        <v>1184</v>
      </c>
      <c r="H1836" s="24" t="s">
        <v>741</v>
      </c>
      <c r="I1836" s="24" t="s">
        <v>1185</v>
      </c>
      <c r="J1836" s="14" t="s">
        <v>29</v>
      </c>
      <c r="K1836" s="15" t="s">
        <v>59</v>
      </c>
      <c r="L1836" s="62"/>
      <c r="M1836" s="14" t="s">
        <v>1988</v>
      </c>
      <c r="N1836" s="14" t="s">
        <v>33</v>
      </c>
      <c r="O1836" s="14"/>
      <c r="P1836" s="15" t="s">
        <v>1195</v>
      </c>
      <c r="Q1836" s="16">
        <v>10499</v>
      </c>
      <c r="R1836" s="17">
        <v>40</v>
      </c>
      <c r="S1836" s="18">
        <v>7244.3099999999986</v>
      </c>
      <c r="T1836" s="19" t="s">
        <v>36</v>
      </c>
      <c r="U1836" s="20" t="s">
        <v>746</v>
      </c>
      <c r="V1836" s="22">
        <v>37</v>
      </c>
      <c r="W1836" s="22">
        <v>6</v>
      </c>
      <c r="X1836" s="23"/>
    </row>
    <row r="1837" spans="1:24" s="1" customFormat="1" ht="17" customHeight="1" x14ac:dyDescent="0.3">
      <c r="A1837" s="24" t="s">
        <v>23</v>
      </c>
      <c r="B1837" s="24" t="s">
        <v>1985</v>
      </c>
      <c r="C1837" s="12" t="s">
        <v>1986</v>
      </c>
      <c r="D1837" s="60"/>
      <c r="E1837" s="41" t="str">
        <f t="shared" si="66"/>
        <v>Еще фото</v>
      </c>
      <c r="F1837" s="13"/>
      <c r="G1837" s="24" t="s">
        <v>1184</v>
      </c>
      <c r="H1837" s="24" t="s">
        <v>741</v>
      </c>
      <c r="I1837" s="24" t="s">
        <v>1185</v>
      </c>
      <c r="J1837" s="14" t="s">
        <v>29</v>
      </c>
      <c r="K1837" s="15" t="s">
        <v>59</v>
      </c>
      <c r="L1837" s="62"/>
      <c r="M1837" s="14" t="s">
        <v>1988</v>
      </c>
      <c r="N1837" s="14" t="s">
        <v>33</v>
      </c>
      <c r="O1837" s="14"/>
      <c r="P1837" s="15" t="s">
        <v>1195</v>
      </c>
      <c r="Q1837" s="16">
        <v>10499</v>
      </c>
      <c r="R1837" s="17">
        <v>40</v>
      </c>
      <c r="S1837" s="18">
        <v>7244.3099999999986</v>
      </c>
      <c r="T1837" s="19" t="s">
        <v>36</v>
      </c>
      <c r="U1837" s="20" t="s">
        <v>747</v>
      </c>
      <c r="V1837" s="34">
        <v>37.5</v>
      </c>
      <c r="W1837" s="22">
        <v>3</v>
      </c>
      <c r="X1837" s="23"/>
    </row>
    <row r="1838" spans="1:24" s="1" customFormat="1" ht="17" customHeight="1" x14ac:dyDescent="0.3">
      <c r="A1838" s="24" t="s">
        <v>23</v>
      </c>
      <c r="B1838" s="24" t="s">
        <v>1985</v>
      </c>
      <c r="C1838" s="12" t="s">
        <v>1986</v>
      </c>
      <c r="D1838" s="60"/>
      <c r="E1838" s="41" t="str">
        <f t="shared" si="66"/>
        <v>Еще фото</v>
      </c>
      <c r="F1838" s="13"/>
      <c r="G1838" s="24" t="s">
        <v>1184</v>
      </c>
      <c r="H1838" s="24" t="s">
        <v>741</v>
      </c>
      <c r="I1838" s="24" t="s">
        <v>1185</v>
      </c>
      <c r="J1838" s="14" t="s">
        <v>29</v>
      </c>
      <c r="K1838" s="15" t="s">
        <v>59</v>
      </c>
      <c r="L1838" s="62"/>
      <c r="M1838" s="14" t="s">
        <v>1988</v>
      </c>
      <c r="N1838" s="14" t="s">
        <v>33</v>
      </c>
      <c r="O1838" s="14"/>
      <c r="P1838" s="15" t="s">
        <v>1195</v>
      </c>
      <c r="Q1838" s="16">
        <v>10499</v>
      </c>
      <c r="R1838" s="17">
        <v>40</v>
      </c>
      <c r="S1838" s="18">
        <v>7244.3099999999986</v>
      </c>
      <c r="T1838" s="19" t="s">
        <v>36</v>
      </c>
      <c r="U1838" s="20" t="s">
        <v>748</v>
      </c>
      <c r="V1838" s="22">
        <v>38</v>
      </c>
      <c r="W1838" s="22">
        <v>1</v>
      </c>
      <c r="X1838" s="23"/>
    </row>
    <row r="1839" spans="1:24" s="1" customFormat="1" ht="22.05" customHeight="1" x14ac:dyDescent="0.3">
      <c r="A1839" s="24" t="s">
        <v>23</v>
      </c>
      <c r="B1839" s="24" t="s">
        <v>1985</v>
      </c>
      <c r="C1839" s="12" t="s">
        <v>1986</v>
      </c>
      <c r="D1839" s="61"/>
      <c r="E1839" s="41" t="str">
        <f t="shared" si="66"/>
        <v>Еще фото</v>
      </c>
      <c r="F1839" s="13"/>
      <c r="G1839" s="24" t="s">
        <v>1184</v>
      </c>
      <c r="H1839" s="24" t="s">
        <v>741</v>
      </c>
      <c r="I1839" s="24" t="s">
        <v>1185</v>
      </c>
      <c r="J1839" s="14" t="s">
        <v>29</v>
      </c>
      <c r="K1839" s="15" t="s">
        <v>59</v>
      </c>
      <c r="L1839" s="58"/>
      <c r="M1839" s="14" t="s">
        <v>1988</v>
      </c>
      <c r="N1839" s="14" t="s">
        <v>33</v>
      </c>
      <c r="O1839" s="14"/>
      <c r="P1839" s="15" t="s">
        <v>1195</v>
      </c>
      <c r="Q1839" s="16">
        <v>10499</v>
      </c>
      <c r="R1839" s="17">
        <v>40</v>
      </c>
      <c r="S1839" s="18">
        <v>7244.3099999999986</v>
      </c>
      <c r="T1839" s="19" t="s">
        <v>36</v>
      </c>
      <c r="U1839" s="20" t="s">
        <v>750</v>
      </c>
      <c r="V1839" s="34">
        <v>39.5</v>
      </c>
      <c r="W1839" s="22">
        <v>1</v>
      </c>
      <c r="X1839" s="23"/>
    </row>
    <row r="1840" spans="1:24" s="1" customFormat="1" ht="35" customHeight="1" x14ac:dyDescent="0.3">
      <c r="A1840" s="11" t="s">
        <v>23</v>
      </c>
      <c r="B1840" s="11" t="s">
        <v>1989</v>
      </c>
      <c r="C1840" s="12" t="s">
        <v>1990</v>
      </c>
      <c r="D1840" s="59"/>
      <c r="E1840" s="41" t="str">
        <f>HYPERLINK("https://www.google.ru/search?q=3025427-600&amp;newwindow=1&amp;tbm=isch","Еще фото")</f>
        <v>Еще фото</v>
      </c>
      <c r="F1840" s="13"/>
      <c r="G1840" s="11" t="s">
        <v>1184</v>
      </c>
      <c r="H1840" s="11" t="s">
        <v>741</v>
      </c>
      <c r="I1840" s="14" t="s">
        <v>1185</v>
      </c>
      <c r="J1840" s="14" t="s">
        <v>29</v>
      </c>
      <c r="K1840" s="15" t="s">
        <v>59</v>
      </c>
      <c r="L1840" s="57" t="s">
        <v>1193</v>
      </c>
      <c r="M1840" s="14" t="s">
        <v>1194</v>
      </c>
      <c r="N1840" s="14" t="s">
        <v>69</v>
      </c>
      <c r="O1840" s="14"/>
      <c r="P1840" s="15" t="s">
        <v>1195</v>
      </c>
      <c r="Q1840" s="16">
        <v>9399</v>
      </c>
      <c r="R1840" s="17">
        <v>40</v>
      </c>
      <c r="S1840" s="18">
        <v>6485.3099999999995</v>
      </c>
      <c r="T1840" s="19" t="s">
        <v>36</v>
      </c>
      <c r="U1840" s="20" t="s">
        <v>1190</v>
      </c>
      <c r="V1840" s="34">
        <v>35.5</v>
      </c>
      <c r="W1840" s="22">
        <v>4</v>
      </c>
      <c r="X1840" s="23"/>
    </row>
    <row r="1841" spans="1:24" s="1" customFormat="1" ht="35" customHeight="1" x14ac:dyDescent="0.3">
      <c r="A1841" s="24" t="s">
        <v>23</v>
      </c>
      <c r="B1841" s="24" t="s">
        <v>1989</v>
      </c>
      <c r="C1841" s="12" t="s">
        <v>1990</v>
      </c>
      <c r="D1841" s="60"/>
      <c r="E1841" s="41" t="str">
        <f>HYPERLINK("https://www.google.ru/search?q=3025427-600&amp;newwindow=1&amp;tbm=isch","Еще фото")</f>
        <v>Еще фото</v>
      </c>
      <c r="F1841" s="13"/>
      <c r="G1841" s="24" t="s">
        <v>1184</v>
      </c>
      <c r="H1841" s="24" t="s">
        <v>741</v>
      </c>
      <c r="I1841" s="24" t="s">
        <v>1185</v>
      </c>
      <c r="J1841" s="14" t="s">
        <v>29</v>
      </c>
      <c r="K1841" s="15" t="s">
        <v>59</v>
      </c>
      <c r="L1841" s="62"/>
      <c r="M1841" s="14" t="s">
        <v>1194</v>
      </c>
      <c r="N1841" s="14" t="s">
        <v>69</v>
      </c>
      <c r="O1841" s="14"/>
      <c r="P1841" s="15" t="s">
        <v>1195</v>
      </c>
      <c r="Q1841" s="16">
        <v>9399</v>
      </c>
      <c r="R1841" s="17">
        <v>40</v>
      </c>
      <c r="S1841" s="18">
        <v>6485.3099999999995</v>
      </c>
      <c r="T1841" s="19" t="s">
        <v>36</v>
      </c>
      <c r="U1841" s="20" t="s">
        <v>1196</v>
      </c>
      <c r="V1841" s="34">
        <v>36.5</v>
      </c>
      <c r="W1841" s="22">
        <v>9</v>
      </c>
      <c r="X1841" s="23"/>
    </row>
    <row r="1842" spans="1:24" s="1" customFormat="1" ht="37.049999999999997" customHeight="1" x14ac:dyDescent="0.3">
      <c r="A1842" s="24" t="s">
        <v>23</v>
      </c>
      <c r="B1842" s="24" t="s">
        <v>1989</v>
      </c>
      <c r="C1842" s="12" t="s">
        <v>1990</v>
      </c>
      <c r="D1842" s="61"/>
      <c r="E1842" s="41" t="str">
        <f>HYPERLINK("https://www.google.ru/search?q=3025427-600&amp;newwindow=1&amp;tbm=isch","Еще фото")</f>
        <v>Еще фото</v>
      </c>
      <c r="F1842" s="13"/>
      <c r="G1842" s="24" t="s">
        <v>1184</v>
      </c>
      <c r="H1842" s="24" t="s">
        <v>741</v>
      </c>
      <c r="I1842" s="24" t="s">
        <v>1185</v>
      </c>
      <c r="J1842" s="14" t="s">
        <v>29</v>
      </c>
      <c r="K1842" s="15" t="s">
        <v>59</v>
      </c>
      <c r="L1842" s="58"/>
      <c r="M1842" s="14" t="s">
        <v>1194</v>
      </c>
      <c r="N1842" s="14" t="s">
        <v>69</v>
      </c>
      <c r="O1842" s="14"/>
      <c r="P1842" s="15" t="s">
        <v>1195</v>
      </c>
      <c r="Q1842" s="16">
        <v>9399</v>
      </c>
      <c r="R1842" s="17">
        <v>40</v>
      </c>
      <c r="S1842" s="18">
        <v>6485.3099999999995</v>
      </c>
      <c r="T1842" s="19" t="s">
        <v>36</v>
      </c>
      <c r="U1842" s="20" t="s">
        <v>751</v>
      </c>
      <c r="V1842" s="22">
        <v>40</v>
      </c>
      <c r="W1842" s="22">
        <v>1</v>
      </c>
      <c r="X1842" s="23"/>
    </row>
    <row r="1843" spans="1:24" s="1" customFormat="1" ht="108" customHeight="1" x14ac:dyDescent="0.3">
      <c r="A1843" s="11" t="s">
        <v>23</v>
      </c>
      <c r="B1843" s="11" t="s">
        <v>1991</v>
      </c>
      <c r="C1843" s="12" t="s">
        <v>1992</v>
      </c>
      <c r="D1843" s="25"/>
      <c r="E1843" s="41" t="str">
        <f>HYPERLINK("https://www.google.ru/search?q=3025516-002&amp;newwindow=1&amp;tbm=isch","Еще фото")</f>
        <v>Еще фото</v>
      </c>
      <c r="F1843" s="28" t="s">
        <v>152</v>
      </c>
      <c r="G1843" s="11" t="s">
        <v>1184</v>
      </c>
      <c r="H1843" s="11" t="s">
        <v>741</v>
      </c>
      <c r="I1843" s="14" t="s">
        <v>1185</v>
      </c>
      <c r="J1843" s="14" t="s">
        <v>29</v>
      </c>
      <c r="K1843" s="15" t="s">
        <v>30</v>
      </c>
      <c r="L1843" s="14" t="s">
        <v>1993</v>
      </c>
      <c r="M1843" s="14" t="s">
        <v>1211</v>
      </c>
      <c r="N1843" s="14" t="s">
        <v>33</v>
      </c>
      <c r="O1843" s="14"/>
      <c r="P1843" s="15" t="s">
        <v>1994</v>
      </c>
      <c r="Q1843" s="16">
        <v>21999</v>
      </c>
      <c r="R1843" s="17">
        <v>40</v>
      </c>
      <c r="S1843" s="18">
        <v>15179.309999999998</v>
      </c>
      <c r="T1843" s="19" t="s">
        <v>36</v>
      </c>
      <c r="U1843" s="20" t="s">
        <v>748</v>
      </c>
      <c r="V1843" s="22">
        <v>40</v>
      </c>
      <c r="W1843" s="22">
        <v>1</v>
      </c>
      <c r="X1843" s="23"/>
    </row>
    <row r="1844" spans="1:24" s="1" customFormat="1" ht="52.05" customHeight="1" x14ac:dyDescent="0.3">
      <c r="A1844" s="11" t="s">
        <v>23</v>
      </c>
      <c r="B1844" s="11" t="s">
        <v>1991</v>
      </c>
      <c r="C1844" s="12" t="s">
        <v>1995</v>
      </c>
      <c r="D1844" s="55"/>
      <c r="E1844" s="41" t="str">
        <f>HYPERLINK("https://www.google.ru/search?q=3025516-003&amp;newwindow=1&amp;tbm=isch","Еще фото")</f>
        <v>Еще фото</v>
      </c>
      <c r="F1844" s="13"/>
      <c r="G1844" s="11" t="s">
        <v>1184</v>
      </c>
      <c r="H1844" s="11" t="s">
        <v>741</v>
      </c>
      <c r="I1844" s="14" t="s">
        <v>1185</v>
      </c>
      <c r="J1844" s="14" t="s">
        <v>29</v>
      </c>
      <c r="K1844" s="15" t="s">
        <v>30</v>
      </c>
      <c r="L1844" s="57" t="s">
        <v>1996</v>
      </c>
      <c r="M1844" s="14" t="s">
        <v>1211</v>
      </c>
      <c r="N1844" s="14" t="s">
        <v>33</v>
      </c>
      <c r="O1844" s="14"/>
      <c r="P1844" s="15" t="s">
        <v>1997</v>
      </c>
      <c r="Q1844" s="16">
        <v>21999</v>
      </c>
      <c r="R1844" s="17">
        <v>40</v>
      </c>
      <c r="S1844" s="18">
        <v>15179.309999999998</v>
      </c>
      <c r="T1844" s="19" t="s">
        <v>36</v>
      </c>
      <c r="U1844" s="20" t="s">
        <v>746</v>
      </c>
      <c r="V1844" s="22">
        <v>39</v>
      </c>
      <c r="W1844" s="22">
        <v>1</v>
      </c>
      <c r="X1844" s="23"/>
    </row>
    <row r="1845" spans="1:24" s="1" customFormat="1" ht="61.05" customHeight="1" x14ac:dyDescent="0.3">
      <c r="A1845" s="24" t="s">
        <v>23</v>
      </c>
      <c r="B1845" s="24" t="s">
        <v>1991</v>
      </c>
      <c r="C1845" s="12" t="s">
        <v>1995</v>
      </c>
      <c r="D1845" s="56"/>
      <c r="E1845" s="41" t="str">
        <f>HYPERLINK("https://www.google.ru/search?q=3025516-003&amp;newwindow=1&amp;tbm=isch","Еще фото")</f>
        <v>Еще фото</v>
      </c>
      <c r="F1845" s="13"/>
      <c r="G1845" s="24" t="s">
        <v>1184</v>
      </c>
      <c r="H1845" s="24" t="s">
        <v>741</v>
      </c>
      <c r="I1845" s="24" t="s">
        <v>1185</v>
      </c>
      <c r="J1845" s="14" t="s">
        <v>29</v>
      </c>
      <c r="K1845" s="15" t="s">
        <v>30</v>
      </c>
      <c r="L1845" s="58"/>
      <c r="M1845" s="14" t="s">
        <v>1211</v>
      </c>
      <c r="N1845" s="14" t="s">
        <v>33</v>
      </c>
      <c r="O1845" s="14"/>
      <c r="P1845" s="15" t="s">
        <v>1997</v>
      </c>
      <c r="Q1845" s="16">
        <v>21999</v>
      </c>
      <c r="R1845" s="17">
        <v>40</v>
      </c>
      <c r="S1845" s="18">
        <v>15179.309999999998</v>
      </c>
      <c r="T1845" s="19" t="s">
        <v>36</v>
      </c>
      <c r="U1845" s="20" t="s">
        <v>750</v>
      </c>
      <c r="V1845" s="34">
        <v>41.5</v>
      </c>
      <c r="W1845" s="22">
        <v>3</v>
      </c>
      <c r="X1845" s="23"/>
    </row>
    <row r="1846" spans="1:24" s="1" customFormat="1" ht="17" customHeight="1" x14ac:dyDescent="0.3">
      <c r="A1846" s="11" t="s">
        <v>23</v>
      </c>
      <c r="B1846" s="11" t="s">
        <v>1998</v>
      </c>
      <c r="C1846" s="12" t="s">
        <v>1999</v>
      </c>
      <c r="D1846" s="59"/>
      <c r="E1846" s="41" t="str">
        <f t="shared" ref="E1846:E1851" si="67">HYPERLINK("https://www.google.ru/search?q=3025516-104&amp;newwindow=1&amp;tbm=isch","Еще фото")</f>
        <v>Еще фото</v>
      </c>
      <c r="F1846" s="28" t="s">
        <v>138</v>
      </c>
      <c r="G1846" s="11" t="s">
        <v>1184</v>
      </c>
      <c r="H1846" s="11" t="s">
        <v>741</v>
      </c>
      <c r="I1846" s="14" t="s">
        <v>1185</v>
      </c>
      <c r="J1846" s="14" t="s">
        <v>29</v>
      </c>
      <c r="K1846" s="15" t="s">
        <v>30</v>
      </c>
      <c r="L1846" s="57" t="s">
        <v>1993</v>
      </c>
      <c r="M1846" s="14" t="s">
        <v>1211</v>
      </c>
      <c r="N1846" s="14" t="s">
        <v>84</v>
      </c>
      <c r="O1846" s="14"/>
      <c r="P1846" s="15" t="s">
        <v>1994</v>
      </c>
      <c r="Q1846" s="16">
        <v>21999</v>
      </c>
      <c r="R1846" s="17">
        <v>40</v>
      </c>
      <c r="S1846" s="18">
        <v>15179.309999999998</v>
      </c>
      <c r="T1846" s="19" t="s">
        <v>36</v>
      </c>
      <c r="U1846" s="20" t="s">
        <v>749</v>
      </c>
      <c r="V1846" s="22">
        <v>41</v>
      </c>
      <c r="W1846" s="22">
        <v>1</v>
      </c>
      <c r="X1846" s="23"/>
    </row>
    <row r="1847" spans="1:24" s="1" customFormat="1" ht="17" customHeight="1" x14ac:dyDescent="0.3">
      <c r="A1847" s="24" t="s">
        <v>23</v>
      </c>
      <c r="B1847" s="24" t="s">
        <v>1998</v>
      </c>
      <c r="C1847" s="12" t="s">
        <v>1999</v>
      </c>
      <c r="D1847" s="60"/>
      <c r="E1847" s="41" t="str">
        <f t="shared" si="67"/>
        <v>Еще фото</v>
      </c>
      <c r="F1847" s="28" t="s">
        <v>138</v>
      </c>
      <c r="G1847" s="24" t="s">
        <v>1184</v>
      </c>
      <c r="H1847" s="24" t="s">
        <v>741</v>
      </c>
      <c r="I1847" s="24" t="s">
        <v>1185</v>
      </c>
      <c r="J1847" s="14" t="s">
        <v>29</v>
      </c>
      <c r="K1847" s="15" t="s">
        <v>30</v>
      </c>
      <c r="L1847" s="62"/>
      <c r="M1847" s="14" t="s">
        <v>1211</v>
      </c>
      <c r="N1847" s="14" t="s">
        <v>84</v>
      </c>
      <c r="O1847" s="14"/>
      <c r="P1847" s="15" t="s">
        <v>1994</v>
      </c>
      <c r="Q1847" s="16">
        <v>21999</v>
      </c>
      <c r="R1847" s="17">
        <v>40</v>
      </c>
      <c r="S1847" s="18">
        <v>15179.309999999998</v>
      </c>
      <c r="T1847" s="19" t="s">
        <v>36</v>
      </c>
      <c r="U1847" s="20" t="s">
        <v>750</v>
      </c>
      <c r="V1847" s="34">
        <v>41.5</v>
      </c>
      <c r="W1847" s="22">
        <v>5</v>
      </c>
      <c r="X1847" s="23"/>
    </row>
    <row r="1848" spans="1:24" s="1" customFormat="1" ht="17" customHeight="1" x14ac:dyDescent="0.3">
      <c r="A1848" s="24" t="s">
        <v>23</v>
      </c>
      <c r="B1848" s="24" t="s">
        <v>1998</v>
      </c>
      <c r="C1848" s="12" t="s">
        <v>1999</v>
      </c>
      <c r="D1848" s="60"/>
      <c r="E1848" s="41" t="str">
        <f t="shared" si="67"/>
        <v>Еще фото</v>
      </c>
      <c r="F1848" s="28" t="s">
        <v>138</v>
      </c>
      <c r="G1848" s="24" t="s">
        <v>1184</v>
      </c>
      <c r="H1848" s="24" t="s">
        <v>741</v>
      </c>
      <c r="I1848" s="24" t="s">
        <v>1185</v>
      </c>
      <c r="J1848" s="14" t="s">
        <v>29</v>
      </c>
      <c r="K1848" s="15" t="s">
        <v>30</v>
      </c>
      <c r="L1848" s="62"/>
      <c r="M1848" s="14" t="s">
        <v>1211</v>
      </c>
      <c r="N1848" s="14" t="s">
        <v>84</v>
      </c>
      <c r="O1848" s="14"/>
      <c r="P1848" s="15" t="s">
        <v>1994</v>
      </c>
      <c r="Q1848" s="16">
        <v>21999</v>
      </c>
      <c r="R1848" s="17">
        <v>40</v>
      </c>
      <c r="S1848" s="18">
        <v>15179.309999999998</v>
      </c>
      <c r="T1848" s="19" t="s">
        <v>36</v>
      </c>
      <c r="U1848" s="20" t="s">
        <v>751</v>
      </c>
      <c r="V1848" s="22">
        <v>42</v>
      </c>
      <c r="W1848" s="22">
        <v>1</v>
      </c>
      <c r="X1848" s="23"/>
    </row>
    <row r="1849" spans="1:24" s="1" customFormat="1" ht="17" customHeight="1" x14ac:dyDescent="0.3">
      <c r="A1849" s="24" t="s">
        <v>23</v>
      </c>
      <c r="B1849" s="24" t="s">
        <v>1998</v>
      </c>
      <c r="C1849" s="12" t="s">
        <v>1999</v>
      </c>
      <c r="D1849" s="60"/>
      <c r="E1849" s="41" t="str">
        <f t="shared" si="67"/>
        <v>Еще фото</v>
      </c>
      <c r="F1849" s="28" t="s">
        <v>138</v>
      </c>
      <c r="G1849" s="24" t="s">
        <v>1184</v>
      </c>
      <c r="H1849" s="24" t="s">
        <v>741</v>
      </c>
      <c r="I1849" s="24" t="s">
        <v>1185</v>
      </c>
      <c r="J1849" s="14" t="s">
        <v>29</v>
      </c>
      <c r="K1849" s="15" t="s">
        <v>30</v>
      </c>
      <c r="L1849" s="62"/>
      <c r="M1849" s="14" t="s">
        <v>1211</v>
      </c>
      <c r="N1849" s="14" t="s">
        <v>84</v>
      </c>
      <c r="O1849" s="14"/>
      <c r="P1849" s="15" t="s">
        <v>1994</v>
      </c>
      <c r="Q1849" s="16">
        <v>21999</v>
      </c>
      <c r="R1849" s="17">
        <v>40</v>
      </c>
      <c r="S1849" s="18">
        <v>15179.309999999998</v>
      </c>
      <c r="T1849" s="19" t="s">
        <v>36</v>
      </c>
      <c r="U1849" s="20" t="s">
        <v>753</v>
      </c>
      <c r="V1849" s="34">
        <v>43.5</v>
      </c>
      <c r="W1849" s="22">
        <v>2</v>
      </c>
      <c r="X1849" s="23"/>
    </row>
    <row r="1850" spans="1:24" s="1" customFormat="1" ht="17" customHeight="1" x14ac:dyDescent="0.3">
      <c r="A1850" s="24" t="s">
        <v>23</v>
      </c>
      <c r="B1850" s="24" t="s">
        <v>1998</v>
      </c>
      <c r="C1850" s="12" t="s">
        <v>1999</v>
      </c>
      <c r="D1850" s="60"/>
      <c r="E1850" s="41" t="str">
        <f t="shared" si="67"/>
        <v>Еще фото</v>
      </c>
      <c r="F1850" s="28" t="s">
        <v>138</v>
      </c>
      <c r="G1850" s="24" t="s">
        <v>1184</v>
      </c>
      <c r="H1850" s="24" t="s">
        <v>741</v>
      </c>
      <c r="I1850" s="24" t="s">
        <v>1185</v>
      </c>
      <c r="J1850" s="14" t="s">
        <v>29</v>
      </c>
      <c r="K1850" s="15" t="s">
        <v>30</v>
      </c>
      <c r="L1850" s="62"/>
      <c r="M1850" s="14" t="s">
        <v>1211</v>
      </c>
      <c r="N1850" s="14" t="s">
        <v>84</v>
      </c>
      <c r="O1850" s="14"/>
      <c r="P1850" s="15" t="s">
        <v>1994</v>
      </c>
      <c r="Q1850" s="16">
        <v>21999</v>
      </c>
      <c r="R1850" s="17">
        <v>40</v>
      </c>
      <c r="S1850" s="18">
        <v>15179.309999999998</v>
      </c>
      <c r="T1850" s="19" t="s">
        <v>36</v>
      </c>
      <c r="U1850" s="20" t="s">
        <v>754</v>
      </c>
      <c r="V1850" s="22">
        <v>44</v>
      </c>
      <c r="W1850" s="22">
        <v>3</v>
      </c>
      <c r="X1850" s="23"/>
    </row>
    <row r="1851" spans="1:24" s="1" customFormat="1" ht="22.05" customHeight="1" x14ac:dyDescent="0.3">
      <c r="A1851" s="24" t="s">
        <v>23</v>
      </c>
      <c r="B1851" s="24" t="s">
        <v>1998</v>
      </c>
      <c r="C1851" s="12" t="s">
        <v>1999</v>
      </c>
      <c r="D1851" s="61"/>
      <c r="E1851" s="41" t="str">
        <f t="shared" si="67"/>
        <v>Еще фото</v>
      </c>
      <c r="F1851" s="28" t="s">
        <v>138</v>
      </c>
      <c r="G1851" s="24" t="s">
        <v>1184</v>
      </c>
      <c r="H1851" s="24" t="s">
        <v>741</v>
      </c>
      <c r="I1851" s="24" t="s">
        <v>1185</v>
      </c>
      <c r="J1851" s="14" t="s">
        <v>29</v>
      </c>
      <c r="K1851" s="15" t="s">
        <v>30</v>
      </c>
      <c r="L1851" s="58"/>
      <c r="M1851" s="14" t="s">
        <v>1211</v>
      </c>
      <c r="N1851" s="14" t="s">
        <v>84</v>
      </c>
      <c r="O1851" s="14"/>
      <c r="P1851" s="15" t="s">
        <v>1994</v>
      </c>
      <c r="Q1851" s="16">
        <v>21999</v>
      </c>
      <c r="R1851" s="17">
        <v>40</v>
      </c>
      <c r="S1851" s="18">
        <v>15179.309999999998</v>
      </c>
      <c r="T1851" s="19" t="s">
        <v>36</v>
      </c>
      <c r="U1851" s="20" t="s">
        <v>755</v>
      </c>
      <c r="V1851" s="34">
        <v>44.5</v>
      </c>
      <c r="W1851" s="22">
        <v>1</v>
      </c>
      <c r="X1851" s="23"/>
    </row>
    <row r="1852" spans="1:24" s="1" customFormat="1" ht="26" customHeight="1" x14ac:dyDescent="0.3">
      <c r="A1852" s="11" t="s">
        <v>23</v>
      </c>
      <c r="B1852" s="11" t="s">
        <v>2000</v>
      </c>
      <c r="C1852" s="12" t="s">
        <v>2001</v>
      </c>
      <c r="D1852" s="59"/>
      <c r="E1852" s="41" t="str">
        <f>HYPERLINK("https://www.google.ru/search?q=3025516-603&amp;newwindow=1&amp;tbm=isch","Еще фото")</f>
        <v>Еще фото</v>
      </c>
      <c r="F1852" s="28" t="s">
        <v>138</v>
      </c>
      <c r="G1852" s="11" t="s">
        <v>1184</v>
      </c>
      <c r="H1852" s="11" t="s">
        <v>741</v>
      </c>
      <c r="I1852" s="14" t="s">
        <v>1185</v>
      </c>
      <c r="J1852" s="14" t="s">
        <v>29</v>
      </c>
      <c r="K1852" s="15" t="s">
        <v>30</v>
      </c>
      <c r="L1852" s="57" t="s">
        <v>1993</v>
      </c>
      <c r="M1852" s="14" t="s">
        <v>1211</v>
      </c>
      <c r="N1852" s="14" t="s">
        <v>2002</v>
      </c>
      <c r="O1852" s="14"/>
      <c r="P1852" s="15" t="s">
        <v>1997</v>
      </c>
      <c r="Q1852" s="16">
        <v>21999</v>
      </c>
      <c r="R1852" s="17">
        <v>40</v>
      </c>
      <c r="S1852" s="18">
        <v>15179.309999999998</v>
      </c>
      <c r="T1852" s="19" t="s">
        <v>36</v>
      </c>
      <c r="U1852" s="20" t="s">
        <v>747</v>
      </c>
      <c r="V1852" s="34">
        <v>39.5</v>
      </c>
      <c r="W1852" s="22">
        <v>2</v>
      </c>
      <c r="X1852" s="23"/>
    </row>
    <row r="1853" spans="1:24" s="1" customFormat="1" ht="26" customHeight="1" x14ac:dyDescent="0.3">
      <c r="A1853" s="24" t="s">
        <v>23</v>
      </c>
      <c r="B1853" s="24" t="s">
        <v>2000</v>
      </c>
      <c r="C1853" s="12" t="s">
        <v>2001</v>
      </c>
      <c r="D1853" s="60"/>
      <c r="E1853" s="41" t="str">
        <f>HYPERLINK("https://www.google.ru/search?q=3025516-603&amp;newwindow=1&amp;tbm=isch","Еще фото")</f>
        <v>Еще фото</v>
      </c>
      <c r="F1853" s="28" t="s">
        <v>138</v>
      </c>
      <c r="G1853" s="24" t="s">
        <v>1184</v>
      </c>
      <c r="H1853" s="24" t="s">
        <v>741</v>
      </c>
      <c r="I1853" s="24" t="s">
        <v>1185</v>
      </c>
      <c r="J1853" s="14" t="s">
        <v>29</v>
      </c>
      <c r="K1853" s="15" t="s">
        <v>30</v>
      </c>
      <c r="L1853" s="62"/>
      <c r="M1853" s="14" t="s">
        <v>1211</v>
      </c>
      <c r="N1853" s="14" t="s">
        <v>2002</v>
      </c>
      <c r="O1853" s="14"/>
      <c r="P1853" s="15" t="s">
        <v>1997</v>
      </c>
      <c r="Q1853" s="16">
        <v>21999</v>
      </c>
      <c r="R1853" s="17">
        <v>40</v>
      </c>
      <c r="S1853" s="18">
        <v>15179.309999999998</v>
      </c>
      <c r="T1853" s="19" t="s">
        <v>36</v>
      </c>
      <c r="U1853" s="20" t="s">
        <v>749</v>
      </c>
      <c r="V1853" s="22">
        <v>41</v>
      </c>
      <c r="W1853" s="22">
        <v>3</v>
      </c>
      <c r="X1853" s="23"/>
    </row>
    <row r="1854" spans="1:24" s="1" customFormat="1" ht="26" customHeight="1" x14ac:dyDescent="0.3">
      <c r="A1854" s="24" t="s">
        <v>23</v>
      </c>
      <c r="B1854" s="24" t="s">
        <v>2000</v>
      </c>
      <c r="C1854" s="12" t="s">
        <v>2001</v>
      </c>
      <c r="D1854" s="60"/>
      <c r="E1854" s="41" t="str">
        <f>HYPERLINK("https://www.google.ru/search?q=3025516-603&amp;newwindow=1&amp;tbm=isch","Еще фото")</f>
        <v>Еще фото</v>
      </c>
      <c r="F1854" s="28" t="s">
        <v>138</v>
      </c>
      <c r="G1854" s="24" t="s">
        <v>1184</v>
      </c>
      <c r="H1854" s="24" t="s">
        <v>741</v>
      </c>
      <c r="I1854" s="24" t="s">
        <v>1185</v>
      </c>
      <c r="J1854" s="14" t="s">
        <v>29</v>
      </c>
      <c r="K1854" s="15" t="s">
        <v>30</v>
      </c>
      <c r="L1854" s="62"/>
      <c r="M1854" s="14" t="s">
        <v>1211</v>
      </c>
      <c r="N1854" s="14" t="s">
        <v>2002</v>
      </c>
      <c r="O1854" s="14"/>
      <c r="P1854" s="15" t="s">
        <v>1997</v>
      </c>
      <c r="Q1854" s="16">
        <v>21999</v>
      </c>
      <c r="R1854" s="17">
        <v>40</v>
      </c>
      <c r="S1854" s="18">
        <v>15179.309999999998</v>
      </c>
      <c r="T1854" s="19" t="s">
        <v>36</v>
      </c>
      <c r="U1854" s="20" t="s">
        <v>750</v>
      </c>
      <c r="V1854" s="34">
        <v>41.5</v>
      </c>
      <c r="W1854" s="22">
        <v>10</v>
      </c>
      <c r="X1854" s="23"/>
    </row>
    <row r="1855" spans="1:24" s="1" customFormat="1" ht="26" customHeight="1" x14ac:dyDescent="0.3">
      <c r="A1855" s="24" t="s">
        <v>23</v>
      </c>
      <c r="B1855" s="24" t="s">
        <v>2000</v>
      </c>
      <c r="C1855" s="12" t="s">
        <v>2001</v>
      </c>
      <c r="D1855" s="61"/>
      <c r="E1855" s="41" t="str">
        <f>HYPERLINK("https://www.google.ru/search?q=3025516-603&amp;newwindow=1&amp;tbm=isch","Еще фото")</f>
        <v>Еще фото</v>
      </c>
      <c r="F1855" s="28" t="s">
        <v>138</v>
      </c>
      <c r="G1855" s="24" t="s">
        <v>1184</v>
      </c>
      <c r="H1855" s="24" t="s">
        <v>741</v>
      </c>
      <c r="I1855" s="24" t="s">
        <v>1185</v>
      </c>
      <c r="J1855" s="14" t="s">
        <v>29</v>
      </c>
      <c r="K1855" s="15" t="s">
        <v>30</v>
      </c>
      <c r="L1855" s="58"/>
      <c r="M1855" s="14" t="s">
        <v>1211</v>
      </c>
      <c r="N1855" s="14" t="s">
        <v>2002</v>
      </c>
      <c r="O1855" s="14"/>
      <c r="P1855" s="15" t="s">
        <v>1997</v>
      </c>
      <c r="Q1855" s="16">
        <v>21999</v>
      </c>
      <c r="R1855" s="17">
        <v>40</v>
      </c>
      <c r="S1855" s="18">
        <v>15179.309999999998</v>
      </c>
      <c r="T1855" s="19" t="s">
        <v>36</v>
      </c>
      <c r="U1855" s="20" t="s">
        <v>752</v>
      </c>
      <c r="V1855" s="22">
        <v>43</v>
      </c>
      <c r="W1855" s="22">
        <v>5</v>
      </c>
      <c r="X1855" s="23"/>
    </row>
    <row r="1856" spans="1:24" s="1" customFormat="1" ht="17" customHeight="1" x14ac:dyDescent="0.3">
      <c r="A1856" s="11" t="s">
        <v>23</v>
      </c>
      <c r="B1856" s="11" t="s">
        <v>2003</v>
      </c>
      <c r="C1856" s="12" t="s">
        <v>2004</v>
      </c>
      <c r="D1856" s="59"/>
      <c r="E1856" s="41" t="str">
        <f t="shared" ref="E1856:E1861" si="68">HYPERLINK("https://www.google.ru/search?q=3025522-800&amp;newwindow=1&amp;tbm=isch","Еще фото")</f>
        <v>Еще фото</v>
      </c>
      <c r="F1856" s="28" t="s">
        <v>138</v>
      </c>
      <c r="G1856" s="11" t="s">
        <v>1184</v>
      </c>
      <c r="H1856" s="11" t="s">
        <v>741</v>
      </c>
      <c r="I1856" s="14" t="s">
        <v>1185</v>
      </c>
      <c r="J1856" s="14" t="s">
        <v>29</v>
      </c>
      <c r="K1856" s="15" t="s">
        <v>723</v>
      </c>
      <c r="L1856" s="57" t="s">
        <v>1820</v>
      </c>
      <c r="M1856" s="14" t="s">
        <v>1225</v>
      </c>
      <c r="N1856" s="14" t="s">
        <v>2005</v>
      </c>
      <c r="O1856" s="14"/>
      <c r="P1856" s="15" t="s">
        <v>1817</v>
      </c>
      <c r="Q1856" s="16">
        <v>26999</v>
      </c>
      <c r="R1856" s="17">
        <v>40</v>
      </c>
      <c r="S1856" s="18">
        <v>18629.309999999998</v>
      </c>
      <c r="T1856" s="19" t="s">
        <v>36</v>
      </c>
      <c r="U1856" s="20" t="s">
        <v>749</v>
      </c>
      <c r="V1856" s="22">
        <v>41</v>
      </c>
      <c r="W1856" s="22">
        <v>1</v>
      </c>
      <c r="X1856" s="23"/>
    </row>
    <row r="1857" spans="1:24" s="1" customFormat="1" ht="17" customHeight="1" x14ac:dyDescent="0.3">
      <c r="A1857" s="24" t="s">
        <v>23</v>
      </c>
      <c r="B1857" s="24" t="s">
        <v>2003</v>
      </c>
      <c r="C1857" s="12" t="s">
        <v>2004</v>
      </c>
      <c r="D1857" s="60"/>
      <c r="E1857" s="41" t="str">
        <f t="shared" si="68"/>
        <v>Еще фото</v>
      </c>
      <c r="F1857" s="28" t="s">
        <v>138</v>
      </c>
      <c r="G1857" s="24" t="s">
        <v>1184</v>
      </c>
      <c r="H1857" s="24" t="s">
        <v>741</v>
      </c>
      <c r="I1857" s="24" t="s">
        <v>1185</v>
      </c>
      <c r="J1857" s="14" t="s">
        <v>29</v>
      </c>
      <c r="K1857" s="15" t="s">
        <v>723</v>
      </c>
      <c r="L1857" s="62"/>
      <c r="M1857" s="14" t="s">
        <v>1225</v>
      </c>
      <c r="N1857" s="14" t="s">
        <v>2005</v>
      </c>
      <c r="O1857" s="14"/>
      <c r="P1857" s="15" t="s">
        <v>1817</v>
      </c>
      <c r="Q1857" s="16">
        <v>26999</v>
      </c>
      <c r="R1857" s="17">
        <v>40</v>
      </c>
      <c r="S1857" s="18">
        <v>18629.309999999998</v>
      </c>
      <c r="T1857" s="19" t="s">
        <v>36</v>
      </c>
      <c r="U1857" s="20" t="s">
        <v>750</v>
      </c>
      <c r="V1857" s="34">
        <v>41.5</v>
      </c>
      <c r="W1857" s="22">
        <v>2</v>
      </c>
      <c r="X1857" s="23"/>
    </row>
    <row r="1858" spans="1:24" s="1" customFormat="1" ht="17" customHeight="1" x14ac:dyDescent="0.3">
      <c r="A1858" s="24" t="s">
        <v>23</v>
      </c>
      <c r="B1858" s="24" t="s">
        <v>2003</v>
      </c>
      <c r="C1858" s="12" t="s">
        <v>2004</v>
      </c>
      <c r="D1858" s="60"/>
      <c r="E1858" s="41" t="str">
        <f t="shared" si="68"/>
        <v>Еще фото</v>
      </c>
      <c r="F1858" s="28" t="s">
        <v>138</v>
      </c>
      <c r="G1858" s="24" t="s">
        <v>1184</v>
      </c>
      <c r="H1858" s="24" t="s">
        <v>741</v>
      </c>
      <c r="I1858" s="24" t="s">
        <v>1185</v>
      </c>
      <c r="J1858" s="14" t="s">
        <v>29</v>
      </c>
      <c r="K1858" s="15" t="s">
        <v>723</v>
      </c>
      <c r="L1858" s="62"/>
      <c r="M1858" s="14" t="s">
        <v>1225</v>
      </c>
      <c r="N1858" s="14" t="s">
        <v>2005</v>
      </c>
      <c r="O1858" s="14"/>
      <c r="P1858" s="15" t="s">
        <v>1817</v>
      </c>
      <c r="Q1858" s="16">
        <v>26999</v>
      </c>
      <c r="R1858" s="17">
        <v>40</v>
      </c>
      <c r="S1858" s="18">
        <v>18629.309999999998</v>
      </c>
      <c r="T1858" s="19" t="s">
        <v>36</v>
      </c>
      <c r="U1858" s="20" t="s">
        <v>751</v>
      </c>
      <c r="V1858" s="22">
        <v>42</v>
      </c>
      <c r="W1858" s="22">
        <v>1</v>
      </c>
      <c r="X1858" s="23"/>
    </row>
    <row r="1859" spans="1:24" s="1" customFormat="1" ht="17" customHeight="1" x14ac:dyDescent="0.3">
      <c r="A1859" s="24" t="s">
        <v>23</v>
      </c>
      <c r="B1859" s="24" t="s">
        <v>2003</v>
      </c>
      <c r="C1859" s="12" t="s">
        <v>2004</v>
      </c>
      <c r="D1859" s="60"/>
      <c r="E1859" s="41" t="str">
        <f t="shared" si="68"/>
        <v>Еще фото</v>
      </c>
      <c r="F1859" s="28" t="s">
        <v>138</v>
      </c>
      <c r="G1859" s="24" t="s">
        <v>1184</v>
      </c>
      <c r="H1859" s="24" t="s">
        <v>741</v>
      </c>
      <c r="I1859" s="24" t="s">
        <v>1185</v>
      </c>
      <c r="J1859" s="14" t="s">
        <v>29</v>
      </c>
      <c r="K1859" s="15" t="s">
        <v>723</v>
      </c>
      <c r="L1859" s="62"/>
      <c r="M1859" s="14" t="s">
        <v>1225</v>
      </c>
      <c r="N1859" s="14" t="s">
        <v>2005</v>
      </c>
      <c r="O1859" s="14"/>
      <c r="P1859" s="15" t="s">
        <v>1817</v>
      </c>
      <c r="Q1859" s="16">
        <v>26999</v>
      </c>
      <c r="R1859" s="17">
        <v>40</v>
      </c>
      <c r="S1859" s="18">
        <v>18629.309999999998</v>
      </c>
      <c r="T1859" s="19" t="s">
        <v>36</v>
      </c>
      <c r="U1859" s="20" t="s">
        <v>752</v>
      </c>
      <c r="V1859" s="22">
        <v>43</v>
      </c>
      <c r="W1859" s="22">
        <v>6</v>
      </c>
      <c r="X1859" s="23"/>
    </row>
    <row r="1860" spans="1:24" s="1" customFormat="1" ht="17" customHeight="1" x14ac:dyDescent="0.3">
      <c r="A1860" s="24" t="s">
        <v>23</v>
      </c>
      <c r="B1860" s="24" t="s">
        <v>2003</v>
      </c>
      <c r="C1860" s="12" t="s">
        <v>2004</v>
      </c>
      <c r="D1860" s="60"/>
      <c r="E1860" s="41" t="str">
        <f t="shared" si="68"/>
        <v>Еще фото</v>
      </c>
      <c r="F1860" s="28" t="s">
        <v>138</v>
      </c>
      <c r="G1860" s="24" t="s">
        <v>1184</v>
      </c>
      <c r="H1860" s="24" t="s">
        <v>741</v>
      </c>
      <c r="I1860" s="24" t="s">
        <v>1185</v>
      </c>
      <c r="J1860" s="14" t="s">
        <v>29</v>
      </c>
      <c r="K1860" s="15" t="s">
        <v>723</v>
      </c>
      <c r="L1860" s="62"/>
      <c r="M1860" s="14" t="s">
        <v>1225</v>
      </c>
      <c r="N1860" s="14" t="s">
        <v>2005</v>
      </c>
      <c r="O1860" s="14"/>
      <c r="P1860" s="15" t="s">
        <v>1817</v>
      </c>
      <c r="Q1860" s="16">
        <v>26999</v>
      </c>
      <c r="R1860" s="17">
        <v>40</v>
      </c>
      <c r="S1860" s="18">
        <v>18629.309999999998</v>
      </c>
      <c r="T1860" s="19" t="s">
        <v>36</v>
      </c>
      <c r="U1860" s="20" t="s">
        <v>754</v>
      </c>
      <c r="V1860" s="22">
        <v>44</v>
      </c>
      <c r="W1860" s="22">
        <v>2</v>
      </c>
      <c r="X1860" s="23"/>
    </row>
    <row r="1861" spans="1:24" s="1" customFormat="1" ht="22.05" customHeight="1" x14ac:dyDescent="0.3">
      <c r="A1861" s="24" t="s">
        <v>23</v>
      </c>
      <c r="B1861" s="24" t="s">
        <v>2003</v>
      </c>
      <c r="C1861" s="12" t="s">
        <v>2004</v>
      </c>
      <c r="D1861" s="61"/>
      <c r="E1861" s="41" t="str">
        <f t="shared" si="68"/>
        <v>Еще фото</v>
      </c>
      <c r="F1861" s="28" t="s">
        <v>138</v>
      </c>
      <c r="G1861" s="24" t="s">
        <v>1184</v>
      </c>
      <c r="H1861" s="24" t="s">
        <v>741</v>
      </c>
      <c r="I1861" s="24" t="s">
        <v>1185</v>
      </c>
      <c r="J1861" s="14" t="s">
        <v>29</v>
      </c>
      <c r="K1861" s="15" t="s">
        <v>723</v>
      </c>
      <c r="L1861" s="58"/>
      <c r="M1861" s="14" t="s">
        <v>1225</v>
      </c>
      <c r="N1861" s="14" t="s">
        <v>2005</v>
      </c>
      <c r="O1861" s="14"/>
      <c r="P1861" s="15" t="s">
        <v>1817</v>
      </c>
      <c r="Q1861" s="16">
        <v>26999</v>
      </c>
      <c r="R1861" s="17">
        <v>40</v>
      </c>
      <c r="S1861" s="18">
        <v>18629.309999999998</v>
      </c>
      <c r="T1861" s="19" t="s">
        <v>36</v>
      </c>
      <c r="U1861" s="20" t="s">
        <v>755</v>
      </c>
      <c r="V1861" s="34">
        <v>44.5</v>
      </c>
      <c r="W1861" s="22">
        <v>1</v>
      </c>
      <c r="X1861" s="23"/>
    </row>
    <row r="1862" spans="1:24" s="1" customFormat="1" ht="26" customHeight="1" x14ac:dyDescent="0.3">
      <c r="A1862" s="11" t="s">
        <v>23</v>
      </c>
      <c r="B1862" s="11" t="s">
        <v>2006</v>
      </c>
      <c r="C1862" s="12" t="s">
        <v>2007</v>
      </c>
      <c r="D1862" s="59"/>
      <c r="E1862" s="41" t="str">
        <f>HYPERLINK("https://www.google.ru/search?q=3025527-001&amp;newwindow=1&amp;tbm=isch","Еще фото")</f>
        <v>Еще фото</v>
      </c>
      <c r="F1862" s="28" t="s">
        <v>138</v>
      </c>
      <c r="G1862" s="11" t="s">
        <v>1184</v>
      </c>
      <c r="H1862" s="11" t="s">
        <v>741</v>
      </c>
      <c r="I1862" s="14" t="s">
        <v>1185</v>
      </c>
      <c r="J1862" s="14" t="s">
        <v>29</v>
      </c>
      <c r="K1862" s="15" t="s">
        <v>30</v>
      </c>
      <c r="L1862" s="57" t="s">
        <v>1576</v>
      </c>
      <c r="M1862" s="14" t="s">
        <v>1194</v>
      </c>
      <c r="N1862" s="14" t="s">
        <v>33</v>
      </c>
      <c r="O1862" s="14"/>
      <c r="P1862" s="15" t="s">
        <v>1578</v>
      </c>
      <c r="Q1862" s="16">
        <v>11999</v>
      </c>
      <c r="R1862" s="17">
        <v>40</v>
      </c>
      <c r="S1862" s="18">
        <v>8279.31</v>
      </c>
      <c r="T1862" s="19" t="s">
        <v>36</v>
      </c>
      <c r="U1862" s="20" t="s">
        <v>747</v>
      </c>
      <c r="V1862" s="34">
        <v>39.5</v>
      </c>
      <c r="W1862" s="22">
        <v>1</v>
      </c>
      <c r="X1862" s="23"/>
    </row>
    <row r="1863" spans="1:24" s="1" customFormat="1" ht="26" customHeight="1" x14ac:dyDescent="0.3">
      <c r="A1863" s="24" t="s">
        <v>23</v>
      </c>
      <c r="B1863" s="24" t="s">
        <v>2006</v>
      </c>
      <c r="C1863" s="12" t="s">
        <v>2007</v>
      </c>
      <c r="D1863" s="60"/>
      <c r="E1863" s="41" t="str">
        <f>HYPERLINK("https://www.google.ru/search?q=3025527-001&amp;newwindow=1&amp;tbm=isch","Еще фото")</f>
        <v>Еще фото</v>
      </c>
      <c r="F1863" s="28" t="s">
        <v>138</v>
      </c>
      <c r="G1863" s="24" t="s">
        <v>1184</v>
      </c>
      <c r="H1863" s="24" t="s">
        <v>741</v>
      </c>
      <c r="I1863" s="24" t="s">
        <v>1185</v>
      </c>
      <c r="J1863" s="14" t="s">
        <v>29</v>
      </c>
      <c r="K1863" s="15" t="s">
        <v>30</v>
      </c>
      <c r="L1863" s="62"/>
      <c r="M1863" s="14" t="s">
        <v>1194</v>
      </c>
      <c r="N1863" s="14" t="s">
        <v>33</v>
      </c>
      <c r="O1863" s="14"/>
      <c r="P1863" s="15" t="s">
        <v>1578</v>
      </c>
      <c r="Q1863" s="16">
        <v>11999</v>
      </c>
      <c r="R1863" s="17">
        <v>40</v>
      </c>
      <c r="S1863" s="18">
        <v>8279.31</v>
      </c>
      <c r="T1863" s="19" t="s">
        <v>36</v>
      </c>
      <c r="U1863" s="20" t="s">
        <v>749</v>
      </c>
      <c r="V1863" s="22">
        <v>41</v>
      </c>
      <c r="W1863" s="22">
        <v>2</v>
      </c>
      <c r="X1863" s="23"/>
    </row>
    <row r="1864" spans="1:24" s="1" customFormat="1" ht="26" customHeight="1" x14ac:dyDescent="0.3">
      <c r="A1864" s="24" t="s">
        <v>23</v>
      </c>
      <c r="B1864" s="24" t="s">
        <v>2006</v>
      </c>
      <c r="C1864" s="12" t="s">
        <v>2007</v>
      </c>
      <c r="D1864" s="60"/>
      <c r="E1864" s="41" t="str">
        <f>HYPERLINK("https://www.google.ru/search?q=3025527-001&amp;newwindow=1&amp;tbm=isch","Еще фото")</f>
        <v>Еще фото</v>
      </c>
      <c r="F1864" s="28" t="s">
        <v>138</v>
      </c>
      <c r="G1864" s="24" t="s">
        <v>1184</v>
      </c>
      <c r="H1864" s="24" t="s">
        <v>741</v>
      </c>
      <c r="I1864" s="24" t="s">
        <v>1185</v>
      </c>
      <c r="J1864" s="14" t="s">
        <v>29</v>
      </c>
      <c r="K1864" s="15" t="s">
        <v>30</v>
      </c>
      <c r="L1864" s="62"/>
      <c r="M1864" s="14" t="s">
        <v>1194</v>
      </c>
      <c r="N1864" s="14" t="s">
        <v>33</v>
      </c>
      <c r="O1864" s="14"/>
      <c r="P1864" s="15" t="s">
        <v>1578</v>
      </c>
      <c r="Q1864" s="16">
        <v>11999</v>
      </c>
      <c r="R1864" s="17">
        <v>40</v>
      </c>
      <c r="S1864" s="18">
        <v>8279.31</v>
      </c>
      <c r="T1864" s="19" t="s">
        <v>36</v>
      </c>
      <c r="U1864" s="20" t="s">
        <v>750</v>
      </c>
      <c r="V1864" s="34">
        <v>41.5</v>
      </c>
      <c r="W1864" s="22">
        <v>1</v>
      </c>
      <c r="X1864" s="23"/>
    </row>
    <row r="1865" spans="1:24" s="1" customFormat="1" ht="26" customHeight="1" x14ac:dyDescent="0.3">
      <c r="A1865" s="24" t="s">
        <v>23</v>
      </c>
      <c r="B1865" s="24" t="s">
        <v>2006</v>
      </c>
      <c r="C1865" s="12" t="s">
        <v>2007</v>
      </c>
      <c r="D1865" s="61"/>
      <c r="E1865" s="41" t="str">
        <f>HYPERLINK("https://www.google.ru/search?q=3025527-001&amp;newwindow=1&amp;tbm=isch","Еще фото")</f>
        <v>Еще фото</v>
      </c>
      <c r="F1865" s="28" t="s">
        <v>138</v>
      </c>
      <c r="G1865" s="24" t="s">
        <v>1184</v>
      </c>
      <c r="H1865" s="24" t="s">
        <v>741</v>
      </c>
      <c r="I1865" s="24" t="s">
        <v>1185</v>
      </c>
      <c r="J1865" s="14" t="s">
        <v>29</v>
      </c>
      <c r="K1865" s="15" t="s">
        <v>30</v>
      </c>
      <c r="L1865" s="58"/>
      <c r="M1865" s="14" t="s">
        <v>1194</v>
      </c>
      <c r="N1865" s="14" t="s">
        <v>33</v>
      </c>
      <c r="O1865" s="14"/>
      <c r="P1865" s="15" t="s">
        <v>1578</v>
      </c>
      <c r="Q1865" s="16">
        <v>11999</v>
      </c>
      <c r="R1865" s="17">
        <v>40</v>
      </c>
      <c r="S1865" s="18">
        <v>8279.31</v>
      </c>
      <c r="T1865" s="19" t="s">
        <v>36</v>
      </c>
      <c r="U1865" s="20" t="s">
        <v>755</v>
      </c>
      <c r="V1865" s="34">
        <v>44.5</v>
      </c>
      <c r="W1865" s="22">
        <v>1</v>
      </c>
      <c r="X1865" s="23"/>
    </row>
    <row r="1866" spans="1:24" s="1" customFormat="1" ht="35" customHeight="1" x14ac:dyDescent="0.3">
      <c r="A1866" s="11" t="s">
        <v>23</v>
      </c>
      <c r="B1866" s="11" t="s">
        <v>2008</v>
      </c>
      <c r="C1866" s="12" t="s">
        <v>2009</v>
      </c>
      <c r="D1866" s="59"/>
      <c r="E1866" s="41" t="str">
        <f>HYPERLINK("https://www.google.ru/search?q=3025852-501&amp;newwindow=1&amp;tbm=isch","Еще фото")</f>
        <v>Еще фото</v>
      </c>
      <c r="F1866" s="13"/>
      <c r="G1866" s="11" t="s">
        <v>1184</v>
      </c>
      <c r="H1866" s="11" t="s">
        <v>741</v>
      </c>
      <c r="I1866" s="14" t="s">
        <v>1185</v>
      </c>
      <c r="J1866" s="14" t="s">
        <v>674</v>
      </c>
      <c r="K1866" s="15" t="s">
        <v>723</v>
      </c>
      <c r="L1866" s="57" t="s">
        <v>1764</v>
      </c>
      <c r="M1866" s="14" t="s">
        <v>1765</v>
      </c>
      <c r="N1866" s="14" t="s">
        <v>115</v>
      </c>
      <c r="O1866" s="14"/>
      <c r="P1866" s="15" t="s">
        <v>1279</v>
      </c>
      <c r="Q1866" s="16">
        <v>18999</v>
      </c>
      <c r="R1866" s="17">
        <v>40</v>
      </c>
      <c r="S1866" s="18">
        <v>13109.309999999998</v>
      </c>
      <c r="T1866" s="19" t="s">
        <v>36</v>
      </c>
      <c r="U1866" s="20" t="s">
        <v>1203</v>
      </c>
      <c r="V1866" s="34">
        <v>37.5</v>
      </c>
      <c r="W1866" s="22">
        <v>1</v>
      </c>
      <c r="X1866" s="23"/>
    </row>
    <row r="1867" spans="1:24" s="1" customFormat="1" ht="35" customHeight="1" x14ac:dyDescent="0.3">
      <c r="A1867" s="24" t="s">
        <v>23</v>
      </c>
      <c r="B1867" s="24" t="s">
        <v>2008</v>
      </c>
      <c r="C1867" s="12" t="s">
        <v>2009</v>
      </c>
      <c r="D1867" s="60"/>
      <c r="E1867" s="41" t="str">
        <f>HYPERLINK("https://www.google.ru/search?q=3025852-501&amp;newwindow=1&amp;tbm=isch","Еще фото")</f>
        <v>Еще фото</v>
      </c>
      <c r="F1867" s="13"/>
      <c r="G1867" s="24" t="s">
        <v>1184</v>
      </c>
      <c r="H1867" s="24" t="s">
        <v>741</v>
      </c>
      <c r="I1867" s="24" t="s">
        <v>1185</v>
      </c>
      <c r="J1867" s="14" t="s">
        <v>674</v>
      </c>
      <c r="K1867" s="15" t="s">
        <v>723</v>
      </c>
      <c r="L1867" s="62"/>
      <c r="M1867" s="14" t="s">
        <v>1765</v>
      </c>
      <c r="N1867" s="14" t="s">
        <v>115</v>
      </c>
      <c r="O1867" s="14"/>
      <c r="P1867" s="15" t="s">
        <v>1279</v>
      </c>
      <c r="Q1867" s="16">
        <v>18999</v>
      </c>
      <c r="R1867" s="17">
        <v>40</v>
      </c>
      <c r="S1867" s="18">
        <v>13109.309999999998</v>
      </c>
      <c r="T1867" s="19" t="s">
        <v>36</v>
      </c>
      <c r="U1867" s="20" t="s">
        <v>749</v>
      </c>
      <c r="V1867" s="22">
        <v>41</v>
      </c>
      <c r="W1867" s="22">
        <v>1</v>
      </c>
      <c r="X1867" s="23"/>
    </row>
    <row r="1868" spans="1:24" s="1" customFormat="1" ht="37.049999999999997" customHeight="1" x14ac:dyDescent="0.3">
      <c r="A1868" s="24" t="s">
        <v>23</v>
      </c>
      <c r="B1868" s="24" t="s">
        <v>2008</v>
      </c>
      <c r="C1868" s="12" t="s">
        <v>2009</v>
      </c>
      <c r="D1868" s="61"/>
      <c r="E1868" s="41" t="str">
        <f>HYPERLINK("https://www.google.ru/search?q=3025852-501&amp;newwindow=1&amp;tbm=isch","Еще фото")</f>
        <v>Еще фото</v>
      </c>
      <c r="F1868" s="13"/>
      <c r="G1868" s="24" t="s">
        <v>1184</v>
      </c>
      <c r="H1868" s="24" t="s">
        <v>741</v>
      </c>
      <c r="I1868" s="24" t="s">
        <v>1185</v>
      </c>
      <c r="J1868" s="14" t="s">
        <v>674</v>
      </c>
      <c r="K1868" s="15" t="s">
        <v>723</v>
      </c>
      <c r="L1868" s="58"/>
      <c r="M1868" s="14" t="s">
        <v>1765</v>
      </c>
      <c r="N1868" s="14" t="s">
        <v>115</v>
      </c>
      <c r="O1868" s="14"/>
      <c r="P1868" s="15" t="s">
        <v>1279</v>
      </c>
      <c r="Q1868" s="16">
        <v>18999</v>
      </c>
      <c r="R1868" s="17">
        <v>40</v>
      </c>
      <c r="S1868" s="18">
        <v>13109.309999999998</v>
      </c>
      <c r="T1868" s="19" t="s">
        <v>36</v>
      </c>
      <c r="U1868" s="20" t="s">
        <v>750</v>
      </c>
      <c r="V1868" s="34">
        <v>41.5</v>
      </c>
      <c r="W1868" s="22">
        <v>1</v>
      </c>
      <c r="X1868" s="23"/>
    </row>
    <row r="1869" spans="1:24" s="1" customFormat="1" ht="108" customHeight="1" x14ac:dyDescent="0.3">
      <c r="A1869" s="11" t="s">
        <v>23</v>
      </c>
      <c r="B1869" s="11" t="s">
        <v>1712</v>
      </c>
      <c r="C1869" s="12" t="s">
        <v>2010</v>
      </c>
      <c r="D1869" s="25"/>
      <c r="E1869" s="41" t="str">
        <f>HYPERLINK("https://www.google.ru/search?q=3026017-004&amp;newwindow=1&amp;tbm=isch","Еще фото")</f>
        <v>Еще фото</v>
      </c>
      <c r="F1869" s="13" t="s">
        <v>103</v>
      </c>
      <c r="G1869" s="11" t="s">
        <v>1184</v>
      </c>
      <c r="H1869" s="11" t="s">
        <v>741</v>
      </c>
      <c r="I1869" s="14" t="s">
        <v>1185</v>
      </c>
      <c r="J1869" s="14" t="s">
        <v>29</v>
      </c>
      <c r="K1869" s="15" t="s">
        <v>30</v>
      </c>
      <c r="L1869" s="14" t="s">
        <v>1714</v>
      </c>
      <c r="M1869" s="14"/>
      <c r="N1869" s="14" t="s">
        <v>33</v>
      </c>
      <c r="O1869" s="14"/>
      <c r="P1869" s="15" t="s">
        <v>2011</v>
      </c>
      <c r="Q1869" s="16">
        <v>10599</v>
      </c>
      <c r="R1869" s="17">
        <v>40</v>
      </c>
      <c r="S1869" s="18">
        <v>7313.3099999999986</v>
      </c>
      <c r="T1869" s="19" t="s">
        <v>36</v>
      </c>
      <c r="U1869" s="20" t="s">
        <v>753</v>
      </c>
      <c r="V1869" s="34">
        <v>43.5</v>
      </c>
      <c r="W1869" s="22">
        <v>3</v>
      </c>
      <c r="X1869" s="23"/>
    </row>
    <row r="1870" spans="1:24" s="1" customFormat="1" ht="52.05" customHeight="1" x14ac:dyDescent="0.3">
      <c r="A1870" s="11" t="s">
        <v>23</v>
      </c>
      <c r="B1870" s="11" t="s">
        <v>2012</v>
      </c>
      <c r="C1870" s="12" t="s">
        <v>2013</v>
      </c>
      <c r="D1870" s="55"/>
      <c r="E1870" s="41" t="str">
        <f>HYPERLINK("https://www.google.ru/search?q=3026121-005&amp;newwindow=1&amp;tbm=isch","Еще фото")</f>
        <v>Еще фото</v>
      </c>
      <c r="F1870" s="13"/>
      <c r="G1870" s="11" t="s">
        <v>1184</v>
      </c>
      <c r="H1870" s="11" t="s">
        <v>741</v>
      </c>
      <c r="I1870" s="14" t="s">
        <v>1185</v>
      </c>
      <c r="J1870" s="14" t="s">
        <v>29</v>
      </c>
      <c r="K1870" s="15" t="s">
        <v>30</v>
      </c>
      <c r="L1870" s="57" t="s">
        <v>2014</v>
      </c>
      <c r="M1870" s="14" t="s">
        <v>1211</v>
      </c>
      <c r="N1870" s="14" t="s">
        <v>2015</v>
      </c>
      <c r="O1870" s="14"/>
      <c r="P1870" s="15" t="s">
        <v>2016</v>
      </c>
      <c r="Q1870" s="16">
        <v>18999</v>
      </c>
      <c r="R1870" s="17">
        <v>40</v>
      </c>
      <c r="S1870" s="18">
        <v>13109.309999999998</v>
      </c>
      <c r="T1870" s="19" t="s">
        <v>36</v>
      </c>
      <c r="U1870" s="20" t="s">
        <v>747</v>
      </c>
      <c r="V1870" s="34">
        <v>39.5</v>
      </c>
      <c r="W1870" s="22">
        <v>1</v>
      </c>
      <c r="X1870" s="23"/>
    </row>
    <row r="1871" spans="1:24" s="1" customFormat="1" ht="61.05" customHeight="1" x14ac:dyDescent="0.3">
      <c r="A1871" s="24" t="s">
        <v>23</v>
      </c>
      <c r="B1871" s="24" t="s">
        <v>2012</v>
      </c>
      <c r="C1871" s="12" t="s">
        <v>2013</v>
      </c>
      <c r="D1871" s="56"/>
      <c r="E1871" s="41" t="str">
        <f>HYPERLINK("https://www.google.ru/search?q=3026121-005&amp;newwindow=1&amp;tbm=isch","Еще фото")</f>
        <v>Еще фото</v>
      </c>
      <c r="F1871" s="13"/>
      <c r="G1871" s="24" t="s">
        <v>1184</v>
      </c>
      <c r="H1871" s="24" t="s">
        <v>741</v>
      </c>
      <c r="I1871" s="24" t="s">
        <v>1185</v>
      </c>
      <c r="J1871" s="14" t="s">
        <v>29</v>
      </c>
      <c r="K1871" s="15" t="s">
        <v>30</v>
      </c>
      <c r="L1871" s="58"/>
      <c r="M1871" s="14" t="s">
        <v>1211</v>
      </c>
      <c r="N1871" s="14" t="s">
        <v>2015</v>
      </c>
      <c r="O1871" s="14"/>
      <c r="P1871" s="15" t="s">
        <v>2016</v>
      </c>
      <c r="Q1871" s="16">
        <v>18999</v>
      </c>
      <c r="R1871" s="17">
        <v>40</v>
      </c>
      <c r="S1871" s="18">
        <v>13109.309999999998</v>
      </c>
      <c r="T1871" s="19" t="s">
        <v>36</v>
      </c>
      <c r="U1871" s="20" t="s">
        <v>751</v>
      </c>
      <c r="V1871" s="22">
        <v>42</v>
      </c>
      <c r="W1871" s="22">
        <v>5</v>
      </c>
      <c r="X1871" s="23"/>
    </row>
    <row r="1872" spans="1:24" s="1" customFormat="1" ht="52.05" customHeight="1" x14ac:dyDescent="0.3">
      <c r="A1872" s="11" t="s">
        <v>23</v>
      </c>
      <c r="B1872" s="11" t="s">
        <v>2017</v>
      </c>
      <c r="C1872" s="12" t="s">
        <v>2018</v>
      </c>
      <c r="D1872" s="55"/>
      <c r="E1872" s="41" t="str">
        <f>HYPERLINK("https://www.google.ru/search?q=3026121-300&amp;newwindow=1&amp;tbm=isch","Еще фото")</f>
        <v>Еще фото</v>
      </c>
      <c r="F1872" s="13"/>
      <c r="G1872" s="11" t="s">
        <v>1184</v>
      </c>
      <c r="H1872" s="11" t="s">
        <v>741</v>
      </c>
      <c r="I1872" s="14" t="s">
        <v>1185</v>
      </c>
      <c r="J1872" s="14" t="s">
        <v>29</v>
      </c>
      <c r="K1872" s="15" t="s">
        <v>30</v>
      </c>
      <c r="L1872" s="57" t="s">
        <v>2014</v>
      </c>
      <c r="M1872" s="14" t="s">
        <v>1211</v>
      </c>
      <c r="N1872" s="14" t="s">
        <v>871</v>
      </c>
      <c r="O1872" s="14"/>
      <c r="P1872" s="15" t="s">
        <v>2019</v>
      </c>
      <c r="Q1872" s="16">
        <v>18999</v>
      </c>
      <c r="R1872" s="17">
        <v>40</v>
      </c>
      <c r="S1872" s="18">
        <v>13109.309999999998</v>
      </c>
      <c r="T1872" s="19" t="s">
        <v>36</v>
      </c>
      <c r="U1872" s="20" t="s">
        <v>747</v>
      </c>
      <c r="V1872" s="34">
        <v>39.5</v>
      </c>
      <c r="W1872" s="22">
        <v>1</v>
      </c>
      <c r="X1872" s="23"/>
    </row>
    <row r="1873" spans="1:24" s="1" customFormat="1" ht="61.05" customHeight="1" x14ac:dyDescent="0.3">
      <c r="A1873" s="24" t="s">
        <v>23</v>
      </c>
      <c r="B1873" s="24" t="s">
        <v>2017</v>
      </c>
      <c r="C1873" s="12" t="s">
        <v>2018</v>
      </c>
      <c r="D1873" s="56"/>
      <c r="E1873" s="41" t="str">
        <f>HYPERLINK("https://www.google.ru/search?q=3026121-300&amp;newwindow=1&amp;tbm=isch","Еще фото")</f>
        <v>Еще фото</v>
      </c>
      <c r="F1873" s="13"/>
      <c r="G1873" s="24" t="s">
        <v>1184</v>
      </c>
      <c r="H1873" s="24" t="s">
        <v>741</v>
      </c>
      <c r="I1873" s="24" t="s">
        <v>1185</v>
      </c>
      <c r="J1873" s="14" t="s">
        <v>29</v>
      </c>
      <c r="K1873" s="15" t="s">
        <v>30</v>
      </c>
      <c r="L1873" s="58"/>
      <c r="M1873" s="14" t="s">
        <v>1211</v>
      </c>
      <c r="N1873" s="14" t="s">
        <v>871</v>
      </c>
      <c r="O1873" s="14"/>
      <c r="P1873" s="15" t="s">
        <v>2019</v>
      </c>
      <c r="Q1873" s="16">
        <v>18999</v>
      </c>
      <c r="R1873" s="17">
        <v>40</v>
      </c>
      <c r="S1873" s="18">
        <v>13109.309999999998</v>
      </c>
      <c r="T1873" s="19" t="s">
        <v>36</v>
      </c>
      <c r="U1873" s="20" t="s">
        <v>748</v>
      </c>
      <c r="V1873" s="22">
        <v>40</v>
      </c>
      <c r="W1873" s="22">
        <v>1</v>
      </c>
      <c r="X1873" s="23"/>
    </row>
    <row r="1874" spans="1:24" s="1" customFormat="1" ht="52.05" customHeight="1" x14ac:dyDescent="0.3">
      <c r="A1874" s="11" t="s">
        <v>23</v>
      </c>
      <c r="B1874" s="11" t="s">
        <v>2020</v>
      </c>
      <c r="C1874" s="12" t="s">
        <v>2021</v>
      </c>
      <c r="D1874" s="55"/>
      <c r="E1874" s="41" t="str">
        <f>HYPERLINK("https://www.google.ru/search?q=3026121-800&amp;newwindow=1&amp;tbm=isch","Еще фото")</f>
        <v>Еще фото</v>
      </c>
      <c r="F1874" s="13"/>
      <c r="G1874" s="11" t="s">
        <v>1184</v>
      </c>
      <c r="H1874" s="11" t="s">
        <v>741</v>
      </c>
      <c r="I1874" s="14" t="s">
        <v>1185</v>
      </c>
      <c r="J1874" s="14" t="s">
        <v>29</v>
      </c>
      <c r="K1874" s="15" t="s">
        <v>30</v>
      </c>
      <c r="L1874" s="57" t="s">
        <v>2014</v>
      </c>
      <c r="M1874" s="14" t="s">
        <v>1211</v>
      </c>
      <c r="N1874" s="14" t="s">
        <v>2022</v>
      </c>
      <c r="O1874" s="14"/>
      <c r="P1874" s="15" t="s">
        <v>2019</v>
      </c>
      <c r="Q1874" s="16">
        <v>18999</v>
      </c>
      <c r="R1874" s="17">
        <v>40</v>
      </c>
      <c r="S1874" s="18">
        <v>13109.309999999998</v>
      </c>
      <c r="T1874" s="19" t="s">
        <v>36</v>
      </c>
      <c r="U1874" s="20" t="s">
        <v>750</v>
      </c>
      <c r="V1874" s="34">
        <v>41.5</v>
      </c>
      <c r="W1874" s="22">
        <v>4</v>
      </c>
      <c r="X1874" s="23"/>
    </row>
    <row r="1875" spans="1:24" s="1" customFormat="1" ht="61.05" customHeight="1" x14ac:dyDescent="0.3">
      <c r="A1875" s="24" t="s">
        <v>23</v>
      </c>
      <c r="B1875" s="24" t="s">
        <v>2020</v>
      </c>
      <c r="C1875" s="12" t="s">
        <v>2021</v>
      </c>
      <c r="D1875" s="56"/>
      <c r="E1875" s="41" t="str">
        <f>HYPERLINK("https://www.google.ru/search?q=3026121-800&amp;newwindow=1&amp;tbm=isch","Еще фото")</f>
        <v>Еще фото</v>
      </c>
      <c r="F1875" s="13"/>
      <c r="G1875" s="24" t="s">
        <v>1184</v>
      </c>
      <c r="H1875" s="24" t="s">
        <v>741</v>
      </c>
      <c r="I1875" s="24" t="s">
        <v>1185</v>
      </c>
      <c r="J1875" s="14" t="s">
        <v>29</v>
      </c>
      <c r="K1875" s="15" t="s">
        <v>30</v>
      </c>
      <c r="L1875" s="58"/>
      <c r="M1875" s="14" t="s">
        <v>1211</v>
      </c>
      <c r="N1875" s="14" t="s">
        <v>2022</v>
      </c>
      <c r="O1875" s="14"/>
      <c r="P1875" s="15" t="s">
        <v>2019</v>
      </c>
      <c r="Q1875" s="16">
        <v>18999</v>
      </c>
      <c r="R1875" s="17">
        <v>40</v>
      </c>
      <c r="S1875" s="18">
        <v>13109.309999999998</v>
      </c>
      <c r="T1875" s="19" t="s">
        <v>36</v>
      </c>
      <c r="U1875" s="20" t="s">
        <v>753</v>
      </c>
      <c r="V1875" s="34">
        <v>43.5</v>
      </c>
      <c r="W1875" s="22">
        <v>2</v>
      </c>
      <c r="X1875" s="23"/>
    </row>
    <row r="1876" spans="1:24" s="1" customFormat="1" ht="35" customHeight="1" x14ac:dyDescent="0.3">
      <c r="A1876" s="11" t="s">
        <v>23</v>
      </c>
      <c r="B1876" s="11" t="s">
        <v>2023</v>
      </c>
      <c r="C1876" s="12" t="s">
        <v>2024</v>
      </c>
      <c r="D1876" s="59"/>
      <c r="E1876" s="41" t="str">
        <f>HYPERLINK("https://www.google.ru/search?q=3026121-802&amp;newwindow=1&amp;tbm=isch","Еще фото")</f>
        <v>Еще фото</v>
      </c>
      <c r="F1876" s="28" t="s">
        <v>138</v>
      </c>
      <c r="G1876" s="11" t="s">
        <v>1184</v>
      </c>
      <c r="H1876" s="11" t="s">
        <v>741</v>
      </c>
      <c r="I1876" s="14" t="s">
        <v>1185</v>
      </c>
      <c r="J1876" s="14" t="s">
        <v>29</v>
      </c>
      <c r="K1876" s="15" t="s">
        <v>30</v>
      </c>
      <c r="L1876" s="57" t="s">
        <v>2014</v>
      </c>
      <c r="M1876" s="14" t="s">
        <v>1211</v>
      </c>
      <c r="N1876" s="14" t="s">
        <v>2005</v>
      </c>
      <c r="O1876" s="14"/>
      <c r="P1876" s="15" t="s">
        <v>2025</v>
      </c>
      <c r="Q1876" s="16">
        <v>18999</v>
      </c>
      <c r="R1876" s="17">
        <v>40</v>
      </c>
      <c r="S1876" s="18">
        <v>13109.309999999998</v>
      </c>
      <c r="T1876" s="19" t="s">
        <v>36</v>
      </c>
      <c r="U1876" s="20" t="s">
        <v>748</v>
      </c>
      <c r="V1876" s="22">
        <v>40</v>
      </c>
      <c r="W1876" s="22">
        <v>1</v>
      </c>
      <c r="X1876" s="23"/>
    </row>
    <row r="1877" spans="1:24" s="1" customFormat="1" ht="35" customHeight="1" x14ac:dyDescent="0.3">
      <c r="A1877" s="24" t="s">
        <v>23</v>
      </c>
      <c r="B1877" s="24" t="s">
        <v>2023</v>
      </c>
      <c r="C1877" s="12" t="s">
        <v>2024</v>
      </c>
      <c r="D1877" s="60"/>
      <c r="E1877" s="41" t="str">
        <f>HYPERLINK("https://www.google.ru/search?q=3026121-802&amp;newwindow=1&amp;tbm=isch","Еще фото")</f>
        <v>Еще фото</v>
      </c>
      <c r="F1877" s="28" t="s">
        <v>138</v>
      </c>
      <c r="G1877" s="24" t="s">
        <v>1184</v>
      </c>
      <c r="H1877" s="24" t="s">
        <v>741</v>
      </c>
      <c r="I1877" s="24" t="s">
        <v>1185</v>
      </c>
      <c r="J1877" s="14" t="s">
        <v>29</v>
      </c>
      <c r="K1877" s="15" t="s">
        <v>30</v>
      </c>
      <c r="L1877" s="62"/>
      <c r="M1877" s="14" t="s">
        <v>1211</v>
      </c>
      <c r="N1877" s="14" t="s">
        <v>2005</v>
      </c>
      <c r="O1877" s="14"/>
      <c r="P1877" s="15" t="s">
        <v>2025</v>
      </c>
      <c r="Q1877" s="16">
        <v>18999</v>
      </c>
      <c r="R1877" s="17">
        <v>40</v>
      </c>
      <c r="S1877" s="18">
        <v>13109.309999999998</v>
      </c>
      <c r="T1877" s="19" t="s">
        <v>36</v>
      </c>
      <c r="U1877" s="20" t="s">
        <v>749</v>
      </c>
      <c r="V1877" s="22">
        <v>41</v>
      </c>
      <c r="W1877" s="22">
        <v>4</v>
      </c>
      <c r="X1877" s="23"/>
    </row>
    <row r="1878" spans="1:24" s="1" customFormat="1" ht="37.049999999999997" customHeight="1" x14ac:dyDescent="0.3">
      <c r="A1878" s="24" t="s">
        <v>23</v>
      </c>
      <c r="B1878" s="24" t="s">
        <v>2023</v>
      </c>
      <c r="C1878" s="12" t="s">
        <v>2024</v>
      </c>
      <c r="D1878" s="61"/>
      <c r="E1878" s="41" t="str">
        <f>HYPERLINK("https://www.google.ru/search?q=3026121-802&amp;newwindow=1&amp;tbm=isch","Еще фото")</f>
        <v>Еще фото</v>
      </c>
      <c r="F1878" s="28" t="s">
        <v>138</v>
      </c>
      <c r="G1878" s="24" t="s">
        <v>1184</v>
      </c>
      <c r="H1878" s="24" t="s">
        <v>741</v>
      </c>
      <c r="I1878" s="24" t="s">
        <v>1185</v>
      </c>
      <c r="J1878" s="14" t="s">
        <v>29</v>
      </c>
      <c r="K1878" s="15" t="s">
        <v>30</v>
      </c>
      <c r="L1878" s="58"/>
      <c r="M1878" s="14" t="s">
        <v>1211</v>
      </c>
      <c r="N1878" s="14" t="s">
        <v>2005</v>
      </c>
      <c r="O1878" s="14"/>
      <c r="P1878" s="15" t="s">
        <v>2025</v>
      </c>
      <c r="Q1878" s="16">
        <v>18999</v>
      </c>
      <c r="R1878" s="17">
        <v>40</v>
      </c>
      <c r="S1878" s="18">
        <v>13109.309999999998</v>
      </c>
      <c r="T1878" s="19" t="s">
        <v>36</v>
      </c>
      <c r="U1878" s="20" t="s">
        <v>750</v>
      </c>
      <c r="V1878" s="34">
        <v>41.5</v>
      </c>
      <c r="W1878" s="22">
        <v>4</v>
      </c>
      <c r="X1878" s="23"/>
    </row>
    <row r="1879" spans="1:24" s="1" customFormat="1" ht="26" customHeight="1" x14ac:dyDescent="0.3">
      <c r="A1879" s="11" t="s">
        <v>23</v>
      </c>
      <c r="B1879" s="11" t="s">
        <v>1449</v>
      </c>
      <c r="C1879" s="12" t="s">
        <v>2026</v>
      </c>
      <c r="D1879" s="59"/>
      <c r="E1879" s="41" t="str">
        <f>HYPERLINK("https://www.google.ru/search?q=3026135-002&amp;newwindow=1&amp;tbm=isch","Еще фото")</f>
        <v>Еще фото</v>
      </c>
      <c r="F1879" s="13" t="s">
        <v>152</v>
      </c>
      <c r="G1879" s="11" t="s">
        <v>1184</v>
      </c>
      <c r="H1879" s="11" t="s">
        <v>741</v>
      </c>
      <c r="I1879" s="14" t="s">
        <v>1185</v>
      </c>
      <c r="J1879" s="14" t="s">
        <v>29</v>
      </c>
      <c r="K1879" s="15" t="s">
        <v>30</v>
      </c>
      <c r="L1879" s="57" t="s">
        <v>2027</v>
      </c>
      <c r="M1879" s="14" t="s">
        <v>1194</v>
      </c>
      <c r="N1879" s="14" t="s">
        <v>33</v>
      </c>
      <c r="O1879" s="14"/>
      <c r="P1879" s="15" t="s">
        <v>2028</v>
      </c>
      <c r="Q1879" s="16">
        <v>14499</v>
      </c>
      <c r="R1879" s="17">
        <v>40</v>
      </c>
      <c r="S1879" s="18">
        <v>10004.31</v>
      </c>
      <c r="T1879" s="19" t="s">
        <v>36</v>
      </c>
      <c r="U1879" s="20" t="s">
        <v>747</v>
      </c>
      <c r="V1879" s="34">
        <v>39.5</v>
      </c>
      <c r="W1879" s="22">
        <v>1</v>
      </c>
      <c r="X1879" s="23"/>
    </row>
    <row r="1880" spans="1:24" s="1" customFormat="1" ht="26" customHeight="1" x14ac:dyDescent="0.3">
      <c r="A1880" s="24" t="s">
        <v>23</v>
      </c>
      <c r="B1880" s="24" t="s">
        <v>1449</v>
      </c>
      <c r="C1880" s="12" t="s">
        <v>2026</v>
      </c>
      <c r="D1880" s="60"/>
      <c r="E1880" s="41" t="str">
        <f>HYPERLINK("https://www.google.ru/search?q=3026135-002&amp;newwindow=1&amp;tbm=isch","Еще фото")</f>
        <v>Еще фото</v>
      </c>
      <c r="F1880" s="13" t="s">
        <v>152</v>
      </c>
      <c r="G1880" s="24" t="s">
        <v>1184</v>
      </c>
      <c r="H1880" s="24" t="s">
        <v>741</v>
      </c>
      <c r="I1880" s="24" t="s">
        <v>1185</v>
      </c>
      <c r="J1880" s="14" t="s">
        <v>29</v>
      </c>
      <c r="K1880" s="15" t="s">
        <v>30</v>
      </c>
      <c r="L1880" s="62"/>
      <c r="M1880" s="14" t="s">
        <v>1194</v>
      </c>
      <c r="N1880" s="14" t="s">
        <v>33</v>
      </c>
      <c r="O1880" s="14"/>
      <c r="P1880" s="15" t="s">
        <v>2028</v>
      </c>
      <c r="Q1880" s="16">
        <v>14499</v>
      </c>
      <c r="R1880" s="17">
        <v>40</v>
      </c>
      <c r="S1880" s="18">
        <v>10004.31</v>
      </c>
      <c r="T1880" s="19" t="s">
        <v>36</v>
      </c>
      <c r="U1880" s="20" t="s">
        <v>748</v>
      </c>
      <c r="V1880" s="22">
        <v>40</v>
      </c>
      <c r="W1880" s="22">
        <v>1</v>
      </c>
      <c r="X1880" s="23"/>
    </row>
    <row r="1881" spans="1:24" s="1" customFormat="1" ht="26" customHeight="1" x14ac:dyDescent="0.3">
      <c r="A1881" s="24" t="s">
        <v>23</v>
      </c>
      <c r="B1881" s="24" t="s">
        <v>1449</v>
      </c>
      <c r="C1881" s="12" t="s">
        <v>2026</v>
      </c>
      <c r="D1881" s="60"/>
      <c r="E1881" s="41" t="str">
        <f>HYPERLINK("https://www.google.ru/search?q=3026135-002&amp;newwindow=1&amp;tbm=isch","Еще фото")</f>
        <v>Еще фото</v>
      </c>
      <c r="F1881" s="13" t="s">
        <v>152</v>
      </c>
      <c r="G1881" s="24" t="s">
        <v>1184</v>
      </c>
      <c r="H1881" s="24" t="s">
        <v>741</v>
      </c>
      <c r="I1881" s="24" t="s">
        <v>1185</v>
      </c>
      <c r="J1881" s="14" t="s">
        <v>29</v>
      </c>
      <c r="K1881" s="15" t="s">
        <v>30</v>
      </c>
      <c r="L1881" s="62"/>
      <c r="M1881" s="14" t="s">
        <v>1194</v>
      </c>
      <c r="N1881" s="14" t="s">
        <v>33</v>
      </c>
      <c r="O1881" s="14"/>
      <c r="P1881" s="15" t="s">
        <v>2028</v>
      </c>
      <c r="Q1881" s="16">
        <v>14499</v>
      </c>
      <c r="R1881" s="17">
        <v>40</v>
      </c>
      <c r="S1881" s="18">
        <v>10004.31</v>
      </c>
      <c r="T1881" s="19" t="s">
        <v>36</v>
      </c>
      <c r="U1881" s="20" t="s">
        <v>749</v>
      </c>
      <c r="V1881" s="22">
        <v>41</v>
      </c>
      <c r="W1881" s="22">
        <v>1</v>
      </c>
      <c r="X1881" s="23"/>
    </row>
    <row r="1882" spans="1:24" s="1" customFormat="1" ht="26" customHeight="1" x14ac:dyDescent="0.3">
      <c r="A1882" s="24" t="s">
        <v>23</v>
      </c>
      <c r="B1882" s="24" t="s">
        <v>1449</v>
      </c>
      <c r="C1882" s="12" t="s">
        <v>2026</v>
      </c>
      <c r="D1882" s="61"/>
      <c r="E1882" s="41" t="str">
        <f>HYPERLINK("https://www.google.ru/search?q=3026135-002&amp;newwindow=1&amp;tbm=isch","Еще фото")</f>
        <v>Еще фото</v>
      </c>
      <c r="F1882" s="13" t="s">
        <v>152</v>
      </c>
      <c r="G1882" s="24" t="s">
        <v>1184</v>
      </c>
      <c r="H1882" s="24" t="s">
        <v>741</v>
      </c>
      <c r="I1882" s="24" t="s">
        <v>1185</v>
      </c>
      <c r="J1882" s="14" t="s">
        <v>29</v>
      </c>
      <c r="K1882" s="15" t="s">
        <v>30</v>
      </c>
      <c r="L1882" s="58"/>
      <c r="M1882" s="14" t="s">
        <v>1194</v>
      </c>
      <c r="N1882" s="14" t="s">
        <v>33</v>
      </c>
      <c r="O1882" s="14"/>
      <c r="P1882" s="15" t="s">
        <v>2028</v>
      </c>
      <c r="Q1882" s="16">
        <v>14499</v>
      </c>
      <c r="R1882" s="17">
        <v>40</v>
      </c>
      <c r="S1882" s="18">
        <v>10004.31</v>
      </c>
      <c r="T1882" s="19" t="s">
        <v>36</v>
      </c>
      <c r="U1882" s="20" t="s">
        <v>750</v>
      </c>
      <c r="V1882" s="34">
        <v>41.5</v>
      </c>
      <c r="W1882" s="22">
        <v>2</v>
      </c>
      <c r="X1882" s="23"/>
    </row>
    <row r="1883" spans="1:24" s="1" customFormat="1" ht="108" customHeight="1" x14ac:dyDescent="0.3">
      <c r="A1883" s="11" t="s">
        <v>23</v>
      </c>
      <c r="B1883" s="11" t="s">
        <v>2029</v>
      </c>
      <c r="C1883" s="12" t="s">
        <v>2030</v>
      </c>
      <c r="D1883" s="25"/>
      <c r="E1883" s="41" t="str">
        <f>HYPERLINK("https://www.google.ru/search?q=3026136-002&amp;newwindow=1&amp;tbm=isch","Еще фото")</f>
        <v>Еще фото</v>
      </c>
      <c r="F1883" s="13"/>
      <c r="G1883" s="11" t="s">
        <v>1184</v>
      </c>
      <c r="H1883" s="11" t="s">
        <v>741</v>
      </c>
      <c r="I1883" s="14" t="s">
        <v>1185</v>
      </c>
      <c r="J1883" s="14" t="s">
        <v>674</v>
      </c>
      <c r="K1883" s="15" t="s">
        <v>30</v>
      </c>
      <c r="L1883" s="14" t="s">
        <v>1627</v>
      </c>
      <c r="M1883" s="14" t="s">
        <v>1274</v>
      </c>
      <c r="N1883" s="14" t="s">
        <v>33</v>
      </c>
      <c r="O1883" s="14"/>
      <c r="P1883" s="15" t="s">
        <v>2031</v>
      </c>
      <c r="Q1883" s="16">
        <v>15999</v>
      </c>
      <c r="R1883" s="17">
        <v>40</v>
      </c>
      <c r="S1883" s="18">
        <v>11039.31</v>
      </c>
      <c r="T1883" s="19" t="s">
        <v>36</v>
      </c>
      <c r="U1883" s="20" t="s">
        <v>747</v>
      </c>
      <c r="V1883" s="34">
        <v>39.5</v>
      </c>
      <c r="W1883" s="22">
        <v>2</v>
      </c>
      <c r="X1883" s="23"/>
    </row>
    <row r="1884" spans="1:24" s="1" customFormat="1" ht="108" customHeight="1" x14ac:dyDescent="0.3">
      <c r="A1884" s="11" t="s">
        <v>23</v>
      </c>
      <c r="B1884" s="11" t="s">
        <v>2029</v>
      </c>
      <c r="C1884" s="12" t="s">
        <v>2032</v>
      </c>
      <c r="D1884" s="25"/>
      <c r="E1884" s="41" t="str">
        <f>HYPERLINK("https://www.google.ru/search?q=3026136-003&amp;newwindow=1&amp;tbm=isch","Еще фото")</f>
        <v>Еще фото</v>
      </c>
      <c r="F1884" s="13"/>
      <c r="G1884" s="11" t="s">
        <v>1184</v>
      </c>
      <c r="H1884" s="11" t="s">
        <v>741</v>
      </c>
      <c r="I1884" s="14" t="s">
        <v>1185</v>
      </c>
      <c r="J1884" s="14" t="s">
        <v>674</v>
      </c>
      <c r="K1884" s="15" t="s">
        <v>30</v>
      </c>
      <c r="L1884" s="14" t="s">
        <v>1627</v>
      </c>
      <c r="M1884" s="14" t="s">
        <v>1274</v>
      </c>
      <c r="N1884" s="14" t="s">
        <v>62</v>
      </c>
      <c r="O1884" s="14"/>
      <c r="P1884" s="15" t="s">
        <v>2031</v>
      </c>
      <c r="Q1884" s="16">
        <v>11999</v>
      </c>
      <c r="R1884" s="17">
        <v>40</v>
      </c>
      <c r="S1884" s="18">
        <v>8279.31</v>
      </c>
      <c r="T1884" s="19" t="s">
        <v>36</v>
      </c>
      <c r="U1884" s="20" t="s">
        <v>748</v>
      </c>
      <c r="V1884" s="22">
        <v>40</v>
      </c>
      <c r="W1884" s="22">
        <v>1</v>
      </c>
      <c r="X1884" s="23"/>
    </row>
    <row r="1885" spans="1:24" s="1" customFormat="1" ht="14" customHeight="1" x14ac:dyDescent="0.3">
      <c r="A1885" s="11" t="s">
        <v>23</v>
      </c>
      <c r="B1885" s="11" t="s">
        <v>2033</v>
      </c>
      <c r="C1885" s="12" t="s">
        <v>2034</v>
      </c>
      <c r="D1885" s="59"/>
      <c r="E1885" s="41" t="str">
        <f t="shared" ref="E1885:E1891" si="69">HYPERLINK("https://www.google.ru/search?q=3026136-602&amp;newwindow=1&amp;tbm=isch","Еще фото")</f>
        <v>Еще фото</v>
      </c>
      <c r="F1885" s="13"/>
      <c r="G1885" s="11" t="s">
        <v>1184</v>
      </c>
      <c r="H1885" s="11" t="s">
        <v>741</v>
      </c>
      <c r="I1885" s="14" t="s">
        <v>1185</v>
      </c>
      <c r="J1885" s="14" t="s">
        <v>674</v>
      </c>
      <c r="K1885" s="15" t="s">
        <v>30</v>
      </c>
      <c r="L1885" s="57" t="s">
        <v>1627</v>
      </c>
      <c r="M1885" s="14" t="s">
        <v>1274</v>
      </c>
      <c r="N1885" s="14" t="s">
        <v>382</v>
      </c>
      <c r="O1885" s="14"/>
      <c r="P1885" s="15" t="s">
        <v>2035</v>
      </c>
      <c r="Q1885" s="16">
        <v>15199</v>
      </c>
      <c r="R1885" s="17">
        <v>40</v>
      </c>
      <c r="S1885" s="18">
        <v>10487.31</v>
      </c>
      <c r="T1885" s="19" t="s">
        <v>36</v>
      </c>
      <c r="U1885" s="20" t="s">
        <v>747</v>
      </c>
      <c r="V1885" s="34">
        <v>39.5</v>
      </c>
      <c r="W1885" s="22">
        <v>2</v>
      </c>
      <c r="X1885" s="23"/>
    </row>
    <row r="1886" spans="1:24" s="1" customFormat="1" ht="14" customHeight="1" x14ac:dyDescent="0.3">
      <c r="A1886" s="24" t="s">
        <v>23</v>
      </c>
      <c r="B1886" s="24" t="s">
        <v>2033</v>
      </c>
      <c r="C1886" s="12" t="s">
        <v>2034</v>
      </c>
      <c r="D1886" s="60"/>
      <c r="E1886" s="41" t="str">
        <f t="shared" si="69"/>
        <v>Еще фото</v>
      </c>
      <c r="F1886" s="13"/>
      <c r="G1886" s="24" t="s">
        <v>1184</v>
      </c>
      <c r="H1886" s="24" t="s">
        <v>741</v>
      </c>
      <c r="I1886" s="24" t="s">
        <v>1185</v>
      </c>
      <c r="J1886" s="14" t="s">
        <v>674</v>
      </c>
      <c r="K1886" s="15" t="s">
        <v>30</v>
      </c>
      <c r="L1886" s="62"/>
      <c r="M1886" s="14" t="s">
        <v>1274</v>
      </c>
      <c r="N1886" s="14" t="s">
        <v>382</v>
      </c>
      <c r="O1886" s="14"/>
      <c r="P1886" s="15" t="s">
        <v>2035</v>
      </c>
      <c r="Q1886" s="16">
        <v>15199</v>
      </c>
      <c r="R1886" s="17">
        <v>40</v>
      </c>
      <c r="S1886" s="18">
        <v>10487.31</v>
      </c>
      <c r="T1886" s="19" t="s">
        <v>36</v>
      </c>
      <c r="U1886" s="20" t="s">
        <v>748</v>
      </c>
      <c r="V1886" s="22">
        <v>40</v>
      </c>
      <c r="W1886" s="22">
        <v>4</v>
      </c>
      <c r="X1886" s="23"/>
    </row>
    <row r="1887" spans="1:24" s="1" customFormat="1" ht="14" customHeight="1" x14ac:dyDescent="0.3">
      <c r="A1887" s="24" t="s">
        <v>23</v>
      </c>
      <c r="B1887" s="24" t="s">
        <v>2033</v>
      </c>
      <c r="C1887" s="12" t="s">
        <v>2034</v>
      </c>
      <c r="D1887" s="60"/>
      <c r="E1887" s="41" t="str">
        <f t="shared" si="69"/>
        <v>Еще фото</v>
      </c>
      <c r="F1887" s="13"/>
      <c r="G1887" s="24" t="s">
        <v>1184</v>
      </c>
      <c r="H1887" s="24" t="s">
        <v>741</v>
      </c>
      <c r="I1887" s="24" t="s">
        <v>1185</v>
      </c>
      <c r="J1887" s="14" t="s">
        <v>674</v>
      </c>
      <c r="K1887" s="15" t="s">
        <v>30</v>
      </c>
      <c r="L1887" s="62"/>
      <c r="M1887" s="14" t="s">
        <v>1274</v>
      </c>
      <c r="N1887" s="14" t="s">
        <v>382</v>
      </c>
      <c r="O1887" s="14"/>
      <c r="P1887" s="15" t="s">
        <v>2035</v>
      </c>
      <c r="Q1887" s="16">
        <v>15199</v>
      </c>
      <c r="R1887" s="17">
        <v>40</v>
      </c>
      <c r="S1887" s="18">
        <v>10487.31</v>
      </c>
      <c r="T1887" s="19" t="s">
        <v>36</v>
      </c>
      <c r="U1887" s="20" t="s">
        <v>749</v>
      </c>
      <c r="V1887" s="22">
        <v>41</v>
      </c>
      <c r="W1887" s="22">
        <v>2</v>
      </c>
      <c r="X1887" s="23"/>
    </row>
    <row r="1888" spans="1:24" s="1" customFormat="1" ht="14" customHeight="1" x14ac:dyDescent="0.3">
      <c r="A1888" s="24" t="s">
        <v>23</v>
      </c>
      <c r="B1888" s="24" t="s">
        <v>2033</v>
      </c>
      <c r="C1888" s="12" t="s">
        <v>2034</v>
      </c>
      <c r="D1888" s="60"/>
      <c r="E1888" s="41" t="str">
        <f t="shared" si="69"/>
        <v>Еще фото</v>
      </c>
      <c r="F1888" s="13"/>
      <c r="G1888" s="24" t="s">
        <v>1184</v>
      </c>
      <c r="H1888" s="24" t="s">
        <v>741</v>
      </c>
      <c r="I1888" s="24" t="s">
        <v>1185</v>
      </c>
      <c r="J1888" s="14" t="s">
        <v>674</v>
      </c>
      <c r="K1888" s="15" t="s">
        <v>30</v>
      </c>
      <c r="L1888" s="62"/>
      <c r="M1888" s="14" t="s">
        <v>1274</v>
      </c>
      <c r="N1888" s="14" t="s">
        <v>382</v>
      </c>
      <c r="O1888" s="14"/>
      <c r="P1888" s="15" t="s">
        <v>2035</v>
      </c>
      <c r="Q1888" s="16">
        <v>15199</v>
      </c>
      <c r="R1888" s="17">
        <v>40</v>
      </c>
      <c r="S1888" s="18">
        <v>10487.31</v>
      </c>
      <c r="T1888" s="19" t="s">
        <v>36</v>
      </c>
      <c r="U1888" s="20" t="s">
        <v>750</v>
      </c>
      <c r="V1888" s="34">
        <v>41.5</v>
      </c>
      <c r="W1888" s="22">
        <v>2</v>
      </c>
      <c r="X1888" s="23"/>
    </row>
    <row r="1889" spans="1:24" s="1" customFormat="1" ht="14" customHeight="1" x14ac:dyDescent="0.3">
      <c r="A1889" s="24" t="s">
        <v>23</v>
      </c>
      <c r="B1889" s="24" t="s">
        <v>2033</v>
      </c>
      <c r="C1889" s="12" t="s">
        <v>2034</v>
      </c>
      <c r="D1889" s="60"/>
      <c r="E1889" s="41" t="str">
        <f t="shared" si="69"/>
        <v>Еще фото</v>
      </c>
      <c r="F1889" s="13"/>
      <c r="G1889" s="24" t="s">
        <v>1184</v>
      </c>
      <c r="H1889" s="24" t="s">
        <v>741</v>
      </c>
      <c r="I1889" s="24" t="s">
        <v>1185</v>
      </c>
      <c r="J1889" s="14" t="s">
        <v>674</v>
      </c>
      <c r="K1889" s="15" t="s">
        <v>30</v>
      </c>
      <c r="L1889" s="62"/>
      <c r="M1889" s="14" t="s">
        <v>1274</v>
      </c>
      <c r="N1889" s="14" t="s">
        <v>382</v>
      </c>
      <c r="O1889" s="14"/>
      <c r="P1889" s="15" t="s">
        <v>2035</v>
      </c>
      <c r="Q1889" s="16">
        <v>15199</v>
      </c>
      <c r="R1889" s="17">
        <v>40</v>
      </c>
      <c r="S1889" s="18">
        <v>10487.31</v>
      </c>
      <c r="T1889" s="19" t="s">
        <v>36</v>
      </c>
      <c r="U1889" s="20" t="s">
        <v>751</v>
      </c>
      <c r="V1889" s="22">
        <v>42</v>
      </c>
      <c r="W1889" s="22">
        <v>4</v>
      </c>
      <c r="X1889" s="23"/>
    </row>
    <row r="1890" spans="1:24" s="1" customFormat="1" ht="14" customHeight="1" x14ac:dyDescent="0.3">
      <c r="A1890" s="24" t="s">
        <v>23</v>
      </c>
      <c r="B1890" s="24" t="s">
        <v>2033</v>
      </c>
      <c r="C1890" s="12" t="s">
        <v>2034</v>
      </c>
      <c r="D1890" s="60"/>
      <c r="E1890" s="41" t="str">
        <f t="shared" si="69"/>
        <v>Еще фото</v>
      </c>
      <c r="F1890" s="13"/>
      <c r="G1890" s="24" t="s">
        <v>1184</v>
      </c>
      <c r="H1890" s="24" t="s">
        <v>741</v>
      </c>
      <c r="I1890" s="24" t="s">
        <v>1185</v>
      </c>
      <c r="J1890" s="14" t="s">
        <v>674</v>
      </c>
      <c r="K1890" s="15" t="s">
        <v>30</v>
      </c>
      <c r="L1890" s="62"/>
      <c r="M1890" s="14" t="s">
        <v>1274</v>
      </c>
      <c r="N1890" s="14" t="s">
        <v>382</v>
      </c>
      <c r="O1890" s="14"/>
      <c r="P1890" s="15" t="s">
        <v>2035</v>
      </c>
      <c r="Q1890" s="16">
        <v>15199</v>
      </c>
      <c r="R1890" s="17">
        <v>40</v>
      </c>
      <c r="S1890" s="18">
        <v>10487.31</v>
      </c>
      <c r="T1890" s="19" t="s">
        <v>36</v>
      </c>
      <c r="U1890" s="20" t="s">
        <v>752</v>
      </c>
      <c r="V1890" s="22">
        <v>43</v>
      </c>
      <c r="W1890" s="22">
        <v>1</v>
      </c>
      <c r="X1890" s="23"/>
    </row>
    <row r="1891" spans="1:24" s="1" customFormat="1" ht="17" customHeight="1" x14ac:dyDescent="0.3">
      <c r="A1891" s="24" t="s">
        <v>23</v>
      </c>
      <c r="B1891" s="24" t="s">
        <v>2033</v>
      </c>
      <c r="C1891" s="12" t="s">
        <v>2034</v>
      </c>
      <c r="D1891" s="61"/>
      <c r="E1891" s="41" t="str">
        <f t="shared" si="69"/>
        <v>Еще фото</v>
      </c>
      <c r="F1891" s="13"/>
      <c r="G1891" s="24" t="s">
        <v>1184</v>
      </c>
      <c r="H1891" s="24" t="s">
        <v>741</v>
      </c>
      <c r="I1891" s="24" t="s">
        <v>1185</v>
      </c>
      <c r="J1891" s="14" t="s">
        <v>674</v>
      </c>
      <c r="K1891" s="15" t="s">
        <v>30</v>
      </c>
      <c r="L1891" s="58"/>
      <c r="M1891" s="14" t="s">
        <v>1274</v>
      </c>
      <c r="N1891" s="14" t="s">
        <v>382</v>
      </c>
      <c r="O1891" s="14"/>
      <c r="P1891" s="15" t="s">
        <v>2035</v>
      </c>
      <c r="Q1891" s="16">
        <v>15199</v>
      </c>
      <c r="R1891" s="17">
        <v>40</v>
      </c>
      <c r="S1891" s="18">
        <v>10487.31</v>
      </c>
      <c r="T1891" s="19" t="s">
        <v>36</v>
      </c>
      <c r="U1891" s="20" t="s">
        <v>754</v>
      </c>
      <c r="V1891" s="22">
        <v>44</v>
      </c>
      <c r="W1891" s="22">
        <v>1</v>
      </c>
      <c r="X1891" s="23"/>
    </row>
    <row r="1892" spans="1:24" s="1" customFormat="1" ht="52.05" customHeight="1" x14ac:dyDescent="0.3">
      <c r="A1892" s="11" t="s">
        <v>23</v>
      </c>
      <c r="B1892" s="11" t="s">
        <v>2036</v>
      </c>
      <c r="C1892" s="12" t="s">
        <v>2037</v>
      </c>
      <c r="D1892" s="55"/>
      <c r="E1892" s="41" t="str">
        <f>HYPERLINK("https://www.google.ru/search?q=3026142-301&amp;newwindow=1&amp;tbm=isch","Еще фото")</f>
        <v>Еще фото</v>
      </c>
      <c r="F1892" s="13"/>
      <c r="G1892" s="11" t="s">
        <v>1184</v>
      </c>
      <c r="H1892" s="11" t="s">
        <v>741</v>
      </c>
      <c r="I1892" s="14" t="s">
        <v>1185</v>
      </c>
      <c r="J1892" s="14" t="s">
        <v>29</v>
      </c>
      <c r="K1892" s="15" t="s">
        <v>59</v>
      </c>
      <c r="L1892" s="57" t="s">
        <v>2038</v>
      </c>
      <c r="M1892" s="14"/>
      <c r="N1892" s="14" t="s">
        <v>2039</v>
      </c>
      <c r="O1892" s="14"/>
      <c r="P1892" s="15" t="s">
        <v>2040</v>
      </c>
      <c r="Q1892" s="16">
        <v>10399</v>
      </c>
      <c r="R1892" s="17">
        <v>40</v>
      </c>
      <c r="S1892" s="18">
        <v>7175.3099999999986</v>
      </c>
      <c r="T1892" s="19" t="s">
        <v>36</v>
      </c>
      <c r="U1892" s="20" t="s">
        <v>1190</v>
      </c>
      <c r="V1892" s="34">
        <v>35.5</v>
      </c>
      <c r="W1892" s="22">
        <v>1</v>
      </c>
      <c r="X1892" s="23"/>
    </row>
    <row r="1893" spans="1:24" s="1" customFormat="1" ht="61.05" customHeight="1" x14ac:dyDescent="0.3">
      <c r="A1893" s="24" t="s">
        <v>23</v>
      </c>
      <c r="B1893" s="24" t="s">
        <v>2036</v>
      </c>
      <c r="C1893" s="12" t="s">
        <v>2037</v>
      </c>
      <c r="D1893" s="56"/>
      <c r="E1893" s="41" t="str">
        <f>HYPERLINK("https://www.google.ru/search?q=3026142-301&amp;newwindow=1&amp;tbm=isch","Еще фото")</f>
        <v>Еще фото</v>
      </c>
      <c r="F1893" s="13"/>
      <c r="G1893" s="24" t="s">
        <v>1184</v>
      </c>
      <c r="H1893" s="24" t="s">
        <v>741</v>
      </c>
      <c r="I1893" s="24" t="s">
        <v>1185</v>
      </c>
      <c r="J1893" s="14" t="s">
        <v>29</v>
      </c>
      <c r="K1893" s="15" t="s">
        <v>59</v>
      </c>
      <c r="L1893" s="58"/>
      <c r="M1893" s="14"/>
      <c r="N1893" s="14" t="s">
        <v>2039</v>
      </c>
      <c r="O1893" s="14"/>
      <c r="P1893" s="15" t="s">
        <v>2040</v>
      </c>
      <c r="Q1893" s="16">
        <v>10399</v>
      </c>
      <c r="R1893" s="17">
        <v>40</v>
      </c>
      <c r="S1893" s="18">
        <v>7175.3099999999986</v>
      </c>
      <c r="T1893" s="19" t="s">
        <v>36</v>
      </c>
      <c r="U1893" s="20" t="s">
        <v>746</v>
      </c>
      <c r="V1893" s="22">
        <v>37</v>
      </c>
      <c r="W1893" s="22">
        <v>1</v>
      </c>
      <c r="X1893" s="23"/>
    </row>
    <row r="1894" spans="1:24" s="1" customFormat="1" ht="26" customHeight="1" x14ac:dyDescent="0.3">
      <c r="A1894" s="11" t="s">
        <v>23</v>
      </c>
      <c r="B1894" s="11" t="s">
        <v>2036</v>
      </c>
      <c r="C1894" s="12" t="s">
        <v>2041</v>
      </c>
      <c r="D1894" s="59"/>
      <c r="E1894" s="41" t="str">
        <f>HYPERLINK("https://www.google.ru/search?q=3026142-602&amp;newwindow=1&amp;tbm=isch","Еще фото")</f>
        <v>Еще фото</v>
      </c>
      <c r="F1894" s="13"/>
      <c r="G1894" s="11" t="s">
        <v>1184</v>
      </c>
      <c r="H1894" s="11" t="s">
        <v>741</v>
      </c>
      <c r="I1894" s="14" t="s">
        <v>1185</v>
      </c>
      <c r="J1894" s="14" t="s">
        <v>29</v>
      </c>
      <c r="K1894" s="15" t="s">
        <v>59</v>
      </c>
      <c r="L1894" s="57" t="s">
        <v>2038</v>
      </c>
      <c r="M1894" s="14"/>
      <c r="N1894" s="14" t="s">
        <v>69</v>
      </c>
      <c r="O1894" s="14"/>
      <c r="P1894" s="15" t="s">
        <v>2028</v>
      </c>
      <c r="Q1894" s="16">
        <v>9899</v>
      </c>
      <c r="R1894" s="17">
        <v>40</v>
      </c>
      <c r="S1894" s="18">
        <v>6830.3099999999995</v>
      </c>
      <c r="T1894" s="19" t="s">
        <v>36</v>
      </c>
      <c r="U1894" s="20" t="s">
        <v>1196</v>
      </c>
      <c r="V1894" s="34">
        <v>36.5</v>
      </c>
      <c r="W1894" s="22">
        <v>1</v>
      </c>
      <c r="X1894" s="23"/>
    </row>
    <row r="1895" spans="1:24" s="1" customFormat="1" ht="26" customHeight="1" x14ac:dyDescent="0.3">
      <c r="A1895" s="24" t="s">
        <v>23</v>
      </c>
      <c r="B1895" s="24" t="s">
        <v>2036</v>
      </c>
      <c r="C1895" s="12" t="s">
        <v>2041</v>
      </c>
      <c r="D1895" s="60"/>
      <c r="E1895" s="41" t="str">
        <f>HYPERLINK("https://www.google.ru/search?q=3026142-602&amp;newwindow=1&amp;tbm=isch","Еще фото")</f>
        <v>Еще фото</v>
      </c>
      <c r="F1895" s="13"/>
      <c r="G1895" s="24" t="s">
        <v>1184</v>
      </c>
      <c r="H1895" s="24" t="s">
        <v>741</v>
      </c>
      <c r="I1895" s="24" t="s">
        <v>1185</v>
      </c>
      <c r="J1895" s="14" t="s">
        <v>29</v>
      </c>
      <c r="K1895" s="15" t="s">
        <v>59</v>
      </c>
      <c r="L1895" s="62"/>
      <c r="M1895" s="14"/>
      <c r="N1895" s="14" t="s">
        <v>69</v>
      </c>
      <c r="O1895" s="14"/>
      <c r="P1895" s="15" t="s">
        <v>2028</v>
      </c>
      <c r="Q1895" s="16">
        <v>9899</v>
      </c>
      <c r="R1895" s="17">
        <v>40</v>
      </c>
      <c r="S1895" s="18">
        <v>6830.3099999999995</v>
      </c>
      <c r="T1895" s="19" t="s">
        <v>36</v>
      </c>
      <c r="U1895" s="20" t="s">
        <v>746</v>
      </c>
      <c r="V1895" s="22">
        <v>37</v>
      </c>
      <c r="W1895" s="22">
        <v>1</v>
      </c>
      <c r="X1895" s="23"/>
    </row>
    <row r="1896" spans="1:24" s="1" customFormat="1" ht="26" customHeight="1" x14ac:dyDescent="0.3">
      <c r="A1896" s="24" t="s">
        <v>23</v>
      </c>
      <c r="B1896" s="24" t="s">
        <v>2036</v>
      </c>
      <c r="C1896" s="12" t="s">
        <v>2041</v>
      </c>
      <c r="D1896" s="60"/>
      <c r="E1896" s="41" t="str">
        <f>HYPERLINK("https://www.google.ru/search?q=3026142-602&amp;newwindow=1&amp;tbm=isch","Еще фото")</f>
        <v>Еще фото</v>
      </c>
      <c r="F1896" s="13"/>
      <c r="G1896" s="24" t="s">
        <v>1184</v>
      </c>
      <c r="H1896" s="24" t="s">
        <v>741</v>
      </c>
      <c r="I1896" s="24" t="s">
        <v>1185</v>
      </c>
      <c r="J1896" s="14" t="s">
        <v>29</v>
      </c>
      <c r="K1896" s="15" t="s">
        <v>59</v>
      </c>
      <c r="L1896" s="62"/>
      <c r="M1896" s="14"/>
      <c r="N1896" s="14" t="s">
        <v>69</v>
      </c>
      <c r="O1896" s="14"/>
      <c r="P1896" s="15" t="s">
        <v>2028</v>
      </c>
      <c r="Q1896" s="16">
        <v>9899</v>
      </c>
      <c r="R1896" s="17">
        <v>40</v>
      </c>
      <c r="S1896" s="18">
        <v>6830.3099999999995</v>
      </c>
      <c r="T1896" s="19" t="s">
        <v>36</v>
      </c>
      <c r="U1896" s="20" t="s">
        <v>747</v>
      </c>
      <c r="V1896" s="34">
        <v>37.5</v>
      </c>
      <c r="W1896" s="22">
        <v>3</v>
      </c>
      <c r="X1896" s="23"/>
    </row>
    <row r="1897" spans="1:24" s="1" customFormat="1" ht="26" customHeight="1" x14ac:dyDescent="0.3">
      <c r="A1897" s="24" t="s">
        <v>23</v>
      </c>
      <c r="B1897" s="24" t="s">
        <v>2036</v>
      </c>
      <c r="C1897" s="12" t="s">
        <v>2041</v>
      </c>
      <c r="D1897" s="61"/>
      <c r="E1897" s="41" t="str">
        <f>HYPERLINK("https://www.google.ru/search?q=3026142-602&amp;newwindow=1&amp;tbm=isch","Еще фото")</f>
        <v>Еще фото</v>
      </c>
      <c r="F1897" s="13"/>
      <c r="G1897" s="24" t="s">
        <v>1184</v>
      </c>
      <c r="H1897" s="24" t="s">
        <v>741</v>
      </c>
      <c r="I1897" s="24" t="s">
        <v>1185</v>
      </c>
      <c r="J1897" s="14" t="s">
        <v>29</v>
      </c>
      <c r="K1897" s="15" t="s">
        <v>59</v>
      </c>
      <c r="L1897" s="58"/>
      <c r="M1897" s="14"/>
      <c r="N1897" s="14" t="s">
        <v>69</v>
      </c>
      <c r="O1897" s="14"/>
      <c r="P1897" s="15" t="s">
        <v>2028</v>
      </c>
      <c r="Q1897" s="16">
        <v>9899</v>
      </c>
      <c r="R1897" s="17">
        <v>40</v>
      </c>
      <c r="S1897" s="18">
        <v>6830.3099999999995</v>
      </c>
      <c r="T1897" s="19" t="s">
        <v>36</v>
      </c>
      <c r="U1897" s="20" t="s">
        <v>751</v>
      </c>
      <c r="V1897" s="22">
        <v>40</v>
      </c>
      <c r="W1897" s="22">
        <v>1</v>
      </c>
      <c r="X1897" s="23"/>
    </row>
    <row r="1898" spans="1:24" s="1" customFormat="1" ht="21" customHeight="1" x14ac:dyDescent="0.3">
      <c r="A1898" s="11" t="s">
        <v>23</v>
      </c>
      <c r="B1898" s="11" t="s">
        <v>1733</v>
      </c>
      <c r="C1898" s="26" t="s">
        <v>2042</v>
      </c>
      <c r="D1898" s="59"/>
      <c r="E1898" s="41" t="str">
        <f>HYPERLINK("https://www.google.ru/search?q=3026175-001&amp;newwindow=1&amp;tbm=isch","Еще фото")</f>
        <v>Еще фото</v>
      </c>
      <c r="F1898" s="13" t="s">
        <v>152</v>
      </c>
      <c r="G1898" s="11" t="s">
        <v>1184</v>
      </c>
      <c r="H1898" s="11" t="s">
        <v>741</v>
      </c>
      <c r="I1898" s="14" t="s">
        <v>1185</v>
      </c>
      <c r="J1898" s="14" t="s">
        <v>29</v>
      </c>
      <c r="K1898" s="15" t="s">
        <v>30</v>
      </c>
      <c r="L1898" s="57" t="s">
        <v>2043</v>
      </c>
      <c r="M1898" s="14" t="s">
        <v>1194</v>
      </c>
      <c r="N1898" s="14" t="s">
        <v>33</v>
      </c>
      <c r="O1898" s="14"/>
      <c r="P1898" s="15" t="s">
        <v>1457</v>
      </c>
      <c r="Q1898" s="16">
        <v>9899</v>
      </c>
      <c r="R1898" s="17">
        <v>40</v>
      </c>
      <c r="S1898" s="18">
        <v>6830.3099999999995</v>
      </c>
      <c r="T1898" s="19" t="s">
        <v>36</v>
      </c>
      <c r="U1898" s="20" t="s">
        <v>747</v>
      </c>
      <c r="V1898" s="34">
        <v>39.5</v>
      </c>
      <c r="W1898" s="22">
        <v>2</v>
      </c>
      <c r="X1898" s="23"/>
    </row>
    <row r="1899" spans="1:24" s="1" customFormat="1" ht="21" customHeight="1" x14ac:dyDescent="0.3">
      <c r="A1899" s="24" t="s">
        <v>23</v>
      </c>
      <c r="B1899" s="24" t="s">
        <v>1733</v>
      </c>
      <c r="C1899" s="27" t="s">
        <v>2042</v>
      </c>
      <c r="D1899" s="60"/>
      <c r="E1899" s="41" t="str">
        <f>HYPERLINK("https://www.google.ru/search?q=3026175-001&amp;newwindow=1&amp;tbm=isch","Еще фото")</f>
        <v>Еще фото</v>
      </c>
      <c r="F1899" s="13" t="s">
        <v>152</v>
      </c>
      <c r="G1899" s="24" t="s">
        <v>1184</v>
      </c>
      <c r="H1899" s="24" t="s">
        <v>741</v>
      </c>
      <c r="I1899" s="24" t="s">
        <v>1185</v>
      </c>
      <c r="J1899" s="14" t="s">
        <v>29</v>
      </c>
      <c r="K1899" s="15" t="s">
        <v>30</v>
      </c>
      <c r="L1899" s="62"/>
      <c r="M1899" s="14" t="s">
        <v>1194</v>
      </c>
      <c r="N1899" s="14" t="s">
        <v>33</v>
      </c>
      <c r="O1899" s="14"/>
      <c r="P1899" s="15" t="s">
        <v>1457</v>
      </c>
      <c r="Q1899" s="16">
        <v>9899</v>
      </c>
      <c r="R1899" s="17">
        <v>40</v>
      </c>
      <c r="S1899" s="18">
        <v>6830.3099999999995</v>
      </c>
      <c r="T1899" s="19" t="s">
        <v>36</v>
      </c>
      <c r="U1899" s="20" t="s">
        <v>748</v>
      </c>
      <c r="V1899" s="22">
        <v>40</v>
      </c>
      <c r="W1899" s="22">
        <v>7</v>
      </c>
      <c r="X1899" s="23"/>
    </row>
    <row r="1900" spans="1:24" s="1" customFormat="1" ht="21" customHeight="1" x14ac:dyDescent="0.3">
      <c r="A1900" s="24" t="s">
        <v>23</v>
      </c>
      <c r="B1900" s="24" t="s">
        <v>1733</v>
      </c>
      <c r="C1900" s="27" t="s">
        <v>2042</v>
      </c>
      <c r="D1900" s="60"/>
      <c r="E1900" s="41" t="str">
        <f>HYPERLINK("https://www.google.ru/search?q=3026175-001&amp;newwindow=1&amp;tbm=isch","Еще фото")</f>
        <v>Еще фото</v>
      </c>
      <c r="F1900" s="13" t="s">
        <v>152</v>
      </c>
      <c r="G1900" s="24" t="s">
        <v>1184</v>
      </c>
      <c r="H1900" s="24" t="s">
        <v>741</v>
      </c>
      <c r="I1900" s="24" t="s">
        <v>1185</v>
      </c>
      <c r="J1900" s="14" t="s">
        <v>29</v>
      </c>
      <c r="K1900" s="15" t="s">
        <v>30</v>
      </c>
      <c r="L1900" s="62"/>
      <c r="M1900" s="14" t="s">
        <v>1194</v>
      </c>
      <c r="N1900" s="14" t="s">
        <v>33</v>
      </c>
      <c r="O1900" s="14"/>
      <c r="P1900" s="15" t="s">
        <v>1457</v>
      </c>
      <c r="Q1900" s="16">
        <v>9899</v>
      </c>
      <c r="R1900" s="17">
        <v>40</v>
      </c>
      <c r="S1900" s="18">
        <v>6830.3099999999995</v>
      </c>
      <c r="T1900" s="19" t="s">
        <v>36</v>
      </c>
      <c r="U1900" s="20" t="s">
        <v>749</v>
      </c>
      <c r="V1900" s="22">
        <v>41</v>
      </c>
      <c r="W1900" s="22">
        <v>5</v>
      </c>
      <c r="X1900" s="23"/>
    </row>
    <row r="1901" spans="1:24" s="1" customFormat="1" ht="21" customHeight="1" x14ac:dyDescent="0.3">
      <c r="A1901" s="24" t="s">
        <v>23</v>
      </c>
      <c r="B1901" s="24" t="s">
        <v>1733</v>
      </c>
      <c r="C1901" s="27" t="s">
        <v>2042</v>
      </c>
      <c r="D1901" s="60"/>
      <c r="E1901" s="41" t="str">
        <f>HYPERLINK("https://www.google.ru/search?q=3026175-001&amp;newwindow=1&amp;tbm=isch","Еще фото")</f>
        <v>Еще фото</v>
      </c>
      <c r="F1901" s="13" t="s">
        <v>152</v>
      </c>
      <c r="G1901" s="24" t="s">
        <v>1184</v>
      </c>
      <c r="H1901" s="24" t="s">
        <v>741</v>
      </c>
      <c r="I1901" s="24" t="s">
        <v>1185</v>
      </c>
      <c r="J1901" s="14" t="s">
        <v>29</v>
      </c>
      <c r="K1901" s="15" t="s">
        <v>30</v>
      </c>
      <c r="L1901" s="62"/>
      <c r="M1901" s="14" t="s">
        <v>1194</v>
      </c>
      <c r="N1901" s="14" t="s">
        <v>33</v>
      </c>
      <c r="O1901" s="14"/>
      <c r="P1901" s="15" t="s">
        <v>1457</v>
      </c>
      <c r="Q1901" s="16">
        <v>9899</v>
      </c>
      <c r="R1901" s="17">
        <v>40</v>
      </c>
      <c r="S1901" s="18">
        <v>6830.3099999999995</v>
      </c>
      <c r="T1901" s="19" t="s">
        <v>36</v>
      </c>
      <c r="U1901" s="20" t="s">
        <v>750</v>
      </c>
      <c r="V1901" s="34">
        <v>41.5</v>
      </c>
      <c r="W1901" s="22">
        <v>11</v>
      </c>
      <c r="X1901" s="23"/>
    </row>
    <row r="1902" spans="1:24" s="1" customFormat="1" ht="32" customHeight="1" x14ac:dyDescent="0.3">
      <c r="A1902" s="24" t="s">
        <v>23</v>
      </c>
      <c r="B1902" s="24" t="s">
        <v>1733</v>
      </c>
      <c r="C1902" s="27" t="s">
        <v>2042</v>
      </c>
      <c r="D1902" s="61"/>
      <c r="E1902" s="41" t="str">
        <f>HYPERLINK("https://www.google.ru/search?q=3026175-001&amp;newwindow=1&amp;tbm=isch","Еще фото")</f>
        <v>Еще фото</v>
      </c>
      <c r="F1902" s="13" t="s">
        <v>152</v>
      </c>
      <c r="G1902" s="24" t="s">
        <v>1184</v>
      </c>
      <c r="H1902" s="24" t="s">
        <v>741</v>
      </c>
      <c r="I1902" s="24" t="s">
        <v>1185</v>
      </c>
      <c r="J1902" s="14" t="s">
        <v>29</v>
      </c>
      <c r="K1902" s="15" t="s">
        <v>30</v>
      </c>
      <c r="L1902" s="58"/>
      <c r="M1902" s="14" t="s">
        <v>1194</v>
      </c>
      <c r="N1902" s="14" t="s">
        <v>33</v>
      </c>
      <c r="O1902" s="14"/>
      <c r="P1902" s="15" t="s">
        <v>1457</v>
      </c>
      <c r="Q1902" s="16">
        <v>9899</v>
      </c>
      <c r="R1902" s="17">
        <v>40</v>
      </c>
      <c r="S1902" s="18">
        <v>6830.3099999999995</v>
      </c>
      <c r="T1902" s="19" t="s">
        <v>36</v>
      </c>
      <c r="U1902" s="20" t="s">
        <v>753</v>
      </c>
      <c r="V1902" s="34">
        <v>43.5</v>
      </c>
      <c r="W1902" s="22">
        <v>3</v>
      </c>
      <c r="X1902" s="23"/>
    </row>
    <row r="1903" spans="1:24" s="1" customFormat="1" ht="26" customHeight="1" x14ac:dyDescent="0.3">
      <c r="A1903" s="11" t="s">
        <v>23</v>
      </c>
      <c r="B1903" s="11" t="s">
        <v>1733</v>
      </c>
      <c r="C1903" s="12" t="s">
        <v>2044</v>
      </c>
      <c r="D1903" s="59"/>
      <c r="E1903" s="41" t="str">
        <f>HYPERLINK("https://www.google.ru/search?q=3026175-004&amp;newwindow=1&amp;tbm=isch","Еще фото")</f>
        <v>Еще фото</v>
      </c>
      <c r="F1903" s="13" t="s">
        <v>152</v>
      </c>
      <c r="G1903" s="11" t="s">
        <v>1184</v>
      </c>
      <c r="H1903" s="11" t="s">
        <v>741</v>
      </c>
      <c r="I1903" s="14" t="s">
        <v>1185</v>
      </c>
      <c r="J1903" s="14" t="s">
        <v>29</v>
      </c>
      <c r="K1903" s="15" t="s">
        <v>30</v>
      </c>
      <c r="L1903" s="57" t="s">
        <v>2043</v>
      </c>
      <c r="M1903" s="14" t="s">
        <v>1194</v>
      </c>
      <c r="N1903" s="14" t="s">
        <v>33</v>
      </c>
      <c r="O1903" s="14"/>
      <c r="P1903" s="15" t="s">
        <v>1722</v>
      </c>
      <c r="Q1903" s="16">
        <v>9799</v>
      </c>
      <c r="R1903" s="17">
        <v>40</v>
      </c>
      <c r="S1903" s="18">
        <v>6761.3099999999995</v>
      </c>
      <c r="T1903" s="19" t="s">
        <v>36</v>
      </c>
      <c r="U1903" s="20" t="s">
        <v>750</v>
      </c>
      <c r="V1903" s="34">
        <v>41.5</v>
      </c>
      <c r="W1903" s="22">
        <v>1</v>
      </c>
      <c r="X1903" s="23"/>
    </row>
    <row r="1904" spans="1:24" s="1" customFormat="1" ht="26" customHeight="1" x14ac:dyDescent="0.3">
      <c r="A1904" s="24" t="s">
        <v>23</v>
      </c>
      <c r="B1904" s="24" t="s">
        <v>1733</v>
      </c>
      <c r="C1904" s="12" t="s">
        <v>2044</v>
      </c>
      <c r="D1904" s="60"/>
      <c r="E1904" s="41" t="str">
        <f>HYPERLINK("https://www.google.ru/search?q=3026175-004&amp;newwindow=1&amp;tbm=isch","Еще фото")</f>
        <v>Еще фото</v>
      </c>
      <c r="F1904" s="13" t="s">
        <v>152</v>
      </c>
      <c r="G1904" s="24" t="s">
        <v>1184</v>
      </c>
      <c r="H1904" s="24" t="s">
        <v>741</v>
      </c>
      <c r="I1904" s="24" t="s">
        <v>1185</v>
      </c>
      <c r="J1904" s="14" t="s">
        <v>29</v>
      </c>
      <c r="K1904" s="15" t="s">
        <v>30</v>
      </c>
      <c r="L1904" s="62"/>
      <c r="M1904" s="14" t="s">
        <v>1194</v>
      </c>
      <c r="N1904" s="14" t="s">
        <v>33</v>
      </c>
      <c r="O1904" s="14"/>
      <c r="P1904" s="15" t="s">
        <v>1722</v>
      </c>
      <c r="Q1904" s="16">
        <v>9799</v>
      </c>
      <c r="R1904" s="17">
        <v>40</v>
      </c>
      <c r="S1904" s="18">
        <v>6761.3099999999995</v>
      </c>
      <c r="T1904" s="19" t="s">
        <v>36</v>
      </c>
      <c r="U1904" s="20" t="s">
        <v>751</v>
      </c>
      <c r="V1904" s="22">
        <v>42</v>
      </c>
      <c r="W1904" s="22">
        <v>1</v>
      </c>
      <c r="X1904" s="23"/>
    </row>
    <row r="1905" spans="1:24" s="1" customFormat="1" ht="26" customHeight="1" x14ac:dyDescent="0.3">
      <c r="A1905" s="24" t="s">
        <v>23</v>
      </c>
      <c r="B1905" s="24" t="s">
        <v>1733</v>
      </c>
      <c r="C1905" s="12" t="s">
        <v>2044</v>
      </c>
      <c r="D1905" s="60"/>
      <c r="E1905" s="41" t="str">
        <f>HYPERLINK("https://www.google.ru/search?q=3026175-004&amp;newwindow=1&amp;tbm=isch","Еще фото")</f>
        <v>Еще фото</v>
      </c>
      <c r="F1905" s="13" t="s">
        <v>152</v>
      </c>
      <c r="G1905" s="24" t="s">
        <v>1184</v>
      </c>
      <c r="H1905" s="24" t="s">
        <v>741</v>
      </c>
      <c r="I1905" s="24" t="s">
        <v>1185</v>
      </c>
      <c r="J1905" s="14" t="s">
        <v>29</v>
      </c>
      <c r="K1905" s="15" t="s">
        <v>30</v>
      </c>
      <c r="L1905" s="62"/>
      <c r="M1905" s="14" t="s">
        <v>1194</v>
      </c>
      <c r="N1905" s="14" t="s">
        <v>33</v>
      </c>
      <c r="O1905" s="14"/>
      <c r="P1905" s="15" t="s">
        <v>1722</v>
      </c>
      <c r="Q1905" s="16">
        <v>9799</v>
      </c>
      <c r="R1905" s="17">
        <v>40</v>
      </c>
      <c r="S1905" s="18">
        <v>6761.3099999999995</v>
      </c>
      <c r="T1905" s="19" t="s">
        <v>36</v>
      </c>
      <c r="U1905" s="20" t="s">
        <v>753</v>
      </c>
      <c r="V1905" s="34">
        <v>43.5</v>
      </c>
      <c r="W1905" s="22">
        <v>1</v>
      </c>
      <c r="X1905" s="23"/>
    </row>
    <row r="1906" spans="1:24" s="1" customFormat="1" ht="26" customHeight="1" x14ac:dyDescent="0.3">
      <c r="A1906" s="24" t="s">
        <v>23</v>
      </c>
      <c r="B1906" s="24" t="s">
        <v>1733</v>
      </c>
      <c r="C1906" s="12" t="s">
        <v>2044</v>
      </c>
      <c r="D1906" s="61"/>
      <c r="E1906" s="41" t="str">
        <f>HYPERLINK("https://www.google.ru/search?q=3026175-004&amp;newwindow=1&amp;tbm=isch","Еще фото")</f>
        <v>Еще фото</v>
      </c>
      <c r="F1906" s="13" t="s">
        <v>152</v>
      </c>
      <c r="G1906" s="24" t="s">
        <v>1184</v>
      </c>
      <c r="H1906" s="24" t="s">
        <v>741</v>
      </c>
      <c r="I1906" s="24" t="s">
        <v>1185</v>
      </c>
      <c r="J1906" s="14" t="s">
        <v>29</v>
      </c>
      <c r="K1906" s="15" t="s">
        <v>30</v>
      </c>
      <c r="L1906" s="58"/>
      <c r="M1906" s="14" t="s">
        <v>1194</v>
      </c>
      <c r="N1906" s="14" t="s">
        <v>33</v>
      </c>
      <c r="O1906" s="14"/>
      <c r="P1906" s="15" t="s">
        <v>1722</v>
      </c>
      <c r="Q1906" s="16">
        <v>9799</v>
      </c>
      <c r="R1906" s="17">
        <v>40</v>
      </c>
      <c r="S1906" s="18">
        <v>6761.3099999999995</v>
      </c>
      <c r="T1906" s="19" t="s">
        <v>36</v>
      </c>
      <c r="U1906" s="20" t="s">
        <v>754</v>
      </c>
      <c r="V1906" s="22">
        <v>44</v>
      </c>
      <c r="W1906" s="22">
        <v>1</v>
      </c>
      <c r="X1906" s="23"/>
    </row>
    <row r="1907" spans="1:24" s="1" customFormat="1" ht="35" customHeight="1" x14ac:dyDescent="0.3">
      <c r="A1907" s="11" t="s">
        <v>23</v>
      </c>
      <c r="B1907" s="11" t="s">
        <v>1733</v>
      </c>
      <c r="C1907" s="12" t="s">
        <v>2045</v>
      </c>
      <c r="D1907" s="59"/>
      <c r="E1907" s="41" t="str">
        <f>HYPERLINK("https://www.google.ru/search?q=3026175-009&amp;newwindow=1&amp;tbm=isch","Еще фото")</f>
        <v>Еще фото</v>
      </c>
      <c r="F1907" s="13" t="s">
        <v>103</v>
      </c>
      <c r="G1907" s="11" t="s">
        <v>1184</v>
      </c>
      <c r="H1907" s="11" t="s">
        <v>741</v>
      </c>
      <c r="I1907" s="14" t="s">
        <v>1185</v>
      </c>
      <c r="J1907" s="14" t="s">
        <v>29</v>
      </c>
      <c r="K1907" s="15" t="s">
        <v>30</v>
      </c>
      <c r="L1907" s="57" t="s">
        <v>2043</v>
      </c>
      <c r="M1907" s="14"/>
      <c r="N1907" s="14" t="s">
        <v>33</v>
      </c>
      <c r="O1907" s="14"/>
      <c r="P1907" s="15" t="s">
        <v>1722</v>
      </c>
      <c r="Q1907" s="16">
        <v>8599</v>
      </c>
      <c r="R1907" s="17">
        <v>40</v>
      </c>
      <c r="S1907" s="18">
        <v>5933.3099999999995</v>
      </c>
      <c r="T1907" s="19" t="s">
        <v>36</v>
      </c>
      <c r="U1907" s="20" t="s">
        <v>748</v>
      </c>
      <c r="V1907" s="22">
        <v>40</v>
      </c>
      <c r="W1907" s="22">
        <v>1</v>
      </c>
      <c r="X1907" s="23"/>
    </row>
    <row r="1908" spans="1:24" s="1" customFormat="1" ht="35" customHeight="1" x14ac:dyDescent="0.3">
      <c r="A1908" s="24" t="s">
        <v>23</v>
      </c>
      <c r="B1908" s="24" t="s">
        <v>1733</v>
      </c>
      <c r="C1908" s="12" t="s">
        <v>2045</v>
      </c>
      <c r="D1908" s="60"/>
      <c r="E1908" s="41" t="str">
        <f>HYPERLINK("https://www.google.ru/search?q=3026175-009&amp;newwindow=1&amp;tbm=isch","Еще фото")</f>
        <v>Еще фото</v>
      </c>
      <c r="F1908" s="13" t="s">
        <v>103</v>
      </c>
      <c r="G1908" s="24" t="s">
        <v>1184</v>
      </c>
      <c r="H1908" s="24" t="s">
        <v>741</v>
      </c>
      <c r="I1908" s="24" t="s">
        <v>1185</v>
      </c>
      <c r="J1908" s="14" t="s">
        <v>29</v>
      </c>
      <c r="K1908" s="15" t="s">
        <v>30</v>
      </c>
      <c r="L1908" s="62"/>
      <c r="M1908" s="14"/>
      <c r="N1908" s="14" t="s">
        <v>33</v>
      </c>
      <c r="O1908" s="14"/>
      <c r="P1908" s="15" t="s">
        <v>1722</v>
      </c>
      <c r="Q1908" s="16">
        <v>8599</v>
      </c>
      <c r="R1908" s="17">
        <v>40</v>
      </c>
      <c r="S1908" s="18">
        <v>5933.3099999999995</v>
      </c>
      <c r="T1908" s="19" t="s">
        <v>36</v>
      </c>
      <c r="U1908" s="20" t="s">
        <v>750</v>
      </c>
      <c r="V1908" s="34">
        <v>41.5</v>
      </c>
      <c r="W1908" s="22">
        <v>1</v>
      </c>
      <c r="X1908" s="23"/>
    </row>
    <row r="1909" spans="1:24" s="1" customFormat="1" ht="37.049999999999997" customHeight="1" x14ac:dyDescent="0.3">
      <c r="A1909" s="24" t="s">
        <v>23</v>
      </c>
      <c r="B1909" s="24" t="s">
        <v>1733</v>
      </c>
      <c r="C1909" s="12" t="s">
        <v>2045</v>
      </c>
      <c r="D1909" s="61"/>
      <c r="E1909" s="41" t="str">
        <f>HYPERLINK("https://www.google.ru/search?q=3026175-009&amp;newwindow=1&amp;tbm=isch","Еще фото")</f>
        <v>Еще фото</v>
      </c>
      <c r="F1909" s="13" t="s">
        <v>103</v>
      </c>
      <c r="G1909" s="24" t="s">
        <v>1184</v>
      </c>
      <c r="H1909" s="24" t="s">
        <v>741</v>
      </c>
      <c r="I1909" s="24" t="s">
        <v>1185</v>
      </c>
      <c r="J1909" s="14" t="s">
        <v>29</v>
      </c>
      <c r="K1909" s="15" t="s">
        <v>30</v>
      </c>
      <c r="L1909" s="58"/>
      <c r="M1909" s="14"/>
      <c r="N1909" s="14" t="s">
        <v>33</v>
      </c>
      <c r="O1909" s="14"/>
      <c r="P1909" s="15" t="s">
        <v>1722</v>
      </c>
      <c r="Q1909" s="16">
        <v>8599</v>
      </c>
      <c r="R1909" s="17">
        <v>40</v>
      </c>
      <c r="S1909" s="18">
        <v>5933.3099999999995</v>
      </c>
      <c r="T1909" s="19" t="s">
        <v>36</v>
      </c>
      <c r="U1909" s="20" t="s">
        <v>752</v>
      </c>
      <c r="V1909" s="22">
        <v>43</v>
      </c>
      <c r="W1909" s="22">
        <v>2</v>
      </c>
      <c r="X1909" s="23"/>
    </row>
    <row r="1910" spans="1:24" s="1" customFormat="1" ht="108" customHeight="1" x14ac:dyDescent="0.3">
      <c r="A1910" s="11" t="s">
        <v>23</v>
      </c>
      <c r="B1910" s="11" t="s">
        <v>1733</v>
      </c>
      <c r="C1910" s="12" t="s">
        <v>2046</v>
      </c>
      <c r="D1910" s="25"/>
      <c r="E1910" s="41" t="str">
        <f>HYPERLINK("https://www.google.ru/search?q=3026175-104&amp;newwindow=1&amp;tbm=isch","Еще фото")</f>
        <v>Еще фото</v>
      </c>
      <c r="F1910" s="13" t="s">
        <v>103</v>
      </c>
      <c r="G1910" s="11" t="s">
        <v>1184</v>
      </c>
      <c r="H1910" s="11" t="s">
        <v>741</v>
      </c>
      <c r="I1910" s="14" t="s">
        <v>1185</v>
      </c>
      <c r="J1910" s="14" t="s">
        <v>29</v>
      </c>
      <c r="K1910" s="15" t="s">
        <v>30</v>
      </c>
      <c r="L1910" s="14" t="s">
        <v>1735</v>
      </c>
      <c r="M1910" s="14" t="s">
        <v>1274</v>
      </c>
      <c r="N1910" s="14" t="s">
        <v>84</v>
      </c>
      <c r="O1910" s="14"/>
      <c r="P1910" s="15" t="s">
        <v>2011</v>
      </c>
      <c r="Q1910" s="16">
        <v>8599</v>
      </c>
      <c r="R1910" s="17">
        <v>40</v>
      </c>
      <c r="S1910" s="18">
        <v>5933.3099999999995</v>
      </c>
      <c r="T1910" s="19" t="s">
        <v>36</v>
      </c>
      <c r="U1910" s="20" t="s">
        <v>748</v>
      </c>
      <c r="V1910" s="22">
        <v>40</v>
      </c>
      <c r="W1910" s="22">
        <v>1</v>
      </c>
      <c r="X1910" s="23"/>
    </row>
    <row r="1911" spans="1:24" s="1" customFormat="1" ht="26" customHeight="1" x14ac:dyDescent="0.3">
      <c r="A1911" s="11" t="s">
        <v>23</v>
      </c>
      <c r="B1911" s="11" t="s">
        <v>1204</v>
      </c>
      <c r="C1911" s="12" t="s">
        <v>2047</v>
      </c>
      <c r="D1911" s="59"/>
      <c r="E1911" s="41" t="str">
        <f>HYPERLINK("https://www.google.ru/search?q=3026518-001&amp;newwindow=1&amp;tbm=isch","Еще фото")</f>
        <v>Еще фото</v>
      </c>
      <c r="F1911" s="13"/>
      <c r="G1911" s="11" t="s">
        <v>1184</v>
      </c>
      <c r="H1911" s="11" t="s">
        <v>741</v>
      </c>
      <c r="I1911" s="14" t="s">
        <v>1185</v>
      </c>
      <c r="J1911" s="14" t="s">
        <v>29</v>
      </c>
      <c r="K1911" s="15" t="s">
        <v>30</v>
      </c>
      <c r="L1911" s="57" t="s">
        <v>1206</v>
      </c>
      <c r="M1911" s="14"/>
      <c r="N1911" s="14" t="s">
        <v>33</v>
      </c>
      <c r="O1911" s="14"/>
      <c r="P1911" s="15" t="s">
        <v>2048</v>
      </c>
      <c r="Q1911" s="16">
        <v>10399</v>
      </c>
      <c r="R1911" s="17">
        <v>40</v>
      </c>
      <c r="S1911" s="18">
        <v>7175.3099999999986</v>
      </c>
      <c r="T1911" s="19" t="s">
        <v>36</v>
      </c>
      <c r="U1911" s="20" t="s">
        <v>747</v>
      </c>
      <c r="V1911" s="34">
        <v>39.5</v>
      </c>
      <c r="W1911" s="22">
        <v>1</v>
      </c>
      <c r="X1911" s="23"/>
    </row>
    <row r="1912" spans="1:24" s="1" customFormat="1" ht="26" customHeight="1" x14ac:dyDescent="0.3">
      <c r="A1912" s="24" t="s">
        <v>23</v>
      </c>
      <c r="B1912" s="24" t="s">
        <v>1204</v>
      </c>
      <c r="C1912" s="12" t="s">
        <v>2047</v>
      </c>
      <c r="D1912" s="60"/>
      <c r="E1912" s="41" t="str">
        <f>HYPERLINK("https://www.google.ru/search?q=3026518-001&amp;newwindow=1&amp;tbm=isch","Еще фото")</f>
        <v>Еще фото</v>
      </c>
      <c r="F1912" s="13"/>
      <c r="G1912" s="24" t="s">
        <v>1184</v>
      </c>
      <c r="H1912" s="24" t="s">
        <v>741</v>
      </c>
      <c r="I1912" s="24" t="s">
        <v>1185</v>
      </c>
      <c r="J1912" s="14" t="s">
        <v>29</v>
      </c>
      <c r="K1912" s="15" t="s">
        <v>30</v>
      </c>
      <c r="L1912" s="62"/>
      <c r="M1912" s="14"/>
      <c r="N1912" s="14" t="s">
        <v>33</v>
      </c>
      <c r="O1912" s="14"/>
      <c r="P1912" s="15" t="s">
        <v>2048</v>
      </c>
      <c r="Q1912" s="16">
        <v>10399</v>
      </c>
      <c r="R1912" s="17">
        <v>40</v>
      </c>
      <c r="S1912" s="18">
        <v>7175.3099999999986</v>
      </c>
      <c r="T1912" s="19" t="s">
        <v>36</v>
      </c>
      <c r="U1912" s="20" t="s">
        <v>749</v>
      </c>
      <c r="V1912" s="22">
        <v>41</v>
      </c>
      <c r="W1912" s="22">
        <v>2</v>
      </c>
      <c r="X1912" s="23"/>
    </row>
    <row r="1913" spans="1:24" s="1" customFormat="1" ht="26" customHeight="1" x14ac:dyDescent="0.3">
      <c r="A1913" s="24" t="s">
        <v>23</v>
      </c>
      <c r="B1913" s="24" t="s">
        <v>1204</v>
      </c>
      <c r="C1913" s="12" t="s">
        <v>2047</v>
      </c>
      <c r="D1913" s="60"/>
      <c r="E1913" s="41" t="str">
        <f>HYPERLINK("https://www.google.ru/search?q=3026518-001&amp;newwindow=1&amp;tbm=isch","Еще фото")</f>
        <v>Еще фото</v>
      </c>
      <c r="F1913" s="13"/>
      <c r="G1913" s="24" t="s">
        <v>1184</v>
      </c>
      <c r="H1913" s="24" t="s">
        <v>741</v>
      </c>
      <c r="I1913" s="24" t="s">
        <v>1185</v>
      </c>
      <c r="J1913" s="14" t="s">
        <v>29</v>
      </c>
      <c r="K1913" s="15" t="s">
        <v>30</v>
      </c>
      <c r="L1913" s="62"/>
      <c r="M1913" s="14"/>
      <c r="N1913" s="14" t="s">
        <v>33</v>
      </c>
      <c r="O1913" s="14"/>
      <c r="P1913" s="15" t="s">
        <v>2048</v>
      </c>
      <c r="Q1913" s="16">
        <v>10399</v>
      </c>
      <c r="R1913" s="17">
        <v>40</v>
      </c>
      <c r="S1913" s="18">
        <v>7175.3099999999986</v>
      </c>
      <c r="T1913" s="19" t="s">
        <v>36</v>
      </c>
      <c r="U1913" s="20" t="s">
        <v>750</v>
      </c>
      <c r="V1913" s="34">
        <v>41.5</v>
      </c>
      <c r="W1913" s="22">
        <v>6</v>
      </c>
      <c r="X1913" s="23"/>
    </row>
    <row r="1914" spans="1:24" s="1" customFormat="1" ht="26" customHeight="1" x14ac:dyDescent="0.3">
      <c r="A1914" s="24" t="s">
        <v>23</v>
      </c>
      <c r="B1914" s="24" t="s">
        <v>1204</v>
      </c>
      <c r="C1914" s="12" t="s">
        <v>2047</v>
      </c>
      <c r="D1914" s="61"/>
      <c r="E1914" s="41" t="str">
        <f>HYPERLINK("https://www.google.ru/search?q=3026518-001&amp;newwindow=1&amp;tbm=isch","Еще фото")</f>
        <v>Еще фото</v>
      </c>
      <c r="F1914" s="13"/>
      <c r="G1914" s="24" t="s">
        <v>1184</v>
      </c>
      <c r="H1914" s="24" t="s">
        <v>741</v>
      </c>
      <c r="I1914" s="24" t="s">
        <v>1185</v>
      </c>
      <c r="J1914" s="14" t="s">
        <v>29</v>
      </c>
      <c r="K1914" s="15" t="s">
        <v>30</v>
      </c>
      <c r="L1914" s="58"/>
      <c r="M1914" s="14"/>
      <c r="N1914" s="14" t="s">
        <v>33</v>
      </c>
      <c r="O1914" s="14"/>
      <c r="P1914" s="15" t="s">
        <v>2048</v>
      </c>
      <c r="Q1914" s="16">
        <v>10399</v>
      </c>
      <c r="R1914" s="17">
        <v>40</v>
      </c>
      <c r="S1914" s="18">
        <v>7175.3099999999986</v>
      </c>
      <c r="T1914" s="19" t="s">
        <v>36</v>
      </c>
      <c r="U1914" s="20" t="s">
        <v>753</v>
      </c>
      <c r="V1914" s="34">
        <v>43.5</v>
      </c>
      <c r="W1914" s="22">
        <v>2</v>
      </c>
      <c r="X1914" s="23"/>
    </row>
    <row r="1915" spans="1:24" s="1" customFormat="1" ht="14" customHeight="1" x14ac:dyDescent="0.3">
      <c r="A1915" s="11" t="s">
        <v>23</v>
      </c>
      <c r="B1915" s="11" t="s">
        <v>1204</v>
      </c>
      <c r="C1915" s="12" t="s">
        <v>2049</v>
      </c>
      <c r="D1915" s="59"/>
      <c r="E1915" s="41" t="str">
        <f t="shared" ref="E1915:E1921" si="70">HYPERLINK("https://www.google.ru/search?q=3026518-002&amp;newwindow=1&amp;tbm=isch","Еще фото")</f>
        <v>Еще фото</v>
      </c>
      <c r="F1915" s="13"/>
      <c r="G1915" s="11" t="s">
        <v>1184</v>
      </c>
      <c r="H1915" s="11" t="s">
        <v>741</v>
      </c>
      <c r="I1915" s="14" t="s">
        <v>1185</v>
      </c>
      <c r="J1915" s="14" t="s">
        <v>29</v>
      </c>
      <c r="K1915" s="15" t="s">
        <v>30</v>
      </c>
      <c r="L1915" s="57" t="s">
        <v>1206</v>
      </c>
      <c r="M1915" s="14" t="s">
        <v>1274</v>
      </c>
      <c r="N1915" s="14" t="s">
        <v>33</v>
      </c>
      <c r="O1915" s="14"/>
      <c r="P1915" s="15" t="s">
        <v>2048</v>
      </c>
      <c r="Q1915" s="16">
        <v>10399</v>
      </c>
      <c r="R1915" s="17">
        <v>40</v>
      </c>
      <c r="S1915" s="18">
        <v>7175.3099999999986</v>
      </c>
      <c r="T1915" s="19" t="s">
        <v>36</v>
      </c>
      <c r="U1915" s="20" t="s">
        <v>747</v>
      </c>
      <c r="V1915" s="34">
        <v>39.5</v>
      </c>
      <c r="W1915" s="22">
        <v>1</v>
      </c>
      <c r="X1915" s="23"/>
    </row>
    <row r="1916" spans="1:24" s="1" customFormat="1" ht="14" customHeight="1" x14ac:dyDescent="0.3">
      <c r="A1916" s="24" t="s">
        <v>23</v>
      </c>
      <c r="B1916" s="24" t="s">
        <v>1204</v>
      </c>
      <c r="C1916" s="12" t="s">
        <v>2049</v>
      </c>
      <c r="D1916" s="60"/>
      <c r="E1916" s="41" t="str">
        <f t="shared" si="70"/>
        <v>Еще фото</v>
      </c>
      <c r="F1916" s="13"/>
      <c r="G1916" s="24" t="s">
        <v>1184</v>
      </c>
      <c r="H1916" s="24" t="s">
        <v>741</v>
      </c>
      <c r="I1916" s="24" t="s">
        <v>1185</v>
      </c>
      <c r="J1916" s="14" t="s">
        <v>29</v>
      </c>
      <c r="K1916" s="15" t="s">
        <v>30</v>
      </c>
      <c r="L1916" s="62"/>
      <c r="M1916" s="14" t="s">
        <v>1274</v>
      </c>
      <c r="N1916" s="14" t="s">
        <v>33</v>
      </c>
      <c r="O1916" s="14"/>
      <c r="P1916" s="15" t="s">
        <v>2048</v>
      </c>
      <c r="Q1916" s="16">
        <v>10399</v>
      </c>
      <c r="R1916" s="17">
        <v>40</v>
      </c>
      <c r="S1916" s="18">
        <v>7175.3099999999986</v>
      </c>
      <c r="T1916" s="19" t="s">
        <v>36</v>
      </c>
      <c r="U1916" s="20" t="s">
        <v>748</v>
      </c>
      <c r="V1916" s="22">
        <v>40</v>
      </c>
      <c r="W1916" s="22">
        <v>2</v>
      </c>
      <c r="X1916" s="23"/>
    </row>
    <row r="1917" spans="1:24" s="1" customFormat="1" ht="14" customHeight="1" x14ac:dyDescent="0.3">
      <c r="A1917" s="24" t="s">
        <v>23</v>
      </c>
      <c r="B1917" s="24" t="s">
        <v>1204</v>
      </c>
      <c r="C1917" s="12" t="s">
        <v>2049</v>
      </c>
      <c r="D1917" s="60"/>
      <c r="E1917" s="41" t="str">
        <f t="shared" si="70"/>
        <v>Еще фото</v>
      </c>
      <c r="F1917" s="13"/>
      <c r="G1917" s="24" t="s">
        <v>1184</v>
      </c>
      <c r="H1917" s="24" t="s">
        <v>741</v>
      </c>
      <c r="I1917" s="24" t="s">
        <v>1185</v>
      </c>
      <c r="J1917" s="14" t="s">
        <v>29</v>
      </c>
      <c r="K1917" s="15" t="s">
        <v>30</v>
      </c>
      <c r="L1917" s="62"/>
      <c r="M1917" s="14" t="s">
        <v>1274</v>
      </c>
      <c r="N1917" s="14" t="s">
        <v>33</v>
      </c>
      <c r="O1917" s="14"/>
      <c r="P1917" s="15" t="s">
        <v>2048</v>
      </c>
      <c r="Q1917" s="16">
        <v>10399</v>
      </c>
      <c r="R1917" s="17">
        <v>40</v>
      </c>
      <c r="S1917" s="18">
        <v>7175.3099999999986</v>
      </c>
      <c r="T1917" s="19" t="s">
        <v>36</v>
      </c>
      <c r="U1917" s="20" t="s">
        <v>749</v>
      </c>
      <c r="V1917" s="22">
        <v>41</v>
      </c>
      <c r="W1917" s="22">
        <v>2</v>
      </c>
      <c r="X1917" s="23"/>
    </row>
    <row r="1918" spans="1:24" s="1" customFormat="1" ht="14" customHeight="1" x14ac:dyDescent="0.3">
      <c r="A1918" s="24" t="s">
        <v>23</v>
      </c>
      <c r="B1918" s="24" t="s">
        <v>1204</v>
      </c>
      <c r="C1918" s="12" t="s">
        <v>2049</v>
      </c>
      <c r="D1918" s="60"/>
      <c r="E1918" s="41" t="str">
        <f t="shared" si="70"/>
        <v>Еще фото</v>
      </c>
      <c r="F1918" s="13"/>
      <c r="G1918" s="24" t="s">
        <v>1184</v>
      </c>
      <c r="H1918" s="24" t="s">
        <v>741</v>
      </c>
      <c r="I1918" s="24" t="s">
        <v>1185</v>
      </c>
      <c r="J1918" s="14" t="s">
        <v>29</v>
      </c>
      <c r="K1918" s="15" t="s">
        <v>30</v>
      </c>
      <c r="L1918" s="62"/>
      <c r="M1918" s="14" t="s">
        <v>1274</v>
      </c>
      <c r="N1918" s="14" t="s">
        <v>33</v>
      </c>
      <c r="O1918" s="14"/>
      <c r="P1918" s="15" t="s">
        <v>2048</v>
      </c>
      <c r="Q1918" s="16">
        <v>10399</v>
      </c>
      <c r="R1918" s="17">
        <v>40</v>
      </c>
      <c r="S1918" s="18">
        <v>7175.3099999999986</v>
      </c>
      <c r="T1918" s="19" t="s">
        <v>36</v>
      </c>
      <c r="U1918" s="20" t="s">
        <v>750</v>
      </c>
      <c r="V1918" s="34">
        <v>41.5</v>
      </c>
      <c r="W1918" s="22">
        <v>23</v>
      </c>
      <c r="X1918" s="23"/>
    </row>
    <row r="1919" spans="1:24" s="1" customFormat="1" ht="14" customHeight="1" x14ac:dyDescent="0.3">
      <c r="A1919" s="24" t="s">
        <v>23</v>
      </c>
      <c r="B1919" s="24" t="s">
        <v>1204</v>
      </c>
      <c r="C1919" s="12" t="s">
        <v>2049</v>
      </c>
      <c r="D1919" s="60"/>
      <c r="E1919" s="41" t="str">
        <f t="shared" si="70"/>
        <v>Еще фото</v>
      </c>
      <c r="F1919" s="13"/>
      <c r="G1919" s="24" t="s">
        <v>1184</v>
      </c>
      <c r="H1919" s="24" t="s">
        <v>741</v>
      </c>
      <c r="I1919" s="24" t="s">
        <v>1185</v>
      </c>
      <c r="J1919" s="14" t="s">
        <v>29</v>
      </c>
      <c r="K1919" s="15" t="s">
        <v>30</v>
      </c>
      <c r="L1919" s="62"/>
      <c r="M1919" s="14" t="s">
        <v>1274</v>
      </c>
      <c r="N1919" s="14" t="s">
        <v>33</v>
      </c>
      <c r="O1919" s="14"/>
      <c r="P1919" s="15" t="s">
        <v>2048</v>
      </c>
      <c r="Q1919" s="16">
        <v>10399</v>
      </c>
      <c r="R1919" s="17">
        <v>40</v>
      </c>
      <c r="S1919" s="18">
        <v>7175.3099999999986</v>
      </c>
      <c r="T1919" s="19" t="s">
        <v>36</v>
      </c>
      <c r="U1919" s="20" t="s">
        <v>751</v>
      </c>
      <c r="V1919" s="22">
        <v>42</v>
      </c>
      <c r="W1919" s="22">
        <v>1</v>
      </c>
      <c r="X1919" s="23"/>
    </row>
    <row r="1920" spans="1:24" s="1" customFormat="1" ht="14" customHeight="1" x14ac:dyDescent="0.3">
      <c r="A1920" s="24" t="s">
        <v>23</v>
      </c>
      <c r="B1920" s="24" t="s">
        <v>1204</v>
      </c>
      <c r="C1920" s="12" t="s">
        <v>2049</v>
      </c>
      <c r="D1920" s="60"/>
      <c r="E1920" s="41" t="str">
        <f t="shared" si="70"/>
        <v>Еще фото</v>
      </c>
      <c r="F1920" s="13"/>
      <c r="G1920" s="24" t="s">
        <v>1184</v>
      </c>
      <c r="H1920" s="24" t="s">
        <v>741</v>
      </c>
      <c r="I1920" s="24" t="s">
        <v>1185</v>
      </c>
      <c r="J1920" s="14" t="s">
        <v>29</v>
      </c>
      <c r="K1920" s="15" t="s">
        <v>30</v>
      </c>
      <c r="L1920" s="62"/>
      <c r="M1920" s="14" t="s">
        <v>1274</v>
      </c>
      <c r="N1920" s="14" t="s">
        <v>33</v>
      </c>
      <c r="O1920" s="14"/>
      <c r="P1920" s="15" t="s">
        <v>2048</v>
      </c>
      <c r="Q1920" s="16">
        <v>10399</v>
      </c>
      <c r="R1920" s="17">
        <v>40</v>
      </c>
      <c r="S1920" s="18">
        <v>7175.3099999999986</v>
      </c>
      <c r="T1920" s="19" t="s">
        <v>36</v>
      </c>
      <c r="U1920" s="20" t="s">
        <v>752</v>
      </c>
      <c r="V1920" s="22">
        <v>43</v>
      </c>
      <c r="W1920" s="22">
        <v>2</v>
      </c>
      <c r="X1920" s="23"/>
    </row>
    <row r="1921" spans="1:24" s="1" customFormat="1" ht="17" customHeight="1" x14ac:dyDescent="0.3">
      <c r="A1921" s="24" t="s">
        <v>23</v>
      </c>
      <c r="B1921" s="24" t="s">
        <v>1204</v>
      </c>
      <c r="C1921" s="12" t="s">
        <v>2049</v>
      </c>
      <c r="D1921" s="61"/>
      <c r="E1921" s="41" t="str">
        <f t="shared" si="70"/>
        <v>Еще фото</v>
      </c>
      <c r="F1921" s="13"/>
      <c r="G1921" s="24" t="s">
        <v>1184</v>
      </c>
      <c r="H1921" s="24" t="s">
        <v>741</v>
      </c>
      <c r="I1921" s="24" t="s">
        <v>1185</v>
      </c>
      <c r="J1921" s="14" t="s">
        <v>29</v>
      </c>
      <c r="K1921" s="15" t="s">
        <v>30</v>
      </c>
      <c r="L1921" s="58"/>
      <c r="M1921" s="14" t="s">
        <v>1274</v>
      </c>
      <c r="N1921" s="14" t="s">
        <v>33</v>
      </c>
      <c r="O1921" s="14"/>
      <c r="P1921" s="15" t="s">
        <v>2048</v>
      </c>
      <c r="Q1921" s="16">
        <v>10399</v>
      </c>
      <c r="R1921" s="17">
        <v>40</v>
      </c>
      <c r="S1921" s="18">
        <v>7175.3099999999986</v>
      </c>
      <c r="T1921" s="19" t="s">
        <v>36</v>
      </c>
      <c r="U1921" s="20" t="s">
        <v>753</v>
      </c>
      <c r="V1921" s="34">
        <v>43.5</v>
      </c>
      <c r="W1921" s="22">
        <v>10</v>
      </c>
      <c r="X1921" s="23"/>
    </row>
    <row r="1922" spans="1:24" s="1" customFormat="1" ht="17" customHeight="1" x14ac:dyDescent="0.3">
      <c r="A1922" s="11" t="s">
        <v>23</v>
      </c>
      <c r="B1922" s="11" t="s">
        <v>1204</v>
      </c>
      <c r="C1922" s="12" t="s">
        <v>2050</v>
      </c>
      <c r="D1922" s="59"/>
      <c r="E1922" s="41" t="str">
        <f t="shared" ref="E1922:E1927" si="71">HYPERLINK("https://www.google.ru/search?q=3026518-102&amp;newwindow=1&amp;tbm=isch","Еще фото")</f>
        <v>Еще фото</v>
      </c>
      <c r="F1922" s="13"/>
      <c r="G1922" s="11" t="s">
        <v>1184</v>
      </c>
      <c r="H1922" s="11" t="s">
        <v>741</v>
      </c>
      <c r="I1922" s="14" t="s">
        <v>1185</v>
      </c>
      <c r="J1922" s="14" t="s">
        <v>29</v>
      </c>
      <c r="K1922" s="15" t="s">
        <v>30</v>
      </c>
      <c r="L1922" s="57" t="s">
        <v>2051</v>
      </c>
      <c r="M1922" s="14" t="s">
        <v>1194</v>
      </c>
      <c r="N1922" s="14" t="s">
        <v>62</v>
      </c>
      <c r="O1922" s="14"/>
      <c r="P1922" s="15" t="s">
        <v>2052</v>
      </c>
      <c r="Q1922" s="16">
        <v>9299</v>
      </c>
      <c r="R1922" s="17">
        <v>40</v>
      </c>
      <c r="S1922" s="18">
        <v>6416.3099999999995</v>
      </c>
      <c r="T1922" s="19" t="s">
        <v>36</v>
      </c>
      <c r="U1922" s="20" t="s">
        <v>748</v>
      </c>
      <c r="V1922" s="22">
        <v>40</v>
      </c>
      <c r="W1922" s="22">
        <v>2</v>
      </c>
      <c r="X1922" s="23"/>
    </row>
    <row r="1923" spans="1:24" s="1" customFormat="1" ht="17" customHeight="1" x14ac:dyDescent="0.3">
      <c r="A1923" s="24" t="s">
        <v>23</v>
      </c>
      <c r="B1923" s="24" t="s">
        <v>1204</v>
      </c>
      <c r="C1923" s="12" t="s">
        <v>2050</v>
      </c>
      <c r="D1923" s="60"/>
      <c r="E1923" s="41" t="str">
        <f t="shared" si="71"/>
        <v>Еще фото</v>
      </c>
      <c r="F1923" s="13"/>
      <c r="G1923" s="24" t="s">
        <v>1184</v>
      </c>
      <c r="H1923" s="24" t="s">
        <v>741</v>
      </c>
      <c r="I1923" s="24" t="s">
        <v>1185</v>
      </c>
      <c r="J1923" s="14" t="s">
        <v>29</v>
      </c>
      <c r="K1923" s="15" t="s">
        <v>30</v>
      </c>
      <c r="L1923" s="62"/>
      <c r="M1923" s="14" t="s">
        <v>1194</v>
      </c>
      <c r="N1923" s="14" t="s">
        <v>62</v>
      </c>
      <c r="O1923" s="14"/>
      <c r="P1923" s="15" t="s">
        <v>2052</v>
      </c>
      <c r="Q1923" s="16">
        <v>9299</v>
      </c>
      <c r="R1923" s="17">
        <v>40</v>
      </c>
      <c r="S1923" s="18">
        <v>6416.3099999999995</v>
      </c>
      <c r="T1923" s="19" t="s">
        <v>36</v>
      </c>
      <c r="U1923" s="20" t="s">
        <v>749</v>
      </c>
      <c r="V1923" s="22">
        <v>41</v>
      </c>
      <c r="W1923" s="22">
        <v>3</v>
      </c>
      <c r="X1923" s="23"/>
    </row>
    <row r="1924" spans="1:24" s="1" customFormat="1" ht="17" customHeight="1" x14ac:dyDescent="0.3">
      <c r="A1924" s="24" t="s">
        <v>23</v>
      </c>
      <c r="B1924" s="24" t="s">
        <v>1204</v>
      </c>
      <c r="C1924" s="12" t="s">
        <v>2050</v>
      </c>
      <c r="D1924" s="60"/>
      <c r="E1924" s="41" t="str">
        <f t="shared" si="71"/>
        <v>Еще фото</v>
      </c>
      <c r="F1924" s="13"/>
      <c r="G1924" s="24" t="s">
        <v>1184</v>
      </c>
      <c r="H1924" s="24" t="s">
        <v>741</v>
      </c>
      <c r="I1924" s="24" t="s">
        <v>1185</v>
      </c>
      <c r="J1924" s="14" t="s">
        <v>29</v>
      </c>
      <c r="K1924" s="15" t="s">
        <v>30</v>
      </c>
      <c r="L1924" s="62"/>
      <c r="M1924" s="14" t="s">
        <v>1194</v>
      </c>
      <c r="N1924" s="14" t="s">
        <v>62</v>
      </c>
      <c r="O1924" s="14"/>
      <c r="P1924" s="15" t="s">
        <v>2052</v>
      </c>
      <c r="Q1924" s="16">
        <v>9299</v>
      </c>
      <c r="R1924" s="17">
        <v>40</v>
      </c>
      <c r="S1924" s="18">
        <v>6416.3099999999995</v>
      </c>
      <c r="T1924" s="19" t="s">
        <v>36</v>
      </c>
      <c r="U1924" s="20" t="s">
        <v>750</v>
      </c>
      <c r="V1924" s="34">
        <v>41.5</v>
      </c>
      <c r="W1924" s="22">
        <v>1</v>
      </c>
      <c r="X1924" s="23"/>
    </row>
    <row r="1925" spans="1:24" s="1" customFormat="1" ht="17" customHeight="1" x14ac:dyDescent="0.3">
      <c r="A1925" s="24" t="s">
        <v>23</v>
      </c>
      <c r="B1925" s="24" t="s">
        <v>1204</v>
      </c>
      <c r="C1925" s="12" t="s">
        <v>2050</v>
      </c>
      <c r="D1925" s="60"/>
      <c r="E1925" s="41" t="str">
        <f t="shared" si="71"/>
        <v>Еще фото</v>
      </c>
      <c r="F1925" s="13"/>
      <c r="G1925" s="24" t="s">
        <v>1184</v>
      </c>
      <c r="H1925" s="24" t="s">
        <v>741</v>
      </c>
      <c r="I1925" s="24" t="s">
        <v>1185</v>
      </c>
      <c r="J1925" s="14" t="s">
        <v>29</v>
      </c>
      <c r="K1925" s="15" t="s">
        <v>30</v>
      </c>
      <c r="L1925" s="62"/>
      <c r="M1925" s="14" t="s">
        <v>1194</v>
      </c>
      <c r="N1925" s="14" t="s">
        <v>62</v>
      </c>
      <c r="O1925" s="14"/>
      <c r="P1925" s="15" t="s">
        <v>2052</v>
      </c>
      <c r="Q1925" s="16">
        <v>9299</v>
      </c>
      <c r="R1925" s="17">
        <v>40</v>
      </c>
      <c r="S1925" s="18">
        <v>6416.3099999999995</v>
      </c>
      <c r="T1925" s="19" t="s">
        <v>36</v>
      </c>
      <c r="U1925" s="20" t="s">
        <v>751</v>
      </c>
      <c r="V1925" s="22">
        <v>42</v>
      </c>
      <c r="W1925" s="22">
        <v>1</v>
      </c>
      <c r="X1925" s="23"/>
    </row>
    <row r="1926" spans="1:24" s="1" customFormat="1" ht="17" customHeight="1" x14ac:dyDescent="0.3">
      <c r="A1926" s="24" t="s">
        <v>23</v>
      </c>
      <c r="B1926" s="24" t="s">
        <v>1204</v>
      </c>
      <c r="C1926" s="12" t="s">
        <v>2050</v>
      </c>
      <c r="D1926" s="60"/>
      <c r="E1926" s="41" t="str">
        <f t="shared" si="71"/>
        <v>Еще фото</v>
      </c>
      <c r="F1926" s="13"/>
      <c r="G1926" s="24" t="s">
        <v>1184</v>
      </c>
      <c r="H1926" s="24" t="s">
        <v>741</v>
      </c>
      <c r="I1926" s="24" t="s">
        <v>1185</v>
      </c>
      <c r="J1926" s="14" t="s">
        <v>29</v>
      </c>
      <c r="K1926" s="15" t="s">
        <v>30</v>
      </c>
      <c r="L1926" s="62"/>
      <c r="M1926" s="14" t="s">
        <v>1194</v>
      </c>
      <c r="N1926" s="14" t="s">
        <v>62</v>
      </c>
      <c r="O1926" s="14"/>
      <c r="P1926" s="15" t="s">
        <v>2052</v>
      </c>
      <c r="Q1926" s="16">
        <v>9299</v>
      </c>
      <c r="R1926" s="17">
        <v>40</v>
      </c>
      <c r="S1926" s="18">
        <v>6416.3099999999995</v>
      </c>
      <c r="T1926" s="19" t="s">
        <v>36</v>
      </c>
      <c r="U1926" s="20" t="s">
        <v>752</v>
      </c>
      <c r="V1926" s="22">
        <v>43</v>
      </c>
      <c r="W1926" s="22">
        <v>1</v>
      </c>
      <c r="X1926" s="23"/>
    </row>
    <row r="1927" spans="1:24" s="1" customFormat="1" ht="22.05" customHeight="1" x14ac:dyDescent="0.3">
      <c r="A1927" s="24" t="s">
        <v>23</v>
      </c>
      <c r="B1927" s="24" t="s">
        <v>1204</v>
      </c>
      <c r="C1927" s="12" t="s">
        <v>2050</v>
      </c>
      <c r="D1927" s="61"/>
      <c r="E1927" s="41" t="str">
        <f t="shared" si="71"/>
        <v>Еще фото</v>
      </c>
      <c r="F1927" s="13"/>
      <c r="G1927" s="24" t="s">
        <v>1184</v>
      </c>
      <c r="H1927" s="24" t="s">
        <v>741</v>
      </c>
      <c r="I1927" s="24" t="s">
        <v>1185</v>
      </c>
      <c r="J1927" s="14" t="s">
        <v>29</v>
      </c>
      <c r="K1927" s="15" t="s">
        <v>30</v>
      </c>
      <c r="L1927" s="58"/>
      <c r="M1927" s="14" t="s">
        <v>1194</v>
      </c>
      <c r="N1927" s="14" t="s">
        <v>62</v>
      </c>
      <c r="O1927" s="14"/>
      <c r="P1927" s="15" t="s">
        <v>2052</v>
      </c>
      <c r="Q1927" s="16">
        <v>9299</v>
      </c>
      <c r="R1927" s="17">
        <v>40</v>
      </c>
      <c r="S1927" s="18">
        <v>6416.3099999999995</v>
      </c>
      <c r="T1927" s="19" t="s">
        <v>36</v>
      </c>
      <c r="U1927" s="20" t="s">
        <v>754</v>
      </c>
      <c r="V1927" s="22">
        <v>44</v>
      </c>
      <c r="W1927" s="22">
        <v>2</v>
      </c>
      <c r="X1927" s="23"/>
    </row>
    <row r="1928" spans="1:24" s="1" customFormat="1" ht="108" customHeight="1" x14ac:dyDescent="0.3">
      <c r="A1928" s="11" t="s">
        <v>23</v>
      </c>
      <c r="B1928" s="11" t="s">
        <v>1591</v>
      </c>
      <c r="C1928" s="12" t="s">
        <v>2053</v>
      </c>
      <c r="D1928" s="25"/>
      <c r="E1928" s="41" t="str">
        <f>HYPERLINK("https://www.google.ru/search?q=3026520-001&amp;newwindow=1&amp;tbm=isch","Еще фото")</f>
        <v>Еще фото</v>
      </c>
      <c r="F1928" s="28" t="s">
        <v>152</v>
      </c>
      <c r="G1928" s="11" t="s">
        <v>1184</v>
      </c>
      <c r="H1928" s="11" t="s">
        <v>741</v>
      </c>
      <c r="I1928" s="14" t="s">
        <v>1185</v>
      </c>
      <c r="J1928" s="14" t="s">
        <v>29</v>
      </c>
      <c r="K1928" s="15" t="s">
        <v>30</v>
      </c>
      <c r="L1928" s="14" t="s">
        <v>1593</v>
      </c>
      <c r="M1928" s="14" t="s">
        <v>1211</v>
      </c>
      <c r="N1928" s="14" t="s">
        <v>33</v>
      </c>
      <c r="O1928" s="14"/>
      <c r="P1928" s="15" t="s">
        <v>1594</v>
      </c>
      <c r="Q1928" s="16">
        <v>13799</v>
      </c>
      <c r="R1928" s="17">
        <v>40</v>
      </c>
      <c r="S1928" s="18">
        <v>9521.31</v>
      </c>
      <c r="T1928" s="19" t="s">
        <v>36</v>
      </c>
      <c r="U1928" s="20" t="s">
        <v>748</v>
      </c>
      <c r="V1928" s="22">
        <v>40</v>
      </c>
      <c r="W1928" s="22">
        <v>5</v>
      </c>
      <c r="X1928" s="23"/>
    </row>
    <row r="1929" spans="1:24" s="1" customFormat="1" ht="52.05" customHeight="1" x14ac:dyDescent="0.3">
      <c r="A1929" s="11" t="s">
        <v>23</v>
      </c>
      <c r="B1929" s="11" t="s">
        <v>1591</v>
      </c>
      <c r="C1929" s="12" t="s">
        <v>2054</v>
      </c>
      <c r="D1929" s="55"/>
      <c r="E1929" s="41" t="str">
        <f>HYPERLINK("https://www.google.ru/search?q=3026520-600&amp;newwindow=1&amp;tbm=isch","Еще фото")</f>
        <v>Еще фото</v>
      </c>
      <c r="F1929" s="13" t="s">
        <v>152</v>
      </c>
      <c r="G1929" s="11" t="s">
        <v>1184</v>
      </c>
      <c r="H1929" s="11" t="s">
        <v>741</v>
      </c>
      <c r="I1929" s="14" t="s">
        <v>1185</v>
      </c>
      <c r="J1929" s="14" t="s">
        <v>29</v>
      </c>
      <c r="K1929" s="15" t="s">
        <v>30</v>
      </c>
      <c r="L1929" s="57" t="s">
        <v>1593</v>
      </c>
      <c r="M1929" s="14" t="s">
        <v>1211</v>
      </c>
      <c r="N1929" s="14" t="s">
        <v>1530</v>
      </c>
      <c r="O1929" s="14"/>
      <c r="P1929" s="15" t="s">
        <v>1594</v>
      </c>
      <c r="Q1929" s="16">
        <v>13499</v>
      </c>
      <c r="R1929" s="17">
        <v>40</v>
      </c>
      <c r="S1929" s="18">
        <v>9314.31</v>
      </c>
      <c r="T1929" s="19" t="s">
        <v>36</v>
      </c>
      <c r="U1929" s="20" t="s">
        <v>746</v>
      </c>
      <c r="V1929" s="22">
        <v>39</v>
      </c>
      <c r="W1929" s="22">
        <v>4</v>
      </c>
      <c r="X1929" s="23"/>
    </row>
    <row r="1930" spans="1:24" s="1" customFormat="1" ht="61.05" customHeight="1" x14ac:dyDescent="0.3">
      <c r="A1930" s="24" t="s">
        <v>23</v>
      </c>
      <c r="B1930" s="24" t="s">
        <v>1591</v>
      </c>
      <c r="C1930" s="12" t="s">
        <v>2054</v>
      </c>
      <c r="D1930" s="56"/>
      <c r="E1930" s="41" t="str">
        <f>HYPERLINK("https://www.google.ru/search?q=3026520-600&amp;newwindow=1&amp;tbm=isch","Еще фото")</f>
        <v>Еще фото</v>
      </c>
      <c r="F1930" s="13" t="s">
        <v>152</v>
      </c>
      <c r="G1930" s="24" t="s">
        <v>1184</v>
      </c>
      <c r="H1930" s="24" t="s">
        <v>741</v>
      </c>
      <c r="I1930" s="24" t="s">
        <v>1185</v>
      </c>
      <c r="J1930" s="14" t="s">
        <v>29</v>
      </c>
      <c r="K1930" s="15" t="s">
        <v>30</v>
      </c>
      <c r="L1930" s="58"/>
      <c r="M1930" s="14" t="s">
        <v>1211</v>
      </c>
      <c r="N1930" s="14" t="s">
        <v>1530</v>
      </c>
      <c r="O1930" s="14"/>
      <c r="P1930" s="15" t="s">
        <v>1594</v>
      </c>
      <c r="Q1930" s="16">
        <v>13499</v>
      </c>
      <c r="R1930" s="17">
        <v>40</v>
      </c>
      <c r="S1930" s="18">
        <v>9314.31</v>
      </c>
      <c r="T1930" s="19" t="s">
        <v>36</v>
      </c>
      <c r="U1930" s="20" t="s">
        <v>747</v>
      </c>
      <c r="V1930" s="34">
        <v>39.5</v>
      </c>
      <c r="W1930" s="22">
        <v>1</v>
      </c>
      <c r="X1930" s="23"/>
    </row>
    <row r="1931" spans="1:24" s="1" customFormat="1" ht="108" customHeight="1" x14ac:dyDescent="0.3">
      <c r="A1931" s="11" t="s">
        <v>23</v>
      </c>
      <c r="B1931" s="11" t="s">
        <v>2055</v>
      </c>
      <c r="C1931" s="12" t="s">
        <v>2056</v>
      </c>
      <c r="D1931" s="25"/>
      <c r="E1931" s="41" t="str">
        <f>HYPERLINK("https://www.google.ru/search?q=3026523-101&amp;newwindow=1&amp;tbm=isch","Еще фото")</f>
        <v>Еще фото</v>
      </c>
      <c r="F1931" s="13"/>
      <c r="G1931" s="11" t="s">
        <v>1184</v>
      </c>
      <c r="H1931" s="11" t="s">
        <v>741</v>
      </c>
      <c r="I1931" s="14" t="s">
        <v>1185</v>
      </c>
      <c r="J1931" s="14" t="s">
        <v>29</v>
      </c>
      <c r="K1931" s="15" t="s">
        <v>59</v>
      </c>
      <c r="L1931" s="14" t="s">
        <v>2057</v>
      </c>
      <c r="M1931" s="14" t="s">
        <v>1274</v>
      </c>
      <c r="N1931" s="14" t="s">
        <v>2058</v>
      </c>
      <c r="O1931" s="14"/>
      <c r="P1931" s="15" t="s">
        <v>2059</v>
      </c>
      <c r="Q1931" s="16">
        <v>10999</v>
      </c>
      <c r="R1931" s="17">
        <v>40</v>
      </c>
      <c r="S1931" s="18">
        <v>7589.3099999999986</v>
      </c>
      <c r="T1931" s="19" t="s">
        <v>36</v>
      </c>
      <c r="U1931" s="20" t="s">
        <v>1190</v>
      </c>
      <c r="V1931" s="34">
        <v>35.5</v>
      </c>
      <c r="W1931" s="22">
        <v>1</v>
      </c>
      <c r="X1931" s="23"/>
    </row>
    <row r="1932" spans="1:24" s="1" customFormat="1" ht="52.05" customHeight="1" x14ac:dyDescent="0.3">
      <c r="A1932" s="11" t="s">
        <v>23</v>
      </c>
      <c r="B1932" s="11" t="s">
        <v>1821</v>
      </c>
      <c r="C1932" s="12" t="s">
        <v>2060</v>
      </c>
      <c r="D1932" s="55"/>
      <c r="E1932" s="41" t="str">
        <f>HYPERLINK("https://www.google.ru/search?q=3026534-100&amp;newwindow=1&amp;tbm=isch","Еще фото")</f>
        <v>Еще фото</v>
      </c>
      <c r="F1932" s="13" t="s">
        <v>152</v>
      </c>
      <c r="G1932" s="11" t="s">
        <v>1184</v>
      </c>
      <c r="H1932" s="11" t="s">
        <v>741</v>
      </c>
      <c r="I1932" s="14" t="s">
        <v>1185</v>
      </c>
      <c r="J1932" s="14" t="s">
        <v>29</v>
      </c>
      <c r="K1932" s="15" t="s">
        <v>30</v>
      </c>
      <c r="L1932" s="57" t="s">
        <v>1823</v>
      </c>
      <c r="M1932" s="14" t="s">
        <v>1824</v>
      </c>
      <c r="N1932" s="14" t="s">
        <v>84</v>
      </c>
      <c r="O1932" s="14"/>
      <c r="P1932" s="15" t="s">
        <v>1825</v>
      </c>
      <c r="Q1932" s="16">
        <v>26099</v>
      </c>
      <c r="R1932" s="17">
        <v>40</v>
      </c>
      <c r="S1932" s="18">
        <v>18008.309999999998</v>
      </c>
      <c r="T1932" s="19" t="s">
        <v>36</v>
      </c>
      <c r="U1932" s="20" t="s">
        <v>748</v>
      </c>
      <c r="V1932" s="22">
        <v>40</v>
      </c>
      <c r="W1932" s="22">
        <v>2</v>
      </c>
      <c r="X1932" s="23"/>
    </row>
    <row r="1933" spans="1:24" s="1" customFormat="1" ht="61.05" customHeight="1" x14ac:dyDescent="0.3">
      <c r="A1933" s="24" t="s">
        <v>23</v>
      </c>
      <c r="B1933" s="24" t="s">
        <v>1821</v>
      </c>
      <c r="C1933" s="12" t="s">
        <v>2060</v>
      </c>
      <c r="D1933" s="56"/>
      <c r="E1933" s="41" t="str">
        <f>HYPERLINK("https://www.google.ru/search?q=3026534-100&amp;newwindow=1&amp;tbm=isch","Еще фото")</f>
        <v>Еще фото</v>
      </c>
      <c r="F1933" s="13" t="s">
        <v>152</v>
      </c>
      <c r="G1933" s="24" t="s">
        <v>1184</v>
      </c>
      <c r="H1933" s="24" t="s">
        <v>741</v>
      </c>
      <c r="I1933" s="24" t="s">
        <v>1185</v>
      </c>
      <c r="J1933" s="14" t="s">
        <v>29</v>
      </c>
      <c r="K1933" s="15" t="s">
        <v>30</v>
      </c>
      <c r="L1933" s="58"/>
      <c r="M1933" s="14" t="s">
        <v>1824</v>
      </c>
      <c r="N1933" s="14" t="s">
        <v>84</v>
      </c>
      <c r="O1933" s="14"/>
      <c r="P1933" s="15" t="s">
        <v>1825</v>
      </c>
      <c r="Q1933" s="16">
        <v>26099</v>
      </c>
      <c r="R1933" s="17">
        <v>40</v>
      </c>
      <c r="S1933" s="18">
        <v>18008.309999999998</v>
      </c>
      <c r="T1933" s="19" t="s">
        <v>36</v>
      </c>
      <c r="U1933" s="20" t="s">
        <v>750</v>
      </c>
      <c r="V1933" s="34">
        <v>41.5</v>
      </c>
      <c r="W1933" s="22">
        <v>5</v>
      </c>
      <c r="X1933" s="23"/>
    </row>
    <row r="1934" spans="1:24" s="1" customFormat="1" ht="52.05" customHeight="1" x14ac:dyDescent="0.3">
      <c r="A1934" s="11" t="s">
        <v>23</v>
      </c>
      <c r="B1934" s="11" t="s">
        <v>2061</v>
      </c>
      <c r="C1934" s="12" t="s">
        <v>2062</v>
      </c>
      <c r="D1934" s="55"/>
      <c r="E1934" s="41" t="str">
        <f>HYPERLINK("https://www.google.ru/search?q=3026545-002&amp;newwindow=1&amp;tbm=isch","Еще фото")</f>
        <v>Еще фото</v>
      </c>
      <c r="F1934" s="28" t="s">
        <v>138</v>
      </c>
      <c r="G1934" s="11" t="s">
        <v>1184</v>
      </c>
      <c r="H1934" s="11" t="s">
        <v>741</v>
      </c>
      <c r="I1934" s="14" t="s">
        <v>1185</v>
      </c>
      <c r="J1934" s="14" t="s">
        <v>29</v>
      </c>
      <c r="K1934" s="15" t="s">
        <v>30</v>
      </c>
      <c r="L1934" s="57" t="s">
        <v>2063</v>
      </c>
      <c r="M1934" s="14" t="s">
        <v>1211</v>
      </c>
      <c r="N1934" s="14" t="s">
        <v>33</v>
      </c>
      <c r="O1934" s="14"/>
      <c r="P1934" s="15" t="s">
        <v>2064</v>
      </c>
      <c r="Q1934" s="16">
        <v>20999</v>
      </c>
      <c r="R1934" s="17">
        <v>40</v>
      </c>
      <c r="S1934" s="18">
        <v>14489.309999999998</v>
      </c>
      <c r="T1934" s="19" t="s">
        <v>36</v>
      </c>
      <c r="U1934" s="20" t="s">
        <v>749</v>
      </c>
      <c r="V1934" s="22">
        <v>41</v>
      </c>
      <c r="W1934" s="22">
        <v>5</v>
      </c>
      <c r="X1934" s="23"/>
    </row>
    <row r="1935" spans="1:24" s="1" customFormat="1" ht="61.05" customHeight="1" x14ac:dyDescent="0.3">
      <c r="A1935" s="24" t="s">
        <v>23</v>
      </c>
      <c r="B1935" s="24" t="s">
        <v>2061</v>
      </c>
      <c r="C1935" s="12" t="s">
        <v>2062</v>
      </c>
      <c r="D1935" s="56"/>
      <c r="E1935" s="41" t="str">
        <f>HYPERLINK("https://www.google.ru/search?q=3026545-002&amp;newwindow=1&amp;tbm=isch","Еще фото")</f>
        <v>Еще фото</v>
      </c>
      <c r="F1935" s="28" t="s">
        <v>138</v>
      </c>
      <c r="G1935" s="24" t="s">
        <v>1184</v>
      </c>
      <c r="H1935" s="24" t="s">
        <v>741</v>
      </c>
      <c r="I1935" s="24" t="s">
        <v>1185</v>
      </c>
      <c r="J1935" s="14" t="s">
        <v>29</v>
      </c>
      <c r="K1935" s="15" t="s">
        <v>30</v>
      </c>
      <c r="L1935" s="58"/>
      <c r="M1935" s="14" t="s">
        <v>1211</v>
      </c>
      <c r="N1935" s="14" t="s">
        <v>33</v>
      </c>
      <c r="O1935" s="14"/>
      <c r="P1935" s="15" t="s">
        <v>2064</v>
      </c>
      <c r="Q1935" s="16">
        <v>20999</v>
      </c>
      <c r="R1935" s="17">
        <v>40</v>
      </c>
      <c r="S1935" s="18">
        <v>14489.309999999998</v>
      </c>
      <c r="T1935" s="19" t="s">
        <v>36</v>
      </c>
      <c r="U1935" s="20" t="s">
        <v>751</v>
      </c>
      <c r="V1935" s="22">
        <v>42</v>
      </c>
      <c r="W1935" s="22">
        <v>1</v>
      </c>
      <c r="X1935" s="23"/>
    </row>
    <row r="1936" spans="1:24" s="1" customFormat="1" ht="52.05" customHeight="1" x14ac:dyDescent="0.3">
      <c r="A1936" s="11" t="s">
        <v>23</v>
      </c>
      <c r="B1936" s="11" t="s">
        <v>2065</v>
      </c>
      <c r="C1936" s="12" t="s">
        <v>2066</v>
      </c>
      <c r="D1936" s="55"/>
      <c r="E1936" s="41" t="str">
        <f>HYPERLINK("https://www.google.ru/search?q=3026545-005&amp;newwindow=1&amp;tbm=isch","Еще фото")</f>
        <v>Еще фото</v>
      </c>
      <c r="F1936" s="13"/>
      <c r="G1936" s="11" t="s">
        <v>1184</v>
      </c>
      <c r="H1936" s="11" t="s">
        <v>741</v>
      </c>
      <c r="I1936" s="14" t="s">
        <v>1185</v>
      </c>
      <c r="J1936" s="14" t="s">
        <v>29</v>
      </c>
      <c r="K1936" s="15" t="s">
        <v>30</v>
      </c>
      <c r="L1936" s="57" t="s">
        <v>2067</v>
      </c>
      <c r="M1936" s="14" t="s">
        <v>1211</v>
      </c>
      <c r="N1936" s="14" t="s">
        <v>2068</v>
      </c>
      <c r="O1936" s="14"/>
      <c r="P1936" s="15" t="s">
        <v>2069</v>
      </c>
      <c r="Q1936" s="16">
        <v>20799</v>
      </c>
      <c r="R1936" s="17">
        <v>40</v>
      </c>
      <c r="S1936" s="18">
        <v>14351.309999999998</v>
      </c>
      <c r="T1936" s="19" t="s">
        <v>36</v>
      </c>
      <c r="U1936" s="20" t="s">
        <v>746</v>
      </c>
      <c r="V1936" s="22">
        <v>39</v>
      </c>
      <c r="W1936" s="22">
        <v>1</v>
      </c>
      <c r="X1936" s="23"/>
    </row>
    <row r="1937" spans="1:24" s="1" customFormat="1" ht="61.05" customHeight="1" x14ac:dyDescent="0.3">
      <c r="A1937" s="24" t="s">
        <v>23</v>
      </c>
      <c r="B1937" s="24" t="s">
        <v>2065</v>
      </c>
      <c r="C1937" s="12" t="s">
        <v>2066</v>
      </c>
      <c r="D1937" s="56"/>
      <c r="E1937" s="41" t="str">
        <f>HYPERLINK("https://www.google.ru/search?q=3026545-005&amp;newwindow=1&amp;tbm=isch","Еще фото")</f>
        <v>Еще фото</v>
      </c>
      <c r="F1937" s="13"/>
      <c r="G1937" s="24" t="s">
        <v>1184</v>
      </c>
      <c r="H1937" s="24" t="s">
        <v>741</v>
      </c>
      <c r="I1937" s="24" t="s">
        <v>1185</v>
      </c>
      <c r="J1937" s="14" t="s">
        <v>29</v>
      </c>
      <c r="K1937" s="15" t="s">
        <v>30</v>
      </c>
      <c r="L1937" s="58"/>
      <c r="M1937" s="14" t="s">
        <v>1211</v>
      </c>
      <c r="N1937" s="14" t="s">
        <v>2068</v>
      </c>
      <c r="O1937" s="14"/>
      <c r="P1937" s="15" t="s">
        <v>2069</v>
      </c>
      <c r="Q1937" s="16">
        <v>20799</v>
      </c>
      <c r="R1937" s="17">
        <v>40</v>
      </c>
      <c r="S1937" s="18">
        <v>14351.309999999998</v>
      </c>
      <c r="T1937" s="19" t="s">
        <v>36</v>
      </c>
      <c r="U1937" s="20" t="s">
        <v>749</v>
      </c>
      <c r="V1937" s="22">
        <v>41</v>
      </c>
      <c r="W1937" s="22">
        <v>1</v>
      </c>
      <c r="X1937" s="23"/>
    </row>
    <row r="1938" spans="1:24" s="1" customFormat="1" ht="52.05" customHeight="1" x14ac:dyDescent="0.3">
      <c r="A1938" s="11" t="s">
        <v>23</v>
      </c>
      <c r="B1938" s="11" t="s">
        <v>2070</v>
      </c>
      <c r="C1938" s="12" t="s">
        <v>2071</v>
      </c>
      <c r="D1938" s="55"/>
      <c r="E1938" s="41" t="str">
        <f>HYPERLINK("https://www.google.ru/search?q=3026545-300&amp;newwindow=1&amp;tbm=isch","Еще фото")</f>
        <v>Еще фото</v>
      </c>
      <c r="F1938" s="28" t="s">
        <v>138</v>
      </c>
      <c r="G1938" s="11" t="s">
        <v>1184</v>
      </c>
      <c r="H1938" s="11" t="s">
        <v>741</v>
      </c>
      <c r="I1938" s="14" t="s">
        <v>1185</v>
      </c>
      <c r="J1938" s="14" t="s">
        <v>29</v>
      </c>
      <c r="K1938" s="15" t="s">
        <v>30</v>
      </c>
      <c r="L1938" s="57" t="s">
        <v>2067</v>
      </c>
      <c r="M1938" s="14" t="s">
        <v>1211</v>
      </c>
      <c r="N1938" s="14" t="s">
        <v>1957</v>
      </c>
      <c r="O1938" s="14"/>
      <c r="P1938" s="15" t="s">
        <v>2072</v>
      </c>
      <c r="Q1938" s="16">
        <v>20999</v>
      </c>
      <c r="R1938" s="17">
        <v>40</v>
      </c>
      <c r="S1938" s="18">
        <v>14489.309999999998</v>
      </c>
      <c r="T1938" s="19" t="s">
        <v>36</v>
      </c>
      <c r="U1938" s="20" t="s">
        <v>747</v>
      </c>
      <c r="V1938" s="34">
        <v>39.5</v>
      </c>
      <c r="W1938" s="22">
        <v>2</v>
      </c>
      <c r="X1938" s="23"/>
    </row>
    <row r="1939" spans="1:24" s="1" customFormat="1" ht="61.05" customHeight="1" x14ac:dyDescent="0.3">
      <c r="A1939" s="24" t="s">
        <v>23</v>
      </c>
      <c r="B1939" s="24" t="s">
        <v>2070</v>
      </c>
      <c r="C1939" s="12" t="s">
        <v>2071</v>
      </c>
      <c r="D1939" s="56"/>
      <c r="E1939" s="41" t="str">
        <f>HYPERLINK("https://www.google.ru/search?q=3026545-300&amp;newwindow=1&amp;tbm=isch","Еще фото")</f>
        <v>Еще фото</v>
      </c>
      <c r="F1939" s="28" t="s">
        <v>138</v>
      </c>
      <c r="G1939" s="24" t="s">
        <v>1184</v>
      </c>
      <c r="H1939" s="24" t="s">
        <v>741</v>
      </c>
      <c r="I1939" s="24" t="s">
        <v>1185</v>
      </c>
      <c r="J1939" s="14" t="s">
        <v>29</v>
      </c>
      <c r="K1939" s="15" t="s">
        <v>30</v>
      </c>
      <c r="L1939" s="58"/>
      <c r="M1939" s="14" t="s">
        <v>1211</v>
      </c>
      <c r="N1939" s="14" t="s">
        <v>1957</v>
      </c>
      <c r="O1939" s="14"/>
      <c r="P1939" s="15" t="s">
        <v>2072</v>
      </c>
      <c r="Q1939" s="16">
        <v>20999</v>
      </c>
      <c r="R1939" s="17">
        <v>40</v>
      </c>
      <c r="S1939" s="18">
        <v>14489.309999999998</v>
      </c>
      <c r="T1939" s="19" t="s">
        <v>36</v>
      </c>
      <c r="U1939" s="20" t="s">
        <v>750</v>
      </c>
      <c r="V1939" s="34">
        <v>41.5</v>
      </c>
      <c r="W1939" s="22">
        <v>1</v>
      </c>
      <c r="X1939" s="23"/>
    </row>
    <row r="1940" spans="1:24" s="1" customFormat="1" ht="108" customHeight="1" x14ac:dyDescent="0.3">
      <c r="A1940" s="11" t="s">
        <v>23</v>
      </c>
      <c r="B1940" s="11" t="s">
        <v>2073</v>
      </c>
      <c r="C1940" s="12" t="s">
        <v>2074</v>
      </c>
      <c r="D1940" s="25"/>
      <c r="E1940" s="41" t="str">
        <f>HYPERLINK("https://www.google.ru/search?q=3026546-001&amp;newwindow=1&amp;tbm=isch","Еще фото")</f>
        <v>Еще фото</v>
      </c>
      <c r="F1940" s="13" t="s">
        <v>152</v>
      </c>
      <c r="G1940" s="11" t="s">
        <v>1184</v>
      </c>
      <c r="H1940" s="11" t="s">
        <v>741</v>
      </c>
      <c r="I1940" s="14" t="s">
        <v>1185</v>
      </c>
      <c r="J1940" s="14" t="s">
        <v>29</v>
      </c>
      <c r="K1940" s="15" t="s">
        <v>30</v>
      </c>
      <c r="L1940" s="14" t="s">
        <v>2075</v>
      </c>
      <c r="M1940" s="14" t="s">
        <v>1225</v>
      </c>
      <c r="N1940" s="14" t="s">
        <v>33</v>
      </c>
      <c r="O1940" s="14"/>
      <c r="P1940" s="15" t="s">
        <v>2076</v>
      </c>
      <c r="Q1940" s="16">
        <v>24999</v>
      </c>
      <c r="R1940" s="17">
        <v>40</v>
      </c>
      <c r="S1940" s="18">
        <v>17249.309999999998</v>
      </c>
      <c r="T1940" s="19" t="s">
        <v>36</v>
      </c>
      <c r="U1940" s="20" t="s">
        <v>747</v>
      </c>
      <c r="V1940" s="34">
        <v>39.5</v>
      </c>
      <c r="W1940" s="22">
        <v>1</v>
      </c>
      <c r="X1940" s="23"/>
    </row>
    <row r="1941" spans="1:24" s="1" customFormat="1" ht="52.05" customHeight="1" x14ac:dyDescent="0.3">
      <c r="A1941" s="11" t="s">
        <v>23</v>
      </c>
      <c r="B1941" s="11" t="s">
        <v>2077</v>
      </c>
      <c r="C1941" s="12" t="s">
        <v>2078</v>
      </c>
      <c r="D1941" s="55"/>
      <c r="E1941" s="41" t="str">
        <f>HYPERLINK("https://www.google.ru/search?q=3026546-300&amp;newwindow=1&amp;tbm=isch","Еще фото")</f>
        <v>Еще фото</v>
      </c>
      <c r="F1941" s="13"/>
      <c r="G1941" s="11" t="s">
        <v>1184</v>
      </c>
      <c r="H1941" s="11" t="s">
        <v>741</v>
      </c>
      <c r="I1941" s="14" t="s">
        <v>1185</v>
      </c>
      <c r="J1941" s="14" t="s">
        <v>29</v>
      </c>
      <c r="K1941" s="15" t="s">
        <v>30</v>
      </c>
      <c r="L1941" s="57" t="s">
        <v>2075</v>
      </c>
      <c r="M1941" s="14" t="s">
        <v>1225</v>
      </c>
      <c r="N1941" s="14" t="s">
        <v>2079</v>
      </c>
      <c r="O1941" s="14"/>
      <c r="P1941" s="15" t="s">
        <v>2076</v>
      </c>
      <c r="Q1941" s="16">
        <v>24999</v>
      </c>
      <c r="R1941" s="17">
        <v>40</v>
      </c>
      <c r="S1941" s="18">
        <v>17249.309999999998</v>
      </c>
      <c r="T1941" s="19" t="s">
        <v>36</v>
      </c>
      <c r="U1941" s="20" t="s">
        <v>750</v>
      </c>
      <c r="V1941" s="34">
        <v>41.5</v>
      </c>
      <c r="W1941" s="22">
        <v>2</v>
      </c>
      <c r="X1941" s="23"/>
    </row>
    <row r="1942" spans="1:24" s="1" customFormat="1" ht="61.05" customHeight="1" x14ac:dyDescent="0.3">
      <c r="A1942" s="24" t="s">
        <v>23</v>
      </c>
      <c r="B1942" s="24" t="s">
        <v>2077</v>
      </c>
      <c r="C1942" s="12" t="s">
        <v>2078</v>
      </c>
      <c r="D1942" s="56"/>
      <c r="E1942" s="41" t="str">
        <f>HYPERLINK("https://www.google.ru/search?q=3026546-300&amp;newwindow=1&amp;tbm=isch","Еще фото")</f>
        <v>Еще фото</v>
      </c>
      <c r="F1942" s="13"/>
      <c r="G1942" s="24" t="s">
        <v>1184</v>
      </c>
      <c r="H1942" s="24" t="s">
        <v>741</v>
      </c>
      <c r="I1942" s="24" t="s">
        <v>1185</v>
      </c>
      <c r="J1942" s="14" t="s">
        <v>29</v>
      </c>
      <c r="K1942" s="15" t="s">
        <v>30</v>
      </c>
      <c r="L1942" s="58"/>
      <c r="M1942" s="14" t="s">
        <v>1225</v>
      </c>
      <c r="N1942" s="14" t="s">
        <v>2079</v>
      </c>
      <c r="O1942" s="14"/>
      <c r="P1942" s="15" t="s">
        <v>2076</v>
      </c>
      <c r="Q1942" s="16">
        <v>24999</v>
      </c>
      <c r="R1942" s="17">
        <v>40</v>
      </c>
      <c r="S1942" s="18">
        <v>17249.309999999998</v>
      </c>
      <c r="T1942" s="19" t="s">
        <v>36</v>
      </c>
      <c r="U1942" s="20" t="s">
        <v>751</v>
      </c>
      <c r="V1942" s="22">
        <v>42</v>
      </c>
      <c r="W1942" s="22">
        <v>2</v>
      </c>
      <c r="X1942" s="23"/>
    </row>
    <row r="1943" spans="1:24" s="1" customFormat="1" ht="108" customHeight="1" x14ac:dyDescent="0.3">
      <c r="A1943" s="11" t="s">
        <v>23</v>
      </c>
      <c r="B1943" s="11" t="s">
        <v>2080</v>
      </c>
      <c r="C1943" s="12" t="s">
        <v>2081</v>
      </c>
      <c r="D1943" s="25"/>
      <c r="E1943" s="41" t="str">
        <f>HYPERLINK("https://www.google.ru/search?q=3026548-001&amp;newwindow=1&amp;tbm=isch","Еще фото")</f>
        <v>Еще фото</v>
      </c>
      <c r="F1943" s="13"/>
      <c r="G1943" s="11" t="s">
        <v>1184</v>
      </c>
      <c r="H1943" s="11" t="s">
        <v>741</v>
      </c>
      <c r="I1943" s="14" t="s">
        <v>1185</v>
      </c>
      <c r="J1943" s="14" t="s">
        <v>29</v>
      </c>
      <c r="K1943" s="15" t="s">
        <v>30</v>
      </c>
      <c r="L1943" s="14" t="s">
        <v>2082</v>
      </c>
      <c r="M1943" s="14" t="s">
        <v>1225</v>
      </c>
      <c r="N1943" s="14" t="s">
        <v>2083</v>
      </c>
      <c r="O1943" s="14"/>
      <c r="P1943" s="15" t="s">
        <v>2084</v>
      </c>
      <c r="Q1943" s="16">
        <v>19999</v>
      </c>
      <c r="R1943" s="17">
        <v>40</v>
      </c>
      <c r="S1943" s="18">
        <v>13799.309999999998</v>
      </c>
      <c r="T1943" s="19" t="s">
        <v>36</v>
      </c>
      <c r="U1943" s="20" t="s">
        <v>746</v>
      </c>
      <c r="V1943" s="22">
        <v>39</v>
      </c>
      <c r="W1943" s="22">
        <v>1</v>
      </c>
      <c r="X1943" s="23"/>
    </row>
    <row r="1944" spans="1:24" s="1" customFormat="1" ht="52.05" customHeight="1" x14ac:dyDescent="0.3">
      <c r="A1944" s="11" t="s">
        <v>23</v>
      </c>
      <c r="B1944" s="11" t="s">
        <v>2085</v>
      </c>
      <c r="C1944" s="12" t="s">
        <v>2086</v>
      </c>
      <c r="D1944" s="55"/>
      <c r="E1944" s="41" t="str">
        <f>HYPERLINK("https://www.google.ru/search?q=3026548-300&amp;newwindow=1&amp;tbm=isch","Еще фото")</f>
        <v>Еще фото</v>
      </c>
      <c r="F1944" s="28" t="s">
        <v>138</v>
      </c>
      <c r="G1944" s="11" t="s">
        <v>1184</v>
      </c>
      <c r="H1944" s="11" t="s">
        <v>741</v>
      </c>
      <c r="I1944" s="14" t="s">
        <v>1185</v>
      </c>
      <c r="J1944" s="14" t="s">
        <v>29</v>
      </c>
      <c r="K1944" s="15" t="s">
        <v>30</v>
      </c>
      <c r="L1944" s="57" t="s">
        <v>2082</v>
      </c>
      <c r="M1944" s="14" t="s">
        <v>1225</v>
      </c>
      <c r="N1944" s="14" t="s">
        <v>2087</v>
      </c>
      <c r="O1944" s="14"/>
      <c r="P1944" s="15" t="s">
        <v>2084</v>
      </c>
      <c r="Q1944" s="16">
        <v>19999</v>
      </c>
      <c r="R1944" s="17">
        <v>40</v>
      </c>
      <c r="S1944" s="18">
        <v>13799.309999999998</v>
      </c>
      <c r="T1944" s="19" t="s">
        <v>36</v>
      </c>
      <c r="U1944" s="20" t="s">
        <v>749</v>
      </c>
      <c r="V1944" s="22">
        <v>41</v>
      </c>
      <c r="W1944" s="22">
        <v>1</v>
      </c>
      <c r="X1944" s="23"/>
    </row>
    <row r="1945" spans="1:24" s="1" customFormat="1" ht="61.05" customHeight="1" x14ac:dyDescent="0.3">
      <c r="A1945" s="24" t="s">
        <v>23</v>
      </c>
      <c r="B1945" s="24" t="s">
        <v>2085</v>
      </c>
      <c r="C1945" s="12" t="s">
        <v>2086</v>
      </c>
      <c r="D1945" s="56"/>
      <c r="E1945" s="41" t="str">
        <f>HYPERLINK("https://www.google.ru/search?q=3026548-300&amp;newwindow=1&amp;tbm=isch","Еще фото")</f>
        <v>Еще фото</v>
      </c>
      <c r="F1945" s="28" t="s">
        <v>138</v>
      </c>
      <c r="G1945" s="24" t="s">
        <v>1184</v>
      </c>
      <c r="H1945" s="24" t="s">
        <v>741</v>
      </c>
      <c r="I1945" s="24" t="s">
        <v>1185</v>
      </c>
      <c r="J1945" s="14" t="s">
        <v>29</v>
      </c>
      <c r="K1945" s="15" t="s">
        <v>30</v>
      </c>
      <c r="L1945" s="58"/>
      <c r="M1945" s="14" t="s">
        <v>1225</v>
      </c>
      <c r="N1945" s="14" t="s">
        <v>2087</v>
      </c>
      <c r="O1945" s="14"/>
      <c r="P1945" s="15" t="s">
        <v>2084</v>
      </c>
      <c r="Q1945" s="16">
        <v>19999</v>
      </c>
      <c r="R1945" s="17">
        <v>40</v>
      </c>
      <c r="S1945" s="18">
        <v>13799.309999999998</v>
      </c>
      <c r="T1945" s="19" t="s">
        <v>36</v>
      </c>
      <c r="U1945" s="20" t="s">
        <v>750</v>
      </c>
      <c r="V1945" s="34">
        <v>41.5</v>
      </c>
      <c r="W1945" s="22">
        <v>2</v>
      </c>
      <c r="X1945" s="23"/>
    </row>
    <row r="1946" spans="1:24" s="1" customFormat="1" ht="21" customHeight="1" x14ac:dyDescent="0.3">
      <c r="A1946" s="11" t="s">
        <v>23</v>
      </c>
      <c r="B1946" s="11" t="s">
        <v>2088</v>
      </c>
      <c r="C1946" s="26" t="s">
        <v>2089</v>
      </c>
      <c r="D1946" s="59"/>
      <c r="E1946" s="41" t="str">
        <f>HYPERLINK("https://www.google.ru/search?q=3026582-001&amp;newwindow=1&amp;tbm=isch","Еще фото")</f>
        <v>Еще фото</v>
      </c>
      <c r="F1946" s="28" t="s">
        <v>138</v>
      </c>
      <c r="G1946" s="11" t="s">
        <v>1184</v>
      </c>
      <c r="H1946" s="11" t="s">
        <v>741</v>
      </c>
      <c r="I1946" s="14" t="s">
        <v>1185</v>
      </c>
      <c r="J1946" s="14" t="s">
        <v>29</v>
      </c>
      <c r="K1946" s="15" t="s">
        <v>30</v>
      </c>
      <c r="L1946" s="57" t="s">
        <v>2090</v>
      </c>
      <c r="M1946" s="14" t="s">
        <v>1211</v>
      </c>
      <c r="N1946" s="14" t="s">
        <v>33</v>
      </c>
      <c r="O1946" s="14"/>
      <c r="P1946" s="15" t="s">
        <v>2091</v>
      </c>
      <c r="Q1946" s="16">
        <v>21999</v>
      </c>
      <c r="R1946" s="17">
        <v>40</v>
      </c>
      <c r="S1946" s="18">
        <v>15179.309999999998</v>
      </c>
      <c r="T1946" s="19" t="s">
        <v>36</v>
      </c>
      <c r="U1946" s="20" t="s">
        <v>746</v>
      </c>
      <c r="V1946" s="22">
        <v>39</v>
      </c>
      <c r="W1946" s="22">
        <v>1</v>
      </c>
      <c r="X1946" s="23"/>
    </row>
    <row r="1947" spans="1:24" s="1" customFormat="1" ht="21" customHeight="1" x14ac:dyDescent="0.3">
      <c r="A1947" s="24" t="s">
        <v>23</v>
      </c>
      <c r="B1947" s="24" t="s">
        <v>2088</v>
      </c>
      <c r="C1947" s="27" t="s">
        <v>2089</v>
      </c>
      <c r="D1947" s="60"/>
      <c r="E1947" s="41" t="str">
        <f>HYPERLINK("https://www.google.ru/search?q=3026582-001&amp;newwindow=1&amp;tbm=isch","Еще фото")</f>
        <v>Еще фото</v>
      </c>
      <c r="F1947" s="28" t="s">
        <v>138</v>
      </c>
      <c r="G1947" s="24" t="s">
        <v>1184</v>
      </c>
      <c r="H1947" s="24" t="s">
        <v>741</v>
      </c>
      <c r="I1947" s="24" t="s">
        <v>1185</v>
      </c>
      <c r="J1947" s="14" t="s">
        <v>29</v>
      </c>
      <c r="K1947" s="15" t="s">
        <v>30</v>
      </c>
      <c r="L1947" s="62"/>
      <c r="M1947" s="14" t="s">
        <v>1211</v>
      </c>
      <c r="N1947" s="14" t="s">
        <v>33</v>
      </c>
      <c r="O1947" s="14"/>
      <c r="P1947" s="15" t="s">
        <v>2091</v>
      </c>
      <c r="Q1947" s="16">
        <v>21999</v>
      </c>
      <c r="R1947" s="17">
        <v>40</v>
      </c>
      <c r="S1947" s="18">
        <v>15179.309999999998</v>
      </c>
      <c r="T1947" s="19" t="s">
        <v>36</v>
      </c>
      <c r="U1947" s="20" t="s">
        <v>747</v>
      </c>
      <c r="V1947" s="34">
        <v>39.5</v>
      </c>
      <c r="W1947" s="22">
        <v>1</v>
      </c>
      <c r="X1947" s="23"/>
    </row>
    <row r="1948" spans="1:24" s="1" customFormat="1" ht="21" customHeight="1" x14ac:dyDescent="0.3">
      <c r="A1948" s="24" t="s">
        <v>23</v>
      </c>
      <c r="B1948" s="24" t="s">
        <v>2088</v>
      </c>
      <c r="C1948" s="27" t="s">
        <v>2089</v>
      </c>
      <c r="D1948" s="60"/>
      <c r="E1948" s="41" t="str">
        <f>HYPERLINK("https://www.google.ru/search?q=3026582-001&amp;newwindow=1&amp;tbm=isch","Еще фото")</f>
        <v>Еще фото</v>
      </c>
      <c r="F1948" s="28" t="s">
        <v>138</v>
      </c>
      <c r="G1948" s="24" t="s">
        <v>1184</v>
      </c>
      <c r="H1948" s="24" t="s">
        <v>741</v>
      </c>
      <c r="I1948" s="24" t="s">
        <v>1185</v>
      </c>
      <c r="J1948" s="14" t="s">
        <v>29</v>
      </c>
      <c r="K1948" s="15" t="s">
        <v>30</v>
      </c>
      <c r="L1948" s="62"/>
      <c r="M1948" s="14" t="s">
        <v>1211</v>
      </c>
      <c r="N1948" s="14" t="s">
        <v>33</v>
      </c>
      <c r="O1948" s="14"/>
      <c r="P1948" s="15" t="s">
        <v>2091</v>
      </c>
      <c r="Q1948" s="16">
        <v>21999</v>
      </c>
      <c r="R1948" s="17">
        <v>40</v>
      </c>
      <c r="S1948" s="18">
        <v>15179.309999999998</v>
      </c>
      <c r="T1948" s="19" t="s">
        <v>36</v>
      </c>
      <c r="U1948" s="20" t="s">
        <v>748</v>
      </c>
      <c r="V1948" s="22">
        <v>40</v>
      </c>
      <c r="W1948" s="22">
        <v>1</v>
      </c>
      <c r="X1948" s="23"/>
    </row>
    <row r="1949" spans="1:24" s="1" customFormat="1" ht="21" customHeight="1" x14ac:dyDescent="0.3">
      <c r="A1949" s="24" t="s">
        <v>23</v>
      </c>
      <c r="B1949" s="24" t="s">
        <v>2088</v>
      </c>
      <c r="C1949" s="27" t="s">
        <v>2089</v>
      </c>
      <c r="D1949" s="60"/>
      <c r="E1949" s="41" t="str">
        <f>HYPERLINK("https://www.google.ru/search?q=3026582-001&amp;newwindow=1&amp;tbm=isch","Еще фото")</f>
        <v>Еще фото</v>
      </c>
      <c r="F1949" s="28" t="s">
        <v>138</v>
      </c>
      <c r="G1949" s="24" t="s">
        <v>1184</v>
      </c>
      <c r="H1949" s="24" t="s">
        <v>741</v>
      </c>
      <c r="I1949" s="24" t="s">
        <v>1185</v>
      </c>
      <c r="J1949" s="14" t="s">
        <v>29</v>
      </c>
      <c r="K1949" s="15" t="s">
        <v>30</v>
      </c>
      <c r="L1949" s="62"/>
      <c r="M1949" s="14" t="s">
        <v>1211</v>
      </c>
      <c r="N1949" s="14" t="s">
        <v>33</v>
      </c>
      <c r="O1949" s="14"/>
      <c r="P1949" s="15" t="s">
        <v>2091</v>
      </c>
      <c r="Q1949" s="16">
        <v>21999</v>
      </c>
      <c r="R1949" s="17">
        <v>40</v>
      </c>
      <c r="S1949" s="18">
        <v>15179.309999999998</v>
      </c>
      <c r="T1949" s="19" t="s">
        <v>36</v>
      </c>
      <c r="U1949" s="20" t="s">
        <v>750</v>
      </c>
      <c r="V1949" s="34">
        <v>41.5</v>
      </c>
      <c r="W1949" s="22">
        <v>1</v>
      </c>
      <c r="X1949" s="23"/>
    </row>
    <row r="1950" spans="1:24" s="1" customFormat="1" ht="32" customHeight="1" x14ac:dyDescent="0.3">
      <c r="A1950" s="24" t="s">
        <v>23</v>
      </c>
      <c r="B1950" s="24" t="s">
        <v>2088</v>
      </c>
      <c r="C1950" s="27" t="s">
        <v>2089</v>
      </c>
      <c r="D1950" s="61"/>
      <c r="E1950" s="41" t="str">
        <f>HYPERLINK("https://www.google.ru/search?q=3026582-001&amp;newwindow=1&amp;tbm=isch","Еще фото")</f>
        <v>Еще фото</v>
      </c>
      <c r="F1950" s="28" t="s">
        <v>138</v>
      </c>
      <c r="G1950" s="24" t="s">
        <v>1184</v>
      </c>
      <c r="H1950" s="24" t="s">
        <v>741</v>
      </c>
      <c r="I1950" s="24" t="s">
        <v>1185</v>
      </c>
      <c r="J1950" s="14" t="s">
        <v>29</v>
      </c>
      <c r="K1950" s="15" t="s">
        <v>30</v>
      </c>
      <c r="L1950" s="58"/>
      <c r="M1950" s="14" t="s">
        <v>1211</v>
      </c>
      <c r="N1950" s="14" t="s">
        <v>33</v>
      </c>
      <c r="O1950" s="14"/>
      <c r="P1950" s="15" t="s">
        <v>2091</v>
      </c>
      <c r="Q1950" s="16">
        <v>21999</v>
      </c>
      <c r="R1950" s="17">
        <v>40</v>
      </c>
      <c r="S1950" s="18">
        <v>15179.309999999998</v>
      </c>
      <c r="T1950" s="19" t="s">
        <v>36</v>
      </c>
      <c r="U1950" s="20" t="s">
        <v>751</v>
      </c>
      <c r="V1950" s="22">
        <v>42</v>
      </c>
      <c r="W1950" s="22">
        <v>1</v>
      </c>
      <c r="X1950" s="23"/>
    </row>
    <row r="1951" spans="1:24" s="1" customFormat="1" ht="35" customHeight="1" x14ac:dyDescent="0.3">
      <c r="A1951" s="11" t="s">
        <v>23</v>
      </c>
      <c r="B1951" s="11" t="s">
        <v>2088</v>
      </c>
      <c r="C1951" s="12" t="s">
        <v>2092</v>
      </c>
      <c r="D1951" s="59"/>
      <c r="E1951" s="41" t="str">
        <f>HYPERLINK("https://www.google.ru/search?q=3026582-003&amp;newwindow=1&amp;tbm=isch","Еще фото")</f>
        <v>Еще фото</v>
      </c>
      <c r="F1951" s="13"/>
      <c r="G1951" s="11" t="s">
        <v>1184</v>
      </c>
      <c r="H1951" s="11" t="s">
        <v>741</v>
      </c>
      <c r="I1951" s="14" t="s">
        <v>1185</v>
      </c>
      <c r="J1951" s="14" t="s">
        <v>29</v>
      </c>
      <c r="K1951" s="15" t="s">
        <v>30</v>
      </c>
      <c r="L1951" s="57" t="s">
        <v>1687</v>
      </c>
      <c r="M1951" s="14" t="s">
        <v>1211</v>
      </c>
      <c r="N1951" s="14" t="s">
        <v>2093</v>
      </c>
      <c r="O1951" s="14"/>
      <c r="P1951" s="15" t="s">
        <v>2091</v>
      </c>
      <c r="Q1951" s="16">
        <v>23999</v>
      </c>
      <c r="R1951" s="17">
        <v>40</v>
      </c>
      <c r="S1951" s="18">
        <v>16559.309999999998</v>
      </c>
      <c r="T1951" s="19" t="s">
        <v>36</v>
      </c>
      <c r="U1951" s="20" t="s">
        <v>748</v>
      </c>
      <c r="V1951" s="22">
        <v>40</v>
      </c>
      <c r="W1951" s="22">
        <v>7</v>
      </c>
      <c r="X1951" s="23"/>
    </row>
    <row r="1952" spans="1:24" s="1" customFormat="1" ht="35" customHeight="1" x14ac:dyDescent="0.3">
      <c r="A1952" s="24" t="s">
        <v>23</v>
      </c>
      <c r="B1952" s="24" t="s">
        <v>2088</v>
      </c>
      <c r="C1952" s="12" t="s">
        <v>2092</v>
      </c>
      <c r="D1952" s="60"/>
      <c r="E1952" s="41" t="str">
        <f>HYPERLINK("https://www.google.ru/search?q=3026582-003&amp;newwindow=1&amp;tbm=isch","Еще фото")</f>
        <v>Еще фото</v>
      </c>
      <c r="F1952" s="13"/>
      <c r="G1952" s="24" t="s">
        <v>1184</v>
      </c>
      <c r="H1952" s="24" t="s">
        <v>741</v>
      </c>
      <c r="I1952" s="24" t="s">
        <v>1185</v>
      </c>
      <c r="J1952" s="14" t="s">
        <v>29</v>
      </c>
      <c r="K1952" s="15" t="s">
        <v>30</v>
      </c>
      <c r="L1952" s="62"/>
      <c r="M1952" s="14" t="s">
        <v>1211</v>
      </c>
      <c r="N1952" s="14" t="s">
        <v>2093</v>
      </c>
      <c r="O1952" s="14"/>
      <c r="P1952" s="15" t="s">
        <v>2091</v>
      </c>
      <c r="Q1952" s="16">
        <v>23999</v>
      </c>
      <c r="R1952" s="17">
        <v>40</v>
      </c>
      <c r="S1952" s="18">
        <v>16559.309999999998</v>
      </c>
      <c r="T1952" s="19" t="s">
        <v>36</v>
      </c>
      <c r="U1952" s="20" t="s">
        <v>752</v>
      </c>
      <c r="V1952" s="22">
        <v>43</v>
      </c>
      <c r="W1952" s="22">
        <v>6</v>
      </c>
      <c r="X1952" s="23"/>
    </row>
    <row r="1953" spans="1:24" s="1" customFormat="1" ht="37.049999999999997" customHeight="1" x14ac:dyDescent="0.3">
      <c r="A1953" s="24" t="s">
        <v>23</v>
      </c>
      <c r="B1953" s="24" t="s">
        <v>2088</v>
      </c>
      <c r="C1953" s="12" t="s">
        <v>2092</v>
      </c>
      <c r="D1953" s="61"/>
      <c r="E1953" s="41" t="str">
        <f>HYPERLINK("https://www.google.ru/search?q=3026582-003&amp;newwindow=1&amp;tbm=isch","Еще фото")</f>
        <v>Еще фото</v>
      </c>
      <c r="F1953" s="13"/>
      <c r="G1953" s="24" t="s">
        <v>1184</v>
      </c>
      <c r="H1953" s="24" t="s">
        <v>741</v>
      </c>
      <c r="I1953" s="24" t="s">
        <v>1185</v>
      </c>
      <c r="J1953" s="14" t="s">
        <v>29</v>
      </c>
      <c r="K1953" s="15" t="s">
        <v>30</v>
      </c>
      <c r="L1953" s="58"/>
      <c r="M1953" s="14" t="s">
        <v>1211</v>
      </c>
      <c r="N1953" s="14" t="s">
        <v>2093</v>
      </c>
      <c r="O1953" s="14"/>
      <c r="P1953" s="15" t="s">
        <v>2091</v>
      </c>
      <c r="Q1953" s="16">
        <v>23999</v>
      </c>
      <c r="R1953" s="17">
        <v>40</v>
      </c>
      <c r="S1953" s="18">
        <v>16559.309999999998</v>
      </c>
      <c r="T1953" s="19" t="s">
        <v>36</v>
      </c>
      <c r="U1953" s="20" t="s">
        <v>753</v>
      </c>
      <c r="V1953" s="34">
        <v>43.5</v>
      </c>
      <c r="W1953" s="22">
        <v>5</v>
      </c>
      <c r="X1953" s="23"/>
    </row>
    <row r="1954" spans="1:24" s="1" customFormat="1" ht="35" customHeight="1" x14ac:dyDescent="0.3">
      <c r="A1954" s="11" t="s">
        <v>23</v>
      </c>
      <c r="B1954" s="11" t="s">
        <v>2094</v>
      </c>
      <c r="C1954" s="12" t="s">
        <v>2095</v>
      </c>
      <c r="D1954" s="59"/>
      <c r="E1954" s="41" t="str">
        <f>HYPERLINK("https://www.google.ru/search?q=3026582-201&amp;newwindow=1&amp;tbm=isch","Еще фото")</f>
        <v>Еще фото</v>
      </c>
      <c r="F1954" s="13"/>
      <c r="G1954" s="11" t="s">
        <v>1184</v>
      </c>
      <c r="H1954" s="11" t="s">
        <v>741</v>
      </c>
      <c r="I1954" s="14" t="s">
        <v>1185</v>
      </c>
      <c r="J1954" s="14" t="s">
        <v>29</v>
      </c>
      <c r="K1954" s="15" t="s">
        <v>30</v>
      </c>
      <c r="L1954" s="57" t="s">
        <v>1687</v>
      </c>
      <c r="M1954" s="14" t="s">
        <v>1211</v>
      </c>
      <c r="N1954" s="14" t="s">
        <v>229</v>
      </c>
      <c r="O1954" s="14"/>
      <c r="P1954" s="15" t="s">
        <v>2091</v>
      </c>
      <c r="Q1954" s="16">
        <v>21899</v>
      </c>
      <c r="R1954" s="17">
        <v>40</v>
      </c>
      <c r="S1954" s="18">
        <v>15110.309999999998</v>
      </c>
      <c r="T1954" s="19" t="s">
        <v>36</v>
      </c>
      <c r="U1954" s="20" t="s">
        <v>751</v>
      </c>
      <c r="V1954" s="22">
        <v>42</v>
      </c>
      <c r="W1954" s="22">
        <v>1</v>
      </c>
      <c r="X1954" s="23"/>
    </row>
    <row r="1955" spans="1:24" s="1" customFormat="1" ht="35" customHeight="1" x14ac:dyDescent="0.3">
      <c r="A1955" s="24" t="s">
        <v>23</v>
      </c>
      <c r="B1955" s="24" t="s">
        <v>2094</v>
      </c>
      <c r="C1955" s="12" t="s">
        <v>2095</v>
      </c>
      <c r="D1955" s="60"/>
      <c r="E1955" s="41" t="str">
        <f>HYPERLINK("https://www.google.ru/search?q=3026582-201&amp;newwindow=1&amp;tbm=isch","Еще фото")</f>
        <v>Еще фото</v>
      </c>
      <c r="F1955" s="13"/>
      <c r="G1955" s="24" t="s">
        <v>1184</v>
      </c>
      <c r="H1955" s="24" t="s">
        <v>741</v>
      </c>
      <c r="I1955" s="24" t="s">
        <v>1185</v>
      </c>
      <c r="J1955" s="14" t="s">
        <v>29</v>
      </c>
      <c r="K1955" s="15" t="s">
        <v>30</v>
      </c>
      <c r="L1955" s="62"/>
      <c r="M1955" s="14" t="s">
        <v>1211</v>
      </c>
      <c r="N1955" s="14" t="s">
        <v>229</v>
      </c>
      <c r="O1955" s="14"/>
      <c r="P1955" s="15" t="s">
        <v>2091</v>
      </c>
      <c r="Q1955" s="16">
        <v>21899</v>
      </c>
      <c r="R1955" s="17">
        <v>40</v>
      </c>
      <c r="S1955" s="18">
        <v>15110.309999999998</v>
      </c>
      <c r="T1955" s="19" t="s">
        <v>36</v>
      </c>
      <c r="U1955" s="20" t="s">
        <v>753</v>
      </c>
      <c r="V1955" s="34">
        <v>43.5</v>
      </c>
      <c r="W1955" s="22">
        <v>1</v>
      </c>
      <c r="X1955" s="23"/>
    </row>
    <row r="1956" spans="1:24" s="1" customFormat="1" ht="37.049999999999997" customHeight="1" x14ac:dyDescent="0.3">
      <c r="A1956" s="24" t="s">
        <v>23</v>
      </c>
      <c r="B1956" s="24" t="s">
        <v>2094</v>
      </c>
      <c r="C1956" s="12" t="s">
        <v>2095</v>
      </c>
      <c r="D1956" s="61"/>
      <c r="E1956" s="41" t="str">
        <f>HYPERLINK("https://www.google.ru/search?q=3026582-201&amp;newwindow=1&amp;tbm=isch","Еще фото")</f>
        <v>Еще фото</v>
      </c>
      <c r="F1956" s="13"/>
      <c r="G1956" s="24" t="s">
        <v>1184</v>
      </c>
      <c r="H1956" s="24" t="s">
        <v>741</v>
      </c>
      <c r="I1956" s="24" t="s">
        <v>1185</v>
      </c>
      <c r="J1956" s="14" t="s">
        <v>29</v>
      </c>
      <c r="K1956" s="15" t="s">
        <v>30</v>
      </c>
      <c r="L1956" s="58"/>
      <c r="M1956" s="14" t="s">
        <v>1211</v>
      </c>
      <c r="N1956" s="14" t="s">
        <v>229</v>
      </c>
      <c r="O1956" s="14"/>
      <c r="P1956" s="15" t="s">
        <v>2091</v>
      </c>
      <c r="Q1956" s="16">
        <v>21899</v>
      </c>
      <c r="R1956" s="17">
        <v>40</v>
      </c>
      <c r="S1956" s="18">
        <v>15110.309999999998</v>
      </c>
      <c r="T1956" s="19" t="s">
        <v>36</v>
      </c>
      <c r="U1956" s="20" t="s">
        <v>754</v>
      </c>
      <c r="V1956" s="22">
        <v>44</v>
      </c>
      <c r="W1956" s="22">
        <v>1</v>
      </c>
      <c r="X1956" s="23"/>
    </row>
    <row r="1957" spans="1:24" s="1" customFormat="1" ht="26" customHeight="1" x14ac:dyDescent="0.3">
      <c r="A1957" s="11" t="s">
        <v>23</v>
      </c>
      <c r="B1957" s="11" t="s">
        <v>2096</v>
      </c>
      <c r="C1957" s="12" t="s">
        <v>2097</v>
      </c>
      <c r="D1957" s="59"/>
      <c r="E1957" s="41" t="str">
        <f>HYPERLINK("https://www.google.ru/search?q=3026582-402&amp;newwindow=1&amp;tbm=isch","Еще фото")</f>
        <v>Еще фото</v>
      </c>
      <c r="F1957" s="13"/>
      <c r="G1957" s="11" t="s">
        <v>1184</v>
      </c>
      <c r="H1957" s="11" t="s">
        <v>741</v>
      </c>
      <c r="I1957" s="14" t="s">
        <v>1185</v>
      </c>
      <c r="J1957" s="14" t="s">
        <v>29</v>
      </c>
      <c r="K1957" s="15" t="s">
        <v>30</v>
      </c>
      <c r="L1957" s="57" t="s">
        <v>1687</v>
      </c>
      <c r="M1957" s="14" t="s">
        <v>1211</v>
      </c>
      <c r="N1957" s="14" t="s">
        <v>115</v>
      </c>
      <c r="O1957" s="14"/>
      <c r="P1957" s="15" t="s">
        <v>2091</v>
      </c>
      <c r="Q1957" s="16">
        <v>21999</v>
      </c>
      <c r="R1957" s="17">
        <v>40</v>
      </c>
      <c r="S1957" s="18">
        <v>15179.309999999998</v>
      </c>
      <c r="T1957" s="19" t="s">
        <v>36</v>
      </c>
      <c r="U1957" s="20" t="s">
        <v>747</v>
      </c>
      <c r="V1957" s="34">
        <v>39.5</v>
      </c>
      <c r="W1957" s="22">
        <v>1</v>
      </c>
      <c r="X1957" s="23"/>
    </row>
    <row r="1958" spans="1:24" s="1" customFormat="1" ht="26" customHeight="1" x14ac:dyDescent="0.3">
      <c r="A1958" s="24" t="s">
        <v>23</v>
      </c>
      <c r="B1958" s="24" t="s">
        <v>2096</v>
      </c>
      <c r="C1958" s="12" t="s">
        <v>2097</v>
      </c>
      <c r="D1958" s="60"/>
      <c r="E1958" s="41" t="str">
        <f>HYPERLINK("https://www.google.ru/search?q=3026582-402&amp;newwindow=1&amp;tbm=isch","Еще фото")</f>
        <v>Еще фото</v>
      </c>
      <c r="F1958" s="13"/>
      <c r="G1958" s="24" t="s">
        <v>1184</v>
      </c>
      <c r="H1958" s="24" t="s">
        <v>741</v>
      </c>
      <c r="I1958" s="24" t="s">
        <v>1185</v>
      </c>
      <c r="J1958" s="14" t="s">
        <v>29</v>
      </c>
      <c r="K1958" s="15" t="s">
        <v>30</v>
      </c>
      <c r="L1958" s="62"/>
      <c r="M1958" s="14" t="s">
        <v>1211</v>
      </c>
      <c r="N1958" s="14" t="s">
        <v>115</v>
      </c>
      <c r="O1958" s="14"/>
      <c r="P1958" s="15" t="s">
        <v>2091</v>
      </c>
      <c r="Q1958" s="16">
        <v>21999</v>
      </c>
      <c r="R1958" s="17">
        <v>40</v>
      </c>
      <c r="S1958" s="18">
        <v>15179.309999999998</v>
      </c>
      <c r="T1958" s="19" t="s">
        <v>36</v>
      </c>
      <c r="U1958" s="20" t="s">
        <v>748</v>
      </c>
      <c r="V1958" s="22">
        <v>40</v>
      </c>
      <c r="W1958" s="22">
        <v>1</v>
      </c>
      <c r="X1958" s="23"/>
    </row>
    <row r="1959" spans="1:24" s="1" customFormat="1" ht="26" customHeight="1" x14ac:dyDescent="0.3">
      <c r="A1959" s="24" t="s">
        <v>23</v>
      </c>
      <c r="B1959" s="24" t="s">
        <v>2096</v>
      </c>
      <c r="C1959" s="12" t="s">
        <v>2097</v>
      </c>
      <c r="D1959" s="60"/>
      <c r="E1959" s="41" t="str">
        <f>HYPERLINK("https://www.google.ru/search?q=3026582-402&amp;newwindow=1&amp;tbm=isch","Еще фото")</f>
        <v>Еще фото</v>
      </c>
      <c r="F1959" s="13"/>
      <c r="G1959" s="24" t="s">
        <v>1184</v>
      </c>
      <c r="H1959" s="24" t="s">
        <v>741</v>
      </c>
      <c r="I1959" s="24" t="s">
        <v>1185</v>
      </c>
      <c r="J1959" s="14" t="s">
        <v>29</v>
      </c>
      <c r="K1959" s="15" t="s">
        <v>30</v>
      </c>
      <c r="L1959" s="62"/>
      <c r="M1959" s="14" t="s">
        <v>1211</v>
      </c>
      <c r="N1959" s="14" t="s">
        <v>115</v>
      </c>
      <c r="O1959" s="14"/>
      <c r="P1959" s="15" t="s">
        <v>2091</v>
      </c>
      <c r="Q1959" s="16">
        <v>21999</v>
      </c>
      <c r="R1959" s="17">
        <v>40</v>
      </c>
      <c r="S1959" s="18">
        <v>15179.309999999998</v>
      </c>
      <c r="T1959" s="19" t="s">
        <v>36</v>
      </c>
      <c r="U1959" s="20" t="s">
        <v>750</v>
      </c>
      <c r="V1959" s="34">
        <v>41.5</v>
      </c>
      <c r="W1959" s="22">
        <v>1</v>
      </c>
      <c r="X1959" s="23"/>
    </row>
    <row r="1960" spans="1:24" s="1" customFormat="1" ht="26" customHeight="1" x14ac:dyDescent="0.3">
      <c r="A1960" s="24" t="s">
        <v>23</v>
      </c>
      <c r="B1960" s="24" t="s">
        <v>2096</v>
      </c>
      <c r="C1960" s="12" t="s">
        <v>2097</v>
      </c>
      <c r="D1960" s="61"/>
      <c r="E1960" s="41" t="str">
        <f>HYPERLINK("https://www.google.ru/search?q=3026582-402&amp;newwindow=1&amp;tbm=isch","Еще фото")</f>
        <v>Еще фото</v>
      </c>
      <c r="F1960" s="13"/>
      <c r="G1960" s="24" t="s">
        <v>1184</v>
      </c>
      <c r="H1960" s="24" t="s">
        <v>741</v>
      </c>
      <c r="I1960" s="24" t="s">
        <v>1185</v>
      </c>
      <c r="J1960" s="14" t="s">
        <v>29</v>
      </c>
      <c r="K1960" s="15" t="s">
        <v>30</v>
      </c>
      <c r="L1960" s="58"/>
      <c r="M1960" s="14" t="s">
        <v>1211</v>
      </c>
      <c r="N1960" s="14" t="s">
        <v>115</v>
      </c>
      <c r="O1960" s="14"/>
      <c r="P1960" s="15" t="s">
        <v>2091</v>
      </c>
      <c r="Q1960" s="16">
        <v>21999</v>
      </c>
      <c r="R1960" s="17">
        <v>40</v>
      </c>
      <c r="S1960" s="18">
        <v>15179.309999999998</v>
      </c>
      <c r="T1960" s="19" t="s">
        <v>36</v>
      </c>
      <c r="U1960" s="20" t="s">
        <v>751</v>
      </c>
      <c r="V1960" s="22">
        <v>42</v>
      </c>
      <c r="W1960" s="22">
        <v>1</v>
      </c>
      <c r="X1960" s="23"/>
    </row>
    <row r="1961" spans="1:24" s="1" customFormat="1" ht="14" customHeight="1" x14ac:dyDescent="0.3">
      <c r="A1961" s="11" t="s">
        <v>23</v>
      </c>
      <c r="B1961" s="11" t="s">
        <v>2098</v>
      </c>
      <c r="C1961" s="12" t="s">
        <v>2099</v>
      </c>
      <c r="D1961" s="59"/>
      <c r="E1961" s="41" t="str">
        <f t="shared" ref="E1961:E1967" si="72">HYPERLINK("https://www.google.ru/search?q=3026582-601&amp;newwindow=1&amp;tbm=isch","Еще фото")</f>
        <v>Еще фото</v>
      </c>
      <c r="F1961" s="13"/>
      <c r="G1961" s="11" t="s">
        <v>1184</v>
      </c>
      <c r="H1961" s="11" t="s">
        <v>741</v>
      </c>
      <c r="I1961" s="14" t="s">
        <v>1185</v>
      </c>
      <c r="J1961" s="14" t="s">
        <v>29</v>
      </c>
      <c r="K1961" s="15" t="s">
        <v>30</v>
      </c>
      <c r="L1961" s="57" t="s">
        <v>1687</v>
      </c>
      <c r="M1961" s="14" t="s">
        <v>1211</v>
      </c>
      <c r="N1961" s="14" t="s">
        <v>1530</v>
      </c>
      <c r="O1961" s="14"/>
      <c r="P1961" s="15" t="s">
        <v>2091</v>
      </c>
      <c r="Q1961" s="16">
        <v>21799</v>
      </c>
      <c r="R1961" s="17">
        <v>40</v>
      </c>
      <c r="S1961" s="18">
        <v>15041.309999999998</v>
      </c>
      <c r="T1961" s="19" t="s">
        <v>36</v>
      </c>
      <c r="U1961" s="20" t="s">
        <v>747</v>
      </c>
      <c r="V1961" s="34">
        <v>39.5</v>
      </c>
      <c r="W1961" s="22">
        <v>1</v>
      </c>
      <c r="X1961" s="23"/>
    </row>
    <row r="1962" spans="1:24" s="1" customFormat="1" ht="14" customHeight="1" x14ac:dyDescent="0.3">
      <c r="A1962" s="24" t="s">
        <v>23</v>
      </c>
      <c r="B1962" s="24" t="s">
        <v>2098</v>
      </c>
      <c r="C1962" s="12" t="s">
        <v>2099</v>
      </c>
      <c r="D1962" s="60"/>
      <c r="E1962" s="41" t="str">
        <f t="shared" si="72"/>
        <v>Еще фото</v>
      </c>
      <c r="F1962" s="13"/>
      <c r="G1962" s="24" t="s">
        <v>1184</v>
      </c>
      <c r="H1962" s="24" t="s">
        <v>741</v>
      </c>
      <c r="I1962" s="24" t="s">
        <v>1185</v>
      </c>
      <c r="J1962" s="14" t="s">
        <v>29</v>
      </c>
      <c r="K1962" s="15" t="s">
        <v>30</v>
      </c>
      <c r="L1962" s="62"/>
      <c r="M1962" s="14" t="s">
        <v>1211</v>
      </c>
      <c r="N1962" s="14" t="s">
        <v>1530</v>
      </c>
      <c r="O1962" s="14"/>
      <c r="P1962" s="15" t="s">
        <v>2091</v>
      </c>
      <c r="Q1962" s="16">
        <v>21799</v>
      </c>
      <c r="R1962" s="17">
        <v>40</v>
      </c>
      <c r="S1962" s="18">
        <v>15041.309999999998</v>
      </c>
      <c r="T1962" s="19" t="s">
        <v>36</v>
      </c>
      <c r="U1962" s="20" t="s">
        <v>748</v>
      </c>
      <c r="V1962" s="22">
        <v>40</v>
      </c>
      <c r="W1962" s="22">
        <v>1</v>
      </c>
      <c r="X1962" s="23"/>
    </row>
    <row r="1963" spans="1:24" s="1" customFormat="1" ht="14" customHeight="1" x14ac:dyDescent="0.3">
      <c r="A1963" s="24" t="s">
        <v>23</v>
      </c>
      <c r="B1963" s="24" t="s">
        <v>2098</v>
      </c>
      <c r="C1963" s="12" t="s">
        <v>2099</v>
      </c>
      <c r="D1963" s="60"/>
      <c r="E1963" s="41" t="str">
        <f t="shared" si="72"/>
        <v>Еще фото</v>
      </c>
      <c r="F1963" s="13"/>
      <c r="G1963" s="24" t="s">
        <v>1184</v>
      </c>
      <c r="H1963" s="24" t="s">
        <v>741</v>
      </c>
      <c r="I1963" s="24" t="s">
        <v>1185</v>
      </c>
      <c r="J1963" s="14" t="s">
        <v>29</v>
      </c>
      <c r="K1963" s="15" t="s">
        <v>30</v>
      </c>
      <c r="L1963" s="62"/>
      <c r="M1963" s="14" t="s">
        <v>1211</v>
      </c>
      <c r="N1963" s="14" t="s">
        <v>1530</v>
      </c>
      <c r="O1963" s="14"/>
      <c r="P1963" s="15" t="s">
        <v>2091</v>
      </c>
      <c r="Q1963" s="16">
        <v>21799</v>
      </c>
      <c r="R1963" s="17">
        <v>40</v>
      </c>
      <c r="S1963" s="18">
        <v>15041.309999999998</v>
      </c>
      <c r="T1963" s="19" t="s">
        <v>36</v>
      </c>
      <c r="U1963" s="20" t="s">
        <v>749</v>
      </c>
      <c r="V1963" s="22">
        <v>41</v>
      </c>
      <c r="W1963" s="22">
        <v>5</v>
      </c>
      <c r="X1963" s="23"/>
    </row>
    <row r="1964" spans="1:24" s="1" customFormat="1" ht="14" customHeight="1" x14ac:dyDescent="0.3">
      <c r="A1964" s="24" t="s">
        <v>23</v>
      </c>
      <c r="B1964" s="24" t="s">
        <v>2098</v>
      </c>
      <c r="C1964" s="12" t="s">
        <v>2099</v>
      </c>
      <c r="D1964" s="60"/>
      <c r="E1964" s="41" t="str">
        <f t="shared" si="72"/>
        <v>Еще фото</v>
      </c>
      <c r="F1964" s="13"/>
      <c r="G1964" s="24" t="s">
        <v>1184</v>
      </c>
      <c r="H1964" s="24" t="s">
        <v>741</v>
      </c>
      <c r="I1964" s="24" t="s">
        <v>1185</v>
      </c>
      <c r="J1964" s="14" t="s">
        <v>29</v>
      </c>
      <c r="K1964" s="15" t="s">
        <v>30</v>
      </c>
      <c r="L1964" s="62"/>
      <c r="M1964" s="14" t="s">
        <v>1211</v>
      </c>
      <c r="N1964" s="14" t="s">
        <v>1530</v>
      </c>
      <c r="O1964" s="14"/>
      <c r="P1964" s="15" t="s">
        <v>2091</v>
      </c>
      <c r="Q1964" s="16">
        <v>21799</v>
      </c>
      <c r="R1964" s="17">
        <v>40</v>
      </c>
      <c r="S1964" s="18">
        <v>15041.309999999998</v>
      </c>
      <c r="T1964" s="19" t="s">
        <v>36</v>
      </c>
      <c r="U1964" s="20" t="s">
        <v>750</v>
      </c>
      <c r="V1964" s="34">
        <v>41.5</v>
      </c>
      <c r="W1964" s="22">
        <v>5</v>
      </c>
      <c r="X1964" s="23"/>
    </row>
    <row r="1965" spans="1:24" s="1" customFormat="1" ht="14" customHeight="1" x14ac:dyDescent="0.3">
      <c r="A1965" s="24" t="s">
        <v>23</v>
      </c>
      <c r="B1965" s="24" t="s">
        <v>2098</v>
      </c>
      <c r="C1965" s="12" t="s">
        <v>2099</v>
      </c>
      <c r="D1965" s="60"/>
      <c r="E1965" s="41" t="str">
        <f t="shared" si="72"/>
        <v>Еще фото</v>
      </c>
      <c r="F1965" s="13"/>
      <c r="G1965" s="24" t="s">
        <v>1184</v>
      </c>
      <c r="H1965" s="24" t="s">
        <v>741</v>
      </c>
      <c r="I1965" s="24" t="s">
        <v>1185</v>
      </c>
      <c r="J1965" s="14" t="s">
        <v>29</v>
      </c>
      <c r="K1965" s="15" t="s">
        <v>30</v>
      </c>
      <c r="L1965" s="62"/>
      <c r="M1965" s="14" t="s">
        <v>1211</v>
      </c>
      <c r="N1965" s="14" t="s">
        <v>1530</v>
      </c>
      <c r="O1965" s="14"/>
      <c r="P1965" s="15" t="s">
        <v>2091</v>
      </c>
      <c r="Q1965" s="16">
        <v>21799</v>
      </c>
      <c r="R1965" s="17">
        <v>40</v>
      </c>
      <c r="S1965" s="18">
        <v>15041.309999999998</v>
      </c>
      <c r="T1965" s="19" t="s">
        <v>36</v>
      </c>
      <c r="U1965" s="20" t="s">
        <v>751</v>
      </c>
      <c r="V1965" s="22">
        <v>42</v>
      </c>
      <c r="W1965" s="22">
        <v>6</v>
      </c>
      <c r="X1965" s="23"/>
    </row>
    <row r="1966" spans="1:24" s="1" customFormat="1" ht="14" customHeight="1" x14ac:dyDescent="0.3">
      <c r="A1966" s="24" t="s">
        <v>23</v>
      </c>
      <c r="B1966" s="24" t="s">
        <v>2098</v>
      </c>
      <c r="C1966" s="12" t="s">
        <v>2099</v>
      </c>
      <c r="D1966" s="60"/>
      <c r="E1966" s="41" t="str">
        <f t="shared" si="72"/>
        <v>Еще фото</v>
      </c>
      <c r="F1966" s="13"/>
      <c r="G1966" s="24" t="s">
        <v>1184</v>
      </c>
      <c r="H1966" s="24" t="s">
        <v>741</v>
      </c>
      <c r="I1966" s="24" t="s">
        <v>1185</v>
      </c>
      <c r="J1966" s="14" t="s">
        <v>29</v>
      </c>
      <c r="K1966" s="15" t="s">
        <v>30</v>
      </c>
      <c r="L1966" s="62"/>
      <c r="M1966" s="14" t="s">
        <v>1211</v>
      </c>
      <c r="N1966" s="14" t="s">
        <v>1530</v>
      </c>
      <c r="O1966" s="14"/>
      <c r="P1966" s="15" t="s">
        <v>2091</v>
      </c>
      <c r="Q1966" s="16">
        <v>21799</v>
      </c>
      <c r="R1966" s="17">
        <v>40</v>
      </c>
      <c r="S1966" s="18">
        <v>15041.309999999998</v>
      </c>
      <c r="T1966" s="19" t="s">
        <v>36</v>
      </c>
      <c r="U1966" s="20" t="s">
        <v>753</v>
      </c>
      <c r="V1966" s="34">
        <v>43.5</v>
      </c>
      <c r="W1966" s="22">
        <v>6</v>
      </c>
      <c r="X1966" s="23"/>
    </row>
    <row r="1967" spans="1:24" s="1" customFormat="1" ht="17" customHeight="1" x14ac:dyDescent="0.3">
      <c r="A1967" s="24" t="s">
        <v>23</v>
      </c>
      <c r="B1967" s="24" t="s">
        <v>2098</v>
      </c>
      <c r="C1967" s="12" t="s">
        <v>2099</v>
      </c>
      <c r="D1967" s="61"/>
      <c r="E1967" s="41" t="str">
        <f t="shared" si="72"/>
        <v>Еще фото</v>
      </c>
      <c r="F1967" s="13"/>
      <c r="G1967" s="24" t="s">
        <v>1184</v>
      </c>
      <c r="H1967" s="24" t="s">
        <v>741</v>
      </c>
      <c r="I1967" s="24" t="s">
        <v>1185</v>
      </c>
      <c r="J1967" s="14" t="s">
        <v>29</v>
      </c>
      <c r="K1967" s="15" t="s">
        <v>30</v>
      </c>
      <c r="L1967" s="58"/>
      <c r="M1967" s="14" t="s">
        <v>1211</v>
      </c>
      <c r="N1967" s="14" t="s">
        <v>1530</v>
      </c>
      <c r="O1967" s="14"/>
      <c r="P1967" s="15" t="s">
        <v>2091</v>
      </c>
      <c r="Q1967" s="16">
        <v>21799</v>
      </c>
      <c r="R1967" s="17">
        <v>40</v>
      </c>
      <c r="S1967" s="18">
        <v>15041.309999999998</v>
      </c>
      <c r="T1967" s="19" t="s">
        <v>36</v>
      </c>
      <c r="U1967" s="20" t="s">
        <v>755</v>
      </c>
      <c r="V1967" s="34">
        <v>44.5</v>
      </c>
      <c r="W1967" s="22">
        <v>2</v>
      </c>
      <c r="X1967" s="23"/>
    </row>
    <row r="1968" spans="1:24" s="1" customFormat="1" ht="35" customHeight="1" x14ac:dyDescent="0.3">
      <c r="A1968" s="11" t="s">
        <v>23</v>
      </c>
      <c r="B1968" s="11" t="s">
        <v>2100</v>
      </c>
      <c r="C1968" s="12" t="s">
        <v>2101</v>
      </c>
      <c r="D1968" s="59"/>
      <c r="E1968" s="41" t="str">
        <f>HYPERLINK("https://www.google.ru/search?q=3026609-001&amp;newwindow=1&amp;tbm=isch","Еще фото")</f>
        <v>Еще фото</v>
      </c>
      <c r="F1968" s="13" t="s">
        <v>152</v>
      </c>
      <c r="G1968" s="11" t="s">
        <v>1184</v>
      </c>
      <c r="H1968" s="11" t="s">
        <v>741</v>
      </c>
      <c r="I1968" s="14" t="s">
        <v>1185</v>
      </c>
      <c r="J1968" s="14" t="s">
        <v>29</v>
      </c>
      <c r="K1968" s="15" t="s">
        <v>59</v>
      </c>
      <c r="L1968" s="57" t="s">
        <v>2102</v>
      </c>
      <c r="M1968" s="14"/>
      <c r="N1968" s="14" t="s">
        <v>33</v>
      </c>
      <c r="O1968" s="14"/>
      <c r="P1968" s="15" t="s">
        <v>2103</v>
      </c>
      <c r="Q1968" s="16">
        <v>11599</v>
      </c>
      <c r="R1968" s="17">
        <v>40</v>
      </c>
      <c r="S1968" s="18">
        <v>8003.3099999999986</v>
      </c>
      <c r="T1968" s="19" t="s">
        <v>36</v>
      </c>
      <c r="U1968" s="20" t="s">
        <v>1203</v>
      </c>
      <c r="V1968" s="22">
        <v>36</v>
      </c>
      <c r="W1968" s="22">
        <v>1</v>
      </c>
      <c r="X1968" s="23"/>
    </row>
    <row r="1969" spans="1:24" s="1" customFormat="1" ht="35" customHeight="1" x14ac:dyDescent="0.3">
      <c r="A1969" s="24" t="s">
        <v>23</v>
      </c>
      <c r="B1969" s="24" t="s">
        <v>2100</v>
      </c>
      <c r="C1969" s="12" t="s">
        <v>2101</v>
      </c>
      <c r="D1969" s="60"/>
      <c r="E1969" s="41" t="str">
        <f>HYPERLINK("https://www.google.ru/search?q=3026609-001&amp;newwindow=1&amp;tbm=isch","Еще фото")</f>
        <v>Еще фото</v>
      </c>
      <c r="F1969" s="13" t="s">
        <v>152</v>
      </c>
      <c r="G1969" s="24" t="s">
        <v>1184</v>
      </c>
      <c r="H1969" s="24" t="s">
        <v>741</v>
      </c>
      <c r="I1969" s="24" t="s">
        <v>1185</v>
      </c>
      <c r="J1969" s="14" t="s">
        <v>29</v>
      </c>
      <c r="K1969" s="15" t="s">
        <v>59</v>
      </c>
      <c r="L1969" s="62"/>
      <c r="M1969" s="14"/>
      <c r="N1969" s="14" t="s">
        <v>33</v>
      </c>
      <c r="O1969" s="14"/>
      <c r="P1969" s="15" t="s">
        <v>2103</v>
      </c>
      <c r="Q1969" s="16">
        <v>11599</v>
      </c>
      <c r="R1969" s="17">
        <v>40</v>
      </c>
      <c r="S1969" s="18">
        <v>8003.3099999999986</v>
      </c>
      <c r="T1969" s="19" t="s">
        <v>36</v>
      </c>
      <c r="U1969" s="20" t="s">
        <v>1196</v>
      </c>
      <c r="V1969" s="34">
        <v>36.5</v>
      </c>
      <c r="W1969" s="22">
        <v>1</v>
      </c>
      <c r="X1969" s="23"/>
    </row>
    <row r="1970" spans="1:24" s="1" customFormat="1" ht="37.049999999999997" customHeight="1" x14ac:dyDescent="0.3">
      <c r="A1970" s="24" t="s">
        <v>23</v>
      </c>
      <c r="B1970" s="24" t="s">
        <v>2100</v>
      </c>
      <c r="C1970" s="12" t="s">
        <v>2101</v>
      </c>
      <c r="D1970" s="61"/>
      <c r="E1970" s="41" t="str">
        <f>HYPERLINK("https://www.google.ru/search?q=3026609-001&amp;newwindow=1&amp;tbm=isch","Еще фото")</f>
        <v>Еще фото</v>
      </c>
      <c r="F1970" s="13" t="s">
        <v>152</v>
      </c>
      <c r="G1970" s="24" t="s">
        <v>1184</v>
      </c>
      <c r="H1970" s="24" t="s">
        <v>741</v>
      </c>
      <c r="I1970" s="24" t="s">
        <v>1185</v>
      </c>
      <c r="J1970" s="14" t="s">
        <v>29</v>
      </c>
      <c r="K1970" s="15" t="s">
        <v>59</v>
      </c>
      <c r="L1970" s="58"/>
      <c r="M1970" s="14"/>
      <c r="N1970" s="14" t="s">
        <v>33</v>
      </c>
      <c r="O1970" s="14"/>
      <c r="P1970" s="15" t="s">
        <v>2103</v>
      </c>
      <c r="Q1970" s="16">
        <v>11599</v>
      </c>
      <c r="R1970" s="17">
        <v>40</v>
      </c>
      <c r="S1970" s="18">
        <v>8003.3099999999986</v>
      </c>
      <c r="T1970" s="19" t="s">
        <v>36</v>
      </c>
      <c r="U1970" s="20" t="s">
        <v>746</v>
      </c>
      <c r="V1970" s="22">
        <v>37</v>
      </c>
      <c r="W1970" s="22">
        <v>1</v>
      </c>
      <c r="X1970" s="23"/>
    </row>
    <row r="1971" spans="1:24" s="1" customFormat="1" ht="26" customHeight="1" x14ac:dyDescent="0.3">
      <c r="A1971" s="11" t="s">
        <v>23</v>
      </c>
      <c r="B1971" s="11" t="s">
        <v>2100</v>
      </c>
      <c r="C1971" s="12" t="s">
        <v>2104</v>
      </c>
      <c r="D1971" s="59"/>
      <c r="E1971" s="41" t="str">
        <f>HYPERLINK("https://www.google.ru/search?q=3026609-103&amp;newwindow=1&amp;tbm=isch","Еще фото")</f>
        <v>Еще фото</v>
      </c>
      <c r="F1971" s="13" t="s">
        <v>152</v>
      </c>
      <c r="G1971" s="11" t="s">
        <v>1184</v>
      </c>
      <c r="H1971" s="11" t="s">
        <v>741</v>
      </c>
      <c r="I1971" s="14" t="s">
        <v>1185</v>
      </c>
      <c r="J1971" s="14" t="s">
        <v>29</v>
      </c>
      <c r="K1971" s="15" t="s">
        <v>59</v>
      </c>
      <c r="L1971" s="57" t="s">
        <v>2102</v>
      </c>
      <c r="M1971" s="14"/>
      <c r="N1971" s="14" t="s">
        <v>84</v>
      </c>
      <c r="O1971" s="14"/>
      <c r="P1971" s="15" t="s">
        <v>2105</v>
      </c>
      <c r="Q1971" s="16">
        <v>13999</v>
      </c>
      <c r="R1971" s="17">
        <v>40</v>
      </c>
      <c r="S1971" s="18">
        <v>9659.31</v>
      </c>
      <c r="T1971" s="19" t="s">
        <v>36</v>
      </c>
      <c r="U1971" s="20" t="s">
        <v>1196</v>
      </c>
      <c r="V1971" s="34">
        <v>36.5</v>
      </c>
      <c r="W1971" s="22">
        <v>1</v>
      </c>
      <c r="X1971" s="23"/>
    </row>
    <row r="1972" spans="1:24" s="1" customFormat="1" ht="26" customHeight="1" x14ac:dyDescent="0.3">
      <c r="A1972" s="24" t="s">
        <v>23</v>
      </c>
      <c r="B1972" s="24" t="s">
        <v>2100</v>
      </c>
      <c r="C1972" s="12" t="s">
        <v>2104</v>
      </c>
      <c r="D1972" s="60"/>
      <c r="E1972" s="41" t="str">
        <f>HYPERLINK("https://www.google.ru/search?q=3026609-103&amp;newwindow=1&amp;tbm=isch","Еще фото")</f>
        <v>Еще фото</v>
      </c>
      <c r="F1972" s="13" t="s">
        <v>152</v>
      </c>
      <c r="G1972" s="24" t="s">
        <v>1184</v>
      </c>
      <c r="H1972" s="24" t="s">
        <v>741</v>
      </c>
      <c r="I1972" s="24" t="s">
        <v>1185</v>
      </c>
      <c r="J1972" s="14" t="s">
        <v>29</v>
      </c>
      <c r="K1972" s="15" t="s">
        <v>59</v>
      </c>
      <c r="L1972" s="62"/>
      <c r="M1972" s="14"/>
      <c r="N1972" s="14" t="s">
        <v>84</v>
      </c>
      <c r="O1972" s="14"/>
      <c r="P1972" s="15" t="s">
        <v>2105</v>
      </c>
      <c r="Q1972" s="16">
        <v>13999</v>
      </c>
      <c r="R1972" s="17">
        <v>40</v>
      </c>
      <c r="S1972" s="18">
        <v>9659.31</v>
      </c>
      <c r="T1972" s="19" t="s">
        <v>36</v>
      </c>
      <c r="U1972" s="20" t="s">
        <v>746</v>
      </c>
      <c r="V1972" s="22">
        <v>37</v>
      </c>
      <c r="W1972" s="22">
        <v>5</v>
      </c>
      <c r="X1972" s="23"/>
    </row>
    <row r="1973" spans="1:24" s="1" customFormat="1" ht="26" customHeight="1" x14ac:dyDescent="0.3">
      <c r="A1973" s="24" t="s">
        <v>23</v>
      </c>
      <c r="B1973" s="24" t="s">
        <v>2100</v>
      </c>
      <c r="C1973" s="12" t="s">
        <v>2104</v>
      </c>
      <c r="D1973" s="60"/>
      <c r="E1973" s="41" t="str">
        <f>HYPERLINK("https://www.google.ru/search?q=3026609-103&amp;newwindow=1&amp;tbm=isch","Еще фото")</f>
        <v>Еще фото</v>
      </c>
      <c r="F1973" s="13" t="s">
        <v>152</v>
      </c>
      <c r="G1973" s="24" t="s">
        <v>1184</v>
      </c>
      <c r="H1973" s="24" t="s">
        <v>741</v>
      </c>
      <c r="I1973" s="24" t="s">
        <v>1185</v>
      </c>
      <c r="J1973" s="14" t="s">
        <v>29</v>
      </c>
      <c r="K1973" s="15" t="s">
        <v>59</v>
      </c>
      <c r="L1973" s="62"/>
      <c r="M1973" s="14"/>
      <c r="N1973" s="14" t="s">
        <v>84</v>
      </c>
      <c r="O1973" s="14"/>
      <c r="P1973" s="15" t="s">
        <v>2105</v>
      </c>
      <c r="Q1973" s="16">
        <v>13999</v>
      </c>
      <c r="R1973" s="17">
        <v>40</v>
      </c>
      <c r="S1973" s="18">
        <v>9659.31</v>
      </c>
      <c r="T1973" s="19" t="s">
        <v>36</v>
      </c>
      <c r="U1973" s="20" t="s">
        <v>747</v>
      </c>
      <c r="V1973" s="34">
        <v>37.5</v>
      </c>
      <c r="W1973" s="22">
        <v>10</v>
      </c>
      <c r="X1973" s="23"/>
    </row>
    <row r="1974" spans="1:24" s="1" customFormat="1" ht="26" customHeight="1" x14ac:dyDescent="0.3">
      <c r="A1974" s="24" t="s">
        <v>23</v>
      </c>
      <c r="B1974" s="24" t="s">
        <v>2100</v>
      </c>
      <c r="C1974" s="12" t="s">
        <v>2104</v>
      </c>
      <c r="D1974" s="61"/>
      <c r="E1974" s="41" t="str">
        <f>HYPERLINK("https://www.google.ru/search?q=3026609-103&amp;newwindow=1&amp;tbm=isch","Еще фото")</f>
        <v>Еще фото</v>
      </c>
      <c r="F1974" s="13" t="s">
        <v>152</v>
      </c>
      <c r="G1974" s="24" t="s">
        <v>1184</v>
      </c>
      <c r="H1974" s="24" t="s">
        <v>741</v>
      </c>
      <c r="I1974" s="24" t="s">
        <v>1185</v>
      </c>
      <c r="J1974" s="14" t="s">
        <v>29</v>
      </c>
      <c r="K1974" s="15" t="s">
        <v>59</v>
      </c>
      <c r="L1974" s="58"/>
      <c r="M1974" s="14"/>
      <c r="N1974" s="14" t="s">
        <v>84</v>
      </c>
      <c r="O1974" s="14"/>
      <c r="P1974" s="15" t="s">
        <v>2105</v>
      </c>
      <c r="Q1974" s="16">
        <v>13999</v>
      </c>
      <c r="R1974" s="17">
        <v>40</v>
      </c>
      <c r="S1974" s="18">
        <v>9659.31</v>
      </c>
      <c r="T1974" s="19" t="s">
        <v>36</v>
      </c>
      <c r="U1974" s="20" t="s">
        <v>748</v>
      </c>
      <c r="V1974" s="22">
        <v>38</v>
      </c>
      <c r="W1974" s="22">
        <v>1</v>
      </c>
      <c r="X1974" s="23"/>
    </row>
    <row r="1975" spans="1:24" s="1" customFormat="1" ht="26" customHeight="1" x14ac:dyDescent="0.3">
      <c r="A1975" s="11" t="s">
        <v>23</v>
      </c>
      <c r="B1975" s="11" t="s">
        <v>2106</v>
      </c>
      <c r="C1975" s="12" t="s">
        <v>2107</v>
      </c>
      <c r="D1975" s="59"/>
      <c r="E1975" s="41" t="str">
        <f>HYPERLINK("https://www.google.ru/search?q=3026609-300&amp;newwindow=1&amp;tbm=isch","Еще фото")</f>
        <v>Еще фото</v>
      </c>
      <c r="F1975" s="13"/>
      <c r="G1975" s="11" t="s">
        <v>1184</v>
      </c>
      <c r="H1975" s="11" t="s">
        <v>741</v>
      </c>
      <c r="I1975" s="14" t="s">
        <v>1185</v>
      </c>
      <c r="J1975" s="14" t="s">
        <v>29</v>
      </c>
      <c r="K1975" s="15" t="s">
        <v>59</v>
      </c>
      <c r="L1975" s="57" t="s">
        <v>2108</v>
      </c>
      <c r="M1975" s="14"/>
      <c r="N1975" s="14" t="s">
        <v>2109</v>
      </c>
      <c r="O1975" s="14"/>
      <c r="P1975" s="15" t="s">
        <v>2110</v>
      </c>
      <c r="Q1975" s="16">
        <v>15999</v>
      </c>
      <c r="R1975" s="17">
        <v>40</v>
      </c>
      <c r="S1975" s="18">
        <v>11039.31</v>
      </c>
      <c r="T1975" s="19" t="s">
        <v>36</v>
      </c>
      <c r="U1975" s="20" t="s">
        <v>1241</v>
      </c>
      <c r="V1975" s="22">
        <v>35</v>
      </c>
      <c r="W1975" s="22">
        <v>3</v>
      </c>
      <c r="X1975" s="23"/>
    </row>
    <row r="1976" spans="1:24" s="1" customFormat="1" ht="26" customHeight="1" x14ac:dyDescent="0.3">
      <c r="A1976" s="24" t="s">
        <v>23</v>
      </c>
      <c r="B1976" s="24" t="s">
        <v>2106</v>
      </c>
      <c r="C1976" s="12" t="s">
        <v>2107</v>
      </c>
      <c r="D1976" s="60"/>
      <c r="E1976" s="41" t="str">
        <f>HYPERLINK("https://www.google.ru/search?q=3026609-300&amp;newwindow=1&amp;tbm=isch","Еще фото")</f>
        <v>Еще фото</v>
      </c>
      <c r="F1976" s="13"/>
      <c r="G1976" s="24" t="s">
        <v>1184</v>
      </c>
      <c r="H1976" s="24" t="s">
        <v>741</v>
      </c>
      <c r="I1976" s="24" t="s">
        <v>1185</v>
      </c>
      <c r="J1976" s="14" t="s">
        <v>29</v>
      </c>
      <c r="K1976" s="15" t="s">
        <v>59</v>
      </c>
      <c r="L1976" s="62"/>
      <c r="M1976" s="14"/>
      <c r="N1976" s="14" t="s">
        <v>2109</v>
      </c>
      <c r="O1976" s="14"/>
      <c r="P1976" s="15" t="s">
        <v>2110</v>
      </c>
      <c r="Q1976" s="16">
        <v>15999</v>
      </c>
      <c r="R1976" s="17">
        <v>40</v>
      </c>
      <c r="S1976" s="18">
        <v>11039.31</v>
      </c>
      <c r="T1976" s="19" t="s">
        <v>36</v>
      </c>
      <c r="U1976" s="20" t="s">
        <v>1190</v>
      </c>
      <c r="V1976" s="34">
        <v>35.5</v>
      </c>
      <c r="W1976" s="22">
        <v>5</v>
      </c>
      <c r="X1976" s="23"/>
    </row>
    <row r="1977" spans="1:24" s="1" customFormat="1" ht="26" customHeight="1" x14ac:dyDescent="0.3">
      <c r="A1977" s="24" t="s">
        <v>23</v>
      </c>
      <c r="B1977" s="24" t="s">
        <v>2106</v>
      </c>
      <c r="C1977" s="12" t="s">
        <v>2107</v>
      </c>
      <c r="D1977" s="60"/>
      <c r="E1977" s="41" t="str">
        <f>HYPERLINK("https://www.google.ru/search?q=3026609-300&amp;newwindow=1&amp;tbm=isch","Еще фото")</f>
        <v>Еще фото</v>
      </c>
      <c r="F1977" s="13"/>
      <c r="G1977" s="24" t="s">
        <v>1184</v>
      </c>
      <c r="H1977" s="24" t="s">
        <v>741</v>
      </c>
      <c r="I1977" s="24" t="s">
        <v>1185</v>
      </c>
      <c r="J1977" s="14" t="s">
        <v>29</v>
      </c>
      <c r="K1977" s="15" t="s">
        <v>59</v>
      </c>
      <c r="L1977" s="62"/>
      <c r="M1977" s="14"/>
      <c r="N1977" s="14" t="s">
        <v>2109</v>
      </c>
      <c r="O1977" s="14"/>
      <c r="P1977" s="15" t="s">
        <v>2110</v>
      </c>
      <c r="Q1977" s="16">
        <v>15999</v>
      </c>
      <c r="R1977" s="17">
        <v>40</v>
      </c>
      <c r="S1977" s="18">
        <v>11039.31</v>
      </c>
      <c r="T1977" s="19" t="s">
        <v>36</v>
      </c>
      <c r="U1977" s="20" t="s">
        <v>1203</v>
      </c>
      <c r="V1977" s="22">
        <v>36</v>
      </c>
      <c r="W1977" s="22">
        <v>2</v>
      </c>
      <c r="X1977" s="23"/>
    </row>
    <row r="1978" spans="1:24" s="1" customFormat="1" ht="26" customHeight="1" x14ac:dyDescent="0.3">
      <c r="A1978" s="24" t="s">
        <v>23</v>
      </c>
      <c r="B1978" s="24" t="s">
        <v>2106</v>
      </c>
      <c r="C1978" s="12" t="s">
        <v>2107</v>
      </c>
      <c r="D1978" s="61"/>
      <c r="E1978" s="41" t="str">
        <f>HYPERLINK("https://www.google.ru/search?q=3026609-300&amp;newwindow=1&amp;tbm=isch","Еще фото")</f>
        <v>Еще фото</v>
      </c>
      <c r="F1978" s="13"/>
      <c r="G1978" s="24" t="s">
        <v>1184</v>
      </c>
      <c r="H1978" s="24" t="s">
        <v>741</v>
      </c>
      <c r="I1978" s="24" t="s">
        <v>1185</v>
      </c>
      <c r="J1978" s="14" t="s">
        <v>29</v>
      </c>
      <c r="K1978" s="15" t="s">
        <v>59</v>
      </c>
      <c r="L1978" s="58"/>
      <c r="M1978" s="14"/>
      <c r="N1978" s="14" t="s">
        <v>2109</v>
      </c>
      <c r="O1978" s="14"/>
      <c r="P1978" s="15" t="s">
        <v>2110</v>
      </c>
      <c r="Q1978" s="16">
        <v>15999</v>
      </c>
      <c r="R1978" s="17">
        <v>40</v>
      </c>
      <c r="S1978" s="18">
        <v>11039.31</v>
      </c>
      <c r="T1978" s="19" t="s">
        <v>36</v>
      </c>
      <c r="U1978" s="20" t="s">
        <v>746</v>
      </c>
      <c r="V1978" s="22">
        <v>37</v>
      </c>
      <c r="W1978" s="22">
        <v>1</v>
      </c>
      <c r="X1978" s="23"/>
    </row>
    <row r="1979" spans="1:24" s="1" customFormat="1" ht="26" customHeight="1" x14ac:dyDescent="0.3">
      <c r="A1979" s="11" t="s">
        <v>23</v>
      </c>
      <c r="B1979" s="11" t="s">
        <v>1777</v>
      </c>
      <c r="C1979" s="12" t="s">
        <v>2111</v>
      </c>
      <c r="D1979" s="59"/>
      <c r="E1979" s="41" t="str">
        <f>HYPERLINK("https://www.google.ru/search?q=3026634-006&amp;newwindow=1&amp;tbm=isch","Еще фото")</f>
        <v>Еще фото</v>
      </c>
      <c r="F1979" s="13"/>
      <c r="G1979" s="11" t="s">
        <v>1184</v>
      </c>
      <c r="H1979" s="11" t="s">
        <v>741</v>
      </c>
      <c r="I1979" s="14" t="s">
        <v>1185</v>
      </c>
      <c r="J1979" s="14" t="s">
        <v>260</v>
      </c>
      <c r="K1979" s="15" t="s">
        <v>723</v>
      </c>
      <c r="L1979" s="57" t="s">
        <v>2112</v>
      </c>
      <c r="M1979" s="14"/>
      <c r="N1979" s="14" t="s">
        <v>33</v>
      </c>
      <c r="O1979" s="14"/>
      <c r="P1979" s="15" t="s">
        <v>2113</v>
      </c>
      <c r="Q1979" s="16">
        <v>12199</v>
      </c>
      <c r="R1979" s="17">
        <v>40</v>
      </c>
      <c r="S1979" s="18">
        <v>8417.31</v>
      </c>
      <c r="T1979" s="19" t="s">
        <v>36</v>
      </c>
      <c r="U1979" s="20" t="s">
        <v>1346</v>
      </c>
      <c r="V1979" s="34">
        <v>41.5</v>
      </c>
      <c r="W1979" s="22">
        <v>12</v>
      </c>
      <c r="X1979" s="23"/>
    </row>
    <row r="1980" spans="1:24" s="1" customFormat="1" ht="26" customHeight="1" x14ac:dyDescent="0.3">
      <c r="A1980" s="24" t="s">
        <v>23</v>
      </c>
      <c r="B1980" s="24" t="s">
        <v>1777</v>
      </c>
      <c r="C1980" s="12" t="s">
        <v>2111</v>
      </c>
      <c r="D1980" s="60"/>
      <c r="E1980" s="41" t="str">
        <f>HYPERLINK("https://www.google.ru/search?q=3026634-006&amp;newwindow=1&amp;tbm=isch","Еще фото")</f>
        <v>Еще фото</v>
      </c>
      <c r="F1980" s="13"/>
      <c r="G1980" s="24" t="s">
        <v>1184</v>
      </c>
      <c r="H1980" s="24" t="s">
        <v>741</v>
      </c>
      <c r="I1980" s="24" t="s">
        <v>1185</v>
      </c>
      <c r="J1980" s="14" t="s">
        <v>260</v>
      </c>
      <c r="K1980" s="15" t="s">
        <v>723</v>
      </c>
      <c r="L1980" s="62"/>
      <c r="M1980" s="14"/>
      <c r="N1980" s="14" t="s">
        <v>33</v>
      </c>
      <c r="O1980" s="14"/>
      <c r="P1980" s="15" t="s">
        <v>2113</v>
      </c>
      <c r="Q1980" s="16">
        <v>12199</v>
      </c>
      <c r="R1980" s="17">
        <v>40</v>
      </c>
      <c r="S1980" s="18">
        <v>8417.31</v>
      </c>
      <c r="T1980" s="19" t="s">
        <v>36</v>
      </c>
      <c r="U1980" s="20" t="s">
        <v>1326</v>
      </c>
      <c r="V1980" s="22">
        <v>42</v>
      </c>
      <c r="W1980" s="22">
        <v>1</v>
      </c>
      <c r="X1980" s="23"/>
    </row>
    <row r="1981" spans="1:24" s="1" customFormat="1" ht="26" customHeight="1" x14ac:dyDescent="0.3">
      <c r="A1981" s="24" t="s">
        <v>23</v>
      </c>
      <c r="B1981" s="24" t="s">
        <v>1777</v>
      </c>
      <c r="C1981" s="12" t="s">
        <v>2111</v>
      </c>
      <c r="D1981" s="60"/>
      <c r="E1981" s="41" t="str">
        <f>HYPERLINK("https://www.google.ru/search?q=3026634-006&amp;newwindow=1&amp;tbm=isch","Еще фото")</f>
        <v>Еще фото</v>
      </c>
      <c r="F1981" s="13"/>
      <c r="G1981" s="24" t="s">
        <v>1184</v>
      </c>
      <c r="H1981" s="24" t="s">
        <v>741</v>
      </c>
      <c r="I1981" s="24" t="s">
        <v>1185</v>
      </c>
      <c r="J1981" s="14" t="s">
        <v>260</v>
      </c>
      <c r="K1981" s="15" t="s">
        <v>723</v>
      </c>
      <c r="L1981" s="62"/>
      <c r="M1981" s="14"/>
      <c r="N1981" s="14" t="s">
        <v>33</v>
      </c>
      <c r="O1981" s="14"/>
      <c r="P1981" s="15" t="s">
        <v>2113</v>
      </c>
      <c r="Q1981" s="16">
        <v>12199</v>
      </c>
      <c r="R1981" s="17">
        <v>40</v>
      </c>
      <c r="S1981" s="18">
        <v>8417.31</v>
      </c>
      <c r="T1981" s="19" t="s">
        <v>36</v>
      </c>
      <c r="U1981" s="20" t="s">
        <v>1347</v>
      </c>
      <c r="V1981" s="22">
        <v>43</v>
      </c>
      <c r="W1981" s="22">
        <v>3</v>
      </c>
      <c r="X1981" s="23"/>
    </row>
    <row r="1982" spans="1:24" s="1" customFormat="1" ht="26" customHeight="1" x14ac:dyDescent="0.3">
      <c r="A1982" s="24" t="s">
        <v>23</v>
      </c>
      <c r="B1982" s="24" t="s">
        <v>1777</v>
      </c>
      <c r="C1982" s="12" t="s">
        <v>2111</v>
      </c>
      <c r="D1982" s="61"/>
      <c r="E1982" s="41" t="str">
        <f>HYPERLINK("https://www.google.ru/search?q=3026634-006&amp;newwindow=1&amp;tbm=isch","Еще фото")</f>
        <v>Еще фото</v>
      </c>
      <c r="F1982" s="13"/>
      <c r="G1982" s="24" t="s">
        <v>1184</v>
      </c>
      <c r="H1982" s="24" t="s">
        <v>741</v>
      </c>
      <c r="I1982" s="24" t="s">
        <v>1185</v>
      </c>
      <c r="J1982" s="14" t="s">
        <v>260</v>
      </c>
      <c r="K1982" s="15" t="s">
        <v>723</v>
      </c>
      <c r="L1982" s="58"/>
      <c r="M1982" s="14"/>
      <c r="N1982" s="14" t="s">
        <v>33</v>
      </c>
      <c r="O1982" s="14"/>
      <c r="P1982" s="15" t="s">
        <v>2113</v>
      </c>
      <c r="Q1982" s="16">
        <v>12199</v>
      </c>
      <c r="R1982" s="17">
        <v>40</v>
      </c>
      <c r="S1982" s="18">
        <v>8417.31</v>
      </c>
      <c r="T1982" s="19" t="s">
        <v>36</v>
      </c>
      <c r="U1982" s="20" t="s">
        <v>1348</v>
      </c>
      <c r="V1982" s="34">
        <v>43.5</v>
      </c>
      <c r="W1982" s="22">
        <v>6</v>
      </c>
      <c r="X1982" s="23"/>
    </row>
    <row r="1983" spans="1:24" s="1" customFormat="1" ht="52.05" customHeight="1" x14ac:dyDescent="0.3">
      <c r="A1983" s="11" t="s">
        <v>23</v>
      </c>
      <c r="B1983" s="11" t="s">
        <v>1777</v>
      </c>
      <c r="C1983" s="12" t="s">
        <v>2114</v>
      </c>
      <c r="D1983" s="55"/>
      <c r="E1983" s="41" t="str">
        <f>HYPERLINK("https://www.google.ru/search?q=3026634-011&amp;newwindow=1&amp;tbm=isch","Еще фото")</f>
        <v>Еще фото</v>
      </c>
      <c r="F1983" s="13" t="s">
        <v>152</v>
      </c>
      <c r="G1983" s="11" t="s">
        <v>1184</v>
      </c>
      <c r="H1983" s="11" t="s">
        <v>741</v>
      </c>
      <c r="I1983" s="14" t="s">
        <v>1185</v>
      </c>
      <c r="J1983" s="14" t="s">
        <v>260</v>
      </c>
      <c r="K1983" s="15" t="s">
        <v>723</v>
      </c>
      <c r="L1983" s="57" t="s">
        <v>1779</v>
      </c>
      <c r="M1983" s="14"/>
      <c r="N1983" s="14" t="s">
        <v>62</v>
      </c>
      <c r="O1983" s="14"/>
      <c r="P1983" s="15" t="s">
        <v>2113</v>
      </c>
      <c r="Q1983" s="16">
        <v>12199</v>
      </c>
      <c r="R1983" s="17">
        <v>40</v>
      </c>
      <c r="S1983" s="18">
        <v>8417.31</v>
      </c>
      <c r="T1983" s="19" t="s">
        <v>36</v>
      </c>
      <c r="U1983" s="20" t="s">
        <v>1347</v>
      </c>
      <c r="V1983" s="22">
        <v>43</v>
      </c>
      <c r="W1983" s="22">
        <v>1</v>
      </c>
      <c r="X1983" s="23"/>
    </row>
    <row r="1984" spans="1:24" s="1" customFormat="1" ht="61.05" customHeight="1" x14ac:dyDescent="0.3">
      <c r="A1984" s="24" t="s">
        <v>23</v>
      </c>
      <c r="B1984" s="24" t="s">
        <v>1777</v>
      </c>
      <c r="C1984" s="12" t="s">
        <v>2114</v>
      </c>
      <c r="D1984" s="56"/>
      <c r="E1984" s="41" t="str">
        <f>HYPERLINK("https://www.google.ru/search?q=3026634-011&amp;newwindow=1&amp;tbm=isch","Еще фото")</f>
        <v>Еще фото</v>
      </c>
      <c r="F1984" s="13" t="s">
        <v>152</v>
      </c>
      <c r="G1984" s="24" t="s">
        <v>1184</v>
      </c>
      <c r="H1984" s="24" t="s">
        <v>741</v>
      </c>
      <c r="I1984" s="24" t="s">
        <v>1185</v>
      </c>
      <c r="J1984" s="14" t="s">
        <v>260</v>
      </c>
      <c r="K1984" s="15" t="s">
        <v>723</v>
      </c>
      <c r="L1984" s="58"/>
      <c r="M1984" s="14"/>
      <c r="N1984" s="14" t="s">
        <v>62</v>
      </c>
      <c r="O1984" s="14"/>
      <c r="P1984" s="15" t="s">
        <v>2113</v>
      </c>
      <c r="Q1984" s="16">
        <v>12199</v>
      </c>
      <c r="R1984" s="17">
        <v>40</v>
      </c>
      <c r="S1984" s="18">
        <v>8417.31</v>
      </c>
      <c r="T1984" s="19" t="s">
        <v>36</v>
      </c>
      <c r="U1984" s="20" t="s">
        <v>1348</v>
      </c>
      <c r="V1984" s="34">
        <v>43.5</v>
      </c>
      <c r="W1984" s="22">
        <v>1</v>
      </c>
      <c r="X1984" s="23"/>
    </row>
    <row r="1985" spans="1:24" s="1" customFormat="1" ht="108" customHeight="1" x14ac:dyDescent="0.3">
      <c r="A1985" s="11" t="s">
        <v>23</v>
      </c>
      <c r="B1985" s="11" t="s">
        <v>1777</v>
      </c>
      <c r="C1985" s="12" t="s">
        <v>2115</v>
      </c>
      <c r="D1985" s="25"/>
      <c r="E1985" s="41" t="str">
        <f>HYPERLINK("https://www.google.ru/search?q=3026634-401&amp;newwindow=1&amp;tbm=isch","Еще фото")</f>
        <v>Еще фото</v>
      </c>
      <c r="F1985" s="13"/>
      <c r="G1985" s="11" t="s">
        <v>1184</v>
      </c>
      <c r="H1985" s="11" t="s">
        <v>741</v>
      </c>
      <c r="I1985" s="14" t="s">
        <v>1185</v>
      </c>
      <c r="J1985" s="14" t="s">
        <v>260</v>
      </c>
      <c r="K1985" s="15" t="s">
        <v>723</v>
      </c>
      <c r="L1985" s="14" t="s">
        <v>2112</v>
      </c>
      <c r="M1985" s="14"/>
      <c r="N1985" s="14" t="s">
        <v>1628</v>
      </c>
      <c r="O1985" s="14"/>
      <c r="P1985" s="15" t="s">
        <v>2116</v>
      </c>
      <c r="Q1985" s="16">
        <v>10999</v>
      </c>
      <c r="R1985" s="17">
        <v>40</v>
      </c>
      <c r="S1985" s="18">
        <v>7589.3099999999986</v>
      </c>
      <c r="T1985" s="19" t="s">
        <v>36</v>
      </c>
      <c r="U1985" s="20" t="s">
        <v>1345</v>
      </c>
      <c r="V1985" s="22">
        <v>41</v>
      </c>
      <c r="W1985" s="22">
        <v>2</v>
      </c>
      <c r="X1985" s="23"/>
    </row>
    <row r="1986" spans="1:24" s="1" customFormat="1" ht="108" customHeight="1" x14ac:dyDescent="0.3">
      <c r="A1986" s="11" t="s">
        <v>23</v>
      </c>
      <c r="B1986" s="11" t="s">
        <v>1777</v>
      </c>
      <c r="C1986" s="12" t="s">
        <v>2117</v>
      </c>
      <c r="D1986" s="25"/>
      <c r="E1986" s="41" t="str">
        <f>HYPERLINK("https://www.google.ru/search?q=3026634-500&amp;newwindow=1&amp;tbm=isch","Еще фото")</f>
        <v>Еще фото</v>
      </c>
      <c r="F1986" s="13"/>
      <c r="G1986" s="11" t="s">
        <v>1184</v>
      </c>
      <c r="H1986" s="11" t="s">
        <v>741</v>
      </c>
      <c r="I1986" s="14" t="s">
        <v>1185</v>
      </c>
      <c r="J1986" s="14" t="s">
        <v>260</v>
      </c>
      <c r="K1986" s="15" t="s">
        <v>723</v>
      </c>
      <c r="L1986" s="14" t="s">
        <v>2112</v>
      </c>
      <c r="M1986" s="14"/>
      <c r="N1986" s="14" t="s">
        <v>79</v>
      </c>
      <c r="O1986" s="14"/>
      <c r="P1986" s="15" t="s">
        <v>2116</v>
      </c>
      <c r="Q1986" s="16">
        <v>10099</v>
      </c>
      <c r="R1986" s="17">
        <v>40</v>
      </c>
      <c r="S1986" s="18">
        <v>6968.3099999999995</v>
      </c>
      <c r="T1986" s="19" t="s">
        <v>36</v>
      </c>
      <c r="U1986" s="20" t="s">
        <v>1446</v>
      </c>
      <c r="V1986" s="22">
        <v>40</v>
      </c>
      <c r="W1986" s="22">
        <v>1</v>
      </c>
      <c r="X1986" s="23"/>
    </row>
    <row r="1987" spans="1:24" s="1" customFormat="1" ht="108" customHeight="1" x14ac:dyDescent="0.3">
      <c r="A1987" s="11" t="s">
        <v>23</v>
      </c>
      <c r="B1987" s="11" t="s">
        <v>1372</v>
      </c>
      <c r="C1987" s="12" t="s">
        <v>2118</v>
      </c>
      <c r="D1987" s="25"/>
      <c r="E1987" s="41" t="str">
        <f>HYPERLINK("https://www.google.ru/search?q=3026679-002&amp;newwindow=1&amp;tbm=isch","Еще фото")</f>
        <v>Еще фото</v>
      </c>
      <c r="F1987" s="13"/>
      <c r="G1987" s="11" t="s">
        <v>1184</v>
      </c>
      <c r="H1987" s="11" t="s">
        <v>741</v>
      </c>
      <c r="I1987" s="14" t="s">
        <v>1185</v>
      </c>
      <c r="J1987" s="14" t="s">
        <v>29</v>
      </c>
      <c r="K1987" s="15" t="s">
        <v>30</v>
      </c>
      <c r="L1987" s="14" t="s">
        <v>2119</v>
      </c>
      <c r="M1987" s="14" t="s">
        <v>1194</v>
      </c>
      <c r="N1987" s="14" t="s">
        <v>33</v>
      </c>
      <c r="O1987" s="14"/>
      <c r="P1987" s="15" t="s">
        <v>1275</v>
      </c>
      <c r="Q1987" s="16">
        <v>11999</v>
      </c>
      <c r="R1987" s="17">
        <v>40</v>
      </c>
      <c r="S1987" s="18">
        <v>8279.31</v>
      </c>
      <c r="T1987" s="19" t="s">
        <v>36</v>
      </c>
      <c r="U1987" s="20" t="s">
        <v>746</v>
      </c>
      <c r="V1987" s="22">
        <v>39</v>
      </c>
      <c r="W1987" s="22">
        <v>3</v>
      </c>
      <c r="X1987" s="23"/>
    </row>
    <row r="1988" spans="1:24" s="1" customFormat="1" ht="108" customHeight="1" x14ac:dyDescent="0.3">
      <c r="A1988" s="11" t="s">
        <v>23</v>
      </c>
      <c r="B1988" s="11" t="s">
        <v>1581</v>
      </c>
      <c r="C1988" s="12" t="s">
        <v>2120</v>
      </c>
      <c r="D1988" s="25"/>
      <c r="E1988" s="41" t="str">
        <f>HYPERLINK("https://www.google.ru/search?q=3026681-001&amp;newwindow=1&amp;tbm=isch","Еще фото")</f>
        <v>Еще фото</v>
      </c>
      <c r="F1988" s="13"/>
      <c r="G1988" s="11" t="s">
        <v>1184</v>
      </c>
      <c r="H1988" s="11" t="s">
        <v>741</v>
      </c>
      <c r="I1988" s="14" t="s">
        <v>1185</v>
      </c>
      <c r="J1988" s="14" t="s">
        <v>29</v>
      </c>
      <c r="K1988" s="15" t="s">
        <v>30</v>
      </c>
      <c r="L1988" s="14" t="s">
        <v>1583</v>
      </c>
      <c r="M1988" s="14"/>
      <c r="N1988" s="14" t="s">
        <v>33</v>
      </c>
      <c r="O1988" s="14"/>
      <c r="P1988" s="15" t="s">
        <v>1584</v>
      </c>
      <c r="Q1988" s="16">
        <v>11999</v>
      </c>
      <c r="R1988" s="17">
        <v>40</v>
      </c>
      <c r="S1988" s="18">
        <v>8279.31</v>
      </c>
      <c r="T1988" s="19" t="s">
        <v>36</v>
      </c>
      <c r="U1988" s="20" t="s">
        <v>747</v>
      </c>
      <c r="V1988" s="34">
        <v>39.5</v>
      </c>
      <c r="W1988" s="22">
        <v>5</v>
      </c>
      <c r="X1988" s="23"/>
    </row>
    <row r="1989" spans="1:24" s="1" customFormat="1" ht="26" customHeight="1" x14ac:dyDescent="0.3">
      <c r="A1989" s="11" t="s">
        <v>23</v>
      </c>
      <c r="B1989" s="11" t="s">
        <v>2121</v>
      </c>
      <c r="C1989" s="12" t="s">
        <v>2122</v>
      </c>
      <c r="D1989" s="59"/>
      <c r="E1989" s="41" t="str">
        <f>HYPERLINK("https://www.google.ru/search?q=3026682-001&amp;newwindow=1&amp;tbm=isch","Еще фото")</f>
        <v>Еще фото</v>
      </c>
      <c r="F1989" s="13"/>
      <c r="G1989" s="11" t="s">
        <v>1184</v>
      </c>
      <c r="H1989" s="11" t="s">
        <v>741</v>
      </c>
      <c r="I1989" s="14" t="s">
        <v>1185</v>
      </c>
      <c r="J1989" s="14" t="s">
        <v>29</v>
      </c>
      <c r="K1989" s="15" t="s">
        <v>30</v>
      </c>
      <c r="L1989" s="57" t="s">
        <v>2123</v>
      </c>
      <c r="M1989" s="14"/>
      <c r="N1989" s="14" t="s">
        <v>33</v>
      </c>
      <c r="O1989" s="14"/>
      <c r="P1989" s="15" t="s">
        <v>2124</v>
      </c>
      <c r="Q1989" s="16">
        <v>10999</v>
      </c>
      <c r="R1989" s="17">
        <v>40</v>
      </c>
      <c r="S1989" s="18">
        <v>7589.3099999999986</v>
      </c>
      <c r="T1989" s="19" t="s">
        <v>36</v>
      </c>
      <c r="U1989" s="20" t="s">
        <v>747</v>
      </c>
      <c r="V1989" s="34">
        <v>39.5</v>
      </c>
      <c r="W1989" s="22">
        <v>3</v>
      </c>
      <c r="X1989" s="23"/>
    </row>
    <row r="1990" spans="1:24" s="1" customFormat="1" ht="26" customHeight="1" x14ac:dyDescent="0.3">
      <c r="A1990" s="24" t="s">
        <v>23</v>
      </c>
      <c r="B1990" s="24" t="s">
        <v>2121</v>
      </c>
      <c r="C1990" s="12" t="s">
        <v>2122</v>
      </c>
      <c r="D1990" s="60"/>
      <c r="E1990" s="41" t="str">
        <f>HYPERLINK("https://www.google.ru/search?q=3026682-001&amp;newwindow=1&amp;tbm=isch","Еще фото")</f>
        <v>Еще фото</v>
      </c>
      <c r="F1990" s="13"/>
      <c r="G1990" s="24" t="s">
        <v>1184</v>
      </c>
      <c r="H1990" s="24" t="s">
        <v>741</v>
      </c>
      <c r="I1990" s="24" t="s">
        <v>1185</v>
      </c>
      <c r="J1990" s="14" t="s">
        <v>29</v>
      </c>
      <c r="K1990" s="15" t="s">
        <v>30</v>
      </c>
      <c r="L1990" s="62"/>
      <c r="M1990" s="14"/>
      <c r="N1990" s="14" t="s">
        <v>33</v>
      </c>
      <c r="O1990" s="14"/>
      <c r="P1990" s="15" t="s">
        <v>2124</v>
      </c>
      <c r="Q1990" s="16">
        <v>10999</v>
      </c>
      <c r="R1990" s="17">
        <v>40</v>
      </c>
      <c r="S1990" s="18">
        <v>7589.3099999999986</v>
      </c>
      <c r="T1990" s="19" t="s">
        <v>36</v>
      </c>
      <c r="U1990" s="20" t="s">
        <v>748</v>
      </c>
      <c r="V1990" s="22">
        <v>40</v>
      </c>
      <c r="W1990" s="22">
        <v>1</v>
      </c>
      <c r="X1990" s="23"/>
    </row>
    <row r="1991" spans="1:24" s="1" customFormat="1" ht="26" customHeight="1" x14ac:dyDescent="0.3">
      <c r="A1991" s="24" t="s">
        <v>23</v>
      </c>
      <c r="B1991" s="24" t="s">
        <v>2121</v>
      </c>
      <c r="C1991" s="12" t="s">
        <v>2122</v>
      </c>
      <c r="D1991" s="60"/>
      <c r="E1991" s="41" t="str">
        <f>HYPERLINK("https://www.google.ru/search?q=3026682-001&amp;newwindow=1&amp;tbm=isch","Еще фото")</f>
        <v>Еще фото</v>
      </c>
      <c r="F1991" s="13"/>
      <c r="G1991" s="24" t="s">
        <v>1184</v>
      </c>
      <c r="H1991" s="24" t="s">
        <v>741</v>
      </c>
      <c r="I1991" s="24" t="s">
        <v>1185</v>
      </c>
      <c r="J1991" s="14" t="s">
        <v>29</v>
      </c>
      <c r="K1991" s="15" t="s">
        <v>30</v>
      </c>
      <c r="L1991" s="62"/>
      <c r="M1991" s="14"/>
      <c r="N1991" s="14" t="s">
        <v>33</v>
      </c>
      <c r="O1991" s="14"/>
      <c r="P1991" s="15" t="s">
        <v>2124</v>
      </c>
      <c r="Q1991" s="16">
        <v>10999</v>
      </c>
      <c r="R1991" s="17">
        <v>40</v>
      </c>
      <c r="S1991" s="18">
        <v>7589.3099999999986</v>
      </c>
      <c r="T1991" s="19" t="s">
        <v>36</v>
      </c>
      <c r="U1991" s="20" t="s">
        <v>749</v>
      </c>
      <c r="V1991" s="22">
        <v>41</v>
      </c>
      <c r="W1991" s="22">
        <v>1</v>
      </c>
      <c r="X1991" s="23"/>
    </row>
    <row r="1992" spans="1:24" s="1" customFormat="1" ht="26" customHeight="1" x14ac:dyDescent="0.3">
      <c r="A1992" s="24" t="s">
        <v>23</v>
      </c>
      <c r="B1992" s="24" t="s">
        <v>2121</v>
      </c>
      <c r="C1992" s="12" t="s">
        <v>2122</v>
      </c>
      <c r="D1992" s="61"/>
      <c r="E1992" s="41" t="str">
        <f>HYPERLINK("https://www.google.ru/search?q=3026682-001&amp;newwindow=1&amp;tbm=isch","Еще фото")</f>
        <v>Еще фото</v>
      </c>
      <c r="F1992" s="13"/>
      <c r="G1992" s="24" t="s">
        <v>1184</v>
      </c>
      <c r="H1992" s="24" t="s">
        <v>741</v>
      </c>
      <c r="I1992" s="24" t="s">
        <v>1185</v>
      </c>
      <c r="J1992" s="14" t="s">
        <v>29</v>
      </c>
      <c r="K1992" s="15" t="s">
        <v>30</v>
      </c>
      <c r="L1992" s="58"/>
      <c r="M1992" s="14"/>
      <c r="N1992" s="14" t="s">
        <v>33</v>
      </c>
      <c r="O1992" s="14"/>
      <c r="P1992" s="15" t="s">
        <v>2124</v>
      </c>
      <c r="Q1992" s="16">
        <v>10999</v>
      </c>
      <c r="R1992" s="17">
        <v>40</v>
      </c>
      <c r="S1992" s="18">
        <v>7589.3099999999986</v>
      </c>
      <c r="T1992" s="19" t="s">
        <v>36</v>
      </c>
      <c r="U1992" s="20" t="s">
        <v>750</v>
      </c>
      <c r="V1992" s="34">
        <v>41.5</v>
      </c>
      <c r="W1992" s="22">
        <v>1</v>
      </c>
      <c r="X1992" s="23"/>
    </row>
    <row r="1993" spans="1:24" s="1" customFormat="1" ht="108" customHeight="1" x14ac:dyDescent="0.3">
      <c r="A1993" s="11" t="s">
        <v>23</v>
      </c>
      <c r="B1993" s="11" t="s">
        <v>2121</v>
      </c>
      <c r="C1993" s="12" t="s">
        <v>2125</v>
      </c>
      <c r="D1993" s="25"/>
      <c r="E1993" s="41" t="str">
        <f>HYPERLINK("https://www.google.ru/search?q=3026682-102&amp;newwindow=1&amp;tbm=isch","Еще фото")</f>
        <v>Еще фото</v>
      </c>
      <c r="F1993" s="13"/>
      <c r="G1993" s="11" t="s">
        <v>1184</v>
      </c>
      <c r="H1993" s="11" t="s">
        <v>741</v>
      </c>
      <c r="I1993" s="14" t="s">
        <v>1185</v>
      </c>
      <c r="J1993" s="14" t="s">
        <v>29</v>
      </c>
      <c r="K1993" s="15" t="s">
        <v>30</v>
      </c>
      <c r="L1993" s="14" t="s">
        <v>2126</v>
      </c>
      <c r="M1993" s="14" t="s">
        <v>1194</v>
      </c>
      <c r="N1993" s="14" t="s">
        <v>973</v>
      </c>
      <c r="O1993" s="14"/>
      <c r="P1993" s="15" t="s">
        <v>2127</v>
      </c>
      <c r="Q1993" s="16">
        <v>9399</v>
      </c>
      <c r="R1993" s="17">
        <v>40</v>
      </c>
      <c r="S1993" s="18">
        <v>6485.3099999999995</v>
      </c>
      <c r="T1993" s="19" t="s">
        <v>36</v>
      </c>
      <c r="U1993" s="20" t="s">
        <v>748</v>
      </c>
      <c r="V1993" s="22">
        <v>40</v>
      </c>
      <c r="W1993" s="22">
        <v>1</v>
      </c>
      <c r="X1993" s="23"/>
    </row>
    <row r="1994" spans="1:24" s="1" customFormat="1" ht="108" customHeight="1" x14ac:dyDescent="0.3">
      <c r="A1994" s="11" t="s">
        <v>23</v>
      </c>
      <c r="B1994" s="11" t="s">
        <v>1271</v>
      </c>
      <c r="C1994" s="12" t="s">
        <v>2128</v>
      </c>
      <c r="D1994" s="25"/>
      <c r="E1994" s="41" t="str">
        <f>HYPERLINK("https://www.google.ru/search?q=3026683-101&amp;newwindow=1&amp;tbm=isch","Еще фото")</f>
        <v>Еще фото</v>
      </c>
      <c r="F1994" s="13"/>
      <c r="G1994" s="11" t="s">
        <v>1184</v>
      </c>
      <c r="H1994" s="11" t="s">
        <v>741</v>
      </c>
      <c r="I1994" s="14" t="s">
        <v>1185</v>
      </c>
      <c r="J1994" s="14" t="s">
        <v>29</v>
      </c>
      <c r="K1994" s="15" t="s">
        <v>59</v>
      </c>
      <c r="L1994" s="14" t="s">
        <v>1273</v>
      </c>
      <c r="M1994" s="14" t="s">
        <v>1274</v>
      </c>
      <c r="N1994" s="14" t="s">
        <v>84</v>
      </c>
      <c r="O1994" s="14"/>
      <c r="P1994" s="15" t="s">
        <v>1275</v>
      </c>
      <c r="Q1994" s="16">
        <v>7199</v>
      </c>
      <c r="R1994" s="17">
        <v>40</v>
      </c>
      <c r="S1994" s="18">
        <v>4967.3099999999995</v>
      </c>
      <c r="T1994" s="19" t="s">
        <v>36</v>
      </c>
      <c r="U1994" s="20" t="s">
        <v>1203</v>
      </c>
      <c r="V1994" s="22">
        <v>36</v>
      </c>
      <c r="W1994" s="22">
        <v>1</v>
      </c>
      <c r="X1994" s="23"/>
    </row>
    <row r="1995" spans="1:24" s="1" customFormat="1" ht="11" customHeight="1" x14ac:dyDescent="0.3">
      <c r="A1995" s="11" t="s">
        <v>23</v>
      </c>
      <c r="B1995" s="11" t="s">
        <v>1551</v>
      </c>
      <c r="C1995" s="12" t="s">
        <v>2129</v>
      </c>
      <c r="D1995" s="59"/>
      <c r="E1995" s="41" t="str">
        <f t="shared" ref="E1995:E2003" si="73">HYPERLINK("https://www.google.ru/search?q=3026727-002&amp;newwindow=1&amp;tbm=isch","Еще фото")</f>
        <v>Еще фото</v>
      </c>
      <c r="F1995" s="13" t="s">
        <v>103</v>
      </c>
      <c r="G1995" s="11" t="s">
        <v>1184</v>
      </c>
      <c r="H1995" s="11" t="s">
        <v>741</v>
      </c>
      <c r="I1995" s="14" t="s">
        <v>1185</v>
      </c>
      <c r="J1995" s="14" t="s">
        <v>29</v>
      </c>
      <c r="K1995" s="15" t="s">
        <v>30</v>
      </c>
      <c r="L1995" s="57" t="s">
        <v>1553</v>
      </c>
      <c r="M1995" s="14" t="s">
        <v>1274</v>
      </c>
      <c r="N1995" s="14" t="s">
        <v>33</v>
      </c>
      <c r="O1995" s="14"/>
      <c r="P1995" s="15" t="s">
        <v>1457</v>
      </c>
      <c r="Q1995" s="16">
        <v>8599</v>
      </c>
      <c r="R1995" s="17">
        <v>40</v>
      </c>
      <c r="S1995" s="18">
        <v>5933.3099999999995</v>
      </c>
      <c r="T1995" s="19" t="s">
        <v>36</v>
      </c>
      <c r="U1995" s="20" t="s">
        <v>747</v>
      </c>
      <c r="V1995" s="34">
        <v>39.5</v>
      </c>
      <c r="W1995" s="22">
        <v>6</v>
      </c>
      <c r="X1995" s="23"/>
    </row>
    <row r="1996" spans="1:24" s="1" customFormat="1" ht="11" customHeight="1" x14ac:dyDescent="0.3">
      <c r="A1996" s="24" t="s">
        <v>23</v>
      </c>
      <c r="B1996" s="24" t="s">
        <v>1551</v>
      </c>
      <c r="C1996" s="12" t="s">
        <v>2129</v>
      </c>
      <c r="D1996" s="60"/>
      <c r="E1996" s="41" t="str">
        <f t="shared" si="73"/>
        <v>Еще фото</v>
      </c>
      <c r="F1996" s="13" t="s">
        <v>103</v>
      </c>
      <c r="G1996" s="24" t="s">
        <v>1184</v>
      </c>
      <c r="H1996" s="24" t="s">
        <v>741</v>
      </c>
      <c r="I1996" s="24" t="s">
        <v>1185</v>
      </c>
      <c r="J1996" s="14" t="s">
        <v>29</v>
      </c>
      <c r="K1996" s="15" t="s">
        <v>30</v>
      </c>
      <c r="L1996" s="62"/>
      <c r="M1996" s="14" t="s">
        <v>1274</v>
      </c>
      <c r="N1996" s="14" t="s">
        <v>33</v>
      </c>
      <c r="O1996" s="14"/>
      <c r="P1996" s="15" t="s">
        <v>1457</v>
      </c>
      <c r="Q1996" s="16">
        <v>8599</v>
      </c>
      <c r="R1996" s="17">
        <v>40</v>
      </c>
      <c r="S1996" s="18">
        <v>5933.3099999999995</v>
      </c>
      <c r="T1996" s="19" t="s">
        <v>36</v>
      </c>
      <c r="U1996" s="20" t="s">
        <v>748</v>
      </c>
      <c r="V1996" s="22">
        <v>40</v>
      </c>
      <c r="W1996" s="22">
        <v>2</v>
      </c>
      <c r="X1996" s="23"/>
    </row>
    <row r="1997" spans="1:24" s="1" customFormat="1" ht="11" customHeight="1" x14ac:dyDescent="0.3">
      <c r="A1997" s="24" t="s">
        <v>23</v>
      </c>
      <c r="B1997" s="24" t="s">
        <v>1551</v>
      </c>
      <c r="C1997" s="12" t="s">
        <v>2129</v>
      </c>
      <c r="D1997" s="60"/>
      <c r="E1997" s="41" t="str">
        <f t="shared" si="73"/>
        <v>Еще фото</v>
      </c>
      <c r="F1997" s="13" t="s">
        <v>103</v>
      </c>
      <c r="G1997" s="24" t="s">
        <v>1184</v>
      </c>
      <c r="H1997" s="24" t="s">
        <v>741</v>
      </c>
      <c r="I1997" s="24" t="s">
        <v>1185</v>
      </c>
      <c r="J1997" s="14" t="s">
        <v>29</v>
      </c>
      <c r="K1997" s="15" t="s">
        <v>30</v>
      </c>
      <c r="L1997" s="62"/>
      <c r="M1997" s="14" t="s">
        <v>1274</v>
      </c>
      <c r="N1997" s="14" t="s">
        <v>33</v>
      </c>
      <c r="O1997" s="14"/>
      <c r="P1997" s="15" t="s">
        <v>1457</v>
      </c>
      <c r="Q1997" s="16">
        <v>8599</v>
      </c>
      <c r="R1997" s="17">
        <v>40</v>
      </c>
      <c r="S1997" s="18">
        <v>5933.3099999999995</v>
      </c>
      <c r="T1997" s="19" t="s">
        <v>36</v>
      </c>
      <c r="U1997" s="20" t="s">
        <v>749</v>
      </c>
      <c r="V1997" s="22">
        <v>41</v>
      </c>
      <c r="W1997" s="22">
        <v>2</v>
      </c>
      <c r="X1997" s="23"/>
    </row>
    <row r="1998" spans="1:24" s="1" customFormat="1" ht="11" customHeight="1" x14ac:dyDescent="0.3">
      <c r="A1998" s="24" t="s">
        <v>23</v>
      </c>
      <c r="B1998" s="24" t="s">
        <v>1551</v>
      </c>
      <c r="C1998" s="12" t="s">
        <v>2129</v>
      </c>
      <c r="D1998" s="60"/>
      <c r="E1998" s="41" t="str">
        <f t="shared" si="73"/>
        <v>Еще фото</v>
      </c>
      <c r="F1998" s="13" t="s">
        <v>103</v>
      </c>
      <c r="G1998" s="24" t="s">
        <v>1184</v>
      </c>
      <c r="H1998" s="24" t="s">
        <v>741</v>
      </c>
      <c r="I1998" s="24" t="s">
        <v>1185</v>
      </c>
      <c r="J1998" s="14" t="s">
        <v>29</v>
      </c>
      <c r="K1998" s="15" t="s">
        <v>30</v>
      </c>
      <c r="L1998" s="62"/>
      <c r="M1998" s="14" t="s">
        <v>1274</v>
      </c>
      <c r="N1998" s="14" t="s">
        <v>33</v>
      </c>
      <c r="O1998" s="14"/>
      <c r="P1998" s="15" t="s">
        <v>1457</v>
      </c>
      <c r="Q1998" s="16">
        <v>8599</v>
      </c>
      <c r="R1998" s="17">
        <v>40</v>
      </c>
      <c r="S1998" s="18">
        <v>5933.3099999999995</v>
      </c>
      <c r="T1998" s="19" t="s">
        <v>36</v>
      </c>
      <c r="U1998" s="20" t="s">
        <v>750</v>
      </c>
      <c r="V1998" s="34">
        <v>41.5</v>
      </c>
      <c r="W1998" s="22">
        <v>7</v>
      </c>
      <c r="X1998" s="23"/>
    </row>
    <row r="1999" spans="1:24" s="1" customFormat="1" ht="11" customHeight="1" x14ac:dyDescent="0.3">
      <c r="A1999" s="24" t="s">
        <v>23</v>
      </c>
      <c r="B1999" s="24" t="s">
        <v>1551</v>
      </c>
      <c r="C1999" s="12" t="s">
        <v>2129</v>
      </c>
      <c r="D1999" s="60"/>
      <c r="E1999" s="41" t="str">
        <f t="shared" si="73"/>
        <v>Еще фото</v>
      </c>
      <c r="F1999" s="13" t="s">
        <v>103</v>
      </c>
      <c r="G1999" s="24" t="s">
        <v>1184</v>
      </c>
      <c r="H1999" s="24" t="s">
        <v>741</v>
      </c>
      <c r="I1999" s="24" t="s">
        <v>1185</v>
      </c>
      <c r="J1999" s="14" t="s">
        <v>29</v>
      </c>
      <c r="K1999" s="15" t="s">
        <v>30</v>
      </c>
      <c r="L1999" s="62"/>
      <c r="M1999" s="14" t="s">
        <v>1274</v>
      </c>
      <c r="N1999" s="14" t="s">
        <v>33</v>
      </c>
      <c r="O1999" s="14"/>
      <c r="P1999" s="15" t="s">
        <v>1457</v>
      </c>
      <c r="Q1999" s="16">
        <v>8599</v>
      </c>
      <c r="R1999" s="17">
        <v>40</v>
      </c>
      <c r="S1999" s="18">
        <v>5933.3099999999995</v>
      </c>
      <c r="T1999" s="19" t="s">
        <v>36</v>
      </c>
      <c r="U1999" s="20" t="s">
        <v>751</v>
      </c>
      <c r="V1999" s="22">
        <v>42</v>
      </c>
      <c r="W1999" s="22">
        <v>4</v>
      </c>
      <c r="X1999" s="23"/>
    </row>
    <row r="2000" spans="1:24" s="1" customFormat="1" ht="11" customHeight="1" x14ac:dyDescent="0.3">
      <c r="A2000" s="24" t="s">
        <v>23</v>
      </c>
      <c r="B2000" s="24" t="s">
        <v>1551</v>
      </c>
      <c r="C2000" s="12" t="s">
        <v>2129</v>
      </c>
      <c r="D2000" s="60"/>
      <c r="E2000" s="41" t="str">
        <f t="shared" si="73"/>
        <v>Еще фото</v>
      </c>
      <c r="F2000" s="13" t="s">
        <v>103</v>
      </c>
      <c r="G2000" s="24" t="s">
        <v>1184</v>
      </c>
      <c r="H2000" s="24" t="s">
        <v>741</v>
      </c>
      <c r="I2000" s="24" t="s">
        <v>1185</v>
      </c>
      <c r="J2000" s="14" t="s">
        <v>29</v>
      </c>
      <c r="K2000" s="15" t="s">
        <v>30</v>
      </c>
      <c r="L2000" s="62"/>
      <c r="M2000" s="14" t="s">
        <v>1274</v>
      </c>
      <c r="N2000" s="14" t="s">
        <v>33</v>
      </c>
      <c r="O2000" s="14"/>
      <c r="P2000" s="15" t="s">
        <v>1457</v>
      </c>
      <c r="Q2000" s="16">
        <v>8599</v>
      </c>
      <c r="R2000" s="17">
        <v>40</v>
      </c>
      <c r="S2000" s="18">
        <v>5933.3099999999995</v>
      </c>
      <c r="T2000" s="19" t="s">
        <v>36</v>
      </c>
      <c r="U2000" s="20" t="s">
        <v>752</v>
      </c>
      <c r="V2000" s="22">
        <v>43</v>
      </c>
      <c r="W2000" s="22">
        <v>10</v>
      </c>
      <c r="X2000" s="23"/>
    </row>
    <row r="2001" spans="1:24" s="1" customFormat="1" ht="11" customHeight="1" x14ac:dyDescent="0.3">
      <c r="A2001" s="24" t="s">
        <v>23</v>
      </c>
      <c r="B2001" s="24" t="s">
        <v>1551</v>
      </c>
      <c r="C2001" s="12" t="s">
        <v>2129</v>
      </c>
      <c r="D2001" s="60"/>
      <c r="E2001" s="41" t="str">
        <f t="shared" si="73"/>
        <v>Еще фото</v>
      </c>
      <c r="F2001" s="13" t="s">
        <v>103</v>
      </c>
      <c r="G2001" s="24" t="s">
        <v>1184</v>
      </c>
      <c r="H2001" s="24" t="s">
        <v>741</v>
      </c>
      <c r="I2001" s="24" t="s">
        <v>1185</v>
      </c>
      <c r="J2001" s="14" t="s">
        <v>29</v>
      </c>
      <c r="K2001" s="15" t="s">
        <v>30</v>
      </c>
      <c r="L2001" s="62"/>
      <c r="M2001" s="14" t="s">
        <v>1274</v>
      </c>
      <c r="N2001" s="14" t="s">
        <v>33</v>
      </c>
      <c r="O2001" s="14"/>
      <c r="P2001" s="15" t="s">
        <v>1457</v>
      </c>
      <c r="Q2001" s="16">
        <v>8599</v>
      </c>
      <c r="R2001" s="17">
        <v>40</v>
      </c>
      <c r="S2001" s="18">
        <v>5933.3099999999995</v>
      </c>
      <c r="T2001" s="19" t="s">
        <v>36</v>
      </c>
      <c r="U2001" s="20" t="s">
        <v>753</v>
      </c>
      <c r="V2001" s="34">
        <v>43.5</v>
      </c>
      <c r="W2001" s="22">
        <v>7</v>
      </c>
      <c r="X2001" s="23"/>
    </row>
    <row r="2002" spans="1:24" s="1" customFormat="1" ht="11" customHeight="1" x14ac:dyDescent="0.3">
      <c r="A2002" s="24" t="s">
        <v>23</v>
      </c>
      <c r="B2002" s="24" t="s">
        <v>1551</v>
      </c>
      <c r="C2002" s="12" t="s">
        <v>2129</v>
      </c>
      <c r="D2002" s="60"/>
      <c r="E2002" s="41" t="str">
        <f t="shared" si="73"/>
        <v>Еще фото</v>
      </c>
      <c r="F2002" s="13" t="s">
        <v>103</v>
      </c>
      <c r="G2002" s="24" t="s">
        <v>1184</v>
      </c>
      <c r="H2002" s="24" t="s">
        <v>741</v>
      </c>
      <c r="I2002" s="24" t="s">
        <v>1185</v>
      </c>
      <c r="J2002" s="14" t="s">
        <v>29</v>
      </c>
      <c r="K2002" s="15" t="s">
        <v>30</v>
      </c>
      <c r="L2002" s="62"/>
      <c r="M2002" s="14" t="s">
        <v>1274</v>
      </c>
      <c r="N2002" s="14" t="s">
        <v>33</v>
      </c>
      <c r="O2002" s="14"/>
      <c r="P2002" s="15" t="s">
        <v>1457</v>
      </c>
      <c r="Q2002" s="16">
        <v>8599</v>
      </c>
      <c r="R2002" s="17">
        <v>40</v>
      </c>
      <c r="S2002" s="18">
        <v>5933.3099999999995</v>
      </c>
      <c r="T2002" s="19" t="s">
        <v>36</v>
      </c>
      <c r="U2002" s="20" t="s">
        <v>754</v>
      </c>
      <c r="V2002" s="22">
        <v>44</v>
      </c>
      <c r="W2002" s="22">
        <v>1</v>
      </c>
      <c r="X2002" s="23"/>
    </row>
    <row r="2003" spans="1:24" s="1" customFormat="1" ht="11" customHeight="1" x14ac:dyDescent="0.3">
      <c r="A2003" s="24" t="s">
        <v>23</v>
      </c>
      <c r="B2003" s="24" t="s">
        <v>1551</v>
      </c>
      <c r="C2003" s="12" t="s">
        <v>2129</v>
      </c>
      <c r="D2003" s="61"/>
      <c r="E2003" s="41" t="str">
        <f t="shared" si="73"/>
        <v>Еще фото</v>
      </c>
      <c r="F2003" s="13" t="s">
        <v>103</v>
      </c>
      <c r="G2003" s="24" t="s">
        <v>1184</v>
      </c>
      <c r="H2003" s="24" t="s">
        <v>741</v>
      </c>
      <c r="I2003" s="24" t="s">
        <v>1185</v>
      </c>
      <c r="J2003" s="14" t="s">
        <v>29</v>
      </c>
      <c r="K2003" s="15" t="s">
        <v>30</v>
      </c>
      <c r="L2003" s="58"/>
      <c r="M2003" s="14" t="s">
        <v>1274</v>
      </c>
      <c r="N2003" s="14" t="s">
        <v>33</v>
      </c>
      <c r="O2003" s="14"/>
      <c r="P2003" s="15" t="s">
        <v>1457</v>
      </c>
      <c r="Q2003" s="16">
        <v>8599</v>
      </c>
      <c r="R2003" s="17">
        <v>40</v>
      </c>
      <c r="S2003" s="18">
        <v>5933.3099999999995</v>
      </c>
      <c r="T2003" s="19" t="s">
        <v>36</v>
      </c>
      <c r="U2003" s="20" t="s">
        <v>755</v>
      </c>
      <c r="V2003" s="34">
        <v>44.5</v>
      </c>
      <c r="W2003" s="22">
        <v>1</v>
      </c>
      <c r="X2003" s="23"/>
    </row>
    <row r="2004" spans="1:24" s="1" customFormat="1" ht="21" customHeight="1" x14ac:dyDescent="0.3">
      <c r="A2004" s="11" t="s">
        <v>23</v>
      </c>
      <c r="B2004" s="11" t="s">
        <v>1551</v>
      </c>
      <c r="C2004" s="26" t="s">
        <v>2130</v>
      </c>
      <c r="D2004" s="59"/>
      <c r="E2004" s="41" t="str">
        <f>HYPERLINK("https://www.google.ru/search?q=3026727-003&amp;newwindow=1&amp;tbm=isch","Еще фото")</f>
        <v>Еще фото</v>
      </c>
      <c r="F2004" s="13" t="s">
        <v>103</v>
      </c>
      <c r="G2004" s="11" t="s">
        <v>1184</v>
      </c>
      <c r="H2004" s="11" t="s">
        <v>741</v>
      </c>
      <c r="I2004" s="14" t="s">
        <v>1185</v>
      </c>
      <c r="J2004" s="14" t="s">
        <v>29</v>
      </c>
      <c r="K2004" s="15" t="s">
        <v>30</v>
      </c>
      <c r="L2004" s="57" t="s">
        <v>2131</v>
      </c>
      <c r="M2004" s="14" t="s">
        <v>1274</v>
      </c>
      <c r="N2004" s="14" t="s">
        <v>33</v>
      </c>
      <c r="O2004" s="14"/>
      <c r="P2004" s="15" t="s">
        <v>1457</v>
      </c>
      <c r="Q2004" s="16">
        <v>8599</v>
      </c>
      <c r="R2004" s="17">
        <v>40</v>
      </c>
      <c r="S2004" s="18">
        <v>5933.3099999999995</v>
      </c>
      <c r="T2004" s="19" t="s">
        <v>36</v>
      </c>
      <c r="U2004" s="20" t="s">
        <v>747</v>
      </c>
      <c r="V2004" s="34">
        <v>39.5</v>
      </c>
      <c r="W2004" s="22">
        <v>4</v>
      </c>
      <c r="X2004" s="23"/>
    </row>
    <row r="2005" spans="1:24" s="1" customFormat="1" ht="21" customHeight="1" x14ac:dyDescent="0.3">
      <c r="A2005" s="24" t="s">
        <v>23</v>
      </c>
      <c r="B2005" s="24" t="s">
        <v>1551</v>
      </c>
      <c r="C2005" s="27" t="s">
        <v>2130</v>
      </c>
      <c r="D2005" s="60"/>
      <c r="E2005" s="41" t="str">
        <f>HYPERLINK("https://www.google.ru/search?q=3026727-003&amp;newwindow=1&amp;tbm=isch","Еще фото")</f>
        <v>Еще фото</v>
      </c>
      <c r="F2005" s="13" t="s">
        <v>103</v>
      </c>
      <c r="G2005" s="24" t="s">
        <v>1184</v>
      </c>
      <c r="H2005" s="24" t="s">
        <v>741</v>
      </c>
      <c r="I2005" s="24" t="s">
        <v>1185</v>
      </c>
      <c r="J2005" s="14" t="s">
        <v>29</v>
      </c>
      <c r="K2005" s="15" t="s">
        <v>30</v>
      </c>
      <c r="L2005" s="62"/>
      <c r="M2005" s="14" t="s">
        <v>1274</v>
      </c>
      <c r="N2005" s="14" t="s">
        <v>33</v>
      </c>
      <c r="O2005" s="14"/>
      <c r="P2005" s="15" t="s">
        <v>1457</v>
      </c>
      <c r="Q2005" s="16">
        <v>8599</v>
      </c>
      <c r="R2005" s="17">
        <v>40</v>
      </c>
      <c r="S2005" s="18">
        <v>5933.3099999999995</v>
      </c>
      <c r="T2005" s="19" t="s">
        <v>36</v>
      </c>
      <c r="U2005" s="20" t="s">
        <v>748</v>
      </c>
      <c r="V2005" s="22">
        <v>40</v>
      </c>
      <c r="W2005" s="22">
        <v>5</v>
      </c>
      <c r="X2005" s="23"/>
    </row>
    <row r="2006" spans="1:24" s="1" customFormat="1" ht="21" customHeight="1" x14ac:dyDescent="0.3">
      <c r="A2006" s="24" t="s">
        <v>23</v>
      </c>
      <c r="B2006" s="24" t="s">
        <v>1551</v>
      </c>
      <c r="C2006" s="27" t="s">
        <v>2130</v>
      </c>
      <c r="D2006" s="60"/>
      <c r="E2006" s="41" t="str">
        <f>HYPERLINK("https://www.google.ru/search?q=3026727-003&amp;newwindow=1&amp;tbm=isch","Еще фото")</f>
        <v>Еще фото</v>
      </c>
      <c r="F2006" s="13" t="s">
        <v>103</v>
      </c>
      <c r="G2006" s="24" t="s">
        <v>1184</v>
      </c>
      <c r="H2006" s="24" t="s">
        <v>741</v>
      </c>
      <c r="I2006" s="24" t="s">
        <v>1185</v>
      </c>
      <c r="J2006" s="14" t="s">
        <v>29</v>
      </c>
      <c r="K2006" s="15" t="s">
        <v>30</v>
      </c>
      <c r="L2006" s="62"/>
      <c r="M2006" s="14" t="s">
        <v>1274</v>
      </c>
      <c r="N2006" s="14" t="s">
        <v>33</v>
      </c>
      <c r="O2006" s="14"/>
      <c r="P2006" s="15" t="s">
        <v>1457</v>
      </c>
      <c r="Q2006" s="16">
        <v>8599</v>
      </c>
      <c r="R2006" s="17">
        <v>40</v>
      </c>
      <c r="S2006" s="18">
        <v>5933.3099999999995</v>
      </c>
      <c r="T2006" s="19" t="s">
        <v>36</v>
      </c>
      <c r="U2006" s="20" t="s">
        <v>749</v>
      </c>
      <c r="V2006" s="22">
        <v>41</v>
      </c>
      <c r="W2006" s="22">
        <v>3</v>
      </c>
      <c r="X2006" s="23"/>
    </row>
    <row r="2007" spans="1:24" s="1" customFormat="1" ht="21" customHeight="1" x14ac:dyDescent="0.3">
      <c r="A2007" s="24" t="s">
        <v>23</v>
      </c>
      <c r="B2007" s="24" t="s">
        <v>1551</v>
      </c>
      <c r="C2007" s="27" t="s">
        <v>2130</v>
      </c>
      <c r="D2007" s="60"/>
      <c r="E2007" s="41" t="str">
        <f>HYPERLINK("https://www.google.ru/search?q=3026727-003&amp;newwindow=1&amp;tbm=isch","Еще фото")</f>
        <v>Еще фото</v>
      </c>
      <c r="F2007" s="13" t="s">
        <v>103</v>
      </c>
      <c r="G2007" s="24" t="s">
        <v>1184</v>
      </c>
      <c r="H2007" s="24" t="s">
        <v>741</v>
      </c>
      <c r="I2007" s="24" t="s">
        <v>1185</v>
      </c>
      <c r="J2007" s="14" t="s">
        <v>29</v>
      </c>
      <c r="K2007" s="15" t="s">
        <v>30</v>
      </c>
      <c r="L2007" s="62"/>
      <c r="M2007" s="14" t="s">
        <v>1274</v>
      </c>
      <c r="N2007" s="14" t="s">
        <v>33</v>
      </c>
      <c r="O2007" s="14"/>
      <c r="P2007" s="15" t="s">
        <v>1457</v>
      </c>
      <c r="Q2007" s="16">
        <v>8599</v>
      </c>
      <c r="R2007" s="17">
        <v>40</v>
      </c>
      <c r="S2007" s="18">
        <v>5933.3099999999995</v>
      </c>
      <c r="T2007" s="19" t="s">
        <v>36</v>
      </c>
      <c r="U2007" s="20" t="s">
        <v>750</v>
      </c>
      <c r="V2007" s="34">
        <v>41.5</v>
      </c>
      <c r="W2007" s="22">
        <v>14</v>
      </c>
      <c r="X2007" s="23"/>
    </row>
    <row r="2008" spans="1:24" s="1" customFormat="1" ht="32" customHeight="1" x14ac:dyDescent="0.3">
      <c r="A2008" s="24" t="s">
        <v>23</v>
      </c>
      <c r="B2008" s="24" t="s">
        <v>1551</v>
      </c>
      <c r="C2008" s="27" t="s">
        <v>2130</v>
      </c>
      <c r="D2008" s="61"/>
      <c r="E2008" s="41" t="str">
        <f>HYPERLINK("https://www.google.ru/search?q=3026727-003&amp;newwindow=1&amp;tbm=isch","Еще фото")</f>
        <v>Еще фото</v>
      </c>
      <c r="F2008" s="13" t="s">
        <v>103</v>
      </c>
      <c r="G2008" s="24" t="s">
        <v>1184</v>
      </c>
      <c r="H2008" s="24" t="s">
        <v>741</v>
      </c>
      <c r="I2008" s="24" t="s">
        <v>1185</v>
      </c>
      <c r="J2008" s="14" t="s">
        <v>29</v>
      </c>
      <c r="K2008" s="15" t="s">
        <v>30</v>
      </c>
      <c r="L2008" s="58"/>
      <c r="M2008" s="14" t="s">
        <v>1274</v>
      </c>
      <c r="N2008" s="14" t="s">
        <v>33</v>
      </c>
      <c r="O2008" s="14"/>
      <c r="P2008" s="15" t="s">
        <v>1457</v>
      </c>
      <c r="Q2008" s="16">
        <v>8599</v>
      </c>
      <c r="R2008" s="17">
        <v>40</v>
      </c>
      <c r="S2008" s="18">
        <v>5933.3099999999995</v>
      </c>
      <c r="T2008" s="19" t="s">
        <v>36</v>
      </c>
      <c r="U2008" s="20" t="s">
        <v>753</v>
      </c>
      <c r="V2008" s="34">
        <v>43.5</v>
      </c>
      <c r="W2008" s="22">
        <v>4</v>
      </c>
      <c r="X2008" s="23"/>
    </row>
    <row r="2009" spans="1:24" s="1" customFormat="1" ht="35" customHeight="1" x14ac:dyDescent="0.3">
      <c r="A2009" s="11" t="s">
        <v>23</v>
      </c>
      <c r="B2009" s="11" t="s">
        <v>1551</v>
      </c>
      <c r="C2009" s="12" t="s">
        <v>2132</v>
      </c>
      <c r="D2009" s="59"/>
      <c r="E2009" s="41" t="str">
        <f>HYPERLINK("https://www.google.ru/search?q=3026727-010&amp;newwindow=1&amp;tbm=isch","Еще фото")</f>
        <v>Еще фото</v>
      </c>
      <c r="F2009" s="13"/>
      <c r="G2009" s="11" t="s">
        <v>1184</v>
      </c>
      <c r="H2009" s="11" t="s">
        <v>741</v>
      </c>
      <c r="I2009" s="14" t="s">
        <v>1185</v>
      </c>
      <c r="J2009" s="14" t="s">
        <v>29</v>
      </c>
      <c r="K2009" s="15" t="s">
        <v>30</v>
      </c>
      <c r="L2009" s="57" t="s">
        <v>1772</v>
      </c>
      <c r="M2009" s="14"/>
      <c r="N2009" s="14" t="s">
        <v>33</v>
      </c>
      <c r="O2009" s="14"/>
      <c r="P2009" s="15" t="s">
        <v>1457</v>
      </c>
      <c r="Q2009" s="16">
        <v>9499</v>
      </c>
      <c r="R2009" s="17">
        <v>40</v>
      </c>
      <c r="S2009" s="18">
        <v>6554.3099999999995</v>
      </c>
      <c r="T2009" s="19" t="s">
        <v>36</v>
      </c>
      <c r="U2009" s="20" t="s">
        <v>751</v>
      </c>
      <c r="V2009" s="22">
        <v>42</v>
      </c>
      <c r="W2009" s="22">
        <v>1</v>
      </c>
      <c r="X2009" s="23"/>
    </row>
    <row r="2010" spans="1:24" s="1" customFormat="1" ht="35" customHeight="1" x14ac:dyDescent="0.3">
      <c r="A2010" s="24" t="s">
        <v>23</v>
      </c>
      <c r="B2010" s="24" t="s">
        <v>1551</v>
      </c>
      <c r="C2010" s="12" t="s">
        <v>2132</v>
      </c>
      <c r="D2010" s="60"/>
      <c r="E2010" s="41" t="str">
        <f>HYPERLINK("https://www.google.ru/search?q=3026727-010&amp;newwindow=1&amp;tbm=isch","Еще фото")</f>
        <v>Еще фото</v>
      </c>
      <c r="F2010" s="13"/>
      <c r="G2010" s="24" t="s">
        <v>1184</v>
      </c>
      <c r="H2010" s="24" t="s">
        <v>741</v>
      </c>
      <c r="I2010" s="24" t="s">
        <v>1185</v>
      </c>
      <c r="J2010" s="14" t="s">
        <v>29</v>
      </c>
      <c r="K2010" s="15" t="s">
        <v>30</v>
      </c>
      <c r="L2010" s="62"/>
      <c r="M2010" s="14"/>
      <c r="N2010" s="14" t="s">
        <v>33</v>
      </c>
      <c r="O2010" s="14"/>
      <c r="P2010" s="15" t="s">
        <v>1457</v>
      </c>
      <c r="Q2010" s="16">
        <v>9499</v>
      </c>
      <c r="R2010" s="17">
        <v>40</v>
      </c>
      <c r="S2010" s="18">
        <v>6554.3099999999995</v>
      </c>
      <c r="T2010" s="19" t="s">
        <v>36</v>
      </c>
      <c r="U2010" s="20" t="s">
        <v>752</v>
      </c>
      <c r="V2010" s="22">
        <v>43</v>
      </c>
      <c r="W2010" s="22">
        <v>3</v>
      </c>
      <c r="X2010" s="23"/>
    </row>
    <row r="2011" spans="1:24" s="1" customFormat="1" ht="37.049999999999997" customHeight="1" x14ac:dyDescent="0.3">
      <c r="A2011" s="24" t="s">
        <v>23</v>
      </c>
      <c r="B2011" s="24" t="s">
        <v>1551</v>
      </c>
      <c r="C2011" s="12" t="s">
        <v>2132</v>
      </c>
      <c r="D2011" s="61"/>
      <c r="E2011" s="41" t="str">
        <f>HYPERLINK("https://www.google.ru/search?q=3026727-010&amp;newwindow=1&amp;tbm=isch","Еще фото")</f>
        <v>Еще фото</v>
      </c>
      <c r="F2011" s="13"/>
      <c r="G2011" s="24" t="s">
        <v>1184</v>
      </c>
      <c r="H2011" s="24" t="s">
        <v>741</v>
      </c>
      <c r="I2011" s="24" t="s">
        <v>1185</v>
      </c>
      <c r="J2011" s="14" t="s">
        <v>29</v>
      </c>
      <c r="K2011" s="15" t="s">
        <v>30</v>
      </c>
      <c r="L2011" s="58"/>
      <c r="M2011" s="14"/>
      <c r="N2011" s="14" t="s">
        <v>33</v>
      </c>
      <c r="O2011" s="14"/>
      <c r="P2011" s="15" t="s">
        <v>1457</v>
      </c>
      <c r="Q2011" s="16">
        <v>9499</v>
      </c>
      <c r="R2011" s="17">
        <v>40</v>
      </c>
      <c r="S2011" s="18">
        <v>6554.3099999999995</v>
      </c>
      <c r="T2011" s="19" t="s">
        <v>36</v>
      </c>
      <c r="U2011" s="20" t="s">
        <v>755</v>
      </c>
      <c r="V2011" s="34">
        <v>44.5</v>
      </c>
      <c r="W2011" s="22">
        <v>1</v>
      </c>
      <c r="X2011" s="23"/>
    </row>
    <row r="2012" spans="1:24" s="1" customFormat="1" ht="11" customHeight="1" x14ac:dyDescent="0.3">
      <c r="A2012" s="11" t="s">
        <v>23</v>
      </c>
      <c r="B2012" s="11" t="s">
        <v>1551</v>
      </c>
      <c r="C2012" s="12" t="s">
        <v>2133</v>
      </c>
      <c r="D2012" s="59"/>
      <c r="E2012" s="41" t="str">
        <f t="shared" ref="E2012:E2021" si="74">HYPERLINK("https://www.google.ru/search?q=3026727-025&amp;newwindow=1&amp;tbm=isch","Еще фото")</f>
        <v>Еще фото</v>
      </c>
      <c r="F2012" s="13" t="s">
        <v>103</v>
      </c>
      <c r="G2012" s="11" t="s">
        <v>1184</v>
      </c>
      <c r="H2012" s="11" t="s">
        <v>741</v>
      </c>
      <c r="I2012" s="14" t="s">
        <v>1185</v>
      </c>
      <c r="J2012" s="14" t="s">
        <v>29</v>
      </c>
      <c r="K2012" s="15" t="s">
        <v>30</v>
      </c>
      <c r="L2012" s="57" t="s">
        <v>1553</v>
      </c>
      <c r="M2012" s="14"/>
      <c r="N2012" s="14" t="s">
        <v>62</v>
      </c>
      <c r="O2012" s="14"/>
      <c r="P2012" s="15" t="s">
        <v>1457</v>
      </c>
      <c r="Q2012" s="16">
        <v>8599</v>
      </c>
      <c r="R2012" s="17">
        <v>40</v>
      </c>
      <c r="S2012" s="18">
        <v>5933.3099999999995</v>
      </c>
      <c r="T2012" s="19" t="s">
        <v>36</v>
      </c>
      <c r="U2012" s="20" t="s">
        <v>747</v>
      </c>
      <c r="V2012" s="34">
        <v>39.5</v>
      </c>
      <c r="W2012" s="22">
        <v>6</v>
      </c>
      <c r="X2012" s="23"/>
    </row>
    <row r="2013" spans="1:24" s="1" customFormat="1" ht="11" customHeight="1" x14ac:dyDescent="0.3">
      <c r="A2013" s="24" t="s">
        <v>23</v>
      </c>
      <c r="B2013" s="24" t="s">
        <v>1551</v>
      </c>
      <c r="C2013" s="12" t="s">
        <v>2133</v>
      </c>
      <c r="D2013" s="60"/>
      <c r="E2013" s="41" t="str">
        <f t="shared" si="74"/>
        <v>Еще фото</v>
      </c>
      <c r="F2013" s="13" t="s">
        <v>103</v>
      </c>
      <c r="G2013" s="24" t="s">
        <v>1184</v>
      </c>
      <c r="H2013" s="24" t="s">
        <v>741</v>
      </c>
      <c r="I2013" s="24" t="s">
        <v>1185</v>
      </c>
      <c r="J2013" s="14" t="s">
        <v>29</v>
      </c>
      <c r="K2013" s="15" t="s">
        <v>30</v>
      </c>
      <c r="L2013" s="62"/>
      <c r="M2013" s="14"/>
      <c r="N2013" s="14" t="s">
        <v>62</v>
      </c>
      <c r="O2013" s="14"/>
      <c r="P2013" s="15" t="s">
        <v>1457</v>
      </c>
      <c r="Q2013" s="16">
        <v>8599</v>
      </c>
      <c r="R2013" s="17">
        <v>40</v>
      </c>
      <c r="S2013" s="18">
        <v>5933.3099999999995</v>
      </c>
      <c r="T2013" s="19" t="s">
        <v>36</v>
      </c>
      <c r="U2013" s="20" t="s">
        <v>748</v>
      </c>
      <c r="V2013" s="22">
        <v>40</v>
      </c>
      <c r="W2013" s="22">
        <v>6</v>
      </c>
      <c r="X2013" s="23"/>
    </row>
    <row r="2014" spans="1:24" s="1" customFormat="1" ht="11" customHeight="1" x14ac:dyDescent="0.3">
      <c r="A2014" s="24" t="s">
        <v>23</v>
      </c>
      <c r="B2014" s="24" t="s">
        <v>1551</v>
      </c>
      <c r="C2014" s="12" t="s">
        <v>2133</v>
      </c>
      <c r="D2014" s="60"/>
      <c r="E2014" s="41" t="str">
        <f t="shared" si="74"/>
        <v>Еще фото</v>
      </c>
      <c r="F2014" s="13" t="s">
        <v>103</v>
      </c>
      <c r="G2014" s="24" t="s">
        <v>1184</v>
      </c>
      <c r="H2014" s="24" t="s">
        <v>741</v>
      </c>
      <c r="I2014" s="24" t="s">
        <v>1185</v>
      </c>
      <c r="J2014" s="14" t="s">
        <v>29</v>
      </c>
      <c r="K2014" s="15" t="s">
        <v>30</v>
      </c>
      <c r="L2014" s="62"/>
      <c r="M2014" s="14"/>
      <c r="N2014" s="14" t="s">
        <v>62</v>
      </c>
      <c r="O2014" s="14"/>
      <c r="P2014" s="15" t="s">
        <v>1457</v>
      </c>
      <c r="Q2014" s="16">
        <v>8599</v>
      </c>
      <c r="R2014" s="17">
        <v>40</v>
      </c>
      <c r="S2014" s="18">
        <v>5933.3099999999995</v>
      </c>
      <c r="T2014" s="19" t="s">
        <v>36</v>
      </c>
      <c r="U2014" s="20" t="s">
        <v>749</v>
      </c>
      <c r="V2014" s="22">
        <v>41</v>
      </c>
      <c r="W2014" s="22">
        <v>4</v>
      </c>
      <c r="X2014" s="23"/>
    </row>
    <row r="2015" spans="1:24" s="1" customFormat="1" ht="11" customHeight="1" x14ac:dyDescent="0.3">
      <c r="A2015" s="24" t="s">
        <v>23</v>
      </c>
      <c r="B2015" s="24" t="s">
        <v>1551</v>
      </c>
      <c r="C2015" s="12" t="s">
        <v>2133</v>
      </c>
      <c r="D2015" s="60"/>
      <c r="E2015" s="41" t="str">
        <f t="shared" si="74"/>
        <v>Еще фото</v>
      </c>
      <c r="F2015" s="13" t="s">
        <v>103</v>
      </c>
      <c r="G2015" s="24" t="s">
        <v>1184</v>
      </c>
      <c r="H2015" s="24" t="s">
        <v>741</v>
      </c>
      <c r="I2015" s="24" t="s">
        <v>1185</v>
      </c>
      <c r="J2015" s="14" t="s">
        <v>29</v>
      </c>
      <c r="K2015" s="15" t="s">
        <v>30</v>
      </c>
      <c r="L2015" s="62"/>
      <c r="M2015" s="14"/>
      <c r="N2015" s="14" t="s">
        <v>62</v>
      </c>
      <c r="O2015" s="14"/>
      <c r="P2015" s="15" t="s">
        <v>1457</v>
      </c>
      <c r="Q2015" s="16">
        <v>8599</v>
      </c>
      <c r="R2015" s="17">
        <v>40</v>
      </c>
      <c r="S2015" s="18">
        <v>5933.3099999999995</v>
      </c>
      <c r="T2015" s="19" t="s">
        <v>36</v>
      </c>
      <c r="U2015" s="20" t="s">
        <v>750</v>
      </c>
      <c r="V2015" s="34">
        <v>41.5</v>
      </c>
      <c r="W2015" s="22">
        <v>11</v>
      </c>
      <c r="X2015" s="23"/>
    </row>
    <row r="2016" spans="1:24" s="1" customFormat="1" ht="11" customHeight="1" x14ac:dyDescent="0.3">
      <c r="A2016" s="24" t="s">
        <v>23</v>
      </c>
      <c r="B2016" s="24" t="s">
        <v>1551</v>
      </c>
      <c r="C2016" s="12" t="s">
        <v>2133</v>
      </c>
      <c r="D2016" s="60"/>
      <c r="E2016" s="41" t="str">
        <f t="shared" si="74"/>
        <v>Еще фото</v>
      </c>
      <c r="F2016" s="13" t="s">
        <v>103</v>
      </c>
      <c r="G2016" s="24" t="s">
        <v>1184</v>
      </c>
      <c r="H2016" s="24" t="s">
        <v>741</v>
      </c>
      <c r="I2016" s="24" t="s">
        <v>1185</v>
      </c>
      <c r="J2016" s="14" t="s">
        <v>29</v>
      </c>
      <c r="K2016" s="15" t="s">
        <v>30</v>
      </c>
      <c r="L2016" s="62"/>
      <c r="M2016" s="14"/>
      <c r="N2016" s="14" t="s">
        <v>62</v>
      </c>
      <c r="O2016" s="14"/>
      <c r="P2016" s="15" t="s">
        <v>1457</v>
      </c>
      <c r="Q2016" s="16">
        <v>8599</v>
      </c>
      <c r="R2016" s="17">
        <v>40</v>
      </c>
      <c r="S2016" s="18">
        <v>5933.3099999999995</v>
      </c>
      <c r="T2016" s="19" t="s">
        <v>36</v>
      </c>
      <c r="U2016" s="20" t="s">
        <v>751</v>
      </c>
      <c r="V2016" s="22">
        <v>42</v>
      </c>
      <c r="W2016" s="22">
        <v>14</v>
      </c>
      <c r="X2016" s="23"/>
    </row>
    <row r="2017" spans="1:24" s="1" customFormat="1" ht="11" customHeight="1" x14ac:dyDescent="0.3">
      <c r="A2017" s="24" t="s">
        <v>23</v>
      </c>
      <c r="B2017" s="24" t="s">
        <v>1551</v>
      </c>
      <c r="C2017" s="12" t="s">
        <v>2133</v>
      </c>
      <c r="D2017" s="60"/>
      <c r="E2017" s="41" t="str">
        <f t="shared" si="74"/>
        <v>Еще фото</v>
      </c>
      <c r="F2017" s="13" t="s">
        <v>103</v>
      </c>
      <c r="G2017" s="24" t="s">
        <v>1184</v>
      </c>
      <c r="H2017" s="24" t="s">
        <v>741</v>
      </c>
      <c r="I2017" s="24" t="s">
        <v>1185</v>
      </c>
      <c r="J2017" s="14" t="s">
        <v>29</v>
      </c>
      <c r="K2017" s="15" t="s">
        <v>30</v>
      </c>
      <c r="L2017" s="62"/>
      <c r="M2017" s="14"/>
      <c r="N2017" s="14" t="s">
        <v>62</v>
      </c>
      <c r="O2017" s="14"/>
      <c r="P2017" s="15" t="s">
        <v>1457</v>
      </c>
      <c r="Q2017" s="16">
        <v>8599</v>
      </c>
      <c r="R2017" s="17">
        <v>40</v>
      </c>
      <c r="S2017" s="18">
        <v>5933.3099999999995</v>
      </c>
      <c r="T2017" s="19" t="s">
        <v>36</v>
      </c>
      <c r="U2017" s="20" t="s">
        <v>752</v>
      </c>
      <c r="V2017" s="22">
        <v>43</v>
      </c>
      <c r="W2017" s="22">
        <v>12</v>
      </c>
      <c r="X2017" s="23"/>
    </row>
    <row r="2018" spans="1:24" s="1" customFormat="1" ht="11" customHeight="1" x14ac:dyDescent="0.3">
      <c r="A2018" s="24" t="s">
        <v>23</v>
      </c>
      <c r="B2018" s="24" t="s">
        <v>1551</v>
      </c>
      <c r="C2018" s="12" t="s">
        <v>2133</v>
      </c>
      <c r="D2018" s="60"/>
      <c r="E2018" s="41" t="str">
        <f t="shared" si="74"/>
        <v>Еще фото</v>
      </c>
      <c r="F2018" s="13" t="s">
        <v>103</v>
      </c>
      <c r="G2018" s="24" t="s">
        <v>1184</v>
      </c>
      <c r="H2018" s="24" t="s">
        <v>741</v>
      </c>
      <c r="I2018" s="24" t="s">
        <v>1185</v>
      </c>
      <c r="J2018" s="14" t="s">
        <v>29</v>
      </c>
      <c r="K2018" s="15" t="s">
        <v>30</v>
      </c>
      <c r="L2018" s="62"/>
      <c r="M2018" s="14"/>
      <c r="N2018" s="14" t="s">
        <v>62</v>
      </c>
      <c r="O2018" s="14"/>
      <c r="P2018" s="15" t="s">
        <v>1457</v>
      </c>
      <c r="Q2018" s="16">
        <v>8599</v>
      </c>
      <c r="R2018" s="17">
        <v>40</v>
      </c>
      <c r="S2018" s="18">
        <v>5933.3099999999995</v>
      </c>
      <c r="T2018" s="19" t="s">
        <v>36</v>
      </c>
      <c r="U2018" s="20" t="s">
        <v>753</v>
      </c>
      <c r="V2018" s="34">
        <v>43.5</v>
      </c>
      <c r="W2018" s="22">
        <v>10</v>
      </c>
      <c r="X2018" s="23"/>
    </row>
    <row r="2019" spans="1:24" s="1" customFormat="1" ht="11" customHeight="1" x14ac:dyDescent="0.3">
      <c r="A2019" s="24" t="s">
        <v>23</v>
      </c>
      <c r="B2019" s="24" t="s">
        <v>1551</v>
      </c>
      <c r="C2019" s="12" t="s">
        <v>2133</v>
      </c>
      <c r="D2019" s="60"/>
      <c r="E2019" s="41" t="str">
        <f t="shared" si="74"/>
        <v>Еще фото</v>
      </c>
      <c r="F2019" s="13" t="s">
        <v>103</v>
      </c>
      <c r="G2019" s="24" t="s">
        <v>1184</v>
      </c>
      <c r="H2019" s="24" t="s">
        <v>741</v>
      </c>
      <c r="I2019" s="24" t="s">
        <v>1185</v>
      </c>
      <c r="J2019" s="14" t="s">
        <v>29</v>
      </c>
      <c r="K2019" s="15" t="s">
        <v>30</v>
      </c>
      <c r="L2019" s="62"/>
      <c r="M2019" s="14"/>
      <c r="N2019" s="14" t="s">
        <v>62</v>
      </c>
      <c r="O2019" s="14"/>
      <c r="P2019" s="15" t="s">
        <v>1457</v>
      </c>
      <c r="Q2019" s="16">
        <v>8599</v>
      </c>
      <c r="R2019" s="17">
        <v>40</v>
      </c>
      <c r="S2019" s="18">
        <v>5933.3099999999995</v>
      </c>
      <c r="T2019" s="19" t="s">
        <v>36</v>
      </c>
      <c r="U2019" s="20" t="s">
        <v>754</v>
      </c>
      <c r="V2019" s="22">
        <v>44</v>
      </c>
      <c r="W2019" s="22">
        <v>9</v>
      </c>
      <c r="X2019" s="23"/>
    </row>
    <row r="2020" spans="1:24" s="1" customFormat="1" ht="11" customHeight="1" x14ac:dyDescent="0.3">
      <c r="A2020" s="24" t="s">
        <v>23</v>
      </c>
      <c r="B2020" s="24" t="s">
        <v>1551</v>
      </c>
      <c r="C2020" s="12" t="s">
        <v>2133</v>
      </c>
      <c r="D2020" s="60"/>
      <c r="E2020" s="41" t="str">
        <f t="shared" si="74"/>
        <v>Еще фото</v>
      </c>
      <c r="F2020" s="13" t="s">
        <v>103</v>
      </c>
      <c r="G2020" s="24" t="s">
        <v>1184</v>
      </c>
      <c r="H2020" s="24" t="s">
        <v>741</v>
      </c>
      <c r="I2020" s="24" t="s">
        <v>1185</v>
      </c>
      <c r="J2020" s="14" t="s">
        <v>29</v>
      </c>
      <c r="K2020" s="15" t="s">
        <v>30</v>
      </c>
      <c r="L2020" s="62"/>
      <c r="M2020" s="14"/>
      <c r="N2020" s="14" t="s">
        <v>62</v>
      </c>
      <c r="O2020" s="14"/>
      <c r="P2020" s="15" t="s">
        <v>1457</v>
      </c>
      <c r="Q2020" s="16">
        <v>8599</v>
      </c>
      <c r="R2020" s="17">
        <v>40</v>
      </c>
      <c r="S2020" s="18">
        <v>5933.3099999999995</v>
      </c>
      <c r="T2020" s="19" t="s">
        <v>36</v>
      </c>
      <c r="U2020" s="20" t="s">
        <v>755</v>
      </c>
      <c r="V2020" s="34">
        <v>44.5</v>
      </c>
      <c r="W2020" s="22">
        <v>6</v>
      </c>
      <c r="X2020" s="23"/>
    </row>
    <row r="2021" spans="1:24" s="1" customFormat="1" ht="11" customHeight="1" x14ac:dyDescent="0.3">
      <c r="A2021" s="14" t="s">
        <v>23</v>
      </c>
      <c r="B2021" s="14" t="s">
        <v>1551</v>
      </c>
      <c r="C2021" s="12" t="s">
        <v>2133</v>
      </c>
      <c r="D2021" s="61"/>
      <c r="E2021" s="41" t="str">
        <f t="shared" si="74"/>
        <v>Еще фото</v>
      </c>
      <c r="F2021" s="29" t="s">
        <v>103</v>
      </c>
      <c r="G2021" s="14" t="s">
        <v>1184</v>
      </c>
      <c r="H2021" s="14" t="s">
        <v>741</v>
      </c>
      <c r="I2021" s="14" t="s">
        <v>1185</v>
      </c>
      <c r="J2021" s="14" t="s">
        <v>29</v>
      </c>
      <c r="K2021" s="14" t="s">
        <v>30</v>
      </c>
      <c r="L2021" s="58"/>
      <c r="M2021" s="14"/>
      <c r="N2021" s="14" t="s">
        <v>62</v>
      </c>
      <c r="O2021" s="14"/>
      <c r="P2021" s="14" t="s">
        <v>1457</v>
      </c>
      <c r="Q2021" s="30">
        <v>8599</v>
      </c>
      <c r="R2021" s="31">
        <v>40</v>
      </c>
      <c r="S2021" s="32">
        <v>5933.3099999999995</v>
      </c>
      <c r="T2021" s="19" t="s">
        <v>36</v>
      </c>
      <c r="U2021" s="20" t="s">
        <v>1337</v>
      </c>
      <c r="V2021" s="22">
        <v>45</v>
      </c>
      <c r="W2021" s="22">
        <v>4</v>
      </c>
      <c r="X2021" s="23"/>
    </row>
    <row r="2022" spans="1:24" s="1" customFormat="1" ht="13.05" customHeight="1" x14ac:dyDescent="0.3">
      <c r="A2022" s="11" t="s">
        <v>23</v>
      </c>
      <c r="B2022" s="11" t="s">
        <v>1551</v>
      </c>
      <c r="C2022" s="12" t="s">
        <v>2134</v>
      </c>
      <c r="D2022" s="59"/>
      <c r="E2022" s="41" t="str">
        <f t="shared" ref="E2022:E2029" si="75">HYPERLINK("https://www.google.ru/search?q=3026727-100&amp;newwindow=1&amp;tbm=isch","Еще фото")</f>
        <v>Еще фото</v>
      </c>
      <c r="F2022" s="13" t="s">
        <v>103</v>
      </c>
      <c r="G2022" s="11" t="s">
        <v>1184</v>
      </c>
      <c r="H2022" s="11" t="s">
        <v>741</v>
      </c>
      <c r="I2022" s="14" t="s">
        <v>1185</v>
      </c>
      <c r="J2022" s="14" t="s">
        <v>29</v>
      </c>
      <c r="K2022" s="15" t="s">
        <v>30</v>
      </c>
      <c r="L2022" s="57" t="s">
        <v>1553</v>
      </c>
      <c r="M2022" s="14" t="s">
        <v>1274</v>
      </c>
      <c r="N2022" s="14" t="s">
        <v>84</v>
      </c>
      <c r="O2022" s="14"/>
      <c r="P2022" s="15" t="s">
        <v>1457</v>
      </c>
      <c r="Q2022" s="16">
        <v>8599</v>
      </c>
      <c r="R2022" s="17">
        <v>40</v>
      </c>
      <c r="S2022" s="18">
        <v>5933.3099999999995</v>
      </c>
      <c r="T2022" s="19" t="s">
        <v>36</v>
      </c>
      <c r="U2022" s="33" t="s">
        <v>747</v>
      </c>
      <c r="V2022" s="34">
        <v>39.5</v>
      </c>
      <c r="W2022" s="22">
        <v>4</v>
      </c>
      <c r="X2022" s="23"/>
    </row>
    <row r="2023" spans="1:24" s="1" customFormat="1" ht="13.05" customHeight="1" x14ac:dyDescent="0.3">
      <c r="A2023" s="24" t="s">
        <v>23</v>
      </c>
      <c r="B2023" s="24" t="s">
        <v>1551</v>
      </c>
      <c r="C2023" s="12" t="s">
        <v>2134</v>
      </c>
      <c r="D2023" s="60"/>
      <c r="E2023" s="41" t="str">
        <f t="shared" si="75"/>
        <v>Еще фото</v>
      </c>
      <c r="F2023" s="13" t="s">
        <v>103</v>
      </c>
      <c r="G2023" s="24" t="s">
        <v>1184</v>
      </c>
      <c r="H2023" s="24" t="s">
        <v>741</v>
      </c>
      <c r="I2023" s="24" t="s">
        <v>1185</v>
      </c>
      <c r="J2023" s="14" t="s">
        <v>29</v>
      </c>
      <c r="K2023" s="15" t="s">
        <v>30</v>
      </c>
      <c r="L2023" s="62"/>
      <c r="M2023" s="14" t="s">
        <v>1274</v>
      </c>
      <c r="N2023" s="14" t="s">
        <v>84</v>
      </c>
      <c r="O2023" s="14"/>
      <c r="P2023" s="15" t="s">
        <v>1457</v>
      </c>
      <c r="Q2023" s="16">
        <v>8599</v>
      </c>
      <c r="R2023" s="17">
        <v>40</v>
      </c>
      <c r="S2023" s="18">
        <v>5933.3099999999995</v>
      </c>
      <c r="T2023" s="19" t="s">
        <v>36</v>
      </c>
      <c r="U2023" s="20" t="s">
        <v>749</v>
      </c>
      <c r="V2023" s="22">
        <v>41</v>
      </c>
      <c r="W2023" s="22">
        <v>8</v>
      </c>
      <c r="X2023" s="23"/>
    </row>
    <row r="2024" spans="1:24" s="1" customFormat="1" ht="13.05" customHeight="1" x14ac:dyDescent="0.3">
      <c r="A2024" s="24" t="s">
        <v>23</v>
      </c>
      <c r="B2024" s="24" t="s">
        <v>1551</v>
      </c>
      <c r="C2024" s="12" t="s">
        <v>2134</v>
      </c>
      <c r="D2024" s="60"/>
      <c r="E2024" s="41" t="str">
        <f t="shared" si="75"/>
        <v>Еще фото</v>
      </c>
      <c r="F2024" s="13" t="s">
        <v>103</v>
      </c>
      <c r="G2024" s="24" t="s">
        <v>1184</v>
      </c>
      <c r="H2024" s="24" t="s">
        <v>741</v>
      </c>
      <c r="I2024" s="24" t="s">
        <v>1185</v>
      </c>
      <c r="J2024" s="14" t="s">
        <v>29</v>
      </c>
      <c r="K2024" s="15" t="s">
        <v>30</v>
      </c>
      <c r="L2024" s="62"/>
      <c r="M2024" s="14" t="s">
        <v>1274</v>
      </c>
      <c r="N2024" s="14" t="s">
        <v>84</v>
      </c>
      <c r="O2024" s="14"/>
      <c r="P2024" s="15" t="s">
        <v>1457</v>
      </c>
      <c r="Q2024" s="16">
        <v>8599</v>
      </c>
      <c r="R2024" s="17">
        <v>40</v>
      </c>
      <c r="S2024" s="18">
        <v>5933.3099999999995</v>
      </c>
      <c r="T2024" s="19" t="s">
        <v>36</v>
      </c>
      <c r="U2024" s="20" t="s">
        <v>750</v>
      </c>
      <c r="V2024" s="34">
        <v>41.5</v>
      </c>
      <c r="W2024" s="22">
        <v>8</v>
      </c>
      <c r="X2024" s="23"/>
    </row>
    <row r="2025" spans="1:24" s="1" customFormat="1" ht="13.05" customHeight="1" x14ac:dyDescent="0.3">
      <c r="A2025" s="24" t="s">
        <v>23</v>
      </c>
      <c r="B2025" s="24" t="s">
        <v>1551</v>
      </c>
      <c r="C2025" s="12" t="s">
        <v>2134</v>
      </c>
      <c r="D2025" s="60"/>
      <c r="E2025" s="41" t="str">
        <f t="shared" si="75"/>
        <v>Еще фото</v>
      </c>
      <c r="F2025" s="13" t="s">
        <v>103</v>
      </c>
      <c r="G2025" s="24" t="s">
        <v>1184</v>
      </c>
      <c r="H2025" s="24" t="s">
        <v>741</v>
      </c>
      <c r="I2025" s="24" t="s">
        <v>1185</v>
      </c>
      <c r="J2025" s="14" t="s">
        <v>29</v>
      </c>
      <c r="K2025" s="15" t="s">
        <v>30</v>
      </c>
      <c r="L2025" s="62"/>
      <c r="M2025" s="14" t="s">
        <v>1274</v>
      </c>
      <c r="N2025" s="14" t="s">
        <v>84</v>
      </c>
      <c r="O2025" s="14"/>
      <c r="P2025" s="15" t="s">
        <v>1457</v>
      </c>
      <c r="Q2025" s="16">
        <v>8599</v>
      </c>
      <c r="R2025" s="17">
        <v>40</v>
      </c>
      <c r="S2025" s="18">
        <v>5933.3099999999995</v>
      </c>
      <c r="T2025" s="19" t="s">
        <v>36</v>
      </c>
      <c r="U2025" s="20" t="s">
        <v>752</v>
      </c>
      <c r="V2025" s="22">
        <v>43</v>
      </c>
      <c r="W2025" s="22">
        <v>8</v>
      </c>
      <c r="X2025" s="23"/>
    </row>
    <row r="2026" spans="1:24" s="1" customFormat="1" ht="13.05" customHeight="1" x14ac:dyDescent="0.3">
      <c r="A2026" s="24" t="s">
        <v>23</v>
      </c>
      <c r="B2026" s="24" t="s">
        <v>1551</v>
      </c>
      <c r="C2026" s="12" t="s">
        <v>2134</v>
      </c>
      <c r="D2026" s="60"/>
      <c r="E2026" s="41" t="str">
        <f t="shared" si="75"/>
        <v>Еще фото</v>
      </c>
      <c r="F2026" s="13" t="s">
        <v>103</v>
      </c>
      <c r="G2026" s="24" t="s">
        <v>1184</v>
      </c>
      <c r="H2026" s="24" t="s">
        <v>741</v>
      </c>
      <c r="I2026" s="24" t="s">
        <v>1185</v>
      </c>
      <c r="J2026" s="14" t="s">
        <v>29</v>
      </c>
      <c r="K2026" s="15" t="s">
        <v>30</v>
      </c>
      <c r="L2026" s="62"/>
      <c r="M2026" s="14" t="s">
        <v>1274</v>
      </c>
      <c r="N2026" s="14" t="s">
        <v>84</v>
      </c>
      <c r="O2026" s="14"/>
      <c r="P2026" s="15" t="s">
        <v>1457</v>
      </c>
      <c r="Q2026" s="16">
        <v>8599</v>
      </c>
      <c r="R2026" s="17">
        <v>40</v>
      </c>
      <c r="S2026" s="18">
        <v>5933.3099999999995</v>
      </c>
      <c r="T2026" s="19" t="s">
        <v>36</v>
      </c>
      <c r="U2026" s="20" t="s">
        <v>753</v>
      </c>
      <c r="V2026" s="34">
        <v>43.5</v>
      </c>
      <c r="W2026" s="22">
        <v>3</v>
      </c>
      <c r="X2026" s="23"/>
    </row>
    <row r="2027" spans="1:24" s="1" customFormat="1" ht="13.05" customHeight="1" x14ac:dyDescent="0.3">
      <c r="A2027" s="24" t="s">
        <v>23</v>
      </c>
      <c r="B2027" s="24" t="s">
        <v>1551</v>
      </c>
      <c r="C2027" s="12" t="s">
        <v>2134</v>
      </c>
      <c r="D2027" s="60"/>
      <c r="E2027" s="41" t="str">
        <f t="shared" si="75"/>
        <v>Еще фото</v>
      </c>
      <c r="F2027" s="13" t="s">
        <v>103</v>
      </c>
      <c r="G2027" s="24" t="s">
        <v>1184</v>
      </c>
      <c r="H2027" s="24" t="s">
        <v>741</v>
      </c>
      <c r="I2027" s="24" t="s">
        <v>1185</v>
      </c>
      <c r="J2027" s="14" t="s">
        <v>29</v>
      </c>
      <c r="K2027" s="15" t="s">
        <v>30</v>
      </c>
      <c r="L2027" s="62"/>
      <c r="M2027" s="14" t="s">
        <v>1274</v>
      </c>
      <c r="N2027" s="14" t="s">
        <v>84</v>
      </c>
      <c r="O2027" s="14"/>
      <c r="P2027" s="15" t="s">
        <v>1457</v>
      </c>
      <c r="Q2027" s="16">
        <v>8599</v>
      </c>
      <c r="R2027" s="17">
        <v>40</v>
      </c>
      <c r="S2027" s="18">
        <v>5933.3099999999995</v>
      </c>
      <c r="T2027" s="19" t="s">
        <v>36</v>
      </c>
      <c r="U2027" s="20" t="s">
        <v>754</v>
      </c>
      <c r="V2027" s="22">
        <v>44</v>
      </c>
      <c r="W2027" s="22">
        <v>1</v>
      </c>
      <c r="X2027" s="23"/>
    </row>
    <row r="2028" spans="1:24" s="1" customFormat="1" ht="13.05" customHeight="1" x14ac:dyDescent="0.3">
      <c r="A2028" s="24" t="s">
        <v>23</v>
      </c>
      <c r="B2028" s="24" t="s">
        <v>1551</v>
      </c>
      <c r="C2028" s="12" t="s">
        <v>2134</v>
      </c>
      <c r="D2028" s="60"/>
      <c r="E2028" s="41" t="str">
        <f t="shared" si="75"/>
        <v>Еще фото</v>
      </c>
      <c r="F2028" s="13" t="s">
        <v>103</v>
      </c>
      <c r="G2028" s="24" t="s">
        <v>1184</v>
      </c>
      <c r="H2028" s="24" t="s">
        <v>741</v>
      </c>
      <c r="I2028" s="24" t="s">
        <v>1185</v>
      </c>
      <c r="J2028" s="14" t="s">
        <v>29</v>
      </c>
      <c r="K2028" s="15" t="s">
        <v>30</v>
      </c>
      <c r="L2028" s="62"/>
      <c r="M2028" s="14" t="s">
        <v>1274</v>
      </c>
      <c r="N2028" s="14" t="s">
        <v>84</v>
      </c>
      <c r="O2028" s="14"/>
      <c r="P2028" s="15" t="s">
        <v>1457</v>
      </c>
      <c r="Q2028" s="16">
        <v>8599</v>
      </c>
      <c r="R2028" s="17">
        <v>40</v>
      </c>
      <c r="S2028" s="18">
        <v>5933.3099999999995</v>
      </c>
      <c r="T2028" s="19" t="s">
        <v>36</v>
      </c>
      <c r="U2028" s="20" t="s">
        <v>755</v>
      </c>
      <c r="V2028" s="34">
        <v>44.5</v>
      </c>
      <c r="W2028" s="22">
        <v>2</v>
      </c>
      <c r="X2028" s="23"/>
    </row>
    <row r="2029" spans="1:24" s="1" customFormat="1" ht="18" customHeight="1" x14ac:dyDescent="0.3">
      <c r="A2029" s="24" t="s">
        <v>23</v>
      </c>
      <c r="B2029" s="24" t="s">
        <v>1551</v>
      </c>
      <c r="C2029" s="12" t="s">
        <v>2134</v>
      </c>
      <c r="D2029" s="61"/>
      <c r="E2029" s="41" t="str">
        <f t="shared" si="75"/>
        <v>Еще фото</v>
      </c>
      <c r="F2029" s="13" t="s">
        <v>103</v>
      </c>
      <c r="G2029" s="24" t="s">
        <v>1184</v>
      </c>
      <c r="H2029" s="24" t="s">
        <v>741</v>
      </c>
      <c r="I2029" s="24" t="s">
        <v>1185</v>
      </c>
      <c r="J2029" s="14" t="s">
        <v>29</v>
      </c>
      <c r="K2029" s="15" t="s">
        <v>30</v>
      </c>
      <c r="L2029" s="58"/>
      <c r="M2029" s="14" t="s">
        <v>1274</v>
      </c>
      <c r="N2029" s="14" t="s">
        <v>84</v>
      </c>
      <c r="O2029" s="14"/>
      <c r="P2029" s="15" t="s">
        <v>1457</v>
      </c>
      <c r="Q2029" s="16">
        <v>8599</v>
      </c>
      <c r="R2029" s="17">
        <v>40</v>
      </c>
      <c r="S2029" s="18">
        <v>5933.3099999999995</v>
      </c>
      <c r="T2029" s="19" t="s">
        <v>36</v>
      </c>
      <c r="U2029" s="20" t="s">
        <v>1907</v>
      </c>
      <c r="V2029" s="22">
        <v>46</v>
      </c>
      <c r="W2029" s="22">
        <v>1</v>
      </c>
      <c r="X2029" s="23"/>
    </row>
    <row r="2030" spans="1:24" s="1" customFormat="1" ht="26" customHeight="1" x14ac:dyDescent="0.3">
      <c r="A2030" s="11" t="s">
        <v>23</v>
      </c>
      <c r="B2030" s="11" t="s">
        <v>1551</v>
      </c>
      <c r="C2030" s="12" t="s">
        <v>2135</v>
      </c>
      <c r="D2030" s="59"/>
      <c r="E2030" s="41" t="str">
        <f>HYPERLINK("https://www.google.ru/search?q=3026727-300&amp;newwindow=1&amp;tbm=isch","Еще фото")</f>
        <v>Еще фото</v>
      </c>
      <c r="F2030" s="13" t="s">
        <v>103</v>
      </c>
      <c r="G2030" s="11" t="s">
        <v>1184</v>
      </c>
      <c r="H2030" s="11" t="s">
        <v>741</v>
      </c>
      <c r="I2030" s="14" t="s">
        <v>1185</v>
      </c>
      <c r="J2030" s="14" t="s">
        <v>29</v>
      </c>
      <c r="K2030" s="15" t="s">
        <v>30</v>
      </c>
      <c r="L2030" s="57" t="s">
        <v>2131</v>
      </c>
      <c r="M2030" s="14"/>
      <c r="N2030" s="14" t="s">
        <v>127</v>
      </c>
      <c r="O2030" s="14"/>
      <c r="P2030" s="15" t="s">
        <v>1457</v>
      </c>
      <c r="Q2030" s="16">
        <v>8599</v>
      </c>
      <c r="R2030" s="17">
        <v>40</v>
      </c>
      <c r="S2030" s="18">
        <v>5933.3099999999995</v>
      </c>
      <c r="T2030" s="19" t="s">
        <v>36</v>
      </c>
      <c r="U2030" s="20" t="s">
        <v>748</v>
      </c>
      <c r="V2030" s="22">
        <v>40</v>
      </c>
      <c r="W2030" s="22">
        <v>1</v>
      </c>
      <c r="X2030" s="23"/>
    </row>
    <row r="2031" spans="1:24" s="1" customFormat="1" ht="26" customHeight="1" x14ac:dyDescent="0.3">
      <c r="A2031" s="24" t="s">
        <v>23</v>
      </c>
      <c r="B2031" s="24" t="s">
        <v>1551</v>
      </c>
      <c r="C2031" s="12" t="s">
        <v>2135</v>
      </c>
      <c r="D2031" s="60"/>
      <c r="E2031" s="41" t="str">
        <f>HYPERLINK("https://www.google.ru/search?q=3026727-300&amp;newwindow=1&amp;tbm=isch","Еще фото")</f>
        <v>Еще фото</v>
      </c>
      <c r="F2031" s="13" t="s">
        <v>103</v>
      </c>
      <c r="G2031" s="24" t="s">
        <v>1184</v>
      </c>
      <c r="H2031" s="24" t="s">
        <v>741</v>
      </c>
      <c r="I2031" s="24" t="s">
        <v>1185</v>
      </c>
      <c r="J2031" s="14" t="s">
        <v>29</v>
      </c>
      <c r="K2031" s="15" t="s">
        <v>30</v>
      </c>
      <c r="L2031" s="62"/>
      <c r="M2031" s="14"/>
      <c r="N2031" s="14" t="s">
        <v>127</v>
      </c>
      <c r="O2031" s="14"/>
      <c r="P2031" s="15" t="s">
        <v>1457</v>
      </c>
      <c r="Q2031" s="16">
        <v>8599</v>
      </c>
      <c r="R2031" s="17">
        <v>40</v>
      </c>
      <c r="S2031" s="18">
        <v>5933.3099999999995</v>
      </c>
      <c r="T2031" s="19" t="s">
        <v>36</v>
      </c>
      <c r="U2031" s="20" t="s">
        <v>750</v>
      </c>
      <c r="V2031" s="34">
        <v>41.5</v>
      </c>
      <c r="W2031" s="22">
        <v>1</v>
      </c>
      <c r="X2031" s="23"/>
    </row>
    <row r="2032" spans="1:24" s="1" customFormat="1" ht="26" customHeight="1" x14ac:dyDescent="0.3">
      <c r="A2032" s="24" t="s">
        <v>23</v>
      </c>
      <c r="B2032" s="24" t="s">
        <v>1551</v>
      </c>
      <c r="C2032" s="12" t="s">
        <v>2135</v>
      </c>
      <c r="D2032" s="60"/>
      <c r="E2032" s="41" t="str">
        <f>HYPERLINK("https://www.google.ru/search?q=3026727-300&amp;newwindow=1&amp;tbm=isch","Еще фото")</f>
        <v>Еще фото</v>
      </c>
      <c r="F2032" s="13" t="s">
        <v>103</v>
      </c>
      <c r="G2032" s="24" t="s">
        <v>1184</v>
      </c>
      <c r="H2032" s="24" t="s">
        <v>741</v>
      </c>
      <c r="I2032" s="24" t="s">
        <v>1185</v>
      </c>
      <c r="J2032" s="14" t="s">
        <v>29</v>
      </c>
      <c r="K2032" s="15" t="s">
        <v>30</v>
      </c>
      <c r="L2032" s="62"/>
      <c r="M2032" s="14"/>
      <c r="N2032" s="14" t="s">
        <v>127</v>
      </c>
      <c r="O2032" s="14"/>
      <c r="P2032" s="15" t="s">
        <v>1457</v>
      </c>
      <c r="Q2032" s="16">
        <v>8599</v>
      </c>
      <c r="R2032" s="17">
        <v>40</v>
      </c>
      <c r="S2032" s="18">
        <v>5933.3099999999995</v>
      </c>
      <c r="T2032" s="19" t="s">
        <v>36</v>
      </c>
      <c r="U2032" s="20" t="s">
        <v>752</v>
      </c>
      <c r="V2032" s="22">
        <v>43</v>
      </c>
      <c r="W2032" s="22">
        <v>2</v>
      </c>
      <c r="X2032" s="23"/>
    </row>
    <row r="2033" spans="1:24" s="1" customFormat="1" ht="26" customHeight="1" x14ac:dyDescent="0.3">
      <c r="A2033" s="24" t="s">
        <v>23</v>
      </c>
      <c r="B2033" s="24" t="s">
        <v>1551</v>
      </c>
      <c r="C2033" s="12" t="s">
        <v>2135</v>
      </c>
      <c r="D2033" s="61"/>
      <c r="E2033" s="41" t="str">
        <f>HYPERLINK("https://www.google.ru/search?q=3026727-300&amp;newwindow=1&amp;tbm=isch","Еще фото")</f>
        <v>Еще фото</v>
      </c>
      <c r="F2033" s="13" t="s">
        <v>103</v>
      </c>
      <c r="G2033" s="24" t="s">
        <v>1184</v>
      </c>
      <c r="H2033" s="24" t="s">
        <v>741</v>
      </c>
      <c r="I2033" s="24" t="s">
        <v>1185</v>
      </c>
      <c r="J2033" s="14" t="s">
        <v>29</v>
      </c>
      <c r="K2033" s="15" t="s">
        <v>30</v>
      </c>
      <c r="L2033" s="58"/>
      <c r="M2033" s="14"/>
      <c r="N2033" s="14" t="s">
        <v>127</v>
      </c>
      <c r="O2033" s="14"/>
      <c r="P2033" s="15" t="s">
        <v>1457</v>
      </c>
      <c r="Q2033" s="16">
        <v>8599</v>
      </c>
      <c r="R2033" s="17">
        <v>40</v>
      </c>
      <c r="S2033" s="18">
        <v>5933.3099999999995</v>
      </c>
      <c r="T2033" s="19" t="s">
        <v>36</v>
      </c>
      <c r="U2033" s="20" t="s">
        <v>753</v>
      </c>
      <c r="V2033" s="34">
        <v>43.5</v>
      </c>
      <c r="W2033" s="22">
        <v>1</v>
      </c>
      <c r="X2033" s="23"/>
    </row>
    <row r="2034" spans="1:24" s="1" customFormat="1" ht="108" customHeight="1" x14ac:dyDescent="0.3">
      <c r="A2034" s="11" t="s">
        <v>23</v>
      </c>
      <c r="B2034" s="11" t="s">
        <v>1551</v>
      </c>
      <c r="C2034" s="12" t="s">
        <v>2136</v>
      </c>
      <c r="D2034" s="25"/>
      <c r="E2034" s="41" t="str">
        <f>HYPERLINK("https://www.google.ru/search?q=3026727-401&amp;newwindow=1&amp;tbm=isch","Еще фото")</f>
        <v>Еще фото</v>
      </c>
      <c r="F2034" s="13"/>
      <c r="G2034" s="11" t="s">
        <v>1184</v>
      </c>
      <c r="H2034" s="11" t="s">
        <v>741</v>
      </c>
      <c r="I2034" s="14" t="s">
        <v>1185</v>
      </c>
      <c r="J2034" s="14" t="s">
        <v>29</v>
      </c>
      <c r="K2034" s="15" t="s">
        <v>30</v>
      </c>
      <c r="L2034" s="14" t="s">
        <v>2131</v>
      </c>
      <c r="M2034" s="14"/>
      <c r="N2034" s="14" t="s">
        <v>115</v>
      </c>
      <c r="O2034" s="14"/>
      <c r="P2034" s="15" t="s">
        <v>1554</v>
      </c>
      <c r="Q2034" s="16">
        <v>8799</v>
      </c>
      <c r="R2034" s="17">
        <v>40</v>
      </c>
      <c r="S2034" s="18">
        <v>6071.3099999999995</v>
      </c>
      <c r="T2034" s="19" t="s">
        <v>36</v>
      </c>
      <c r="U2034" s="20" t="s">
        <v>750</v>
      </c>
      <c r="V2034" s="34">
        <v>41.5</v>
      </c>
      <c r="W2034" s="22">
        <v>2</v>
      </c>
      <c r="X2034" s="23"/>
    </row>
    <row r="2035" spans="1:24" s="1" customFormat="1" ht="21" customHeight="1" x14ac:dyDescent="0.3">
      <c r="A2035" s="11" t="s">
        <v>23</v>
      </c>
      <c r="B2035" s="11" t="s">
        <v>1551</v>
      </c>
      <c r="C2035" s="26" t="s">
        <v>2137</v>
      </c>
      <c r="D2035" s="59"/>
      <c r="E2035" s="41" t="str">
        <f>HYPERLINK("https://www.google.ru/search?q=3026727-403&amp;newwindow=1&amp;tbm=isch","Еще фото")</f>
        <v>Еще фото</v>
      </c>
      <c r="F2035" s="13"/>
      <c r="G2035" s="11" t="s">
        <v>1184</v>
      </c>
      <c r="H2035" s="11" t="s">
        <v>741</v>
      </c>
      <c r="I2035" s="14" t="s">
        <v>1185</v>
      </c>
      <c r="J2035" s="14" t="s">
        <v>29</v>
      </c>
      <c r="K2035" s="15" t="s">
        <v>30</v>
      </c>
      <c r="L2035" s="57" t="s">
        <v>1553</v>
      </c>
      <c r="M2035" s="14"/>
      <c r="N2035" s="14" t="s">
        <v>115</v>
      </c>
      <c r="O2035" s="14"/>
      <c r="P2035" s="15" t="s">
        <v>2011</v>
      </c>
      <c r="Q2035" s="16">
        <v>9499</v>
      </c>
      <c r="R2035" s="17">
        <v>40</v>
      </c>
      <c r="S2035" s="18">
        <v>6554.3099999999995</v>
      </c>
      <c r="T2035" s="19" t="s">
        <v>36</v>
      </c>
      <c r="U2035" s="20" t="s">
        <v>748</v>
      </c>
      <c r="V2035" s="22">
        <v>40</v>
      </c>
      <c r="W2035" s="22">
        <v>2</v>
      </c>
      <c r="X2035" s="23"/>
    </row>
    <row r="2036" spans="1:24" s="1" customFormat="1" ht="21" customHeight="1" x14ac:dyDescent="0.3">
      <c r="A2036" s="24" t="s">
        <v>23</v>
      </c>
      <c r="B2036" s="24" t="s">
        <v>1551</v>
      </c>
      <c r="C2036" s="27" t="s">
        <v>2137</v>
      </c>
      <c r="D2036" s="60"/>
      <c r="E2036" s="41" t="str">
        <f>HYPERLINK("https://www.google.ru/search?q=3026727-403&amp;newwindow=1&amp;tbm=isch","Еще фото")</f>
        <v>Еще фото</v>
      </c>
      <c r="F2036" s="13"/>
      <c r="G2036" s="24" t="s">
        <v>1184</v>
      </c>
      <c r="H2036" s="24" t="s">
        <v>741</v>
      </c>
      <c r="I2036" s="24" t="s">
        <v>1185</v>
      </c>
      <c r="J2036" s="14" t="s">
        <v>29</v>
      </c>
      <c r="K2036" s="15" t="s">
        <v>30</v>
      </c>
      <c r="L2036" s="62"/>
      <c r="M2036" s="14"/>
      <c r="N2036" s="14" t="s">
        <v>115</v>
      </c>
      <c r="O2036" s="14"/>
      <c r="P2036" s="15" t="s">
        <v>2011</v>
      </c>
      <c r="Q2036" s="16">
        <v>9499</v>
      </c>
      <c r="R2036" s="17">
        <v>40</v>
      </c>
      <c r="S2036" s="18">
        <v>6554.3099999999995</v>
      </c>
      <c r="T2036" s="19" t="s">
        <v>36</v>
      </c>
      <c r="U2036" s="20" t="s">
        <v>751</v>
      </c>
      <c r="V2036" s="22">
        <v>42</v>
      </c>
      <c r="W2036" s="22">
        <v>1</v>
      </c>
      <c r="X2036" s="23"/>
    </row>
    <row r="2037" spans="1:24" s="1" customFormat="1" ht="21" customHeight="1" x14ac:dyDescent="0.3">
      <c r="A2037" s="24" t="s">
        <v>23</v>
      </c>
      <c r="B2037" s="24" t="s">
        <v>1551</v>
      </c>
      <c r="C2037" s="27" t="s">
        <v>2137</v>
      </c>
      <c r="D2037" s="60"/>
      <c r="E2037" s="41" t="str">
        <f>HYPERLINK("https://www.google.ru/search?q=3026727-403&amp;newwindow=1&amp;tbm=isch","Еще фото")</f>
        <v>Еще фото</v>
      </c>
      <c r="F2037" s="13"/>
      <c r="G2037" s="24" t="s">
        <v>1184</v>
      </c>
      <c r="H2037" s="24" t="s">
        <v>741</v>
      </c>
      <c r="I2037" s="24" t="s">
        <v>1185</v>
      </c>
      <c r="J2037" s="14" t="s">
        <v>29</v>
      </c>
      <c r="K2037" s="15" t="s">
        <v>30</v>
      </c>
      <c r="L2037" s="62"/>
      <c r="M2037" s="14"/>
      <c r="N2037" s="14" t="s">
        <v>115</v>
      </c>
      <c r="O2037" s="14"/>
      <c r="P2037" s="15" t="s">
        <v>2011</v>
      </c>
      <c r="Q2037" s="16">
        <v>9499</v>
      </c>
      <c r="R2037" s="17">
        <v>40</v>
      </c>
      <c r="S2037" s="18">
        <v>6554.3099999999995</v>
      </c>
      <c r="T2037" s="19" t="s">
        <v>36</v>
      </c>
      <c r="U2037" s="20" t="s">
        <v>752</v>
      </c>
      <c r="V2037" s="22">
        <v>43</v>
      </c>
      <c r="W2037" s="22">
        <v>2</v>
      </c>
      <c r="X2037" s="23"/>
    </row>
    <row r="2038" spans="1:24" s="1" customFormat="1" ht="21" customHeight="1" x14ac:dyDescent="0.3">
      <c r="A2038" s="24" t="s">
        <v>23</v>
      </c>
      <c r="B2038" s="24" t="s">
        <v>1551</v>
      </c>
      <c r="C2038" s="27" t="s">
        <v>2137</v>
      </c>
      <c r="D2038" s="60"/>
      <c r="E2038" s="41" t="str">
        <f>HYPERLINK("https://www.google.ru/search?q=3026727-403&amp;newwindow=1&amp;tbm=isch","Еще фото")</f>
        <v>Еще фото</v>
      </c>
      <c r="F2038" s="13"/>
      <c r="G2038" s="24" t="s">
        <v>1184</v>
      </c>
      <c r="H2038" s="24" t="s">
        <v>741</v>
      </c>
      <c r="I2038" s="24" t="s">
        <v>1185</v>
      </c>
      <c r="J2038" s="14" t="s">
        <v>29</v>
      </c>
      <c r="K2038" s="15" t="s">
        <v>30</v>
      </c>
      <c r="L2038" s="62"/>
      <c r="M2038" s="14"/>
      <c r="N2038" s="14" t="s">
        <v>115</v>
      </c>
      <c r="O2038" s="14"/>
      <c r="P2038" s="15" t="s">
        <v>2011</v>
      </c>
      <c r="Q2038" s="16">
        <v>9499</v>
      </c>
      <c r="R2038" s="17">
        <v>40</v>
      </c>
      <c r="S2038" s="18">
        <v>6554.3099999999995</v>
      </c>
      <c r="T2038" s="19" t="s">
        <v>36</v>
      </c>
      <c r="U2038" s="20" t="s">
        <v>753</v>
      </c>
      <c r="V2038" s="34">
        <v>43.5</v>
      </c>
      <c r="W2038" s="22">
        <v>2</v>
      </c>
      <c r="X2038" s="23"/>
    </row>
    <row r="2039" spans="1:24" s="1" customFormat="1" ht="32" customHeight="1" x14ac:dyDescent="0.3">
      <c r="A2039" s="24" t="s">
        <v>23</v>
      </c>
      <c r="B2039" s="24" t="s">
        <v>1551</v>
      </c>
      <c r="C2039" s="27" t="s">
        <v>2137</v>
      </c>
      <c r="D2039" s="61"/>
      <c r="E2039" s="41" t="str">
        <f>HYPERLINK("https://www.google.ru/search?q=3026727-403&amp;newwindow=1&amp;tbm=isch","Еще фото")</f>
        <v>Еще фото</v>
      </c>
      <c r="F2039" s="13"/>
      <c r="G2039" s="24" t="s">
        <v>1184</v>
      </c>
      <c r="H2039" s="24" t="s">
        <v>741</v>
      </c>
      <c r="I2039" s="24" t="s">
        <v>1185</v>
      </c>
      <c r="J2039" s="14" t="s">
        <v>29</v>
      </c>
      <c r="K2039" s="15" t="s">
        <v>30</v>
      </c>
      <c r="L2039" s="58"/>
      <c r="M2039" s="14"/>
      <c r="N2039" s="14" t="s">
        <v>115</v>
      </c>
      <c r="O2039" s="14"/>
      <c r="P2039" s="15" t="s">
        <v>2011</v>
      </c>
      <c r="Q2039" s="16">
        <v>9499</v>
      </c>
      <c r="R2039" s="17">
        <v>40</v>
      </c>
      <c r="S2039" s="18">
        <v>6554.3099999999995</v>
      </c>
      <c r="T2039" s="19" t="s">
        <v>36</v>
      </c>
      <c r="U2039" s="20" t="s">
        <v>754</v>
      </c>
      <c r="V2039" s="22">
        <v>44</v>
      </c>
      <c r="W2039" s="22">
        <v>1</v>
      </c>
      <c r="X2039" s="23"/>
    </row>
    <row r="2040" spans="1:24" s="1" customFormat="1" ht="108" customHeight="1" x14ac:dyDescent="0.3">
      <c r="A2040" s="11" t="s">
        <v>23</v>
      </c>
      <c r="B2040" s="11" t="s">
        <v>2138</v>
      </c>
      <c r="C2040" s="12" t="s">
        <v>2139</v>
      </c>
      <c r="D2040" s="25"/>
      <c r="E2040" s="41" t="str">
        <f>HYPERLINK("https://www.google.ru/search?q=3026729-001&amp;newwindow=1&amp;tbm=isch","Еще фото")</f>
        <v>Еще фото</v>
      </c>
      <c r="F2040" s="13"/>
      <c r="G2040" s="11" t="s">
        <v>1184</v>
      </c>
      <c r="H2040" s="11" t="s">
        <v>741</v>
      </c>
      <c r="I2040" s="14" t="s">
        <v>1185</v>
      </c>
      <c r="J2040" s="14" t="s">
        <v>29</v>
      </c>
      <c r="K2040" s="15" t="s">
        <v>30</v>
      </c>
      <c r="L2040" s="14" t="s">
        <v>1812</v>
      </c>
      <c r="M2040" s="14" t="s">
        <v>1211</v>
      </c>
      <c r="N2040" s="14" t="s">
        <v>33</v>
      </c>
      <c r="O2040" s="14"/>
      <c r="P2040" s="15" t="s">
        <v>2140</v>
      </c>
      <c r="Q2040" s="16">
        <v>24999</v>
      </c>
      <c r="R2040" s="17">
        <v>40</v>
      </c>
      <c r="S2040" s="18">
        <v>17249.309999999998</v>
      </c>
      <c r="T2040" s="19" t="s">
        <v>36</v>
      </c>
      <c r="U2040" s="20" t="s">
        <v>748</v>
      </c>
      <c r="V2040" s="22">
        <v>40</v>
      </c>
      <c r="W2040" s="22">
        <v>1</v>
      </c>
      <c r="X2040" s="23"/>
    </row>
    <row r="2041" spans="1:24" s="1" customFormat="1" ht="21" customHeight="1" x14ac:dyDescent="0.3">
      <c r="A2041" s="11" t="s">
        <v>23</v>
      </c>
      <c r="B2041" s="11" t="s">
        <v>2138</v>
      </c>
      <c r="C2041" s="26" t="s">
        <v>2141</v>
      </c>
      <c r="D2041" s="59"/>
      <c r="E2041" s="41" t="str">
        <f>HYPERLINK("https://www.google.ru/search?q=3026729-003&amp;newwindow=1&amp;tbm=isch","Еще фото")</f>
        <v>Еще фото</v>
      </c>
      <c r="F2041" s="28" t="s">
        <v>138</v>
      </c>
      <c r="G2041" s="11" t="s">
        <v>1184</v>
      </c>
      <c r="H2041" s="11" t="s">
        <v>741</v>
      </c>
      <c r="I2041" s="14" t="s">
        <v>1185</v>
      </c>
      <c r="J2041" s="14" t="s">
        <v>29</v>
      </c>
      <c r="K2041" s="15" t="s">
        <v>30</v>
      </c>
      <c r="L2041" s="57" t="s">
        <v>1812</v>
      </c>
      <c r="M2041" s="14" t="s">
        <v>1211</v>
      </c>
      <c r="N2041" s="14" t="s">
        <v>1534</v>
      </c>
      <c r="O2041" s="14"/>
      <c r="P2041" s="15" t="s">
        <v>2140</v>
      </c>
      <c r="Q2041" s="16">
        <v>24899</v>
      </c>
      <c r="R2041" s="17">
        <v>40</v>
      </c>
      <c r="S2041" s="18">
        <v>17180.309999999998</v>
      </c>
      <c r="T2041" s="19" t="s">
        <v>36</v>
      </c>
      <c r="U2041" s="20" t="s">
        <v>746</v>
      </c>
      <c r="V2041" s="22">
        <v>39</v>
      </c>
      <c r="W2041" s="22">
        <v>1</v>
      </c>
      <c r="X2041" s="23"/>
    </row>
    <row r="2042" spans="1:24" s="1" customFormat="1" ht="21" customHeight="1" x14ac:dyDescent="0.3">
      <c r="A2042" s="24" t="s">
        <v>23</v>
      </c>
      <c r="B2042" s="24" t="s">
        <v>2138</v>
      </c>
      <c r="C2042" s="27" t="s">
        <v>2141</v>
      </c>
      <c r="D2042" s="60"/>
      <c r="E2042" s="41" t="str">
        <f>HYPERLINK("https://www.google.ru/search?q=3026729-003&amp;newwindow=1&amp;tbm=isch","Еще фото")</f>
        <v>Еще фото</v>
      </c>
      <c r="F2042" s="28" t="s">
        <v>138</v>
      </c>
      <c r="G2042" s="24" t="s">
        <v>1184</v>
      </c>
      <c r="H2042" s="24" t="s">
        <v>741</v>
      </c>
      <c r="I2042" s="24" t="s">
        <v>1185</v>
      </c>
      <c r="J2042" s="14" t="s">
        <v>29</v>
      </c>
      <c r="K2042" s="15" t="s">
        <v>30</v>
      </c>
      <c r="L2042" s="62"/>
      <c r="M2042" s="14" t="s">
        <v>1211</v>
      </c>
      <c r="N2042" s="14" t="s">
        <v>1534</v>
      </c>
      <c r="O2042" s="14"/>
      <c r="P2042" s="15" t="s">
        <v>2140</v>
      </c>
      <c r="Q2042" s="16">
        <v>24899</v>
      </c>
      <c r="R2042" s="17">
        <v>40</v>
      </c>
      <c r="S2042" s="18">
        <v>17180.309999999998</v>
      </c>
      <c r="T2042" s="19" t="s">
        <v>36</v>
      </c>
      <c r="U2042" s="20" t="s">
        <v>747</v>
      </c>
      <c r="V2042" s="34">
        <v>39.5</v>
      </c>
      <c r="W2042" s="22">
        <v>3</v>
      </c>
      <c r="X2042" s="23"/>
    </row>
    <row r="2043" spans="1:24" s="1" customFormat="1" ht="21" customHeight="1" x14ac:dyDescent="0.3">
      <c r="A2043" s="24" t="s">
        <v>23</v>
      </c>
      <c r="B2043" s="24" t="s">
        <v>2138</v>
      </c>
      <c r="C2043" s="27" t="s">
        <v>2141</v>
      </c>
      <c r="D2043" s="60"/>
      <c r="E2043" s="41" t="str">
        <f>HYPERLINK("https://www.google.ru/search?q=3026729-003&amp;newwindow=1&amp;tbm=isch","Еще фото")</f>
        <v>Еще фото</v>
      </c>
      <c r="F2043" s="28" t="s">
        <v>138</v>
      </c>
      <c r="G2043" s="24" t="s">
        <v>1184</v>
      </c>
      <c r="H2043" s="24" t="s">
        <v>741</v>
      </c>
      <c r="I2043" s="24" t="s">
        <v>1185</v>
      </c>
      <c r="J2043" s="14" t="s">
        <v>29</v>
      </c>
      <c r="K2043" s="15" t="s">
        <v>30</v>
      </c>
      <c r="L2043" s="62"/>
      <c r="M2043" s="14" t="s">
        <v>1211</v>
      </c>
      <c r="N2043" s="14" t="s">
        <v>1534</v>
      </c>
      <c r="O2043" s="14"/>
      <c r="P2043" s="15" t="s">
        <v>2140</v>
      </c>
      <c r="Q2043" s="16">
        <v>24899</v>
      </c>
      <c r="R2043" s="17">
        <v>40</v>
      </c>
      <c r="S2043" s="18">
        <v>17180.309999999998</v>
      </c>
      <c r="T2043" s="19" t="s">
        <v>36</v>
      </c>
      <c r="U2043" s="20" t="s">
        <v>748</v>
      </c>
      <c r="V2043" s="22">
        <v>40</v>
      </c>
      <c r="W2043" s="22">
        <v>2</v>
      </c>
      <c r="X2043" s="23"/>
    </row>
    <row r="2044" spans="1:24" s="1" customFormat="1" ht="21" customHeight="1" x14ac:dyDescent="0.3">
      <c r="A2044" s="24" t="s">
        <v>23</v>
      </c>
      <c r="B2044" s="24" t="s">
        <v>2138</v>
      </c>
      <c r="C2044" s="27" t="s">
        <v>2141</v>
      </c>
      <c r="D2044" s="60"/>
      <c r="E2044" s="41" t="str">
        <f>HYPERLINK("https://www.google.ru/search?q=3026729-003&amp;newwindow=1&amp;tbm=isch","Еще фото")</f>
        <v>Еще фото</v>
      </c>
      <c r="F2044" s="28" t="s">
        <v>138</v>
      </c>
      <c r="G2044" s="24" t="s">
        <v>1184</v>
      </c>
      <c r="H2044" s="24" t="s">
        <v>741</v>
      </c>
      <c r="I2044" s="24" t="s">
        <v>1185</v>
      </c>
      <c r="J2044" s="14" t="s">
        <v>29</v>
      </c>
      <c r="K2044" s="15" t="s">
        <v>30</v>
      </c>
      <c r="L2044" s="62"/>
      <c r="M2044" s="14" t="s">
        <v>1211</v>
      </c>
      <c r="N2044" s="14" t="s">
        <v>1534</v>
      </c>
      <c r="O2044" s="14"/>
      <c r="P2044" s="15" t="s">
        <v>2140</v>
      </c>
      <c r="Q2044" s="16">
        <v>24899</v>
      </c>
      <c r="R2044" s="17">
        <v>40</v>
      </c>
      <c r="S2044" s="18">
        <v>17180.309999999998</v>
      </c>
      <c r="T2044" s="19" t="s">
        <v>36</v>
      </c>
      <c r="U2044" s="20" t="s">
        <v>749</v>
      </c>
      <c r="V2044" s="22">
        <v>41</v>
      </c>
      <c r="W2044" s="22">
        <v>2</v>
      </c>
      <c r="X2044" s="23"/>
    </row>
    <row r="2045" spans="1:24" s="1" customFormat="1" ht="32" customHeight="1" x14ac:dyDescent="0.3">
      <c r="A2045" s="24" t="s">
        <v>23</v>
      </c>
      <c r="B2045" s="24" t="s">
        <v>2138</v>
      </c>
      <c r="C2045" s="27" t="s">
        <v>2141</v>
      </c>
      <c r="D2045" s="61"/>
      <c r="E2045" s="41" t="str">
        <f>HYPERLINK("https://www.google.ru/search?q=3026729-003&amp;newwindow=1&amp;tbm=isch","Еще фото")</f>
        <v>Еще фото</v>
      </c>
      <c r="F2045" s="28" t="s">
        <v>138</v>
      </c>
      <c r="G2045" s="24" t="s">
        <v>1184</v>
      </c>
      <c r="H2045" s="24" t="s">
        <v>741</v>
      </c>
      <c r="I2045" s="24" t="s">
        <v>1185</v>
      </c>
      <c r="J2045" s="14" t="s">
        <v>29</v>
      </c>
      <c r="K2045" s="15" t="s">
        <v>30</v>
      </c>
      <c r="L2045" s="58"/>
      <c r="M2045" s="14" t="s">
        <v>1211</v>
      </c>
      <c r="N2045" s="14" t="s">
        <v>1534</v>
      </c>
      <c r="O2045" s="14"/>
      <c r="P2045" s="15" t="s">
        <v>2140</v>
      </c>
      <c r="Q2045" s="16">
        <v>24899</v>
      </c>
      <c r="R2045" s="17">
        <v>40</v>
      </c>
      <c r="S2045" s="18">
        <v>17180.309999999998</v>
      </c>
      <c r="T2045" s="19" t="s">
        <v>36</v>
      </c>
      <c r="U2045" s="20" t="s">
        <v>750</v>
      </c>
      <c r="V2045" s="34">
        <v>41.5</v>
      </c>
      <c r="W2045" s="22">
        <v>1</v>
      </c>
      <c r="X2045" s="23"/>
    </row>
    <row r="2046" spans="1:24" s="1" customFormat="1" ht="52.05" customHeight="1" x14ac:dyDescent="0.3">
      <c r="A2046" s="11" t="s">
        <v>23</v>
      </c>
      <c r="B2046" s="11" t="s">
        <v>2142</v>
      </c>
      <c r="C2046" s="12" t="s">
        <v>2143</v>
      </c>
      <c r="D2046" s="55"/>
      <c r="E2046" s="41" t="str">
        <f>HYPERLINK("https://www.google.ru/search?q=3026729-300&amp;newwindow=1&amp;tbm=isch","Еще фото")</f>
        <v>Еще фото</v>
      </c>
      <c r="F2046" s="13"/>
      <c r="G2046" s="11" t="s">
        <v>1184</v>
      </c>
      <c r="H2046" s="11" t="s">
        <v>741</v>
      </c>
      <c r="I2046" s="14" t="s">
        <v>1185</v>
      </c>
      <c r="J2046" s="14" t="s">
        <v>29</v>
      </c>
      <c r="K2046" s="15" t="s">
        <v>30</v>
      </c>
      <c r="L2046" s="57" t="s">
        <v>1812</v>
      </c>
      <c r="M2046" s="14" t="s">
        <v>1211</v>
      </c>
      <c r="N2046" s="14" t="s">
        <v>1577</v>
      </c>
      <c r="O2046" s="14"/>
      <c r="P2046" s="15" t="s">
        <v>2144</v>
      </c>
      <c r="Q2046" s="16">
        <v>24999</v>
      </c>
      <c r="R2046" s="17">
        <v>40</v>
      </c>
      <c r="S2046" s="18">
        <v>17249.309999999998</v>
      </c>
      <c r="T2046" s="19" t="s">
        <v>36</v>
      </c>
      <c r="U2046" s="20" t="s">
        <v>747</v>
      </c>
      <c r="V2046" s="34">
        <v>39.5</v>
      </c>
      <c r="W2046" s="22">
        <v>1</v>
      </c>
      <c r="X2046" s="23"/>
    </row>
    <row r="2047" spans="1:24" s="1" customFormat="1" ht="61.05" customHeight="1" x14ac:dyDescent="0.3">
      <c r="A2047" s="24" t="s">
        <v>23</v>
      </c>
      <c r="B2047" s="24" t="s">
        <v>2142</v>
      </c>
      <c r="C2047" s="12" t="s">
        <v>2143</v>
      </c>
      <c r="D2047" s="56"/>
      <c r="E2047" s="41" t="str">
        <f>HYPERLINK("https://www.google.ru/search?q=3026729-300&amp;newwindow=1&amp;tbm=isch","Еще фото")</f>
        <v>Еще фото</v>
      </c>
      <c r="F2047" s="13"/>
      <c r="G2047" s="24" t="s">
        <v>1184</v>
      </c>
      <c r="H2047" s="24" t="s">
        <v>741</v>
      </c>
      <c r="I2047" s="24" t="s">
        <v>1185</v>
      </c>
      <c r="J2047" s="14" t="s">
        <v>29</v>
      </c>
      <c r="K2047" s="15" t="s">
        <v>30</v>
      </c>
      <c r="L2047" s="58"/>
      <c r="M2047" s="14" t="s">
        <v>1211</v>
      </c>
      <c r="N2047" s="14" t="s">
        <v>1577</v>
      </c>
      <c r="O2047" s="14"/>
      <c r="P2047" s="15" t="s">
        <v>2144</v>
      </c>
      <c r="Q2047" s="16">
        <v>24999</v>
      </c>
      <c r="R2047" s="17">
        <v>40</v>
      </c>
      <c r="S2047" s="18">
        <v>17249.309999999998</v>
      </c>
      <c r="T2047" s="19" t="s">
        <v>36</v>
      </c>
      <c r="U2047" s="20" t="s">
        <v>748</v>
      </c>
      <c r="V2047" s="22">
        <v>40</v>
      </c>
      <c r="W2047" s="22">
        <v>1</v>
      </c>
      <c r="X2047" s="23"/>
    </row>
    <row r="2048" spans="1:24" s="1" customFormat="1" ht="108" customHeight="1" x14ac:dyDescent="0.3">
      <c r="A2048" s="11" t="s">
        <v>23</v>
      </c>
      <c r="B2048" s="11" t="s">
        <v>2145</v>
      </c>
      <c r="C2048" s="12" t="s">
        <v>2146</v>
      </c>
      <c r="D2048" s="25"/>
      <c r="E2048" s="41" t="str">
        <f>HYPERLINK("https://www.google.ru/search?q=3026729-601&amp;newwindow=1&amp;tbm=isch","Еще фото")</f>
        <v>Еще фото</v>
      </c>
      <c r="F2048" s="13"/>
      <c r="G2048" s="11" t="s">
        <v>1184</v>
      </c>
      <c r="H2048" s="11" t="s">
        <v>741</v>
      </c>
      <c r="I2048" s="14" t="s">
        <v>1185</v>
      </c>
      <c r="J2048" s="14" t="s">
        <v>29</v>
      </c>
      <c r="K2048" s="15" t="s">
        <v>30</v>
      </c>
      <c r="L2048" s="14" t="s">
        <v>1812</v>
      </c>
      <c r="M2048" s="14" t="s">
        <v>1211</v>
      </c>
      <c r="N2048" s="14" t="s">
        <v>198</v>
      </c>
      <c r="O2048" s="14"/>
      <c r="P2048" s="15" t="s">
        <v>2147</v>
      </c>
      <c r="Q2048" s="16">
        <v>24899</v>
      </c>
      <c r="R2048" s="17">
        <v>40</v>
      </c>
      <c r="S2048" s="18">
        <v>17180.309999999998</v>
      </c>
      <c r="T2048" s="19" t="s">
        <v>36</v>
      </c>
      <c r="U2048" s="20" t="s">
        <v>748</v>
      </c>
      <c r="V2048" s="22">
        <v>40</v>
      </c>
      <c r="W2048" s="22">
        <v>2</v>
      </c>
      <c r="X2048" s="23"/>
    </row>
    <row r="2049" spans="1:24" s="1" customFormat="1" ht="52.05" customHeight="1" x14ac:dyDescent="0.3">
      <c r="A2049" s="11" t="s">
        <v>23</v>
      </c>
      <c r="B2049" s="11" t="s">
        <v>2148</v>
      </c>
      <c r="C2049" s="12" t="s">
        <v>2149</v>
      </c>
      <c r="D2049" s="55"/>
      <c r="E2049" s="41" t="str">
        <f>HYPERLINK("https://www.google.ru/search?q=3026998-001&amp;newwindow=1&amp;tbm=isch","Еще фото")</f>
        <v>Еще фото</v>
      </c>
      <c r="F2049" s="13"/>
      <c r="G2049" s="11" t="s">
        <v>1184</v>
      </c>
      <c r="H2049" s="11" t="s">
        <v>741</v>
      </c>
      <c r="I2049" s="14" t="s">
        <v>1185</v>
      </c>
      <c r="J2049" s="14" t="s">
        <v>29</v>
      </c>
      <c r="K2049" s="15" t="s">
        <v>30</v>
      </c>
      <c r="L2049" s="57" t="s">
        <v>2150</v>
      </c>
      <c r="M2049" s="14"/>
      <c r="N2049" s="14" t="s">
        <v>33</v>
      </c>
      <c r="O2049" s="14"/>
      <c r="P2049" s="15" t="s">
        <v>1495</v>
      </c>
      <c r="Q2049" s="16">
        <v>11099</v>
      </c>
      <c r="R2049" s="17">
        <v>40</v>
      </c>
      <c r="S2049" s="18">
        <v>7658.3099999999986</v>
      </c>
      <c r="T2049" s="19" t="s">
        <v>36</v>
      </c>
      <c r="U2049" s="20" t="s">
        <v>749</v>
      </c>
      <c r="V2049" s="22">
        <v>41</v>
      </c>
      <c r="W2049" s="22">
        <v>1</v>
      </c>
      <c r="X2049" s="23"/>
    </row>
    <row r="2050" spans="1:24" s="1" customFormat="1" ht="61.05" customHeight="1" x14ac:dyDescent="0.3">
      <c r="A2050" s="24" t="s">
        <v>23</v>
      </c>
      <c r="B2050" s="24" t="s">
        <v>2148</v>
      </c>
      <c r="C2050" s="12" t="s">
        <v>2149</v>
      </c>
      <c r="D2050" s="56"/>
      <c r="E2050" s="41" t="str">
        <f>HYPERLINK("https://www.google.ru/search?q=3026998-001&amp;newwindow=1&amp;tbm=isch","Еще фото")</f>
        <v>Еще фото</v>
      </c>
      <c r="F2050" s="13"/>
      <c r="G2050" s="24" t="s">
        <v>1184</v>
      </c>
      <c r="H2050" s="24" t="s">
        <v>741</v>
      </c>
      <c r="I2050" s="24" t="s">
        <v>1185</v>
      </c>
      <c r="J2050" s="14" t="s">
        <v>29</v>
      </c>
      <c r="K2050" s="15" t="s">
        <v>30</v>
      </c>
      <c r="L2050" s="58"/>
      <c r="M2050" s="14"/>
      <c r="N2050" s="14" t="s">
        <v>33</v>
      </c>
      <c r="O2050" s="14"/>
      <c r="P2050" s="15" t="s">
        <v>1495</v>
      </c>
      <c r="Q2050" s="16">
        <v>11099</v>
      </c>
      <c r="R2050" s="17">
        <v>40</v>
      </c>
      <c r="S2050" s="18">
        <v>7658.3099999999986</v>
      </c>
      <c r="T2050" s="19" t="s">
        <v>36</v>
      </c>
      <c r="U2050" s="20" t="s">
        <v>750</v>
      </c>
      <c r="V2050" s="34">
        <v>41.5</v>
      </c>
      <c r="W2050" s="22">
        <v>1</v>
      </c>
      <c r="X2050" s="23"/>
    </row>
    <row r="2051" spans="1:24" s="1" customFormat="1" ht="26" customHeight="1" x14ac:dyDescent="0.3">
      <c r="A2051" s="11" t="s">
        <v>23</v>
      </c>
      <c r="B2051" s="11" t="s">
        <v>2148</v>
      </c>
      <c r="C2051" s="12" t="s">
        <v>2151</v>
      </c>
      <c r="D2051" s="59"/>
      <c r="E2051" s="41" t="str">
        <f>HYPERLINK("https://www.google.ru/search?q=3026998-002&amp;newwindow=1&amp;tbm=isch","Еще фото")</f>
        <v>Еще фото</v>
      </c>
      <c r="F2051" s="13"/>
      <c r="G2051" s="11" t="s">
        <v>1184</v>
      </c>
      <c r="H2051" s="11" t="s">
        <v>741</v>
      </c>
      <c r="I2051" s="14" t="s">
        <v>1185</v>
      </c>
      <c r="J2051" s="14" t="s">
        <v>29</v>
      </c>
      <c r="K2051" s="15" t="s">
        <v>30</v>
      </c>
      <c r="L2051" s="57" t="s">
        <v>2152</v>
      </c>
      <c r="M2051" s="14"/>
      <c r="N2051" s="14" t="s">
        <v>33</v>
      </c>
      <c r="O2051" s="14"/>
      <c r="P2051" s="15" t="s">
        <v>1495</v>
      </c>
      <c r="Q2051" s="16">
        <v>11099</v>
      </c>
      <c r="R2051" s="17">
        <v>40</v>
      </c>
      <c r="S2051" s="18">
        <v>7658.3099999999986</v>
      </c>
      <c r="T2051" s="19" t="s">
        <v>36</v>
      </c>
      <c r="U2051" s="20" t="s">
        <v>747</v>
      </c>
      <c r="V2051" s="34">
        <v>39.5</v>
      </c>
      <c r="W2051" s="22">
        <v>1</v>
      </c>
      <c r="X2051" s="23"/>
    </row>
    <row r="2052" spans="1:24" s="1" customFormat="1" ht="26" customHeight="1" x14ac:dyDescent="0.3">
      <c r="A2052" s="24" t="s">
        <v>23</v>
      </c>
      <c r="B2052" s="24" t="s">
        <v>2148</v>
      </c>
      <c r="C2052" s="12" t="s">
        <v>2151</v>
      </c>
      <c r="D2052" s="60"/>
      <c r="E2052" s="41" t="str">
        <f>HYPERLINK("https://www.google.ru/search?q=3026998-002&amp;newwindow=1&amp;tbm=isch","Еще фото")</f>
        <v>Еще фото</v>
      </c>
      <c r="F2052" s="13"/>
      <c r="G2052" s="24" t="s">
        <v>1184</v>
      </c>
      <c r="H2052" s="24" t="s">
        <v>741</v>
      </c>
      <c r="I2052" s="24" t="s">
        <v>1185</v>
      </c>
      <c r="J2052" s="14" t="s">
        <v>29</v>
      </c>
      <c r="K2052" s="15" t="s">
        <v>30</v>
      </c>
      <c r="L2052" s="62"/>
      <c r="M2052" s="14"/>
      <c r="N2052" s="14" t="s">
        <v>33</v>
      </c>
      <c r="O2052" s="14"/>
      <c r="P2052" s="15" t="s">
        <v>1495</v>
      </c>
      <c r="Q2052" s="16">
        <v>11099</v>
      </c>
      <c r="R2052" s="17">
        <v>40</v>
      </c>
      <c r="S2052" s="18">
        <v>7658.3099999999986</v>
      </c>
      <c r="T2052" s="19" t="s">
        <v>36</v>
      </c>
      <c r="U2052" s="20" t="s">
        <v>748</v>
      </c>
      <c r="V2052" s="22">
        <v>40</v>
      </c>
      <c r="W2052" s="22">
        <v>3</v>
      </c>
      <c r="X2052" s="23"/>
    </row>
    <row r="2053" spans="1:24" s="1" customFormat="1" ht="26" customHeight="1" x14ac:dyDescent="0.3">
      <c r="A2053" s="24" t="s">
        <v>23</v>
      </c>
      <c r="B2053" s="24" t="s">
        <v>2148</v>
      </c>
      <c r="C2053" s="12" t="s">
        <v>2151</v>
      </c>
      <c r="D2053" s="60"/>
      <c r="E2053" s="41" t="str">
        <f>HYPERLINK("https://www.google.ru/search?q=3026998-002&amp;newwindow=1&amp;tbm=isch","Еще фото")</f>
        <v>Еще фото</v>
      </c>
      <c r="F2053" s="13"/>
      <c r="G2053" s="24" t="s">
        <v>1184</v>
      </c>
      <c r="H2053" s="24" t="s">
        <v>741</v>
      </c>
      <c r="I2053" s="24" t="s">
        <v>1185</v>
      </c>
      <c r="J2053" s="14" t="s">
        <v>29</v>
      </c>
      <c r="K2053" s="15" t="s">
        <v>30</v>
      </c>
      <c r="L2053" s="62"/>
      <c r="M2053" s="14"/>
      <c r="N2053" s="14" t="s">
        <v>33</v>
      </c>
      <c r="O2053" s="14"/>
      <c r="P2053" s="15" t="s">
        <v>1495</v>
      </c>
      <c r="Q2053" s="16">
        <v>11099</v>
      </c>
      <c r="R2053" s="17">
        <v>40</v>
      </c>
      <c r="S2053" s="18">
        <v>7658.3099999999986</v>
      </c>
      <c r="T2053" s="19" t="s">
        <v>36</v>
      </c>
      <c r="U2053" s="20" t="s">
        <v>749</v>
      </c>
      <c r="V2053" s="22">
        <v>41</v>
      </c>
      <c r="W2053" s="22">
        <v>1</v>
      </c>
      <c r="X2053" s="23"/>
    </row>
    <row r="2054" spans="1:24" s="1" customFormat="1" ht="26" customHeight="1" x14ac:dyDescent="0.3">
      <c r="A2054" s="24" t="s">
        <v>23</v>
      </c>
      <c r="B2054" s="24" t="s">
        <v>2148</v>
      </c>
      <c r="C2054" s="12" t="s">
        <v>2151</v>
      </c>
      <c r="D2054" s="61"/>
      <c r="E2054" s="41" t="str">
        <f>HYPERLINK("https://www.google.ru/search?q=3026998-002&amp;newwindow=1&amp;tbm=isch","Еще фото")</f>
        <v>Еще фото</v>
      </c>
      <c r="F2054" s="13"/>
      <c r="G2054" s="24" t="s">
        <v>1184</v>
      </c>
      <c r="H2054" s="24" t="s">
        <v>741</v>
      </c>
      <c r="I2054" s="24" t="s">
        <v>1185</v>
      </c>
      <c r="J2054" s="14" t="s">
        <v>29</v>
      </c>
      <c r="K2054" s="15" t="s">
        <v>30</v>
      </c>
      <c r="L2054" s="58"/>
      <c r="M2054" s="14"/>
      <c r="N2054" s="14" t="s">
        <v>33</v>
      </c>
      <c r="O2054" s="14"/>
      <c r="P2054" s="15" t="s">
        <v>1495</v>
      </c>
      <c r="Q2054" s="16">
        <v>11099</v>
      </c>
      <c r="R2054" s="17">
        <v>40</v>
      </c>
      <c r="S2054" s="18">
        <v>7658.3099999999986</v>
      </c>
      <c r="T2054" s="19" t="s">
        <v>36</v>
      </c>
      <c r="U2054" s="20" t="s">
        <v>750</v>
      </c>
      <c r="V2054" s="34">
        <v>41.5</v>
      </c>
      <c r="W2054" s="22">
        <v>1</v>
      </c>
      <c r="X2054" s="23"/>
    </row>
    <row r="2055" spans="1:24" s="1" customFormat="1" ht="52.05" customHeight="1" x14ac:dyDescent="0.3">
      <c r="A2055" s="11" t="s">
        <v>23</v>
      </c>
      <c r="B2055" s="11" t="s">
        <v>2148</v>
      </c>
      <c r="C2055" s="12" t="s">
        <v>2153</v>
      </c>
      <c r="D2055" s="55"/>
      <c r="E2055" s="41" t="str">
        <f>HYPERLINK("https://www.google.ru/search?q=3026998-100&amp;newwindow=1&amp;tbm=isch","Еще фото")</f>
        <v>Еще фото</v>
      </c>
      <c r="F2055" s="13" t="s">
        <v>152</v>
      </c>
      <c r="G2055" s="11" t="s">
        <v>1184</v>
      </c>
      <c r="H2055" s="11" t="s">
        <v>741</v>
      </c>
      <c r="I2055" s="14" t="s">
        <v>1185</v>
      </c>
      <c r="J2055" s="14" t="s">
        <v>29</v>
      </c>
      <c r="K2055" s="15" t="s">
        <v>30</v>
      </c>
      <c r="L2055" s="57" t="s">
        <v>2150</v>
      </c>
      <c r="M2055" s="14"/>
      <c r="N2055" s="14" t="s">
        <v>62</v>
      </c>
      <c r="O2055" s="14"/>
      <c r="P2055" s="15" t="s">
        <v>1495</v>
      </c>
      <c r="Q2055" s="16">
        <v>11999</v>
      </c>
      <c r="R2055" s="17">
        <v>40</v>
      </c>
      <c r="S2055" s="18">
        <v>8279.31</v>
      </c>
      <c r="T2055" s="19" t="s">
        <v>36</v>
      </c>
      <c r="U2055" s="20" t="s">
        <v>747</v>
      </c>
      <c r="V2055" s="34">
        <v>39.5</v>
      </c>
      <c r="W2055" s="22">
        <v>2</v>
      </c>
      <c r="X2055" s="23"/>
    </row>
    <row r="2056" spans="1:24" s="1" customFormat="1" ht="61.05" customHeight="1" x14ac:dyDescent="0.3">
      <c r="A2056" s="24" t="s">
        <v>23</v>
      </c>
      <c r="B2056" s="24" t="s">
        <v>2148</v>
      </c>
      <c r="C2056" s="12" t="s">
        <v>2153</v>
      </c>
      <c r="D2056" s="56"/>
      <c r="E2056" s="41" t="str">
        <f>HYPERLINK("https://www.google.ru/search?q=3026998-100&amp;newwindow=1&amp;tbm=isch","Еще фото")</f>
        <v>Еще фото</v>
      </c>
      <c r="F2056" s="13" t="s">
        <v>152</v>
      </c>
      <c r="G2056" s="24" t="s">
        <v>1184</v>
      </c>
      <c r="H2056" s="24" t="s">
        <v>741</v>
      </c>
      <c r="I2056" s="24" t="s">
        <v>1185</v>
      </c>
      <c r="J2056" s="14" t="s">
        <v>29</v>
      </c>
      <c r="K2056" s="15" t="s">
        <v>30</v>
      </c>
      <c r="L2056" s="58"/>
      <c r="M2056" s="14"/>
      <c r="N2056" s="14" t="s">
        <v>62</v>
      </c>
      <c r="O2056" s="14"/>
      <c r="P2056" s="15" t="s">
        <v>1495</v>
      </c>
      <c r="Q2056" s="16">
        <v>11999</v>
      </c>
      <c r="R2056" s="17">
        <v>40</v>
      </c>
      <c r="S2056" s="18">
        <v>8279.31</v>
      </c>
      <c r="T2056" s="19" t="s">
        <v>36</v>
      </c>
      <c r="U2056" s="20" t="s">
        <v>748</v>
      </c>
      <c r="V2056" s="22">
        <v>40</v>
      </c>
      <c r="W2056" s="22">
        <v>1</v>
      </c>
      <c r="X2056" s="23"/>
    </row>
    <row r="2057" spans="1:24" s="1" customFormat="1" ht="35" customHeight="1" x14ac:dyDescent="0.3">
      <c r="A2057" s="11" t="s">
        <v>23</v>
      </c>
      <c r="B2057" s="11" t="s">
        <v>2154</v>
      </c>
      <c r="C2057" s="12" t="s">
        <v>2155</v>
      </c>
      <c r="D2057" s="59"/>
      <c r="E2057" s="41" t="str">
        <f>HYPERLINK("https://www.google.ru/search?q=3026999-001&amp;newwindow=1&amp;tbm=isch","Еще фото")</f>
        <v>Еще фото</v>
      </c>
      <c r="F2057" s="13" t="s">
        <v>103</v>
      </c>
      <c r="G2057" s="11" t="s">
        <v>1184</v>
      </c>
      <c r="H2057" s="11" t="s">
        <v>741</v>
      </c>
      <c r="I2057" s="14" t="s">
        <v>1185</v>
      </c>
      <c r="J2057" s="14" t="s">
        <v>29</v>
      </c>
      <c r="K2057" s="15" t="s">
        <v>30</v>
      </c>
      <c r="L2057" s="57" t="s">
        <v>2156</v>
      </c>
      <c r="M2057" s="14"/>
      <c r="N2057" s="14" t="s">
        <v>33</v>
      </c>
      <c r="O2057" s="14"/>
      <c r="P2057" s="15" t="s">
        <v>1294</v>
      </c>
      <c r="Q2057" s="16">
        <v>8399</v>
      </c>
      <c r="R2057" s="17">
        <v>40</v>
      </c>
      <c r="S2057" s="18">
        <v>5795.3099999999995</v>
      </c>
      <c r="T2057" s="19" t="s">
        <v>36</v>
      </c>
      <c r="U2057" s="20" t="s">
        <v>748</v>
      </c>
      <c r="V2057" s="22">
        <v>40</v>
      </c>
      <c r="W2057" s="22">
        <v>1</v>
      </c>
      <c r="X2057" s="23"/>
    </row>
    <row r="2058" spans="1:24" s="1" customFormat="1" ht="35" customHeight="1" x14ac:dyDescent="0.3">
      <c r="A2058" s="24" t="s">
        <v>23</v>
      </c>
      <c r="B2058" s="24" t="s">
        <v>2154</v>
      </c>
      <c r="C2058" s="12" t="s">
        <v>2155</v>
      </c>
      <c r="D2058" s="60"/>
      <c r="E2058" s="41" t="str">
        <f>HYPERLINK("https://www.google.ru/search?q=3026999-001&amp;newwindow=1&amp;tbm=isch","Еще фото")</f>
        <v>Еще фото</v>
      </c>
      <c r="F2058" s="13" t="s">
        <v>103</v>
      </c>
      <c r="G2058" s="24" t="s">
        <v>1184</v>
      </c>
      <c r="H2058" s="24" t="s">
        <v>741</v>
      </c>
      <c r="I2058" s="24" t="s">
        <v>1185</v>
      </c>
      <c r="J2058" s="14" t="s">
        <v>29</v>
      </c>
      <c r="K2058" s="15" t="s">
        <v>30</v>
      </c>
      <c r="L2058" s="62"/>
      <c r="M2058" s="14"/>
      <c r="N2058" s="14" t="s">
        <v>33</v>
      </c>
      <c r="O2058" s="14"/>
      <c r="P2058" s="15" t="s">
        <v>1294</v>
      </c>
      <c r="Q2058" s="16">
        <v>8399</v>
      </c>
      <c r="R2058" s="17">
        <v>40</v>
      </c>
      <c r="S2058" s="18">
        <v>5795.3099999999995</v>
      </c>
      <c r="T2058" s="19" t="s">
        <v>36</v>
      </c>
      <c r="U2058" s="20" t="s">
        <v>751</v>
      </c>
      <c r="V2058" s="22">
        <v>42</v>
      </c>
      <c r="W2058" s="22">
        <v>1</v>
      </c>
      <c r="X2058" s="23"/>
    </row>
    <row r="2059" spans="1:24" s="1" customFormat="1" ht="37.049999999999997" customHeight="1" x14ac:dyDescent="0.3">
      <c r="A2059" s="24" t="s">
        <v>23</v>
      </c>
      <c r="B2059" s="24" t="s">
        <v>2154</v>
      </c>
      <c r="C2059" s="12" t="s">
        <v>2155</v>
      </c>
      <c r="D2059" s="61"/>
      <c r="E2059" s="41" t="str">
        <f>HYPERLINK("https://www.google.ru/search?q=3026999-001&amp;newwindow=1&amp;tbm=isch","Еще фото")</f>
        <v>Еще фото</v>
      </c>
      <c r="F2059" s="13" t="s">
        <v>103</v>
      </c>
      <c r="G2059" s="24" t="s">
        <v>1184</v>
      </c>
      <c r="H2059" s="24" t="s">
        <v>741</v>
      </c>
      <c r="I2059" s="24" t="s">
        <v>1185</v>
      </c>
      <c r="J2059" s="14" t="s">
        <v>29</v>
      </c>
      <c r="K2059" s="15" t="s">
        <v>30</v>
      </c>
      <c r="L2059" s="58"/>
      <c r="M2059" s="14"/>
      <c r="N2059" s="14" t="s">
        <v>33</v>
      </c>
      <c r="O2059" s="14"/>
      <c r="P2059" s="15" t="s">
        <v>1294</v>
      </c>
      <c r="Q2059" s="16">
        <v>8399</v>
      </c>
      <c r="R2059" s="17">
        <v>40</v>
      </c>
      <c r="S2059" s="18">
        <v>5795.3099999999995</v>
      </c>
      <c r="T2059" s="19" t="s">
        <v>36</v>
      </c>
      <c r="U2059" s="20" t="s">
        <v>752</v>
      </c>
      <c r="V2059" s="22">
        <v>43</v>
      </c>
      <c r="W2059" s="22">
        <v>6</v>
      </c>
      <c r="X2059" s="23"/>
    </row>
    <row r="2060" spans="1:24" s="1" customFormat="1" ht="21" customHeight="1" x14ac:dyDescent="0.3">
      <c r="A2060" s="11" t="s">
        <v>23</v>
      </c>
      <c r="B2060" s="11" t="s">
        <v>2154</v>
      </c>
      <c r="C2060" s="26" t="s">
        <v>2157</v>
      </c>
      <c r="D2060" s="59"/>
      <c r="E2060" s="41" t="str">
        <f>HYPERLINK("https://www.google.ru/search?q=3026999-011&amp;newwindow=1&amp;tbm=isch","Еще фото")</f>
        <v>Еще фото</v>
      </c>
      <c r="F2060" s="13"/>
      <c r="G2060" s="11" t="s">
        <v>1184</v>
      </c>
      <c r="H2060" s="11" t="s">
        <v>741</v>
      </c>
      <c r="I2060" s="14" t="s">
        <v>1185</v>
      </c>
      <c r="J2060" s="14" t="s">
        <v>29</v>
      </c>
      <c r="K2060" s="15" t="s">
        <v>30</v>
      </c>
      <c r="L2060" s="57" t="s">
        <v>2156</v>
      </c>
      <c r="M2060" s="14"/>
      <c r="N2060" s="14" t="s">
        <v>62</v>
      </c>
      <c r="O2060" s="14"/>
      <c r="P2060" s="15" t="s">
        <v>1294</v>
      </c>
      <c r="Q2060" s="16">
        <v>8899</v>
      </c>
      <c r="R2060" s="17">
        <v>40</v>
      </c>
      <c r="S2060" s="18">
        <v>6140.3099999999995</v>
      </c>
      <c r="T2060" s="19" t="s">
        <v>36</v>
      </c>
      <c r="U2060" s="20" t="s">
        <v>748</v>
      </c>
      <c r="V2060" s="22">
        <v>40</v>
      </c>
      <c r="W2060" s="22">
        <v>3</v>
      </c>
      <c r="X2060" s="23"/>
    </row>
    <row r="2061" spans="1:24" s="1" customFormat="1" ht="21" customHeight="1" x14ac:dyDescent="0.3">
      <c r="A2061" s="24" t="s">
        <v>23</v>
      </c>
      <c r="B2061" s="24" t="s">
        <v>2154</v>
      </c>
      <c r="C2061" s="27" t="s">
        <v>2157</v>
      </c>
      <c r="D2061" s="60"/>
      <c r="E2061" s="41" t="str">
        <f>HYPERLINK("https://www.google.ru/search?q=3026999-011&amp;newwindow=1&amp;tbm=isch","Еще фото")</f>
        <v>Еще фото</v>
      </c>
      <c r="F2061" s="13"/>
      <c r="G2061" s="24" t="s">
        <v>1184</v>
      </c>
      <c r="H2061" s="24" t="s">
        <v>741</v>
      </c>
      <c r="I2061" s="24" t="s">
        <v>1185</v>
      </c>
      <c r="J2061" s="14" t="s">
        <v>29</v>
      </c>
      <c r="K2061" s="15" t="s">
        <v>30</v>
      </c>
      <c r="L2061" s="62"/>
      <c r="M2061" s="14"/>
      <c r="N2061" s="14" t="s">
        <v>62</v>
      </c>
      <c r="O2061" s="14"/>
      <c r="P2061" s="15" t="s">
        <v>1294</v>
      </c>
      <c r="Q2061" s="16">
        <v>8899</v>
      </c>
      <c r="R2061" s="17">
        <v>40</v>
      </c>
      <c r="S2061" s="18">
        <v>6140.3099999999995</v>
      </c>
      <c r="T2061" s="19" t="s">
        <v>36</v>
      </c>
      <c r="U2061" s="20" t="s">
        <v>750</v>
      </c>
      <c r="V2061" s="34">
        <v>41.5</v>
      </c>
      <c r="W2061" s="22">
        <v>2</v>
      </c>
      <c r="X2061" s="23"/>
    </row>
    <row r="2062" spans="1:24" s="1" customFormat="1" ht="21" customHeight="1" x14ac:dyDescent="0.3">
      <c r="A2062" s="24" t="s">
        <v>23</v>
      </c>
      <c r="B2062" s="24" t="s">
        <v>2154</v>
      </c>
      <c r="C2062" s="27" t="s">
        <v>2157</v>
      </c>
      <c r="D2062" s="60"/>
      <c r="E2062" s="41" t="str">
        <f>HYPERLINK("https://www.google.ru/search?q=3026999-011&amp;newwindow=1&amp;tbm=isch","Еще фото")</f>
        <v>Еще фото</v>
      </c>
      <c r="F2062" s="13"/>
      <c r="G2062" s="24" t="s">
        <v>1184</v>
      </c>
      <c r="H2062" s="24" t="s">
        <v>741</v>
      </c>
      <c r="I2062" s="24" t="s">
        <v>1185</v>
      </c>
      <c r="J2062" s="14" t="s">
        <v>29</v>
      </c>
      <c r="K2062" s="15" t="s">
        <v>30</v>
      </c>
      <c r="L2062" s="62"/>
      <c r="M2062" s="14"/>
      <c r="N2062" s="14" t="s">
        <v>62</v>
      </c>
      <c r="O2062" s="14"/>
      <c r="P2062" s="15" t="s">
        <v>1294</v>
      </c>
      <c r="Q2062" s="16">
        <v>8899</v>
      </c>
      <c r="R2062" s="17">
        <v>40</v>
      </c>
      <c r="S2062" s="18">
        <v>6140.3099999999995</v>
      </c>
      <c r="T2062" s="19" t="s">
        <v>36</v>
      </c>
      <c r="U2062" s="20" t="s">
        <v>751</v>
      </c>
      <c r="V2062" s="22">
        <v>42</v>
      </c>
      <c r="W2062" s="22">
        <v>2</v>
      </c>
      <c r="X2062" s="23"/>
    </row>
    <row r="2063" spans="1:24" s="1" customFormat="1" ht="21" customHeight="1" x14ac:dyDescent="0.3">
      <c r="A2063" s="24" t="s">
        <v>23</v>
      </c>
      <c r="B2063" s="24" t="s">
        <v>2154</v>
      </c>
      <c r="C2063" s="27" t="s">
        <v>2157</v>
      </c>
      <c r="D2063" s="60"/>
      <c r="E2063" s="41" t="str">
        <f>HYPERLINK("https://www.google.ru/search?q=3026999-011&amp;newwindow=1&amp;tbm=isch","Еще фото")</f>
        <v>Еще фото</v>
      </c>
      <c r="F2063" s="13"/>
      <c r="G2063" s="24" t="s">
        <v>1184</v>
      </c>
      <c r="H2063" s="24" t="s">
        <v>741</v>
      </c>
      <c r="I2063" s="24" t="s">
        <v>1185</v>
      </c>
      <c r="J2063" s="14" t="s">
        <v>29</v>
      </c>
      <c r="K2063" s="15" t="s">
        <v>30</v>
      </c>
      <c r="L2063" s="62"/>
      <c r="M2063" s="14"/>
      <c r="N2063" s="14" t="s">
        <v>62</v>
      </c>
      <c r="O2063" s="14"/>
      <c r="P2063" s="15" t="s">
        <v>1294</v>
      </c>
      <c r="Q2063" s="16">
        <v>8899</v>
      </c>
      <c r="R2063" s="17">
        <v>40</v>
      </c>
      <c r="S2063" s="18">
        <v>6140.3099999999995</v>
      </c>
      <c r="T2063" s="19" t="s">
        <v>36</v>
      </c>
      <c r="U2063" s="20" t="s">
        <v>753</v>
      </c>
      <c r="V2063" s="34">
        <v>43.5</v>
      </c>
      <c r="W2063" s="22">
        <v>2</v>
      </c>
      <c r="X2063" s="23"/>
    </row>
    <row r="2064" spans="1:24" s="1" customFormat="1" ht="32" customHeight="1" x14ac:dyDescent="0.3">
      <c r="A2064" s="24" t="s">
        <v>23</v>
      </c>
      <c r="B2064" s="24" t="s">
        <v>2154</v>
      </c>
      <c r="C2064" s="27" t="s">
        <v>2157</v>
      </c>
      <c r="D2064" s="61"/>
      <c r="E2064" s="41" t="str">
        <f>HYPERLINK("https://www.google.ru/search?q=3026999-011&amp;newwindow=1&amp;tbm=isch","Еще фото")</f>
        <v>Еще фото</v>
      </c>
      <c r="F2064" s="13"/>
      <c r="G2064" s="24" t="s">
        <v>1184</v>
      </c>
      <c r="H2064" s="24" t="s">
        <v>741</v>
      </c>
      <c r="I2064" s="24" t="s">
        <v>1185</v>
      </c>
      <c r="J2064" s="14" t="s">
        <v>29</v>
      </c>
      <c r="K2064" s="15" t="s">
        <v>30</v>
      </c>
      <c r="L2064" s="58"/>
      <c r="M2064" s="14"/>
      <c r="N2064" s="14" t="s">
        <v>62</v>
      </c>
      <c r="O2064" s="14"/>
      <c r="P2064" s="15" t="s">
        <v>1294</v>
      </c>
      <c r="Q2064" s="16">
        <v>8899</v>
      </c>
      <c r="R2064" s="17">
        <v>40</v>
      </c>
      <c r="S2064" s="18">
        <v>6140.3099999999995</v>
      </c>
      <c r="T2064" s="19" t="s">
        <v>36</v>
      </c>
      <c r="U2064" s="20" t="s">
        <v>754</v>
      </c>
      <c r="V2064" s="22">
        <v>44</v>
      </c>
      <c r="W2064" s="22">
        <v>7</v>
      </c>
      <c r="X2064" s="23"/>
    </row>
    <row r="2065" spans="1:24" s="1" customFormat="1" ht="52.05" customHeight="1" x14ac:dyDescent="0.3">
      <c r="A2065" s="11" t="s">
        <v>23</v>
      </c>
      <c r="B2065" s="11" t="s">
        <v>2154</v>
      </c>
      <c r="C2065" s="12" t="s">
        <v>2158</v>
      </c>
      <c r="D2065" s="55"/>
      <c r="E2065" s="41" t="str">
        <f>HYPERLINK("https://www.google.ru/search?q=3026999-105&amp;newwindow=1&amp;tbm=isch","Еще фото")</f>
        <v>Еще фото</v>
      </c>
      <c r="F2065" s="13" t="s">
        <v>103</v>
      </c>
      <c r="G2065" s="11" t="s">
        <v>1184</v>
      </c>
      <c r="H2065" s="11" t="s">
        <v>741</v>
      </c>
      <c r="I2065" s="14" t="s">
        <v>1185</v>
      </c>
      <c r="J2065" s="14" t="s">
        <v>29</v>
      </c>
      <c r="K2065" s="15" t="s">
        <v>30</v>
      </c>
      <c r="L2065" s="57" t="s">
        <v>2156</v>
      </c>
      <c r="M2065" s="14"/>
      <c r="N2065" s="14" t="s">
        <v>62</v>
      </c>
      <c r="O2065" s="14"/>
      <c r="P2065" s="15" t="s">
        <v>1294</v>
      </c>
      <c r="Q2065" s="16">
        <v>8399</v>
      </c>
      <c r="R2065" s="17">
        <v>40</v>
      </c>
      <c r="S2065" s="18">
        <v>5795.3099999999995</v>
      </c>
      <c r="T2065" s="19" t="s">
        <v>36</v>
      </c>
      <c r="U2065" s="20" t="s">
        <v>746</v>
      </c>
      <c r="V2065" s="22">
        <v>39</v>
      </c>
      <c r="W2065" s="22">
        <v>1</v>
      </c>
      <c r="X2065" s="23"/>
    </row>
    <row r="2066" spans="1:24" s="1" customFormat="1" ht="61.05" customHeight="1" x14ac:dyDescent="0.3">
      <c r="A2066" s="24" t="s">
        <v>23</v>
      </c>
      <c r="B2066" s="24" t="s">
        <v>2154</v>
      </c>
      <c r="C2066" s="12" t="s">
        <v>2158</v>
      </c>
      <c r="D2066" s="56"/>
      <c r="E2066" s="41" t="str">
        <f>HYPERLINK("https://www.google.ru/search?q=3026999-105&amp;newwindow=1&amp;tbm=isch","Еще фото")</f>
        <v>Еще фото</v>
      </c>
      <c r="F2066" s="13" t="s">
        <v>103</v>
      </c>
      <c r="G2066" s="24" t="s">
        <v>1184</v>
      </c>
      <c r="H2066" s="24" t="s">
        <v>741</v>
      </c>
      <c r="I2066" s="24" t="s">
        <v>1185</v>
      </c>
      <c r="J2066" s="14" t="s">
        <v>29</v>
      </c>
      <c r="K2066" s="15" t="s">
        <v>30</v>
      </c>
      <c r="L2066" s="58"/>
      <c r="M2066" s="14"/>
      <c r="N2066" s="14" t="s">
        <v>62</v>
      </c>
      <c r="O2066" s="14"/>
      <c r="P2066" s="15" t="s">
        <v>1294</v>
      </c>
      <c r="Q2066" s="16">
        <v>8399</v>
      </c>
      <c r="R2066" s="17">
        <v>40</v>
      </c>
      <c r="S2066" s="18">
        <v>5795.3099999999995</v>
      </c>
      <c r="T2066" s="19" t="s">
        <v>36</v>
      </c>
      <c r="U2066" s="20" t="s">
        <v>749</v>
      </c>
      <c r="V2066" s="22">
        <v>41</v>
      </c>
      <c r="W2066" s="22">
        <v>1</v>
      </c>
      <c r="X2066" s="23"/>
    </row>
    <row r="2067" spans="1:24" s="1" customFormat="1" ht="108" customHeight="1" x14ac:dyDescent="0.3">
      <c r="A2067" s="11" t="s">
        <v>23</v>
      </c>
      <c r="B2067" s="11" t="s">
        <v>2159</v>
      </c>
      <c r="C2067" s="12" t="s">
        <v>2160</v>
      </c>
      <c r="D2067" s="25"/>
      <c r="E2067" s="41" t="str">
        <f>HYPERLINK("https://www.google.ru/search?q=3027000-100&amp;newwindow=1&amp;tbm=isch","Еще фото")</f>
        <v>Еще фото</v>
      </c>
      <c r="F2067" s="13" t="s">
        <v>103</v>
      </c>
      <c r="G2067" s="11" t="s">
        <v>1184</v>
      </c>
      <c r="H2067" s="11" t="s">
        <v>741</v>
      </c>
      <c r="I2067" s="14" t="s">
        <v>1185</v>
      </c>
      <c r="J2067" s="14" t="s">
        <v>29</v>
      </c>
      <c r="K2067" s="15" t="s">
        <v>30</v>
      </c>
      <c r="L2067" s="14" t="s">
        <v>2161</v>
      </c>
      <c r="M2067" s="14"/>
      <c r="N2067" s="14" t="s">
        <v>2162</v>
      </c>
      <c r="O2067" s="14"/>
      <c r="P2067" s="15" t="s">
        <v>745</v>
      </c>
      <c r="Q2067" s="16">
        <v>7899</v>
      </c>
      <c r="R2067" s="17">
        <v>40</v>
      </c>
      <c r="S2067" s="18">
        <v>5450.3099999999995</v>
      </c>
      <c r="T2067" s="19" t="s">
        <v>36</v>
      </c>
      <c r="U2067" s="20" t="s">
        <v>750</v>
      </c>
      <c r="V2067" s="34">
        <v>41.5</v>
      </c>
      <c r="W2067" s="22">
        <v>6</v>
      </c>
      <c r="X2067" s="23"/>
    </row>
    <row r="2068" spans="1:24" s="1" customFormat="1" ht="21" customHeight="1" x14ac:dyDescent="0.3">
      <c r="A2068" s="11" t="s">
        <v>23</v>
      </c>
      <c r="B2068" s="11" t="s">
        <v>2159</v>
      </c>
      <c r="C2068" s="26" t="s">
        <v>2163</v>
      </c>
      <c r="D2068" s="59"/>
      <c r="E2068" s="41" t="str">
        <f>HYPERLINK("https://www.google.ru/search?q=3027000-106&amp;newwindow=1&amp;tbm=isch","Еще фото")</f>
        <v>Еще фото</v>
      </c>
      <c r="F2068" s="13" t="s">
        <v>103</v>
      </c>
      <c r="G2068" s="11" t="s">
        <v>1184</v>
      </c>
      <c r="H2068" s="11" t="s">
        <v>741</v>
      </c>
      <c r="I2068" s="14" t="s">
        <v>1185</v>
      </c>
      <c r="J2068" s="14" t="s">
        <v>29</v>
      </c>
      <c r="K2068" s="15" t="s">
        <v>30</v>
      </c>
      <c r="L2068" s="57" t="s">
        <v>2161</v>
      </c>
      <c r="M2068" s="14"/>
      <c r="N2068" s="14" t="s">
        <v>2164</v>
      </c>
      <c r="O2068" s="14"/>
      <c r="P2068" s="15" t="s">
        <v>745</v>
      </c>
      <c r="Q2068" s="16">
        <v>7899</v>
      </c>
      <c r="R2068" s="17">
        <v>40</v>
      </c>
      <c r="S2068" s="18">
        <v>5450.3099999999995</v>
      </c>
      <c r="T2068" s="19" t="s">
        <v>36</v>
      </c>
      <c r="U2068" s="20" t="s">
        <v>750</v>
      </c>
      <c r="V2068" s="34">
        <v>41.5</v>
      </c>
      <c r="W2068" s="22">
        <v>13</v>
      </c>
      <c r="X2068" s="23"/>
    </row>
    <row r="2069" spans="1:24" s="1" customFormat="1" ht="21" customHeight="1" x14ac:dyDescent="0.3">
      <c r="A2069" s="24" t="s">
        <v>23</v>
      </c>
      <c r="B2069" s="24" t="s">
        <v>2159</v>
      </c>
      <c r="C2069" s="27" t="s">
        <v>2163</v>
      </c>
      <c r="D2069" s="60"/>
      <c r="E2069" s="41" t="str">
        <f>HYPERLINK("https://www.google.ru/search?q=3027000-106&amp;newwindow=1&amp;tbm=isch","Еще фото")</f>
        <v>Еще фото</v>
      </c>
      <c r="F2069" s="13" t="s">
        <v>103</v>
      </c>
      <c r="G2069" s="24" t="s">
        <v>1184</v>
      </c>
      <c r="H2069" s="24" t="s">
        <v>741</v>
      </c>
      <c r="I2069" s="24" t="s">
        <v>1185</v>
      </c>
      <c r="J2069" s="14" t="s">
        <v>29</v>
      </c>
      <c r="K2069" s="15" t="s">
        <v>30</v>
      </c>
      <c r="L2069" s="62"/>
      <c r="M2069" s="14"/>
      <c r="N2069" s="14" t="s">
        <v>2164</v>
      </c>
      <c r="O2069" s="14"/>
      <c r="P2069" s="15" t="s">
        <v>745</v>
      </c>
      <c r="Q2069" s="16">
        <v>7899</v>
      </c>
      <c r="R2069" s="17">
        <v>40</v>
      </c>
      <c r="S2069" s="18">
        <v>5450.3099999999995</v>
      </c>
      <c r="T2069" s="19" t="s">
        <v>36</v>
      </c>
      <c r="U2069" s="20" t="s">
        <v>751</v>
      </c>
      <c r="V2069" s="22">
        <v>42</v>
      </c>
      <c r="W2069" s="22">
        <v>14</v>
      </c>
      <c r="X2069" s="23"/>
    </row>
    <row r="2070" spans="1:24" s="1" customFormat="1" ht="21" customHeight="1" x14ac:dyDescent="0.3">
      <c r="A2070" s="24" t="s">
        <v>23</v>
      </c>
      <c r="B2070" s="24" t="s">
        <v>2159</v>
      </c>
      <c r="C2070" s="27" t="s">
        <v>2163</v>
      </c>
      <c r="D2070" s="60"/>
      <c r="E2070" s="41" t="str">
        <f>HYPERLINK("https://www.google.ru/search?q=3027000-106&amp;newwindow=1&amp;tbm=isch","Еще фото")</f>
        <v>Еще фото</v>
      </c>
      <c r="F2070" s="13" t="s">
        <v>103</v>
      </c>
      <c r="G2070" s="24" t="s">
        <v>1184</v>
      </c>
      <c r="H2070" s="24" t="s">
        <v>741</v>
      </c>
      <c r="I2070" s="24" t="s">
        <v>1185</v>
      </c>
      <c r="J2070" s="14" t="s">
        <v>29</v>
      </c>
      <c r="K2070" s="15" t="s">
        <v>30</v>
      </c>
      <c r="L2070" s="62"/>
      <c r="M2070" s="14"/>
      <c r="N2070" s="14" t="s">
        <v>2164</v>
      </c>
      <c r="O2070" s="14"/>
      <c r="P2070" s="15" t="s">
        <v>745</v>
      </c>
      <c r="Q2070" s="16">
        <v>7899</v>
      </c>
      <c r="R2070" s="17">
        <v>40</v>
      </c>
      <c r="S2070" s="18">
        <v>5450.3099999999995</v>
      </c>
      <c r="T2070" s="19" t="s">
        <v>36</v>
      </c>
      <c r="U2070" s="20" t="s">
        <v>752</v>
      </c>
      <c r="V2070" s="22">
        <v>43</v>
      </c>
      <c r="W2070" s="22">
        <v>11</v>
      </c>
      <c r="X2070" s="23"/>
    </row>
    <row r="2071" spans="1:24" s="1" customFormat="1" ht="21" customHeight="1" x14ac:dyDescent="0.3">
      <c r="A2071" s="24" t="s">
        <v>23</v>
      </c>
      <c r="B2071" s="24" t="s">
        <v>2159</v>
      </c>
      <c r="C2071" s="27" t="s">
        <v>2163</v>
      </c>
      <c r="D2071" s="60"/>
      <c r="E2071" s="41" t="str">
        <f>HYPERLINK("https://www.google.ru/search?q=3027000-106&amp;newwindow=1&amp;tbm=isch","Еще фото")</f>
        <v>Еще фото</v>
      </c>
      <c r="F2071" s="13" t="s">
        <v>103</v>
      </c>
      <c r="G2071" s="24" t="s">
        <v>1184</v>
      </c>
      <c r="H2071" s="24" t="s">
        <v>741</v>
      </c>
      <c r="I2071" s="24" t="s">
        <v>1185</v>
      </c>
      <c r="J2071" s="14" t="s">
        <v>29</v>
      </c>
      <c r="K2071" s="15" t="s">
        <v>30</v>
      </c>
      <c r="L2071" s="62"/>
      <c r="M2071" s="14"/>
      <c r="N2071" s="14" t="s">
        <v>2164</v>
      </c>
      <c r="O2071" s="14"/>
      <c r="P2071" s="15" t="s">
        <v>745</v>
      </c>
      <c r="Q2071" s="16">
        <v>7899</v>
      </c>
      <c r="R2071" s="17">
        <v>40</v>
      </c>
      <c r="S2071" s="18">
        <v>5450.3099999999995</v>
      </c>
      <c r="T2071" s="19" t="s">
        <v>36</v>
      </c>
      <c r="U2071" s="20" t="s">
        <v>753</v>
      </c>
      <c r="V2071" s="34">
        <v>43.5</v>
      </c>
      <c r="W2071" s="22">
        <v>12</v>
      </c>
      <c r="X2071" s="23"/>
    </row>
    <row r="2072" spans="1:24" s="1" customFormat="1" ht="32" customHeight="1" x14ac:dyDescent="0.3">
      <c r="A2072" s="24" t="s">
        <v>23</v>
      </c>
      <c r="B2072" s="24" t="s">
        <v>2159</v>
      </c>
      <c r="C2072" s="27" t="s">
        <v>2163</v>
      </c>
      <c r="D2072" s="61"/>
      <c r="E2072" s="41" t="str">
        <f>HYPERLINK("https://www.google.ru/search?q=3027000-106&amp;newwindow=1&amp;tbm=isch","Еще фото")</f>
        <v>Еще фото</v>
      </c>
      <c r="F2072" s="13" t="s">
        <v>103</v>
      </c>
      <c r="G2072" s="24" t="s">
        <v>1184</v>
      </c>
      <c r="H2072" s="24" t="s">
        <v>741</v>
      </c>
      <c r="I2072" s="24" t="s">
        <v>1185</v>
      </c>
      <c r="J2072" s="14" t="s">
        <v>29</v>
      </c>
      <c r="K2072" s="15" t="s">
        <v>30</v>
      </c>
      <c r="L2072" s="58"/>
      <c r="M2072" s="14"/>
      <c r="N2072" s="14" t="s">
        <v>2164</v>
      </c>
      <c r="O2072" s="14"/>
      <c r="P2072" s="15" t="s">
        <v>745</v>
      </c>
      <c r="Q2072" s="16">
        <v>7899</v>
      </c>
      <c r="R2072" s="17">
        <v>40</v>
      </c>
      <c r="S2072" s="18">
        <v>5450.3099999999995</v>
      </c>
      <c r="T2072" s="19" t="s">
        <v>36</v>
      </c>
      <c r="U2072" s="20" t="s">
        <v>754</v>
      </c>
      <c r="V2072" s="22">
        <v>44</v>
      </c>
      <c r="W2072" s="22">
        <v>8</v>
      </c>
      <c r="X2072" s="23"/>
    </row>
    <row r="2073" spans="1:24" s="1" customFormat="1" ht="13.05" customHeight="1" x14ac:dyDescent="0.3">
      <c r="A2073" s="11" t="s">
        <v>23</v>
      </c>
      <c r="B2073" s="11" t="s">
        <v>2159</v>
      </c>
      <c r="C2073" s="12" t="s">
        <v>2165</v>
      </c>
      <c r="D2073" s="59"/>
      <c r="E2073" s="41" t="str">
        <f t="shared" ref="E2073:E2080" si="76">HYPERLINK("https://www.google.ru/search?q=3027000-289&amp;newwindow=1&amp;tbm=isch","Еще фото")</f>
        <v>Еще фото</v>
      </c>
      <c r="F2073" s="13"/>
      <c r="G2073" s="11" t="s">
        <v>1184</v>
      </c>
      <c r="H2073" s="11" t="s">
        <v>741</v>
      </c>
      <c r="I2073" s="14" t="s">
        <v>1185</v>
      </c>
      <c r="J2073" s="14" t="s">
        <v>29</v>
      </c>
      <c r="K2073" s="15" t="s">
        <v>30</v>
      </c>
      <c r="L2073" s="57" t="s">
        <v>2161</v>
      </c>
      <c r="M2073" s="14"/>
      <c r="N2073" s="14" t="s">
        <v>229</v>
      </c>
      <c r="O2073" s="14"/>
      <c r="P2073" s="15" t="s">
        <v>745</v>
      </c>
      <c r="Q2073" s="16">
        <v>7899</v>
      </c>
      <c r="R2073" s="17">
        <v>40</v>
      </c>
      <c r="S2073" s="18">
        <v>5450.3099999999995</v>
      </c>
      <c r="T2073" s="19" t="s">
        <v>36</v>
      </c>
      <c r="U2073" s="33" t="s">
        <v>746</v>
      </c>
      <c r="V2073" s="22">
        <v>39</v>
      </c>
      <c r="W2073" s="22">
        <v>4</v>
      </c>
      <c r="X2073" s="23"/>
    </row>
    <row r="2074" spans="1:24" s="1" customFormat="1" ht="13.05" customHeight="1" x14ac:dyDescent="0.3">
      <c r="A2074" s="24" t="s">
        <v>23</v>
      </c>
      <c r="B2074" s="24" t="s">
        <v>2159</v>
      </c>
      <c r="C2074" s="12" t="s">
        <v>2165</v>
      </c>
      <c r="D2074" s="60"/>
      <c r="E2074" s="41" t="str">
        <f t="shared" si="76"/>
        <v>Еще фото</v>
      </c>
      <c r="F2074" s="13"/>
      <c r="G2074" s="24" t="s">
        <v>1184</v>
      </c>
      <c r="H2074" s="24" t="s">
        <v>741</v>
      </c>
      <c r="I2074" s="24" t="s">
        <v>1185</v>
      </c>
      <c r="J2074" s="14" t="s">
        <v>29</v>
      </c>
      <c r="K2074" s="15" t="s">
        <v>30</v>
      </c>
      <c r="L2074" s="62"/>
      <c r="M2074" s="14"/>
      <c r="N2074" s="14" t="s">
        <v>229</v>
      </c>
      <c r="O2074" s="14"/>
      <c r="P2074" s="15" t="s">
        <v>745</v>
      </c>
      <c r="Q2074" s="16">
        <v>7899</v>
      </c>
      <c r="R2074" s="17">
        <v>40</v>
      </c>
      <c r="S2074" s="18">
        <v>5450.3099999999995</v>
      </c>
      <c r="T2074" s="19" t="s">
        <v>36</v>
      </c>
      <c r="U2074" s="20" t="s">
        <v>747</v>
      </c>
      <c r="V2074" s="34">
        <v>39.5</v>
      </c>
      <c r="W2074" s="22">
        <v>7</v>
      </c>
      <c r="X2074" s="23"/>
    </row>
    <row r="2075" spans="1:24" s="1" customFormat="1" ht="13.05" customHeight="1" x14ac:dyDescent="0.3">
      <c r="A2075" s="24" t="s">
        <v>23</v>
      </c>
      <c r="B2075" s="24" t="s">
        <v>2159</v>
      </c>
      <c r="C2075" s="12" t="s">
        <v>2165</v>
      </c>
      <c r="D2075" s="60"/>
      <c r="E2075" s="41" t="str">
        <f t="shared" si="76"/>
        <v>Еще фото</v>
      </c>
      <c r="F2075" s="13"/>
      <c r="G2075" s="24" t="s">
        <v>1184</v>
      </c>
      <c r="H2075" s="24" t="s">
        <v>741</v>
      </c>
      <c r="I2075" s="24" t="s">
        <v>1185</v>
      </c>
      <c r="J2075" s="14" t="s">
        <v>29</v>
      </c>
      <c r="K2075" s="15" t="s">
        <v>30</v>
      </c>
      <c r="L2075" s="62"/>
      <c r="M2075" s="14"/>
      <c r="N2075" s="14" t="s">
        <v>229</v>
      </c>
      <c r="O2075" s="14"/>
      <c r="P2075" s="15" t="s">
        <v>745</v>
      </c>
      <c r="Q2075" s="16">
        <v>7899</v>
      </c>
      <c r="R2075" s="17">
        <v>40</v>
      </c>
      <c r="S2075" s="18">
        <v>5450.3099999999995</v>
      </c>
      <c r="T2075" s="19" t="s">
        <v>36</v>
      </c>
      <c r="U2075" s="20" t="s">
        <v>749</v>
      </c>
      <c r="V2075" s="22">
        <v>41</v>
      </c>
      <c r="W2075" s="22">
        <v>4</v>
      </c>
      <c r="X2075" s="23"/>
    </row>
    <row r="2076" spans="1:24" s="1" customFormat="1" ht="13.05" customHeight="1" x14ac:dyDescent="0.3">
      <c r="A2076" s="24" t="s">
        <v>23</v>
      </c>
      <c r="B2076" s="24" t="s">
        <v>2159</v>
      </c>
      <c r="C2076" s="12" t="s">
        <v>2165</v>
      </c>
      <c r="D2076" s="60"/>
      <c r="E2076" s="41" t="str">
        <f t="shared" si="76"/>
        <v>Еще фото</v>
      </c>
      <c r="F2076" s="13"/>
      <c r="G2076" s="24" t="s">
        <v>1184</v>
      </c>
      <c r="H2076" s="24" t="s">
        <v>741</v>
      </c>
      <c r="I2076" s="24" t="s">
        <v>1185</v>
      </c>
      <c r="J2076" s="14" t="s">
        <v>29</v>
      </c>
      <c r="K2076" s="15" t="s">
        <v>30</v>
      </c>
      <c r="L2076" s="62"/>
      <c r="M2076" s="14"/>
      <c r="N2076" s="14" t="s">
        <v>229</v>
      </c>
      <c r="O2076" s="14"/>
      <c r="P2076" s="15" t="s">
        <v>745</v>
      </c>
      <c r="Q2076" s="16">
        <v>7899</v>
      </c>
      <c r="R2076" s="17">
        <v>40</v>
      </c>
      <c r="S2076" s="18">
        <v>5450.3099999999995</v>
      </c>
      <c r="T2076" s="19" t="s">
        <v>36</v>
      </c>
      <c r="U2076" s="20" t="s">
        <v>750</v>
      </c>
      <c r="V2076" s="34">
        <v>41.5</v>
      </c>
      <c r="W2076" s="22">
        <v>11</v>
      </c>
      <c r="X2076" s="23"/>
    </row>
    <row r="2077" spans="1:24" s="1" customFormat="1" ht="13.05" customHeight="1" x14ac:dyDescent="0.3">
      <c r="A2077" s="24" t="s">
        <v>23</v>
      </c>
      <c r="B2077" s="24" t="s">
        <v>2159</v>
      </c>
      <c r="C2077" s="12" t="s">
        <v>2165</v>
      </c>
      <c r="D2077" s="60"/>
      <c r="E2077" s="41" t="str">
        <f t="shared" si="76"/>
        <v>Еще фото</v>
      </c>
      <c r="F2077" s="13"/>
      <c r="G2077" s="24" t="s">
        <v>1184</v>
      </c>
      <c r="H2077" s="24" t="s">
        <v>741</v>
      </c>
      <c r="I2077" s="24" t="s">
        <v>1185</v>
      </c>
      <c r="J2077" s="14" t="s">
        <v>29</v>
      </c>
      <c r="K2077" s="15" t="s">
        <v>30</v>
      </c>
      <c r="L2077" s="62"/>
      <c r="M2077" s="14"/>
      <c r="N2077" s="14" t="s">
        <v>229</v>
      </c>
      <c r="O2077" s="14"/>
      <c r="P2077" s="15" t="s">
        <v>745</v>
      </c>
      <c r="Q2077" s="16">
        <v>7899</v>
      </c>
      <c r="R2077" s="17">
        <v>40</v>
      </c>
      <c r="S2077" s="18">
        <v>5450.3099999999995</v>
      </c>
      <c r="T2077" s="19" t="s">
        <v>36</v>
      </c>
      <c r="U2077" s="20" t="s">
        <v>751</v>
      </c>
      <c r="V2077" s="22">
        <v>42</v>
      </c>
      <c r="W2077" s="22">
        <v>6</v>
      </c>
      <c r="X2077" s="23"/>
    </row>
    <row r="2078" spans="1:24" s="1" customFormat="1" ht="13.05" customHeight="1" x14ac:dyDescent="0.3">
      <c r="A2078" s="24" t="s">
        <v>23</v>
      </c>
      <c r="B2078" s="24" t="s">
        <v>2159</v>
      </c>
      <c r="C2078" s="12" t="s">
        <v>2165</v>
      </c>
      <c r="D2078" s="60"/>
      <c r="E2078" s="41" t="str">
        <f t="shared" si="76"/>
        <v>Еще фото</v>
      </c>
      <c r="F2078" s="13"/>
      <c r="G2078" s="24" t="s">
        <v>1184</v>
      </c>
      <c r="H2078" s="24" t="s">
        <v>741</v>
      </c>
      <c r="I2078" s="24" t="s">
        <v>1185</v>
      </c>
      <c r="J2078" s="14" t="s">
        <v>29</v>
      </c>
      <c r="K2078" s="15" t="s">
        <v>30</v>
      </c>
      <c r="L2078" s="62"/>
      <c r="M2078" s="14"/>
      <c r="N2078" s="14" t="s">
        <v>229</v>
      </c>
      <c r="O2078" s="14"/>
      <c r="P2078" s="15" t="s">
        <v>745</v>
      </c>
      <c r="Q2078" s="16">
        <v>7899</v>
      </c>
      <c r="R2078" s="17">
        <v>40</v>
      </c>
      <c r="S2078" s="18">
        <v>5450.3099999999995</v>
      </c>
      <c r="T2078" s="19" t="s">
        <v>36</v>
      </c>
      <c r="U2078" s="20" t="s">
        <v>752</v>
      </c>
      <c r="V2078" s="22">
        <v>43</v>
      </c>
      <c r="W2078" s="22">
        <v>7</v>
      </c>
      <c r="X2078" s="23"/>
    </row>
    <row r="2079" spans="1:24" s="1" customFormat="1" ht="13.05" customHeight="1" x14ac:dyDescent="0.3">
      <c r="A2079" s="24" t="s">
        <v>23</v>
      </c>
      <c r="B2079" s="24" t="s">
        <v>2159</v>
      </c>
      <c r="C2079" s="12" t="s">
        <v>2165</v>
      </c>
      <c r="D2079" s="60"/>
      <c r="E2079" s="41" t="str">
        <f t="shared" si="76"/>
        <v>Еще фото</v>
      </c>
      <c r="F2079" s="13"/>
      <c r="G2079" s="24" t="s">
        <v>1184</v>
      </c>
      <c r="H2079" s="24" t="s">
        <v>741</v>
      </c>
      <c r="I2079" s="24" t="s">
        <v>1185</v>
      </c>
      <c r="J2079" s="14" t="s">
        <v>29</v>
      </c>
      <c r="K2079" s="15" t="s">
        <v>30</v>
      </c>
      <c r="L2079" s="62"/>
      <c r="M2079" s="14"/>
      <c r="N2079" s="14" t="s">
        <v>229</v>
      </c>
      <c r="O2079" s="14"/>
      <c r="P2079" s="15" t="s">
        <v>745</v>
      </c>
      <c r="Q2079" s="16">
        <v>7899</v>
      </c>
      <c r="R2079" s="17">
        <v>40</v>
      </c>
      <c r="S2079" s="18">
        <v>5450.3099999999995</v>
      </c>
      <c r="T2079" s="19" t="s">
        <v>36</v>
      </c>
      <c r="U2079" s="20" t="s">
        <v>753</v>
      </c>
      <c r="V2079" s="34">
        <v>43.5</v>
      </c>
      <c r="W2079" s="22">
        <v>1</v>
      </c>
      <c r="X2079" s="23"/>
    </row>
    <row r="2080" spans="1:24" s="1" customFormat="1" ht="18" customHeight="1" x14ac:dyDescent="0.3">
      <c r="A2080" s="24" t="s">
        <v>23</v>
      </c>
      <c r="B2080" s="24" t="s">
        <v>2159</v>
      </c>
      <c r="C2080" s="12" t="s">
        <v>2165</v>
      </c>
      <c r="D2080" s="61"/>
      <c r="E2080" s="41" t="str">
        <f t="shared" si="76"/>
        <v>Еще фото</v>
      </c>
      <c r="F2080" s="13"/>
      <c r="G2080" s="24" t="s">
        <v>1184</v>
      </c>
      <c r="H2080" s="24" t="s">
        <v>741</v>
      </c>
      <c r="I2080" s="24" t="s">
        <v>1185</v>
      </c>
      <c r="J2080" s="14" t="s">
        <v>29</v>
      </c>
      <c r="K2080" s="15" t="s">
        <v>30</v>
      </c>
      <c r="L2080" s="58"/>
      <c r="M2080" s="14"/>
      <c r="N2080" s="14" t="s">
        <v>229</v>
      </c>
      <c r="O2080" s="14"/>
      <c r="P2080" s="15" t="s">
        <v>745</v>
      </c>
      <c r="Q2080" s="16">
        <v>7899</v>
      </c>
      <c r="R2080" s="17">
        <v>40</v>
      </c>
      <c r="S2080" s="18">
        <v>5450.3099999999995</v>
      </c>
      <c r="T2080" s="19" t="s">
        <v>36</v>
      </c>
      <c r="U2080" s="20" t="s">
        <v>755</v>
      </c>
      <c r="V2080" s="34">
        <v>44.5</v>
      </c>
      <c r="W2080" s="22">
        <v>3</v>
      </c>
      <c r="X2080" s="23"/>
    </row>
    <row r="2081" spans="1:24" s="1" customFormat="1" ht="52.05" customHeight="1" x14ac:dyDescent="0.3">
      <c r="A2081" s="11" t="s">
        <v>23</v>
      </c>
      <c r="B2081" s="11" t="s">
        <v>2159</v>
      </c>
      <c r="C2081" s="12" t="s">
        <v>2166</v>
      </c>
      <c r="D2081" s="55"/>
      <c r="E2081" s="41" t="str">
        <f>HYPERLINK("https://www.google.ru/search?q=3027000-301&amp;newwindow=1&amp;tbm=isch","Еще фото")</f>
        <v>Еще фото</v>
      </c>
      <c r="F2081" s="13" t="s">
        <v>103</v>
      </c>
      <c r="G2081" s="11" t="s">
        <v>1184</v>
      </c>
      <c r="H2081" s="11" t="s">
        <v>741</v>
      </c>
      <c r="I2081" s="14" t="s">
        <v>1185</v>
      </c>
      <c r="J2081" s="14" t="s">
        <v>29</v>
      </c>
      <c r="K2081" s="15" t="s">
        <v>30</v>
      </c>
      <c r="L2081" s="57" t="s">
        <v>2161</v>
      </c>
      <c r="M2081" s="14"/>
      <c r="N2081" s="14" t="s">
        <v>127</v>
      </c>
      <c r="O2081" s="14"/>
      <c r="P2081" s="15" t="s">
        <v>745</v>
      </c>
      <c r="Q2081" s="16">
        <v>7899</v>
      </c>
      <c r="R2081" s="17">
        <v>40</v>
      </c>
      <c r="S2081" s="18">
        <v>5450.3099999999995</v>
      </c>
      <c r="T2081" s="19" t="s">
        <v>36</v>
      </c>
      <c r="U2081" s="20" t="s">
        <v>748</v>
      </c>
      <c r="V2081" s="22">
        <v>40</v>
      </c>
      <c r="W2081" s="22">
        <v>8</v>
      </c>
      <c r="X2081" s="23"/>
    </row>
    <row r="2082" spans="1:24" s="1" customFormat="1" ht="61.05" customHeight="1" x14ac:dyDescent="0.3">
      <c r="A2082" s="24" t="s">
        <v>23</v>
      </c>
      <c r="B2082" s="24" t="s">
        <v>2159</v>
      </c>
      <c r="C2082" s="12" t="s">
        <v>2166</v>
      </c>
      <c r="D2082" s="56"/>
      <c r="E2082" s="41" t="str">
        <f>HYPERLINK("https://www.google.ru/search?q=3027000-301&amp;newwindow=1&amp;tbm=isch","Еще фото")</f>
        <v>Еще фото</v>
      </c>
      <c r="F2082" s="13" t="s">
        <v>103</v>
      </c>
      <c r="G2082" s="24" t="s">
        <v>1184</v>
      </c>
      <c r="H2082" s="24" t="s">
        <v>741</v>
      </c>
      <c r="I2082" s="24" t="s">
        <v>1185</v>
      </c>
      <c r="J2082" s="14" t="s">
        <v>29</v>
      </c>
      <c r="K2082" s="15" t="s">
        <v>30</v>
      </c>
      <c r="L2082" s="58"/>
      <c r="M2082" s="14"/>
      <c r="N2082" s="14" t="s">
        <v>127</v>
      </c>
      <c r="O2082" s="14"/>
      <c r="P2082" s="15" t="s">
        <v>745</v>
      </c>
      <c r="Q2082" s="16">
        <v>7899</v>
      </c>
      <c r="R2082" s="17">
        <v>40</v>
      </c>
      <c r="S2082" s="18">
        <v>5450.3099999999995</v>
      </c>
      <c r="T2082" s="19" t="s">
        <v>36</v>
      </c>
      <c r="U2082" s="20" t="s">
        <v>749</v>
      </c>
      <c r="V2082" s="22">
        <v>41</v>
      </c>
      <c r="W2082" s="22">
        <v>1</v>
      </c>
      <c r="X2082" s="23"/>
    </row>
    <row r="2083" spans="1:24" s="1" customFormat="1" ht="35" customHeight="1" x14ac:dyDescent="0.3">
      <c r="A2083" s="11" t="s">
        <v>23</v>
      </c>
      <c r="B2083" s="11" t="s">
        <v>1291</v>
      </c>
      <c r="C2083" s="12" t="s">
        <v>2167</v>
      </c>
      <c r="D2083" s="59"/>
      <c r="E2083" s="41" t="str">
        <f>HYPERLINK("https://www.google.ru/search?q=3027006-044&amp;newwindow=1&amp;tbm=isch","Еще фото")</f>
        <v>Еще фото</v>
      </c>
      <c r="F2083" s="13" t="s">
        <v>103</v>
      </c>
      <c r="G2083" s="11" t="s">
        <v>1184</v>
      </c>
      <c r="H2083" s="11" t="s">
        <v>741</v>
      </c>
      <c r="I2083" s="14" t="s">
        <v>1185</v>
      </c>
      <c r="J2083" s="14" t="s">
        <v>29</v>
      </c>
      <c r="K2083" s="15" t="s">
        <v>59</v>
      </c>
      <c r="L2083" s="57" t="s">
        <v>1293</v>
      </c>
      <c r="M2083" s="14"/>
      <c r="N2083" s="14" t="s">
        <v>62</v>
      </c>
      <c r="O2083" s="14"/>
      <c r="P2083" s="15" t="s">
        <v>1294</v>
      </c>
      <c r="Q2083" s="16">
        <v>8499</v>
      </c>
      <c r="R2083" s="17">
        <v>40</v>
      </c>
      <c r="S2083" s="18">
        <v>5864.3099999999995</v>
      </c>
      <c r="T2083" s="19" t="s">
        <v>36</v>
      </c>
      <c r="U2083" s="20" t="s">
        <v>1203</v>
      </c>
      <c r="V2083" s="22">
        <v>36</v>
      </c>
      <c r="W2083" s="22">
        <v>2</v>
      </c>
      <c r="X2083" s="23"/>
    </row>
    <row r="2084" spans="1:24" s="1" customFormat="1" ht="35" customHeight="1" x14ac:dyDescent="0.3">
      <c r="A2084" s="24" t="s">
        <v>23</v>
      </c>
      <c r="B2084" s="24" t="s">
        <v>1291</v>
      </c>
      <c r="C2084" s="12" t="s">
        <v>2167</v>
      </c>
      <c r="D2084" s="60"/>
      <c r="E2084" s="41" t="str">
        <f>HYPERLINK("https://www.google.ru/search?q=3027006-044&amp;newwindow=1&amp;tbm=isch","Еще фото")</f>
        <v>Еще фото</v>
      </c>
      <c r="F2084" s="13" t="s">
        <v>103</v>
      </c>
      <c r="G2084" s="24" t="s">
        <v>1184</v>
      </c>
      <c r="H2084" s="24" t="s">
        <v>741</v>
      </c>
      <c r="I2084" s="24" t="s">
        <v>1185</v>
      </c>
      <c r="J2084" s="14" t="s">
        <v>29</v>
      </c>
      <c r="K2084" s="15" t="s">
        <v>59</v>
      </c>
      <c r="L2084" s="62"/>
      <c r="M2084" s="14"/>
      <c r="N2084" s="14" t="s">
        <v>62</v>
      </c>
      <c r="O2084" s="14"/>
      <c r="P2084" s="15" t="s">
        <v>1294</v>
      </c>
      <c r="Q2084" s="16">
        <v>8499</v>
      </c>
      <c r="R2084" s="17">
        <v>40</v>
      </c>
      <c r="S2084" s="18">
        <v>5864.3099999999995</v>
      </c>
      <c r="T2084" s="19" t="s">
        <v>36</v>
      </c>
      <c r="U2084" s="20" t="s">
        <v>750</v>
      </c>
      <c r="V2084" s="34">
        <v>39.5</v>
      </c>
      <c r="W2084" s="22">
        <v>1</v>
      </c>
      <c r="X2084" s="23"/>
    </row>
    <row r="2085" spans="1:24" s="1" customFormat="1" ht="37.049999999999997" customHeight="1" x14ac:dyDescent="0.3">
      <c r="A2085" s="24" t="s">
        <v>23</v>
      </c>
      <c r="B2085" s="24" t="s">
        <v>1291</v>
      </c>
      <c r="C2085" s="12" t="s">
        <v>2167</v>
      </c>
      <c r="D2085" s="61"/>
      <c r="E2085" s="41" t="str">
        <f>HYPERLINK("https://www.google.ru/search?q=3027006-044&amp;newwindow=1&amp;tbm=isch","Еще фото")</f>
        <v>Еще фото</v>
      </c>
      <c r="F2085" s="13" t="s">
        <v>103</v>
      </c>
      <c r="G2085" s="24" t="s">
        <v>1184</v>
      </c>
      <c r="H2085" s="24" t="s">
        <v>741</v>
      </c>
      <c r="I2085" s="24" t="s">
        <v>1185</v>
      </c>
      <c r="J2085" s="14" t="s">
        <v>29</v>
      </c>
      <c r="K2085" s="15" t="s">
        <v>59</v>
      </c>
      <c r="L2085" s="58"/>
      <c r="M2085" s="14"/>
      <c r="N2085" s="14" t="s">
        <v>62</v>
      </c>
      <c r="O2085" s="14"/>
      <c r="P2085" s="15" t="s">
        <v>1294</v>
      </c>
      <c r="Q2085" s="16">
        <v>8499</v>
      </c>
      <c r="R2085" s="17">
        <v>40</v>
      </c>
      <c r="S2085" s="18">
        <v>5864.3099999999995</v>
      </c>
      <c r="T2085" s="19" t="s">
        <v>36</v>
      </c>
      <c r="U2085" s="20" t="s">
        <v>752</v>
      </c>
      <c r="V2085" s="22">
        <v>41</v>
      </c>
      <c r="W2085" s="22">
        <v>1</v>
      </c>
      <c r="X2085" s="23"/>
    </row>
    <row r="2086" spans="1:24" s="1" customFormat="1" ht="35" customHeight="1" x14ac:dyDescent="0.3">
      <c r="A2086" s="11" t="s">
        <v>23</v>
      </c>
      <c r="B2086" s="11" t="s">
        <v>1291</v>
      </c>
      <c r="C2086" s="12" t="s">
        <v>2168</v>
      </c>
      <c r="D2086" s="59"/>
      <c r="E2086" s="41" t="str">
        <f>HYPERLINK("https://www.google.ru/search?q=3027006-673&amp;newwindow=1&amp;tbm=isch","Еще фото")</f>
        <v>Еще фото</v>
      </c>
      <c r="F2086" s="13" t="s">
        <v>103</v>
      </c>
      <c r="G2086" s="11" t="s">
        <v>1184</v>
      </c>
      <c r="H2086" s="11" t="s">
        <v>741</v>
      </c>
      <c r="I2086" s="14" t="s">
        <v>1185</v>
      </c>
      <c r="J2086" s="14" t="s">
        <v>29</v>
      </c>
      <c r="K2086" s="15" t="s">
        <v>59</v>
      </c>
      <c r="L2086" s="57" t="s">
        <v>1293</v>
      </c>
      <c r="M2086" s="14"/>
      <c r="N2086" s="14" t="s">
        <v>69</v>
      </c>
      <c r="O2086" s="14"/>
      <c r="P2086" s="15" t="s">
        <v>1893</v>
      </c>
      <c r="Q2086" s="16">
        <v>8399</v>
      </c>
      <c r="R2086" s="17">
        <v>40</v>
      </c>
      <c r="S2086" s="18">
        <v>5795.3099999999995</v>
      </c>
      <c r="T2086" s="19" t="s">
        <v>36</v>
      </c>
      <c r="U2086" s="20" t="s">
        <v>1203</v>
      </c>
      <c r="V2086" s="22">
        <v>36</v>
      </c>
      <c r="W2086" s="22">
        <v>4</v>
      </c>
      <c r="X2086" s="23"/>
    </row>
    <row r="2087" spans="1:24" s="1" customFormat="1" ht="35" customHeight="1" x14ac:dyDescent="0.3">
      <c r="A2087" s="24" t="s">
        <v>23</v>
      </c>
      <c r="B2087" s="24" t="s">
        <v>1291</v>
      </c>
      <c r="C2087" s="12" t="s">
        <v>2168</v>
      </c>
      <c r="D2087" s="60"/>
      <c r="E2087" s="41" t="str">
        <f>HYPERLINK("https://www.google.ru/search?q=3027006-673&amp;newwindow=1&amp;tbm=isch","Еще фото")</f>
        <v>Еще фото</v>
      </c>
      <c r="F2087" s="13" t="s">
        <v>103</v>
      </c>
      <c r="G2087" s="24" t="s">
        <v>1184</v>
      </c>
      <c r="H2087" s="24" t="s">
        <v>741</v>
      </c>
      <c r="I2087" s="24" t="s">
        <v>1185</v>
      </c>
      <c r="J2087" s="14" t="s">
        <v>29</v>
      </c>
      <c r="K2087" s="15" t="s">
        <v>59</v>
      </c>
      <c r="L2087" s="62"/>
      <c r="M2087" s="14"/>
      <c r="N2087" s="14" t="s">
        <v>69</v>
      </c>
      <c r="O2087" s="14"/>
      <c r="P2087" s="15" t="s">
        <v>1893</v>
      </c>
      <c r="Q2087" s="16">
        <v>8399</v>
      </c>
      <c r="R2087" s="17">
        <v>40</v>
      </c>
      <c r="S2087" s="18">
        <v>5795.3099999999995</v>
      </c>
      <c r="T2087" s="19" t="s">
        <v>36</v>
      </c>
      <c r="U2087" s="20" t="s">
        <v>1196</v>
      </c>
      <c r="V2087" s="34">
        <v>36.5</v>
      </c>
      <c r="W2087" s="22">
        <v>11</v>
      </c>
      <c r="X2087" s="23"/>
    </row>
    <row r="2088" spans="1:24" s="1" customFormat="1" ht="37.049999999999997" customHeight="1" x14ac:dyDescent="0.3">
      <c r="A2088" s="24" t="s">
        <v>23</v>
      </c>
      <c r="B2088" s="24" t="s">
        <v>1291</v>
      </c>
      <c r="C2088" s="12" t="s">
        <v>2168</v>
      </c>
      <c r="D2088" s="61"/>
      <c r="E2088" s="41" t="str">
        <f>HYPERLINK("https://www.google.ru/search?q=3027006-673&amp;newwindow=1&amp;tbm=isch","Еще фото")</f>
        <v>Еще фото</v>
      </c>
      <c r="F2088" s="13" t="s">
        <v>103</v>
      </c>
      <c r="G2088" s="24" t="s">
        <v>1184</v>
      </c>
      <c r="H2088" s="24" t="s">
        <v>741</v>
      </c>
      <c r="I2088" s="24" t="s">
        <v>1185</v>
      </c>
      <c r="J2088" s="14" t="s">
        <v>29</v>
      </c>
      <c r="K2088" s="15" t="s">
        <v>59</v>
      </c>
      <c r="L2088" s="58"/>
      <c r="M2088" s="14"/>
      <c r="N2088" s="14" t="s">
        <v>69</v>
      </c>
      <c r="O2088" s="14"/>
      <c r="P2088" s="15" t="s">
        <v>1893</v>
      </c>
      <c r="Q2088" s="16">
        <v>8399</v>
      </c>
      <c r="R2088" s="17">
        <v>40</v>
      </c>
      <c r="S2088" s="18">
        <v>5795.3099999999995</v>
      </c>
      <c r="T2088" s="19" t="s">
        <v>36</v>
      </c>
      <c r="U2088" s="20" t="s">
        <v>746</v>
      </c>
      <c r="V2088" s="22">
        <v>37</v>
      </c>
      <c r="W2088" s="22">
        <v>17</v>
      </c>
      <c r="X2088" s="23"/>
    </row>
    <row r="2089" spans="1:24" s="1" customFormat="1" ht="13.05" customHeight="1" x14ac:dyDescent="0.3">
      <c r="A2089" s="11" t="s">
        <v>23</v>
      </c>
      <c r="B2089" s="11" t="s">
        <v>1470</v>
      </c>
      <c r="C2089" s="12" t="s">
        <v>2169</v>
      </c>
      <c r="D2089" s="59"/>
      <c r="E2089" s="41" t="str">
        <f t="shared" ref="E2089:E2096" si="77">HYPERLINK("https://www.google.ru/search?q=3027007-001&amp;newwindow=1&amp;tbm=isch","Еще фото")</f>
        <v>Еще фото</v>
      </c>
      <c r="F2089" s="13" t="s">
        <v>103</v>
      </c>
      <c r="G2089" s="11" t="s">
        <v>1184</v>
      </c>
      <c r="H2089" s="11" t="s">
        <v>741</v>
      </c>
      <c r="I2089" s="14" t="s">
        <v>1185</v>
      </c>
      <c r="J2089" s="14" t="s">
        <v>29</v>
      </c>
      <c r="K2089" s="15" t="s">
        <v>59</v>
      </c>
      <c r="L2089" s="57" t="s">
        <v>2170</v>
      </c>
      <c r="M2089" s="14" t="s">
        <v>1274</v>
      </c>
      <c r="N2089" s="14" t="s">
        <v>33</v>
      </c>
      <c r="O2089" s="14"/>
      <c r="P2089" s="15" t="s">
        <v>745</v>
      </c>
      <c r="Q2089" s="16">
        <v>7899</v>
      </c>
      <c r="R2089" s="17">
        <v>40</v>
      </c>
      <c r="S2089" s="18">
        <v>5450.3099999999995</v>
      </c>
      <c r="T2089" s="19" t="s">
        <v>36</v>
      </c>
      <c r="U2089" s="33" t="s">
        <v>1190</v>
      </c>
      <c r="V2089" s="34">
        <v>35.5</v>
      </c>
      <c r="W2089" s="22">
        <v>1</v>
      </c>
      <c r="X2089" s="23"/>
    </row>
    <row r="2090" spans="1:24" s="1" customFormat="1" ht="13.05" customHeight="1" x14ac:dyDescent="0.3">
      <c r="A2090" s="24" t="s">
        <v>23</v>
      </c>
      <c r="B2090" s="24" t="s">
        <v>1470</v>
      </c>
      <c r="C2090" s="12" t="s">
        <v>2169</v>
      </c>
      <c r="D2090" s="60"/>
      <c r="E2090" s="41" t="str">
        <f t="shared" si="77"/>
        <v>Еще фото</v>
      </c>
      <c r="F2090" s="13" t="s">
        <v>103</v>
      </c>
      <c r="G2090" s="24" t="s">
        <v>1184</v>
      </c>
      <c r="H2090" s="24" t="s">
        <v>741</v>
      </c>
      <c r="I2090" s="24" t="s">
        <v>1185</v>
      </c>
      <c r="J2090" s="14" t="s">
        <v>29</v>
      </c>
      <c r="K2090" s="15" t="s">
        <v>59</v>
      </c>
      <c r="L2090" s="62"/>
      <c r="M2090" s="14" t="s">
        <v>1274</v>
      </c>
      <c r="N2090" s="14" t="s">
        <v>33</v>
      </c>
      <c r="O2090" s="14"/>
      <c r="P2090" s="15" t="s">
        <v>745</v>
      </c>
      <c r="Q2090" s="16">
        <v>7899</v>
      </c>
      <c r="R2090" s="17">
        <v>40</v>
      </c>
      <c r="S2090" s="18">
        <v>5450.3099999999995</v>
      </c>
      <c r="T2090" s="19" t="s">
        <v>36</v>
      </c>
      <c r="U2090" s="20" t="s">
        <v>1203</v>
      </c>
      <c r="V2090" s="22">
        <v>36</v>
      </c>
      <c r="W2090" s="22">
        <v>21</v>
      </c>
      <c r="X2090" s="23"/>
    </row>
    <row r="2091" spans="1:24" s="1" customFormat="1" ht="13.05" customHeight="1" x14ac:dyDescent="0.3">
      <c r="A2091" s="24" t="s">
        <v>23</v>
      </c>
      <c r="B2091" s="24" t="s">
        <v>1470</v>
      </c>
      <c r="C2091" s="12" t="s">
        <v>2169</v>
      </c>
      <c r="D2091" s="60"/>
      <c r="E2091" s="41" t="str">
        <f t="shared" si="77"/>
        <v>Еще фото</v>
      </c>
      <c r="F2091" s="13" t="s">
        <v>103</v>
      </c>
      <c r="G2091" s="24" t="s">
        <v>1184</v>
      </c>
      <c r="H2091" s="24" t="s">
        <v>741</v>
      </c>
      <c r="I2091" s="24" t="s">
        <v>1185</v>
      </c>
      <c r="J2091" s="14" t="s">
        <v>29</v>
      </c>
      <c r="K2091" s="15" t="s">
        <v>59</v>
      </c>
      <c r="L2091" s="62"/>
      <c r="M2091" s="14" t="s">
        <v>1274</v>
      </c>
      <c r="N2091" s="14" t="s">
        <v>33</v>
      </c>
      <c r="O2091" s="14"/>
      <c r="P2091" s="15" t="s">
        <v>745</v>
      </c>
      <c r="Q2091" s="16">
        <v>7899</v>
      </c>
      <c r="R2091" s="17">
        <v>40</v>
      </c>
      <c r="S2091" s="18">
        <v>5450.3099999999995</v>
      </c>
      <c r="T2091" s="19" t="s">
        <v>36</v>
      </c>
      <c r="U2091" s="20" t="s">
        <v>1196</v>
      </c>
      <c r="V2091" s="34">
        <v>36.5</v>
      </c>
      <c r="W2091" s="22">
        <v>34</v>
      </c>
      <c r="X2091" s="23"/>
    </row>
    <row r="2092" spans="1:24" s="1" customFormat="1" ht="13.05" customHeight="1" x14ac:dyDescent="0.3">
      <c r="A2092" s="24" t="s">
        <v>23</v>
      </c>
      <c r="B2092" s="24" t="s">
        <v>1470</v>
      </c>
      <c r="C2092" s="12" t="s">
        <v>2169</v>
      </c>
      <c r="D2092" s="60"/>
      <c r="E2092" s="41" t="str">
        <f t="shared" si="77"/>
        <v>Еще фото</v>
      </c>
      <c r="F2092" s="13" t="s">
        <v>103</v>
      </c>
      <c r="G2092" s="24" t="s">
        <v>1184</v>
      </c>
      <c r="H2092" s="24" t="s">
        <v>741</v>
      </c>
      <c r="I2092" s="24" t="s">
        <v>1185</v>
      </c>
      <c r="J2092" s="14" t="s">
        <v>29</v>
      </c>
      <c r="K2092" s="15" t="s">
        <v>59</v>
      </c>
      <c r="L2092" s="62"/>
      <c r="M2092" s="14" t="s">
        <v>1274</v>
      </c>
      <c r="N2092" s="14" t="s">
        <v>33</v>
      </c>
      <c r="O2092" s="14"/>
      <c r="P2092" s="15" t="s">
        <v>745</v>
      </c>
      <c r="Q2092" s="16">
        <v>7899</v>
      </c>
      <c r="R2092" s="17">
        <v>40</v>
      </c>
      <c r="S2092" s="18">
        <v>5450.3099999999995</v>
      </c>
      <c r="T2092" s="19" t="s">
        <v>36</v>
      </c>
      <c r="U2092" s="20" t="s">
        <v>746</v>
      </c>
      <c r="V2092" s="22">
        <v>37</v>
      </c>
      <c r="W2092" s="22">
        <v>44</v>
      </c>
      <c r="X2092" s="23"/>
    </row>
    <row r="2093" spans="1:24" s="1" customFormat="1" ht="13.05" customHeight="1" x14ac:dyDescent="0.3">
      <c r="A2093" s="24" t="s">
        <v>23</v>
      </c>
      <c r="B2093" s="24" t="s">
        <v>1470</v>
      </c>
      <c r="C2093" s="12" t="s">
        <v>2169</v>
      </c>
      <c r="D2093" s="60"/>
      <c r="E2093" s="41" t="str">
        <f t="shared" si="77"/>
        <v>Еще фото</v>
      </c>
      <c r="F2093" s="13" t="s">
        <v>103</v>
      </c>
      <c r="G2093" s="24" t="s">
        <v>1184</v>
      </c>
      <c r="H2093" s="24" t="s">
        <v>741</v>
      </c>
      <c r="I2093" s="24" t="s">
        <v>1185</v>
      </c>
      <c r="J2093" s="14" t="s">
        <v>29</v>
      </c>
      <c r="K2093" s="15" t="s">
        <v>59</v>
      </c>
      <c r="L2093" s="62"/>
      <c r="M2093" s="14" t="s">
        <v>1274</v>
      </c>
      <c r="N2093" s="14" t="s">
        <v>33</v>
      </c>
      <c r="O2093" s="14"/>
      <c r="P2093" s="15" t="s">
        <v>745</v>
      </c>
      <c r="Q2093" s="16">
        <v>7899</v>
      </c>
      <c r="R2093" s="17">
        <v>40</v>
      </c>
      <c r="S2093" s="18">
        <v>5450.3099999999995</v>
      </c>
      <c r="T2093" s="19" t="s">
        <v>36</v>
      </c>
      <c r="U2093" s="20" t="s">
        <v>747</v>
      </c>
      <c r="V2093" s="34">
        <v>37.5</v>
      </c>
      <c r="W2093" s="22">
        <v>48</v>
      </c>
      <c r="X2093" s="23"/>
    </row>
    <row r="2094" spans="1:24" s="1" customFormat="1" ht="13.05" customHeight="1" x14ac:dyDescent="0.3">
      <c r="A2094" s="24" t="s">
        <v>23</v>
      </c>
      <c r="B2094" s="24" t="s">
        <v>1470</v>
      </c>
      <c r="C2094" s="12" t="s">
        <v>2169</v>
      </c>
      <c r="D2094" s="60"/>
      <c r="E2094" s="41" t="str">
        <f t="shared" si="77"/>
        <v>Еще фото</v>
      </c>
      <c r="F2094" s="13" t="s">
        <v>103</v>
      </c>
      <c r="G2094" s="24" t="s">
        <v>1184</v>
      </c>
      <c r="H2094" s="24" t="s">
        <v>741</v>
      </c>
      <c r="I2094" s="24" t="s">
        <v>1185</v>
      </c>
      <c r="J2094" s="14" t="s">
        <v>29</v>
      </c>
      <c r="K2094" s="15" t="s">
        <v>59</v>
      </c>
      <c r="L2094" s="62"/>
      <c r="M2094" s="14" t="s">
        <v>1274</v>
      </c>
      <c r="N2094" s="14" t="s">
        <v>33</v>
      </c>
      <c r="O2094" s="14"/>
      <c r="P2094" s="15" t="s">
        <v>745</v>
      </c>
      <c r="Q2094" s="16">
        <v>7899</v>
      </c>
      <c r="R2094" s="17">
        <v>40</v>
      </c>
      <c r="S2094" s="18">
        <v>5450.3099999999995</v>
      </c>
      <c r="T2094" s="19" t="s">
        <v>36</v>
      </c>
      <c r="U2094" s="20" t="s">
        <v>748</v>
      </c>
      <c r="V2094" s="22">
        <v>38</v>
      </c>
      <c r="W2094" s="22">
        <v>19</v>
      </c>
      <c r="X2094" s="23"/>
    </row>
    <row r="2095" spans="1:24" s="1" customFormat="1" ht="13.05" customHeight="1" x14ac:dyDescent="0.3">
      <c r="A2095" s="24" t="s">
        <v>23</v>
      </c>
      <c r="B2095" s="24" t="s">
        <v>1470</v>
      </c>
      <c r="C2095" s="12" t="s">
        <v>2169</v>
      </c>
      <c r="D2095" s="60"/>
      <c r="E2095" s="41" t="str">
        <f t="shared" si="77"/>
        <v>Еще фото</v>
      </c>
      <c r="F2095" s="13" t="s">
        <v>103</v>
      </c>
      <c r="G2095" s="24" t="s">
        <v>1184</v>
      </c>
      <c r="H2095" s="24" t="s">
        <v>741</v>
      </c>
      <c r="I2095" s="24" t="s">
        <v>1185</v>
      </c>
      <c r="J2095" s="14" t="s">
        <v>29</v>
      </c>
      <c r="K2095" s="15" t="s">
        <v>59</v>
      </c>
      <c r="L2095" s="62"/>
      <c r="M2095" s="14" t="s">
        <v>1274</v>
      </c>
      <c r="N2095" s="14" t="s">
        <v>33</v>
      </c>
      <c r="O2095" s="14"/>
      <c r="P2095" s="15" t="s">
        <v>745</v>
      </c>
      <c r="Q2095" s="16">
        <v>7899</v>
      </c>
      <c r="R2095" s="17">
        <v>40</v>
      </c>
      <c r="S2095" s="18">
        <v>5450.3099999999995</v>
      </c>
      <c r="T2095" s="19" t="s">
        <v>36</v>
      </c>
      <c r="U2095" s="20" t="s">
        <v>749</v>
      </c>
      <c r="V2095" s="22">
        <v>39</v>
      </c>
      <c r="W2095" s="22">
        <v>10</v>
      </c>
      <c r="X2095" s="23"/>
    </row>
    <row r="2096" spans="1:24" s="1" customFormat="1" ht="18" customHeight="1" x14ac:dyDescent="0.3">
      <c r="A2096" s="24" t="s">
        <v>23</v>
      </c>
      <c r="B2096" s="24" t="s">
        <v>1470</v>
      </c>
      <c r="C2096" s="12" t="s">
        <v>2169</v>
      </c>
      <c r="D2096" s="61"/>
      <c r="E2096" s="41" t="str">
        <f t="shared" si="77"/>
        <v>Еще фото</v>
      </c>
      <c r="F2096" s="13" t="s">
        <v>103</v>
      </c>
      <c r="G2096" s="24" t="s">
        <v>1184</v>
      </c>
      <c r="H2096" s="24" t="s">
        <v>741</v>
      </c>
      <c r="I2096" s="24" t="s">
        <v>1185</v>
      </c>
      <c r="J2096" s="14" t="s">
        <v>29</v>
      </c>
      <c r="K2096" s="15" t="s">
        <v>59</v>
      </c>
      <c r="L2096" s="58"/>
      <c r="M2096" s="14" t="s">
        <v>1274</v>
      </c>
      <c r="N2096" s="14" t="s">
        <v>33</v>
      </c>
      <c r="O2096" s="14"/>
      <c r="P2096" s="15" t="s">
        <v>745</v>
      </c>
      <c r="Q2096" s="16">
        <v>7899</v>
      </c>
      <c r="R2096" s="17">
        <v>40</v>
      </c>
      <c r="S2096" s="18">
        <v>5450.3099999999995</v>
      </c>
      <c r="T2096" s="19" t="s">
        <v>36</v>
      </c>
      <c r="U2096" s="20" t="s">
        <v>750</v>
      </c>
      <c r="V2096" s="34">
        <v>39.5</v>
      </c>
      <c r="W2096" s="22">
        <v>10</v>
      </c>
      <c r="X2096" s="23"/>
    </row>
    <row r="2097" spans="1:24" s="1" customFormat="1" ht="35" customHeight="1" x14ac:dyDescent="0.3">
      <c r="A2097" s="11" t="s">
        <v>23</v>
      </c>
      <c r="B2097" s="11" t="s">
        <v>1470</v>
      </c>
      <c r="C2097" s="12" t="s">
        <v>2171</v>
      </c>
      <c r="D2097" s="59"/>
      <c r="E2097" s="41" t="str">
        <f>HYPERLINK("https://www.google.ru/search?q=3027007-100&amp;newwindow=1&amp;tbm=isch","Еще фото")</f>
        <v>Еще фото</v>
      </c>
      <c r="F2097" s="13" t="s">
        <v>103</v>
      </c>
      <c r="G2097" s="11" t="s">
        <v>1184</v>
      </c>
      <c r="H2097" s="11" t="s">
        <v>741</v>
      </c>
      <c r="I2097" s="14" t="s">
        <v>1185</v>
      </c>
      <c r="J2097" s="14" t="s">
        <v>29</v>
      </c>
      <c r="K2097" s="15" t="s">
        <v>59</v>
      </c>
      <c r="L2097" s="57" t="s">
        <v>1472</v>
      </c>
      <c r="M2097" s="14" t="s">
        <v>1274</v>
      </c>
      <c r="N2097" s="14" t="s">
        <v>84</v>
      </c>
      <c r="O2097" s="14"/>
      <c r="P2097" s="15" t="s">
        <v>745</v>
      </c>
      <c r="Q2097" s="16">
        <v>7899</v>
      </c>
      <c r="R2097" s="17">
        <v>40</v>
      </c>
      <c r="S2097" s="18">
        <v>5450.3099999999995</v>
      </c>
      <c r="T2097" s="19" t="s">
        <v>36</v>
      </c>
      <c r="U2097" s="20" t="s">
        <v>1203</v>
      </c>
      <c r="V2097" s="22">
        <v>36</v>
      </c>
      <c r="W2097" s="22">
        <v>6</v>
      </c>
      <c r="X2097" s="23"/>
    </row>
    <row r="2098" spans="1:24" s="1" customFormat="1" ht="35" customHeight="1" x14ac:dyDescent="0.3">
      <c r="A2098" s="24" t="s">
        <v>23</v>
      </c>
      <c r="B2098" s="24" t="s">
        <v>1470</v>
      </c>
      <c r="C2098" s="12" t="s">
        <v>2171</v>
      </c>
      <c r="D2098" s="60"/>
      <c r="E2098" s="41" t="str">
        <f>HYPERLINK("https://www.google.ru/search?q=3027007-100&amp;newwindow=1&amp;tbm=isch","Еще фото")</f>
        <v>Еще фото</v>
      </c>
      <c r="F2098" s="13" t="s">
        <v>103</v>
      </c>
      <c r="G2098" s="24" t="s">
        <v>1184</v>
      </c>
      <c r="H2098" s="24" t="s">
        <v>741</v>
      </c>
      <c r="I2098" s="24" t="s">
        <v>1185</v>
      </c>
      <c r="J2098" s="14" t="s">
        <v>29</v>
      </c>
      <c r="K2098" s="15" t="s">
        <v>59</v>
      </c>
      <c r="L2098" s="62"/>
      <c r="M2098" s="14" t="s">
        <v>1274</v>
      </c>
      <c r="N2098" s="14" t="s">
        <v>84</v>
      </c>
      <c r="O2098" s="14"/>
      <c r="P2098" s="15" t="s">
        <v>745</v>
      </c>
      <c r="Q2098" s="16">
        <v>7899</v>
      </c>
      <c r="R2098" s="17">
        <v>40</v>
      </c>
      <c r="S2098" s="18">
        <v>5450.3099999999995</v>
      </c>
      <c r="T2098" s="19" t="s">
        <v>36</v>
      </c>
      <c r="U2098" s="20" t="s">
        <v>1196</v>
      </c>
      <c r="V2098" s="34">
        <v>36.5</v>
      </c>
      <c r="W2098" s="22">
        <v>5</v>
      </c>
      <c r="X2098" s="23"/>
    </row>
    <row r="2099" spans="1:24" s="1" customFormat="1" ht="37.049999999999997" customHeight="1" x14ac:dyDescent="0.3">
      <c r="A2099" s="24" t="s">
        <v>23</v>
      </c>
      <c r="B2099" s="24" t="s">
        <v>1470</v>
      </c>
      <c r="C2099" s="12" t="s">
        <v>2171</v>
      </c>
      <c r="D2099" s="61"/>
      <c r="E2099" s="41" t="str">
        <f>HYPERLINK("https://www.google.ru/search?q=3027007-100&amp;newwindow=1&amp;tbm=isch","Еще фото")</f>
        <v>Еще фото</v>
      </c>
      <c r="F2099" s="13" t="s">
        <v>103</v>
      </c>
      <c r="G2099" s="24" t="s">
        <v>1184</v>
      </c>
      <c r="H2099" s="24" t="s">
        <v>741</v>
      </c>
      <c r="I2099" s="24" t="s">
        <v>1185</v>
      </c>
      <c r="J2099" s="14" t="s">
        <v>29</v>
      </c>
      <c r="K2099" s="15" t="s">
        <v>59</v>
      </c>
      <c r="L2099" s="58"/>
      <c r="M2099" s="14" t="s">
        <v>1274</v>
      </c>
      <c r="N2099" s="14" t="s">
        <v>84</v>
      </c>
      <c r="O2099" s="14"/>
      <c r="P2099" s="15" t="s">
        <v>745</v>
      </c>
      <c r="Q2099" s="16">
        <v>7899</v>
      </c>
      <c r="R2099" s="17">
        <v>40</v>
      </c>
      <c r="S2099" s="18">
        <v>5450.3099999999995</v>
      </c>
      <c r="T2099" s="19" t="s">
        <v>36</v>
      </c>
      <c r="U2099" s="20" t="s">
        <v>750</v>
      </c>
      <c r="V2099" s="34">
        <v>39.5</v>
      </c>
      <c r="W2099" s="22">
        <v>1</v>
      </c>
      <c r="X2099" s="23"/>
    </row>
    <row r="2100" spans="1:24" s="1" customFormat="1" ht="35" customHeight="1" x14ac:dyDescent="0.3">
      <c r="A2100" s="11" t="s">
        <v>23</v>
      </c>
      <c r="B2100" s="11" t="s">
        <v>1470</v>
      </c>
      <c r="C2100" s="12" t="s">
        <v>2172</v>
      </c>
      <c r="D2100" s="59"/>
      <c r="E2100" s="41" t="str">
        <f>HYPERLINK("https://www.google.ru/search?q=3027007-110&amp;newwindow=1&amp;tbm=isch","Еще фото")</f>
        <v>Еще фото</v>
      </c>
      <c r="F2100" s="13" t="s">
        <v>103</v>
      </c>
      <c r="G2100" s="11" t="s">
        <v>1184</v>
      </c>
      <c r="H2100" s="11" t="s">
        <v>741</v>
      </c>
      <c r="I2100" s="14" t="s">
        <v>1185</v>
      </c>
      <c r="J2100" s="14" t="s">
        <v>29</v>
      </c>
      <c r="K2100" s="15" t="s">
        <v>59</v>
      </c>
      <c r="L2100" s="57" t="s">
        <v>1472</v>
      </c>
      <c r="M2100" s="14"/>
      <c r="N2100" s="14" t="s">
        <v>84</v>
      </c>
      <c r="O2100" s="14"/>
      <c r="P2100" s="15" t="s">
        <v>745</v>
      </c>
      <c r="Q2100" s="16">
        <v>7899</v>
      </c>
      <c r="R2100" s="17">
        <v>40</v>
      </c>
      <c r="S2100" s="18">
        <v>5450.3099999999995</v>
      </c>
      <c r="T2100" s="19" t="s">
        <v>36</v>
      </c>
      <c r="U2100" s="20" t="s">
        <v>1203</v>
      </c>
      <c r="V2100" s="22">
        <v>36</v>
      </c>
      <c r="W2100" s="22">
        <v>3</v>
      </c>
      <c r="X2100" s="23"/>
    </row>
    <row r="2101" spans="1:24" s="1" customFormat="1" ht="35" customHeight="1" x14ac:dyDescent="0.3">
      <c r="A2101" s="24" t="s">
        <v>23</v>
      </c>
      <c r="B2101" s="24" t="s">
        <v>1470</v>
      </c>
      <c r="C2101" s="12" t="s">
        <v>2172</v>
      </c>
      <c r="D2101" s="60"/>
      <c r="E2101" s="41" t="str">
        <f>HYPERLINK("https://www.google.ru/search?q=3027007-110&amp;newwindow=1&amp;tbm=isch","Еще фото")</f>
        <v>Еще фото</v>
      </c>
      <c r="F2101" s="13" t="s">
        <v>103</v>
      </c>
      <c r="G2101" s="24" t="s">
        <v>1184</v>
      </c>
      <c r="H2101" s="24" t="s">
        <v>741</v>
      </c>
      <c r="I2101" s="24" t="s">
        <v>1185</v>
      </c>
      <c r="J2101" s="14" t="s">
        <v>29</v>
      </c>
      <c r="K2101" s="15" t="s">
        <v>59</v>
      </c>
      <c r="L2101" s="62"/>
      <c r="M2101" s="14"/>
      <c r="N2101" s="14" t="s">
        <v>84</v>
      </c>
      <c r="O2101" s="14"/>
      <c r="P2101" s="15" t="s">
        <v>745</v>
      </c>
      <c r="Q2101" s="16">
        <v>7899</v>
      </c>
      <c r="R2101" s="17">
        <v>40</v>
      </c>
      <c r="S2101" s="18">
        <v>5450.3099999999995</v>
      </c>
      <c r="T2101" s="19" t="s">
        <v>36</v>
      </c>
      <c r="U2101" s="20" t="s">
        <v>1196</v>
      </c>
      <c r="V2101" s="34">
        <v>36.5</v>
      </c>
      <c r="W2101" s="22">
        <v>3</v>
      </c>
      <c r="X2101" s="23"/>
    </row>
    <row r="2102" spans="1:24" s="1" customFormat="1" ht="37.049999999999997" customHeight="1" x14ac:dyDescent="0.3">
      <c r="A2102" s="24" t="s">
        <v>23</v>
      </c>
      <c r="B2102" s="24" t="s">
        <v>1470</v>
      </c>
      <c r="C2102" s="12" t="s">
        <v>2172</v>
      </c>
      <c r="D2102" s="61"/>
      <c r="E2102" s="41" t="str">
        <f>HYPERLINK("https://www.google.ru/search?q=3027007-110&amp;newwindow=1&amp;tbm=isch","Еще фото")</f>
        <v>Еще фото</v>
      </c>
      <c r="F2102" s="13" t="s">
        <v>103</v>
      </c>
      <c r="G2102" s="24" t="s">
        <v>1184</v>
      </c>
      <c r="H2102" s="24" t="s">
        <v>741</v>
      </c>
      <c r="I2102" s="24" t="s">
        <v>1185</v>
      </c>
      <c r="J2102" s="14" t="s">
        <v>29</v>
      </c>
      <c r="K2102" s="15" t="s">
        <v>59</v>
      </c>
      <c r="L2102" s="58"/>
      <c r="M2102" s="14"/>
      <c r="N2102" s="14" t="s">
        <v>84</v>
      </c>
      <c r="O2102" s="14"/>
      <c r="P2102" s="15" t="s">
        <v>745</v>
      </c>
      <c r="Q2102" s="16">
        <v>7899</v>
      </c>
      <c r="R2102" s="17">
        <v>40</v>
      </c>
      <c r="S2102" s="18">
        <v>5450.3099999999995</v>
      </c>
      <c r="T2102" s="19" t="s">
        <v>36</v>
      </c>
      <c r="U2102" s="20" t="s">
        <v>746</v>
      </c>
      <c r="V2102" s="22">
        <v>37</v>
      </c>
      <c r="W2102" s="22">
        <v>6</v>
      </c>
      <c r="X2102" s="23"/>
    </row>
    <row r="2103" spans="1:24" s="1" customFormat="1" ht="14" customHeight="1" x14ac:dyDescent="0.3">
      <c r="A2103" s="11" t="s">
        <v>23</v>
      </c>
      <c r="B2103" s="11" t="s">
        <v>1470</v>
      </c>
      <c r="C2103" s="12" t="s">
        <v>2173</v>
      </c>
      <c r="D2103" s="59"/>
      <c r="E2103" s="41" t="str">
        <f t="shared" ref="E2103:E2109" si="78">HYPERLINK("https://www.google.ru/search?q=3027007-520&amp;newwindow=1&amp;tbm=isch","Еще фото")</f>
        <v>Еще фото</v>
      </c>
      <c r="F2103" s="13"/>
      <c r="G2103" s="11" t="s">
        <v>1184</v>
      </c>
      <c r="H2103" s="11" t="s">
        <v>741</v>
      </c>
      <c r="I2103" s="14" t="s">
        <v>1185</v>
      </c>
      <c r="J2103" s="14" t="s">
        <v>29</v>
      </c>
      <c r="K2103" s="15" t="s">
        <v>59</v>
      </c>
      <c r="L2103" s="57" t="s">
        <v>2174</v>
      </c>
      <c r="M2103" s="14"/>
      <c r="N2103" s="14" t="s">
        <v>79</v>
      </c>
      <c r="O2103" s="14"/>
      <c r="P2103" s="15" t="s">
        <v>745</v>
      </c>
      <c r="Q2103" s="16">
        <v>7899</v>
      </c>
      <c r="R2103" s="17">
        <v>40</v>
      </c>
      <c r="S2103" s="18">
        <v>5450.3099999999995</v>
      </c>
      <c r="T2103" s="19" t="s">
        <v>36</v>
      </c>
      <c r="U2103" s="20" t="s">
        <v>1203</v>
      </c>
      <c r="V2103" s="22">
        <v>36</v>
      </c>
      <c r="W2103" s="22">
        <v>1</v>
      </c>
      <c r="X2103" s="23"/>
    </row>
    <row r="2104" spans="1:24" s="1" customFormat="1" ht="14" customHeight="1" x14ac:dyDescent="0.3">
      <c r="A2104" s="24" t="s">
        <v>23</v>
      </c>
      <c r="B2104" s="24" t="s">
        <v>1470</v>
      </c>
      <c r="C2104" s="12" t="s">
        <v>2173</v>
      </c>
      <c r="D2104" s="60"/>
      <c r="E2104" s="41" t="str">
        <f t="shared" si="78"/>
        <v>Еще фото</v>
      </c>
      <c r="F2104" s="13"/>
      <c r="G2104" s="24" t="s">
        <v>1184</v>
      </c>
      <c r="H2104" s="24" t="s">
        <v>741</v>
      </c>
      <c r="I2104" s="24" t="s">
        <v>1185</v>
      </c>
      <c r="J2104" s="14" t="s">
        <v>29</v>
      </c>
      <c r="K2104" s="15" t="s">
        <v>59</v>
      </c>
      <c r="L2104" s="62"/>
      <c r="M2104" s="14"/>
      <c r="N2104" s="14" t="s">
        <v>79</v>
      </c>
      <c r="O2104" s="14"/>
      <c r="P2104" s="15" t="s">
        <v>745</v>
      </c>
      <c r="Q2104" s="16">
        <v>7899</v>
      </c>
      <c r="R2104" s="17">
        <v>40</v>
      </c>
      <c r="S2104" s="18">
        <v>5450.3099999999995</v>
      </c>
      <c r="T2104" s="19" t="s">
        <v>36</v>
      </c>
      <c r="U2104" s="20" t="s">
        <v>1196</v>
      </c>
      <c r="V2104" s="34">
        <v>36.5</v>
      </c>
      <c r="W2104" s="22">
        <v>7</v>
      </c>
      <c r="X2104" s="23"/>
    </row>
    <row r="2105" spans="1:24" s="1" customFormat="1" ht="14" customHeight="1" x14ac:dyDescent="0.3">
      <c r="A2105" s="24" t="s">
        <v>23</v>
      </c>
      <c r="B2105" s="24" t="s">
        <v>1470</v>
      </c>
      <c r="C2105" s="12" t="s">
        <v>2173</v>
      </c>
      <c r="D2105" s="60"/>
      <c r="E2105" s="41" t="str">
        <f t="shared" si="78"/>
        <v>Еще фото</v>
      </c>
      <c r="F2105" s="13"/>
      <c r="G2105" s="24" t="s">
        <v>1184</v>
      </c>
      <c r="H2105" s="24" t="s">
        <v>741</v>
      </c>
      <c r="I2105" s="24" t="s">
        <v>1185</v>
      </c>
      <c r="J2105" s="14" t="s">
        <v>29</v>
      </c>
      <c r="K2105" s="15" t="s">
        <v>59</v>
      </c>
      <c r="L2105" s="62"/>
      <c r="M2105" s="14"/>
      <c r="N2105" s="14" t="s">
        <v>79</v>
      </c>
      <c r="O2105" s="14"/>
      <c r="P2105" s="15" t="s">
        <v>745</v>
      </c>
      <c r="Q2105" s="16">
        <v>7899</v>
      </c>
      <c r="R2105" s="17">
        <v>40</v>
      </c>
      <c r="S2105" s="18">
        <v>5450.3099999999995</v>
      </c>
      <c r="T2105" s="19" t="s">
        <v>36</v>
      </c>
      <c r="U2105" s="20" t="s">
        <v>746</v>
      </c>
      <c r="V2105" s="22">
        <v>37</v>
      </c>
      <c r="W2105" s="22">
        <v>12</v>
      </c>
      <c r="X2105" s="23"/>
    </row>
    <row r="2106" spans="1:24" s="1" customFormat="1" ht="14" customHeight="1" x14ac:dyDescent="0.3">
      <c r="A2106" s="24" t="s">
        <v>23</v>
      </c>
      <c r="B2106" s="24" t="s">
        <v>1470</v>
      </c>
      <c r="C2106" s="12" t="s">
        <v>2173</v>
      </c>
      <c r="D2106" s="60"/>
      <c r="E2106" s="41" t="str">
        <f t="shared" si="78"/>
        <v>Еще фото</v>
      </c>
      <c r="F2106" s="13"/>
      <c r="G2106" s="24" t="s">
        <v>1184</v>
      </c>
      <c r="H2106" s="24" t="s">
        <v>741</v>
      </c>
      <c r="I2106" s="24" t="s">
        <v>1185</v>
      </c>
      <c r="J2106" s="14" t="s">
        <v>29</v>
      </c>
      <c r="K2106" s="15" t="s">
        <v>59</v>
      </c>
      <c r="L2106" s="62"/>
      <c r="M2106" s="14"/>
      <c r="N2106" s="14" t="s">
        <v>79</v>
      </c>
      <c r="O2106" s="14"/>
      <c r="P2106" s="15" t="s">
        <v>745</v>
      </c>
      <c r="Q2106" s="16">
        <v>7899</v>
      </c>
      <c r="R2106" s="17">
        <v>40</v>
      </c>
      <c r="S2106" s="18">
        <v>5450.3099999999995</v>
      </c>
      <c r="T2106" s="19" t="s">
        <v>36</v>
      </c>
      <c r="U2106" s="20" t="s">
        <v>747</v>
      </c>
      <c r="V2106" s="34">
        <v>37.5</v>
      </c>
      <c r="W2106" s="22">
        <v>10</v>
      </c>
      <c r="X2106" s="23"/>
    </row>
    <row r="2107" spans="1:24" s="1" customFormat="1" ht="14" customHeight="1" x14ac:dyDescent="0.3">
      <c r="A2107" s="24" t="s">
        <v>23</v>
      </c>
      <c r="B2107" s="24" t="s">
        <v>1470</v>
      </c>
      <c r="C2107" s="12" t="s">
        <v>2173</v>
      </c>
      <c r="D2107" s="60"/>
      <c r="E2107" s="41" t="str">
        <f t="shared" si="78"/>
        <v>Еще фото</v>
      </c>
      <c r="F2107" s="13"/>
      <c r="G2107" s="24" t="s">
        <v>1184</v>
      </c>
      <c r="H2107" s="24" t="s">
        <v>741</v>
      </c>
      <c r="I2107" s="24" t="s">
        <v>1185</v>
      </c>
      <c r="J2107" s="14" t="s">
        <v>29</v>
      </c>
      <c r="K2107" s="15" t="s">
        <v>59</v>
      </c>
      <c r="L2107" s="62"/>
      <c r="M2107" s="14"/>
      <c r="N2107" s="14" t="s">
        <v>79</v>
      </c>
      <c r="O2107" s="14"/>
      <c r="P2107" s="15" t="s">
        <v>745</v>
      </c>
      <c r="Q2107" s="16">
        <v>7899</v>
      </c>
      <c r="R2107" s="17">
        <v>40</v>
      </c>
      <c r="S2107" s="18">
        <v>5450.3099999999995</v>
      </c>
      <c r="T2107" s="19" t="s">
        <v>36</v>
      </c>
      <c r="U2107" s="20" t="s">
        <v>748</v>
      </c>
      <c r="V2107" s="22">
        <v>38</v>
      </c>
      <c r="W2107" s="22">
        <v>11</v>
      </c>
      <c r="X2107" s="23"/>
    </row>
    <row r="2108" spans="1:24" s="1" customFormat="1" ht="14" customHeight="1" x14ac:dyDescent="0.3">
      <c r="A2108" s="24" t="s">
        <v>23</v>
      </c>
      <c r="B2108" s="24" t="s">
        <v>1470</v>
      </c>
      <c r="C2108" s="12" t="s">
        <v>2173</v>
      </c>
      <c r="D2108" s="60"/>
      <c r="E2108" s="41" t="str">
        <f t="shared" si="78"/>
        <v>Еще фото</v>
      </c>
      <c r="F2108" s="13"/>
      <c r="G2108" s="24" t="s">
        <v>1184</v>
      </c>
      <c r="H2108" s="24" t="s">
        <v>741</v>
      </c>
      <c r="I2108" s="24" t="s">
        <v>1185</v>
      </c>
      <c r="J2108" s="14" t="s">
        <v>29</v>
      </c>
      <c r="K2108" s="15" t="s">
        <v>59</v>
      </c>
      <c r="L2108" s="62"/>
      <c r="M2108" s="14"/>
      <c r="N2108" s="14" t="s">
        <v>79</v>
      </c>
      <c r="O2108" s="14"/>
      <c r="P2108" s="15" t="s">
        <v>745</v>
      </c>
      <c r="Q2108" s="16">
        <v>7899</v>
      </c>
      <c r="R2108" s="17">
        <v>40</v>
      </c>
      <c r="S2108" s="18">
        <v>5450.3099999999995</v>
      </c>
      <c r="T2108" s="19" t="s">
        <v>36</v>
      </c>
      <c r="U2108" s="20" t="s">
        <v>749</v>
      </c>
      <c r="V2108" s="22">
        <v>39</v>
      </c>
      <c r="W2108" s="22">
        <v>4</v>
      </c>
      <c r="X2108" s="23"/>
    </row>
    <row r="2109" spans="1:24" s="1" customFormat="1" ht="17" customHeight="1" x14ac:dyDescent="0.3">
      <c r="A2109" s="24" t="s">
        <v>23</v>
      </c>
      <c r="B2109" s="24" t="s">
        <v>1470</v>
      </c>
      <c r="C2109" s="12" t="s">
        <v>2173</v>
      </c>
      <c r="D2109" s="61"/>
      <c r="E2109" s="41" t="str">
        <f t="shared" si="78"/>
        <v>Еще фото</v>
      </c>
      <c r="F2109" s="13"/>
      <c r="G2109" s="24" t="s">
        <v>1184</v>
      </c>
      <c r="H2109" s="24" t="s">
        <v>741</v>
      </c>
      <c r="I2109" s="24" t="s">
        <v>1185</v>
      </c>
      <c r="J2109" s="14" t="s">
        <v>29</v>
      </c>
      <c r="K2109" s="15" t="s">
        <v>59</v>
      </c>
      <c r="L2109" s="58"/>
      <c r="M2109" s="14"/>
      <c r="N2109" s="14" t="s">
        <v>79</v>
      </c>
      <c r="O2109" s="14"/>
      <c r="P2109" s="15" t="s">
        <v>745</v>
      </c>
      <c r="Q2109" s="16">
        <v>7899</v>
      </c>
      <c r="R2109" s="17">
        <v>40</v>
      </c>
      <c r="S2109" s="18">
        <v>5450.3099999999995</v>
      </c>
      <c r="T2109" s="19" t="s">
        <v>36</v>
      </c>
      <c r="U2109" s="20" t="s">
        <v>750</v>
      </c>
      <c r="V2109" s="34">
        <v>39.5</v>
      </c>
      <c r="W2109" s="22">
        <v>3</v>
      </c>
      <c r="X2109" s="23"/>
    </row>
    <row r="2110" spans="1:24" s="1" customFormat="1" ht="17" customHeight="1" x14ac:dyDescent="0.3">
      <c r="A2110" s="11" t="s">
        <v>23</v>
      </c>
      <c r="B2110" s="11" t="s">
        <v>1470</v>
      </c>
      <c r="C2110" s="12" t="s">
        <v>2175</v>
      </c>
      <c r="D2110" s="59"/>
      <c r="E2110" s="41" t="str">
        <f t="shared" ref="E2110:E2115" si="79">HYPERLINK("https://www.google.ru/search?q=3027007-592&amp;newwindow=1&amp;tbm=isch","Еще фото")</f>
        <v>Еще фото</v>
      </c>
      <c r="F2110" s="13"/>
      <c r="G2110" s="11" t="s">
        <v>1184</v>
      </c>
      <c r="H2110" s="11" t="s">
        <v>741</v>
      </c>
      <c r="I2110" s="14" t="s">
        <v>1185</v>
      </c>
      <c r="J2110" s="14" t="s">
        <v>29</v>
      </c>
      <c r="K2110" s="15" t="s">
        <v>59</v>
      </c>
      <c r="L2110" s="57" t="s">
        <v>1472</v>
      </c>
      <c r="M2110" s="14"/>
      <c r="N2110" s="14" t="s">
        <v>2176</v>
      </c>
      <c r="O2110" s="14"/>
      <c r="P2110" s="15" t="s">
        <v>745</v>
      </c>
      <c r="Q2110" s="16">
        <v>7899</v>
      </c>
      <c r="R2110" s="17">
        <v>40</v>
      </c>
      <c r="S2110" s="18">
        <v>5450.3099999999995</v>
      </c>
      <c r="T2110" s="19" t="s">
        <v>36</v>
      </c>
      <c r="U2110" s="20" t="s">
        <v>1203</v>
      </c>
      <c r="V2110" s="22">
        <v>36</v>
      </c>
      <c r="W2110" s="22">
        <v>3</v>
      </c>
      <c r="X2110" s="23"/>
    </row>
    <row r="2111" spans="1:24" s="1" customFormat="1" ht="17" customHeight="1" x14ac:dyDescent="0.3">
      <c r="A2111" s="24" t="s">
        <v>23</v>
      </c>
      <c r="B2111" s="24" t="s">
        <v>1470</v>
      </c>
      <c r="C2111" s="12" t="s">
        <v>2175</v>
      </c>
      <c r="D2111" s="60"/>
      <c r="E2111" s="41" t="str">
        <f t="shared" si="79"/>
        <v>Еще фото</v>
      </c>
      <c r="F2111" s="13"/>
      <c r="G2111" s="24" t="s">
        <v>1184</v>
      </c>
      <c r="H2111" s="24" t="s">
        <v>741</v>
      </c>
      <c r="I2111" s="24" t="s">
        <v>1185</v>
      </c>
      <c r="J2111" s="14" t="s">
        <v>29</v>
      </c>
      <c r="K2111" s="15" t="s">
        <v>59</v>
      </c>
      <c r="L2111" s="62"/>
      <c r="M2111" s="14"/>
      <c r="N2111" s="14" t="s">
        <v>2176</v>
      </c>
      <c r="O2111" s="14"/>
      <c r="P2111" s="15" t="s">
        <v>745</v>
      </c>
      <c r="Q2111" s="16">
        <v>7899</v>
      </c>
      <c r="R2111" s="17">
        <v>40</v>
      </c>
      <c r="S2111" s="18">
        <v>5450.3099999999995</v>
      </c>
      <c r="T2111" s="19" t="s">
        <v>36</v>
      </c>
      <c r="U2111" s="20" t="s">
        <v>1196</v>
      </c>
      <c r="V2111" s="34">
        <v>36.5</v>
      </c>
      <c r="W2111" s="22">
        <v>10</v>
      </c>
      <c r="X2111" s="23"/>
    </row>
    <row r="2112" spans="1:24" s="1" customFormat="1" ht="17" customHeight="1" x14ac:dyDescent="0.3">
      <c r="A2112" s="24" t="s">
        <v>23</v>
      </c>
      <c r="B2112" s="24" t="s">
        <v>1470</v>
      </c>
      <c r="C2112" s="12" t="s">
        <v>2175</v>
      </c>
      <c r="D2112" s="60"/>
      <c r="E2112" s="41" t="str">
        <f t="shared" si="79"/>
        <v>Еще фото</v>
      </c>
      <c r="F2112" s="13"/>
      <c r="G2112" s="24" t="s">
        <v>1184</v>
      </c>
      <c r="H2112" s="24" t="s">
        <v>741</v>
      </c>
      <c r="I2112" s="24" t="s">
        <v>1185</v>
      </c>
      <c r="J2112" s="14" t="s">
        <v>29</v>
      </c>
      <c r="K2112" s="15" t="s">
        <v>59</v>
      </c>
      <c r="L2112" s="62"/>
      <c r="M2112" s="14"/>
      <c r="N2112" s="14" t="s">
        <v>2176</v>
      </c>
      <c r="O2112" s="14"/>
      <c r="P2112" s="15" t="s">
        <v>745</v>
      </c>
      <c r="Q2112" s="16">
        <v>7899</v>
      </c>
      <c r="R2112" s="17">
        <v>40</v>
      </c>
      <c r="S2112" s="18">
        <v>5450.3099999999995</v>
      </c>
      <c r="T2112" s="19" t="s">
        <v>36</v>
      </c>
      <c r="U2112" s="20" t="s">
        <v>746</v>
      </c>
      <c r="V2112" s="22">
        <v>37</v>
      </c>
      <c r="W2112" s="22">
        <v>11</v>
      </c>
      <c r="X2112" s="23"/>
    </row>
    <row r="2113" spans="1:24" s="1" customFormat="1" ht="17" customHeight="1" x14ac:dyDescent="0.3">
      <c r="A2113" s="24" t="s">
        <v>23</v>
      </c>
      <c r="B2113" s="24" t="s">
        <v>1470</v>
      </c>
      <c r="C2113" s="12" t="s">
        <v>2175</v>
      </c>
      <c r="D2113" s="60"/>
      <c r="E2113" s="41" t="str">
        <f t="shared" si="79"/>
        <v>Еще фото</v>
      </c>
      <c r="F2113" s="13"/>
      <c r="G2113" s="24" t="s">
        <v>1184</v>
      </c>
      <c r="H2113" s="24" t="s">
        <v>741</v>
      </c>
      <c r="I2113" s="24" t="s">
        <v>1185</v>
      </c>
      <c r="J2113" s="14" t="s">
        <v>29</v>
      </c>
      <c r="K2113" s="15" t="s">
        <v>59</v>
      </c>
      <c r="L2113" s="62"/>
      <c r="M2113" s="14"/>
      <c r="N2113" s="14" t="s">
        <v>2176</v>
      </c>
      <c r="O2113" s="14"/>
      <c r="P2113" s="15" t="s">
        <v>745</v>
      </c>
      <c r="Q2113" s="16">
        <v>7899</v>
      </c>
      <c r="R2113" s="17">
        <v>40</v>
      </c>
      <c r="S2113" s="18">
        <v>5450.3099999999995</v>
      </c>
      <c r="T2113" s="19" t="s">
        <v>36</v>
      </c>
      <c r="U2113" s="20" t="s">
        <v>747</v>
      </c>
      <c r="V2113" s="34">
        <v>37.5</v>
      </c>
      <c r="W2113" s="22">
        <v>12</v>
      </c>
      <c r="X2113" s="23"/>
    </row>
    <row r="2114" spans="1:24" s="1" customFormat="1" ht="17" customHeight="1" x14ac:dyDescent="0.3">
      <c r="A2114" s="24" t="s">
        <v>23</v>
      </c>
      <c r="B2114" s="24" t="s">
        <v>1470</v>
      </c>
      <c r="C2114" s="12" t="s">
        <v>2175</v>
      </c>
      <c r="D2114" s="60"/>
      <c r="E2114" s="41" t="str">
        <f t="shared" si="79"/>
        <v>Еще фото</v>
      </c>
      <c r="F2114" s="13"/>
      <c r="G2114" s="24" t="s">
        <v>1184</v>
      </c>
      <c r="H2114" s="24" t="s">
        <v>741</v>
      </c>
      <c r="I2114" s="24" t="s">
        <v>1185</v>
      </c>
      <c r="J2114" s="14" t="s">
        <v>29</v>
      </c>
      <c r="K2114" s="15" t="s">
        <v>59</v>
      </c>
      <c r="L2114" s="62"/>
      <c r="M2114" s="14"/>
      <c r="N2114" s="14" t="s">
        <v>2176</v>
      </c>
      <c r="O2114" s="14"/>
      <c r="P2114" s="15" t="s">
        <v>745</v>
      </c>
      <c r="Q2114" s="16">
        <v>7899</v>
      </c>
      <c r="R2114" s="17">
        <v>40</v>
      </c>
      <c r="S2114" s="18">
        <v>5450.3099999999995</v>
      </c>
      <c r="T2114" s="19" t="s">
        <v>36</v>
      </c>
      <c r="U2114" s="20" t="s">
        <v>748</v>
      </c>
      <c r="V2114" s="22">
        <v>38</v>
      </c>
      <c r="W2114" s="22">
        <v>11</v>
      </c>
      <c r="X2114" s="23"/>
    </row>
    <row r="2115" spans="1:24" s="1" customFormat="1" ht="22.05" customHeight="1" x14ac:dyDescent="0.3">
      <c r="A2115" s="24" t="s">
        <v>23</v>
      </c>
      <c r="B2115" s="24" t="s">
        <v>1470</v>
      </c>
      <c r="C2115" s="12" t="s">
        <v>2175</v>
      </c>
      <c r="D2115" s="61"/>
      <c r="E2115" s="41" t="str">
        <f t="shared" si="79"/>
        <v>Еще фото</v>
      </c>
      <c r="F2115" s="13"/>
      <c r="G2115" s="24" t="s">
        <v>1184</v>
      </c>
      <c r="H2115" s="24" t="s">
        <v>741</v>
      </c>
      <c r="I2115" s="24" t="s">
        <v>1185</v>
      </c>
      <c r="J2115" s="14" t="s">
        <v>29</v>
      </c>
      <c r="K2115" s="15" t="s">
        <v>59</v>
      </c>
      <c r="L2115" s="58"/>
      <c r="M2115" s="14"/>
      <c r="N2115" s="14" t="s">
        <v>2176</v>
      </c>
      <c r="O2115" s="14"/>
      <c r="P2115" s="15" t="s">
        <v>745</v>
      </c>
      <c r="Q2115" s="16">
        <v>7899</v>
      </c>
      <c r="R2115" s="17">
        <v>40</v>
      </c>
      <c r="S2115" s="18">
        <v>5450.3099999999995</v>
      </c>
      <c r="T2115" s="19" t="s">
        <v>36</v>
      </c>
      <c r="U2115" s="20" t="s">
        <v>750</v>
      </c>
      <c r="V2115" s="34">
        <v>39.5</v>
      </c>
      <c r="W2115" s="22">
        <v>4</v>
      </c>
      <c r="X2115" s="23"/>
    </row>
    <row r="2116" spans="1:24" s="1" customFormat="1" ht="52.05" customHeight="1" x14ac:dyDescent="0.3">
      <c r="A2116" s="11" t="s">
        <v>23</v>
      </c>
      <c r="B2116" s="11" t="s">
        <v>1470</v>
      </c>
      <c r="C2116" s="12" t="s">
        <v>2177</v>
      </c>
      <c r="D2116" s="55"/>
      <c r="E2116" s="41" t="str">
        <f>HYPERLINK("https://www.google.ru/search?q=3027007-600&amp;newwindow=1&amp;tbm=isch","Еще фото")</f>
        <v>Еще фото</v>
      </c>
      <c r="F2116" s="13"/>
      <c r="G2116" s="11" t="s">
        <v>1184</v>
      </c>
      <c r="H2116" s="11" t="s">
        <v>741</v>
      </c>
      <c r="I2116" s="14" t="s">
        <v>1185</v>
      </c>
      <c r="J2116" s="14" t="s">
        <v>29</v>
      </c>
      <c r="K2116" s="15" t="s">
        <v>59</v>
      </c>
      <c r="L2116" s="57" t="s">
        <v>1472</v>
      </c>
      <c r="M2116" s="14"/>
      <c r="N2116" s="14" t="s">
        <v>69</v>
      </c>
      <c r="O2116" s="14"/>
      <c r="P2116" s="15" t="s">
        <v>1473</v>
      </c>
      <c r="Q2116" s="16">
        <v>7699</v>
      </c>
      <c r="R2116" s="17">
        <v>40</v>
      </c>
      <c r="S2116" s="18">
        <v>5312.3099999999995</v>
      </c>
      <c r="T2116" s="19" t="s">
        <v>36</v>
      </c>
      <c r="U2116" s="20" t="s">
        <v>1203</v>
      </c>
      <c r="V2116" s="22">
        <v>36</v>
      </c>
      <c r="W2116" s="22">
        <v>4</v>
      </c>
      <c r="X2116" s="23"/>
    </row>
    <row r="2117" spans="1:24" s="1" customFormat="1" ht="61.05" customHeight="1" x14ac:dyDescent="0.3">
      <c r="A2117" s="24" t="s">
        <v>23</v>
      </c>
      <c r="B2117" s="24" t="s">
        <v>1470</v>
      </c>
      <c r="C2117" s="12" t="s">
        <v>2177</v>
      </c>
      <c r="D2117" s="56"/>
      <c r="E2117" s="41" t="str">
        <f>HYPERLINK("https://www.google.ru/search?q=3027007-600&amp;newwindow=1&amp;tbm=isch","Еще фото")</f>
        <v>Еще фото</v>
      </c>
      <c r="F2117" s="13"/>
      <c r="G2117" s="24" t="s">
        <v>1184</v>
      </c>
      <c r="H2117" s="24" t="s">
        <v>741</v>
      </c>
      <c r="I2117" s="24" t="s">
        <v>1185</v>
      </c>
      <c r="J2117" s="14" t="s">
        <v>29</v>
      </c>
      <c r="K2117" s="15" t="s">
        <v>59</v>
      </c>
      <c r="L2117" s="58"/>
      <c r="M2117" s="14"/>
      <c r="N2117" s="14" t="s">
        <v>69</v>
      </c>
      <c r="O2117" s="14"/>
      <c r="P2117" s="15" t="s">
        <v>1473</v>
      </c>
      <c r="Q2117" s="16">
        <v>7699</v>
      </c>
      <c r="R2117" s="17">
        <v>40</v>
      </c>
      <c r="S2117" s="18">
        <v>5312.3099999999995</v>
      </c>
      <c r="T2117" s="19" t="s">
        <v>36</v>
      </c>
      <c r="U2117" s="20" t="s">
        <v>1196</v>
      </c>
      <c r="V2117" s="34">
        <v>36.5</v>
      </c>
      <c r="W2117" s="22">
        <v>2</v>
      </c>
      <c r="X2117" s="23"/>
    </row>
    <row r="2118" spans="1:24" s="1" customFormat="1" ht="26" customHeight="1" x14ac:dyDescent="0.3">
      <c r="A2118" s="11" t="s">
        <v>23</v>
      </c>
      <c r="B2118" s="11" t="s">
        <v>1497</v>
      </c>
      <c r="C2118" s="12" t="s">
        <v>2178</v>
      </c>
      <c r="D2118" s="59"/>
      <c r="E2118" s="41" t="str">
        <f>HYPERLINK("https://www.google.ru/search?q=3027103-002&amp;newwindow=1&amp;tbm=isch","Еще фото")</f>
        <v>Еще фото</v>
      </c>
      <c r="F2118" s="13"/>
      <c r="G2118" s="11" t="s">
        <v>1184</v>
      </c>
      <c r="H2118" s="11" t="s">
        <v>741</v>
      </c>
      <c r="I2118" s="14" t="s">
        <v>1185</v>
      </c>
      <c r="J2118" s="14" t="s">
        <v>29</v>
      </c>
      <c r="K2118" s="15" t="s">
        <v>50</v>
      </c>
      <c r="L2118" s="57" t="s">
        <v>1499</v>
      </c>
      <c r="M2118" s="14"/>
      <c r="N2118" s="14" t="s">
        <v>33</v>
      </c>
      <c r="O2118" s="14"/>
      <c r="P2118" s="15" t="s">
        <v>1502</v>
      </c>
      <c r="Q2118" s="16">
        <v>7099</v>
      </c>
      <c r="R2118" s="17">
        <v>40</v>
      </c>
      <c r="S2118" s="18">
        <v>4898.3099999999995</v>
      </c>
      <c r="T2118" s="19" t="s">
        <v>36</v>
      </c>
      <c r="U2118" s="20" t="s">
        <v>1500</v>
      </c>
      <c r="V2118" s="22">
        <v>36</v>
      </c>
      <c r="W2118" s="22">
        <v>2</v>
      </c>
      <c r="X2118" s="23"/>
    </row>
    <row r="2119" spans="1:24" s="1" customFormat="1" ht="26" customHeight="1" x14ac:dyDescent="0.3">
      <c r="A2119" s="24" t="s">
        <v>23</v>
      </c>
      <c r="B2119" s="24" t="s">
        <v>1497</v>
      </c>
      <c r="C2119" s="12" t="s">
        <v>2178</v>
      </c>
      <c r="D2119" s="60"/>
      <c r="E2119" s="41" t="str">
        <f>HYPERLINK("https://www.google.ru/search?q=3027103-002&amp;newwindow=1&amp;tbm=isch","Еще фото")</f>
        <v>Еще фото</v>
      </c>
      <c r="F2119" s="13"/>
      <c r="G2119" s="24" t="s">
        <v>1184</v>
      </c>
      <c r="H2119" s="24" t="s">
        <v>741</v>
      </c>
      <c r="I2119" s="24" t="s">
        <v>1185</v>
      </c>
      <c r="J2119" s="14" t="s">
        <v>29</v>
      </c>
      <c r="K2119" s="15" t="s">
        <v>50</v>
      </c>
      <c r="L2119" s="62"/>
      <c r="M2119" s="14"/>
      <c r="N2119" s="14" t="s">
        <v>33</v>
      </c>
      <c r="O2119" s="14"/>
      <c r="P2119" s="15" t="s">
        <v>1502</v>
      </c>
      <c r="Q2119" s="16">
        <v>7099</v>
      </c>
      <c r="R2119" s="17">
        <v>40</v>
      </c>
      <c r="S2119" s="18">
        <v>4898.3099999999995</v>
      </c>
      <c r="T2119" s="19" t="s">
        <v>36</v>
      </c>
      <c r="U2119" s="20" t="s">
        <v>1241</v>
      </c>
      <c r="V2119" s="34">
        <v>36.5</v>
      </c>
      <c r="W2119" s="22">
        <v>2</v>
      </c>
      <c r="X2119" s="23"/>
    </row>
    <row r="2120" spans="1:24" s="1" customFormat="1" ht="26" customHeight="1" x14ac:dyDescent="0.3">
      <c r="A2120" s="24" t="s">
        <v>23</v>
      </c>
      <c r="B2120" s="24" t="s">
        <v>1497</v>
      </c>
      <c r="C2120" s="12" t="s">
        <v>2178</v>
      </c>
      <c r="D2120" s="60"/>
      <c r="E2120" s="41" t="str">
        <f>HYPERLINK("https://www.google.ru/search?q=3027103-002&amp;newwindow=1&amp;tbm=isch","Еще фото")</f>
        <v>Еще фото</v>
      </c>
      <c r="F2120" s="13"/>
      <c r="G2120" s="24" t="s">
        <v>1184</v>
      </c>
      <c r="H2120" s="24" t="s">
        <v>741</v>
      </c>
      <c r="I2120" s="24" t="s">
        <v>1185</v>
      </c>
      <c r="J2120" s="14" t="s">
        <v>29</v>
      </c>
      <c r="K2120" s="15" t="s">
        <v>50</v>
      </c>
      <c r="L2120" s="62"/>
      <c r="M2120" s="14"/>
      <c r="N2120" s="14" t="s">
        <v>33</v>
      </c>
      <c r="O2120" s="14"/>
      <c r="P2120" s="15" t="s">
        <v>1502</v>
      </c>
      <c r="Q2120" s="16">
        <v>7099</v>
      </c>
      <c r="R2120" s="17">
        <v>40</v>
      </c>
      <c r="S2120" s="18">
        <v>4898.3099999999995</v>
      </c>
      <c r="T2120" s="19" t="s">
        <v>36</v>
      </c>
      <c r="U2120" s="20" t="s">
        <v>1190</v>
      </c>
      <c r="V2120" s="22">
        <v>37</v>
      </c>
      <c r="W2120" s="22">
        <v>8</v>
      </c>
      <c r="X2120" s="23"/>
    </row>
    <row r="2121" spans="1:24" s="1" customFormat="1" ht="26" customHeight="1" x14ac:dyDescent="0.3">
      <c r="A2121" s="24" t="s">
        <v>23</v>
      </c>
      <c r="B2121" s="24" t="s">
        <v>1497</v>
      </c>
      <c r="C2121" s="12" t="s">
        <v>2178</v>
      </c>
      <c r="D2121" s="61"/>
      <c r="E2121" s="41" t="str">
        <f>HYPERLINK("https://www.google.ru/search?q=3027103-002&amp;newwindow=1&amp;tbm=isch","Еще фото")</f>
        <v>Еще фото</v>
      </c>
      <c r="F2121" s="13"/>
      <c r="G2121" s="24" t="s">
        <v>1184</v>
      </c>
      <c r="H2121" s="24" t="s">
        <v>741</v>
      </c>
      <c r="I2121" s="24" t="s">
        <v>1185</v>
      </c>
      <c r="J2121" s="14" t="s">
        <v>29</v>
      </c>
      <c r="K2121" s="15" t="s">
        <v>50</v>
      </c>
      <c r="L2121" s="58"/>
      <c r="M2121" s="14"/>
      <c r="N2121" s="14" t="s">
        <v>33</v>
      </c>
      <c r="O2121" s="14"/>
      <c r="P2121" s="15" t="s">
        <v>1502</v>
      </c>
      <c r="Q2121" s="16">
        <v>7099</v>
      </c>
      <c r="R2121" s="17">
        <v>40</v>
      </c>
      <c r="S2121" s="18">
        <v>4898.3099999999995</v>
      </c>
      <c r="T2121" s="19" t="s">
        <v>36</v>
      </c>
      <c r="U2121" s="20" t="s">
        <v>1203</v>
      </c>
      <c r="V2121" s="34">
        <v>37.5</v>
      </c>
      <c r="W2121" s="22">
        <v>4</v>
      </c>
      <c r="X2121" s="23"/>
    </row>
    <row r="2122" spans="1:24" s="1" customFormat="1" ht="17" customHeight="1" x14ac:dyDescent="0.3">
      <c r="A2122" s="11" t="s">
        <v>23</v>
      </c>
      <c r="B2122" s="11" t="s">
        <v>2179</v>
      </c>
      <c r="C2122" s="12" t="s">
        <v>2180</v>
      </c>
      <c r="D2122" s="59"/>
      <c r="E2122" s="41" t="str">
        <f t="shared" ref="E2122:E2127" si="80">HYPERLINK("https://www.google.ru/search?q=3027154-001&amp;newwindow=1&amp;tbm=isch","Еще фото")</f>
        <v>Еще фото</v>
      </c>
      <c r="F2122" s="28" t="s">
        <v>138</v>
      </c>
      <c r="G2122" s="11" t="s">
        <v>1184</v>
      </c>
      <c r="H2122" s="11" t="s">
        <v>741</v>
      </c>
      <c r="I2122" s="14" t="s">
        <v>1185</v>
      </c>
      <c r="J2122" s="14" t="s">
        <v>29</v>
      </c>
      <c r="K2122" s="15" t="s">
        <v>723</v>
      </c>
      <c r="L2122" s="57" t="s">
        <v>2181</v>
      </c>
      <c r="M2122" s="14" t="s">
        <v>1211</v>
      </c>
      <c r="N2122" s="14" t="s">
        <v>98</v>
      </c>
      <c r="O2122" s="14"/>
      <c r="P2122" s="15" t="s">
        <v>2182</v>
      </c>
      <c r="Q2122" s="16">
        <v>23399</v>
      </c>
      <c r="R2122" s="17">
        <v>40</v>
      </c>
      <c r="S2122" s="18">
        <v>16145.309999999998</v>
      </c>
      <c r="T2122" s="19" t="s">
        <v>36</v>
      </c>
      <c r="U2122" s="20" t="s">
        <v>746</v>
      </c>
      <c r="V2122" s="22">
        <v>39</v>
      </c>
      <c r="W2122" s="22">
        <v>1</v>
      </c>
      <c r="X2122" s="23"/>
    </row>
    <row r="2123" spans="1:24" s="1" customFormat="1" ht="17" customHeight="1" x14ac:dyDescent="0.3">
      <c r="A2123" s="24" t="s">
        <v>23</v>
      </c>
      <c r="B2123" s="24" t="s">
        <v>2179</v>
      </c>
      <c r="C2123" s="12" t="s">
        <v>2180</v>
      </c>
      <c r="D2123" s="60"/>
      <c r="E2123" s="41" t="str">
        <f t="shared" si="80"/>
        <v>Еще фото</v>
      </c>
      <c r="F2123" s="28" t="s">
        <v>138</v>
      </c>
      <c r="G2123" s="24" t="s">
        <v>1184</v>
      </c>
      <c r="H2123" s="24" t="s">
        <v>741</v>
      </c>
      <c r="I2123" s="24" t="s">
        <v>1185</v>
      </c>
      <c r="J2123" s="14" t="s">
        <v>29</v>
      </c>
      <c r="K2123" s="15" t="s">
        <v>723</v>
      </c>
      <c r="L2123" s="62"/>
      <c r="M2123" s="14" t="s">
        <v>1211</v>
      </c>
      <c r="N2123" s="14" t="s">
        <v>98</v>
      </c>
      <c r="O2123" s="14"/>
      <c r="P2123" s="15" t="s">
        <v>2182</v>
      </c>
      <c r="Q2123" s="16">
        <v>23399</v>
      </c>
      <c r="R2123" s="17">
        <v>40</v>
      </c>
      <c r="S2123" s="18">
        <v>16145.309999999998</v>
      </c>
      <c r="T2123" s="19" t="s">
        <v>36</v>
      </c>
      <c r="U2123" s="20" t="s">
        <v>747</v>
      </c>
      <c r="V2123" s="34">
        <v>39.5</v>
      </c>
      <c r="W2123" s="22">
        <v>1</v>
      </c>
      <c r="X2123" s="23"/>
    </row>
    <row r="2124" spans="1:24" s="1" customFormat="1" ht="17" customHeight="1" x14ac:dyDescent="0.3">
      <c r="A2124" s="24" t="s">
        <v>23</v>
      </c>
      <c r="B2124" s="24" t="s">
        <v>2179</v>
      </c>
      <c r="C2124" s="12" t="s">
        <v>2180</v>
      </c>
      <c r="D2124" s="60"/>
      <c r="E2124" s="41" t="str">
        <f t="shared" si="80"/>
        <v>Еще фото</v>
      </c>
      <c r="F2124" s="28" t="s">
        <v>138</v>
      </c>
      <c r="G2124" s="24" t="s">
        <v>1184</v>
      </c>
      <c r="H2124" s="24" t="s">
        <v>741</v>
      </c>
      <c r="I2124" s="24" t="s">
        <v>1185</v>
      </c>
      <c r="J2124" s="14" t="s">
        <v>29</v>
      </c>
      <c r="K2124" s="15" t="s">
        <v>723</v>
      </c>
      <c r="L2124" s="62"/>
      <c r="M2124" s="14" t="s">
        <v>1211</v>
      </c>
      <c r="N2124" s="14" t="s">
        <v>98</v>
      </c>
      <c r="O2124" s="14"/>
      <c r="P2124" s="15" t="s">
        <v>2182</v>
      </c>
      <c r="Q2124" s="16">
        <v>23399</v>
      </c>
      <c r="R2124" s="17">
        <v>40</v>
      </c>
      <c r="S2124" s="18">
        <v>16145.309999999998</v>
      </c>
      <c r="T2124" s="19" t="s">
        <v>36</v>
      </c>
      <c r="U2124" s="20" t="s">
        <v>748</v>
      </c>
      <c r="V2124" s="22">
        <v>40</v>
      </c>
      <c r="W2124" s="22">
        <v>1</v>
      </c>
      <c r="X2124" s="23"/>
    </row>
    <row r="2125" spans="1:24" s="1" customFormat="1" ht="17" customHeight="1" x14ac:dyDescent="0.3">
      <c r="A2125" s="24" t="s">
        <v>23</v>
      </c>
      <c r="B2125" s="24" t="s">
        <v>2179</v>
      </c>
      <c r="C2125" s="12" t="s">
        <v>2180</v>
      </c>
      <c r="D2125" s="60"/>
      <c r="E2125" s="41" t="str">
        <f t="shared" si="80"/>
        <v>Еще фото</v>
      </c>
      <c r="F2125" s="28" t="s">
        <v>138</v>
      </c>
      <c r="G2125" s="24" t="s">
        <v>1184</v>
      </c>
      <c r="H2125" s="24" t="s">
        <v>741</v>
      </c>
      <c r="I2125" s="24" t="s">
        <v>1185</v>
      </c>
      <c r="J2125" s="14" t="s">
        <v>29</v>
      </c>
      <c r="K2125" s="15" t="s">
        <v>723</v>
      </c>
      <c r="L2125" s="62"/>
      <c r="M2125" s="14" t="s">
        <v>1211</v>
      </c>
      <c r="N2125" s="14" t="s">
        <v>98</v>
      </c>
      <c r="O2125" s="14"/>
      <c r="P2125" s="15" t="s">
        <v>2182</v>
      </c>
      <c r="Q2125" s="16">
        <v>23399</v>
      </c>
      <c r="R2125" s="17">
        <v>40</v>
      </c>
      <c r="S2125" s="18">
        <v>16145.309999999998</v>
      </c>
      <c r="T2125" s="19" t="s">
        <v>36</v>
      </c>
      <c r="U2125" s="20" t="s">
        <v>749</v>
      </c>
      <c r="V2125" s="22">
        <v>41</v>
      </c>
      <c r="W2125" s="22">
        <v>3</v>
      </c>
      <c r="X2125" s="23"/>
    </row>
    <row r="2126" spans="1:24" s="1" customFormat="1" ht="17" customHeight="1" x14ac:dyDescent="0.3">
      <c r="A2126" s="24" t="s">
        <v>23</v>
      </c>
      <c r="B2126" s="24" t="s">
        <v>2179</v>
      </c>
      <c r="C2126" s="12" t="s">
        <v>2180</v>
      </c>
      <c r="D2126" s="60"/>
      <c r="E2126" s="41" t="str">
        <f t="shared" si="80"/>
        <v>Еще фото</v>
      </c>
      <c r="F2126" s="28" t="s">
        <v>138</v>
      </c>
      <c r="G2126" s="24" t="s">
        <v>1184</v>
      </c>
      <c r="H2126" s="24" t="s">
        <v>741</v>
      </c>
      <c r="I2126" s="24" t="s">
        <v>1185</v>
      </c>
      <c r="J2126" s="14" t="s">
        <v>29</v>
      </c>
      <c r="K2126" s="15" t="s">
        <v>723</v>
      </c>
      <c r="L2126" s="62"/>
      <c r="M2126" s="14" t="s">
        <v>1211</v>
      </c>
      <c r="N2126" s="14" t="s">
        <v>98</v>
      </c>
      <c r="O2126" s="14"/>
      <c r="P2126" s="15" t="s">
        <v>2182</v>
      </c>
      <c r="Q2126" s="16">
        <v>23399</v>
      </c>
      <c r="R2126" s="17">
        <v>40</v>
      </c>
      <c r="S2126" s="18">
        <v>16145.309999999998</v>
      </c>
      <c r="T2126" s="19" t="s">
        <v>36</v>
      </c>
      <c r="U2126" s="20" t="s">
        <v>750</v>
      </c>
      <c r="V2126" s="34">
        <v>41.5</v>
      </c>
      <c r="W2126" s="22">
        <v>1</v>
      </c>
      <c r="X2126" s="23"/>
    </row>
    <row r="2127" spans="1:24" s="1" customFormat="1" ht="22.05" customHeight="1" x14ac:dyDescent="0.3">
      <c r="A2127" s="24" t="s">
        <v>23</v>
      </c>
      <c r="B2127" s="24" t="s">
        <v>2179</v>
      </c>
      <c r="C2127" s="12" t="s">
        <v>2180</v>
      </c>
      <c r="D2127" s="61"/>
      <c r="E2127" s="41" t="str">
        <f t="shared" si="80"/>
        <v>Еще фото</v>
      </c>
      <c r="F2127" s="28" t="s">
        <v>138</v>
      </c>
      <c r="G2127" s="24" t="s">
        <v>1184</v>
      </c>
      <c r="H2127" s="24" t="s">
        <v>741</v>
      </c>
      <c r="I2127" s="24" t="s">
        <v>1185</v>
      </c>
      <c r="J2127" s="14" t="s">
        <v>29</v>
      </c>
      <c r="K2127" s="15" t="s">
        <v>723</v>
      </c>
      <c r="L2127" s="58"/>
      <c r="M2127" s="14" t="s">
        <v>1211</v>
      </c>
      <c r="N2127" s="14" t="s">
        <v>98</v>
      </c>
      <c r="O2127" s="14"/>
      <c r="P2127" s="15" t="s">
        <v>2182</v>
      </c>
      <c r="Q2127" s="16">
        <v>23399</v>
      </c>
      <c r="R2127" s="17">
        <v>40</v>
      </c>
      <c r="S2127" s="18">
        <v>16145.309999999998</v>
      </c>
      <c r="T2127" s="19" t="s">
        <v>36</v>
      </c>
      <c r="U2127" s="20" t="s">
        <v>751</v>
      </c>
      <c r="V2127" s="22">
        <v>42</v>
      </c>
      <c r="W2127" s="22">
        <v>1</v>
      </c>
      <c r="X2127" s="23"/>
    </row>
    <row r="2128" spans="1:24" s="1" customFormat="1" ht="17" customHeight="1" x14ac:dyDescent="0.3">
      <c r="A2128" s="11" t="s">
        <v>23</v>
      </c>
      <c r="B2128" s="11" t="s">
        <v>2183</v>
      </c>
      <c r="C2128" s="12" t="s">
        <v>2184</v>
      </c>
      <c r="D2128" s="59"/>
      <c r="E2128" s="41" t="str">
        <f t="shared" ref="E2128:E2133" si="81">HYPERLINK("https://www.google.ru/search?q=3027154-300&amp;newwindow=1&amp;tbm=isch","Еще фото")</f>
        <v>Еще фото</v>
      </c>
      <c r="F2128" s="28" t="s">
        <v>138</v>
      </c>
      <c r="G2128" s="11" t="s">
        <v>1184</v>
      </c>
      <c r="H2128" s="11" t="s">
        <v>741</v>
      </c>
      <c r="I2128" s="14" t="s">
        <v>1185</v>
      </c>
      <c r="J2128" s="14" t="s">
        <v>29</v>
      </c>
      <c r="K2128" s="15" t="s">
        <v>723</v>
      </c>
      <c r="L2128" s="57" t="s">
        <v>2181</v>
      </c>
      <c r="M2128" s="14" t="s">
        <v>1211</v>
      </c>
      <c r="N2128" s="14" t="s">
        <v>2162</v>
      </c>
      <c r="O2128" s="14"/>
      <c r="P2128" s="15" t="s">
        <v>1694</v>
      </c>
      <c r="Q2128" s="16">
        <v>23999</v>
      </c>
      <c r="R2128" s="17">
        <v>40</v>
      </c>
      <c r="S2128" s="18">
        <v>16559.309999999998</v>
      </c>
      <c r="T2128" s="19" t="s">
        <v>36</v>
      </c>
      <c r="U2128" s="20" t="s">
        <v>747</v>
      </c>
      <c r="V2128" s="34">
        <v>39.5</v>
      </c>
      <c r="W2128" s="22">
        <v>2</v>
      </c>
      <c r="X2128" s="23"/>
    </row>
    <row r="2129" spans="1:24" s="1" customFormat="1" ht="17" customHeight="1" x14ac:dyDescent="0.3">
      <c r="A2129" s="24" t="s">
        <v>23</v>
      </c>
      <c r="B2129" s="24" t="s">
        <v>2183</v>
      </c>
      <c r="C2129" s="12" t="s">
        <v>2184</v>
      </c>
      <c r="D2129" s="60"/>
      <c r="E2129" s="41" t="str">
        <f t="shared" si="81"/>
        <v>Еще фото</v>
      </c>
      <c r="F2129" s="28" t="s">
        <v>138</v>
      </c>
      <c r="G2129" s="24" t="s">
        <v>1184</v>
      </c>
      <c r="H2129" s="24" t="s">
        <v>741</v>
      </c>
      <c r="I2129" s="24" t="s">
        <v>1185</v>
      </c>
      <c r="J2129" s="14" t="s">
        <v>29</v>
      </c>
      <c r="K2129" s="15" t="s">
        <v>723</v>
      </c>
      <c r="L2129" s="62"/>
      <c r="M2129" s="14" t="s">
        <v>1211</v>
      </c>
      <c r="N2129" s="14" t="s">
        <v>2162</v>
      </c>
      <c r="O2129" s="14"/>
      <c r="P2129" s="15" t="s">
        <v>1694</v>
      </c>
      <c r="Q2129" s="16">
        <v>23999</v>
      </c>
      <c r="R2129" s="17">
        <v>40</v>
      </c>
      <c r="S2129" s="18">
        <v>16559.309999999998</v>
      </c>
      <c r="T2129" s="19" t="s">
        <v>36</v>
      </c>
      <c r="U2129" s="20" t="s">
        <v>748</v>
      </c>
      <c r="V2129" s="22">
        <v>40</v>
      </c>
      <c r="W2129" s="22">
        <v>2</v>
      </c>
      <c r="X2129" s="23"/>
    </row>
    <row r="2130" spans="1:24" s="1" customFormat="1" ht="17" customHeight="1" x14ac:dyDescent="0.3">
      <c r="A2130" s="24" t="s">
        <v>23</v>
      </c>
      <c r="B2130" s="24" t="s">
        <v>2183</v>
      </c>
      <c r="C2130" s="12" t="s">
        <v>2184</v>
      </c>
      <c r="D2130" s="60"/>
      <c r="E2130" s="41" t="str">
        <f t="shared" si="81"/>
        <v>Еще фото</v>
      </c>
      <c r="F2130" s="28" t="s">
        <v>138</v>
      </c>
      <c r="G2130" s="24" t="s">
        <v>1184</v>
      </c>
      <c r="H2130" s="24" t="s">
        <v>741</v>
      </c>
      <c r="I2130" s="24" t="s">
        <v>1185</v>
      </c>
      <c r="J2130" s="14" t="s">
        <v>29</v>
      </c>
      <c r="K2130" s="15" t="s">
        <v>723</v>
      </c>
      <c r="L2130" s="62"/>
      <c r="M2130" s="14" t="s">
        <v>1211</v>
      </c>
      <c r="N2130" s="14" t="s">
        <v>2162</v>
      </c>
      <c r="O2130" s="14"/>
      <c r="P2130" s="15" t="s">
        <v>1694</v>
      </c>
      <c r="Q2130" s="16">
        <v>23999</v>
      </c>
      <c r="R2130" s="17">
        <v>40</v>
      </c>
      <c r="S2130" s="18">
        <v>16559.309999999998</v>
      </c>
      <c r="T2130" s="19" t="s">
        <v>36</v>
      </c>
      <c r="U2130" s="20" t="s">
        <v>750</v>
      </c>
      <c r="V2130" s="34">
        <v>41.5</v>
      </c>
      <c r="W2130" s="22">
        <v>2</v>
      </c>
      <c r="X2130" s="23"/>
    </row>
    <row r="2131" spans="1:24" s="1" customFormat="1" ht="17" customHeight="1" x14ac:dyDescent="0.3">
      <c r="A2131" s="24" t="s">
        <v>23</v>
      </c>
      <c r="B2131" s="24" t="s">
        <v>2183</v>
      </c>
      <c r="C2131" s="12" t="s">
        <v>2184</v>
      </c>
      <c r="D2131" s="60"/>
      <c r="E2131" s="41" t="str">
        <f t="shared" si="81"/>
        <v>Еще фото</v>
      </c>
      <c r="F2131" s="28" t="s">
        <v>138</v>
      </c>
      <c r="G2131" s="24" t="s">
        <v>1184</v>
      </c>
      <c r="H2131" s="24" t="s">
        <v>741</v>
      </c>
      <c r="I2131" s="24" t="s">
        <v>1185</v>
      </c>
      <c r="J2131" s="14" t="s">
        <v>29</v>
      </c>
      <c r="K2131" s="15" t="s">
        <v>723</v>
      </c>
      <c r="L2131" s="62"/>
      <c r="M2131" s="14" t="s">
        <v>1211</v>
      </c>
      <c r="N2131" s="14" t="s">
        <v>2162</v>
      </c>
      <c r="O2131" s="14"/>
      <c r="P2131" s="15" t="s">
        <v>1694</v>
      </c>
      <c r="Q2131" s="16">
        <v>23999</v>
      </c>
      <c r="R2131" s="17">
        <v>40</v>
      </c>
      <c r="S2131" s="18">
        <v>16559.309999999998</v>
      </c>
      <c r="T2131" s="19" t="s">
        <v>36</v>
      </c>
      <c r="U2131" s="20" t="s">
        <v>751</v>
      </c>
      <c r="V2131" s="22">
        <v>42</v>
      </c>
      <c r="W2131" s="22">
        <v>1</v>
      </c>
      <c r="X2131" s="23"/>
    </row>
    <row r="2132" spans="1:24" s="1" customFormat="1" ht="17" customHeight="1" x14ac:dyDescent="0.3">
      <c r="A2132" s="24" t="s">
        <v>23</v>
      </c>
      <c r="B2132" s="24" t="s">
        <v>2183</v>
      </c>
      <c r="C2132" s="12" t="s">
        <v>2184</v>
      </c>
      <c r="D2132" s="60"/>
      <c r="E2132" s="41" t="str">
        <f t="shared" si="81"/>
        <v>Еще фото</v>
      </c>
      <c r="F2132" s="28" t="s">
        <v>138</v>
      </c>
      <c r="G2132" s="24" t="s">
        <v>1184</v>
      </c>
      <c r="H2132" s="24" t="s">
        <v>741</v>
      </c>
      <c r="I2132" s="24" t="s">
        <v>1185</v>
      </c>
      <c r="J2132" s="14" t="s">
        <v>29</v>
      </c>
      <c r="K2132" s="15" t="s">
        <v>723</v>
      </c>
      <c r="L2132" s="62"/>
      <c r="M2132" s="14" t="s">
        <v>1211</v>
      </c>
      <c r="N2132" s="14" t="s">
        <v>2162</v>
      </c>
      <c r="O2132" s="14"/>
      <c r="P2132" s="15" t="s">
        <v>1694</v>
      </c>
      <c r="Q2132" s="16">
        <v>23999</v>
      </c>
      <c r="R2132" s="17">
        <v>40</v>
      </c>
      <c r="S2132" s="18">
        <v>16559.309999999998</v>
      </c>
      <c r="T2132" s="19" t="s">
        <v>36</v>
      </c>
      <c r="U2132" s="20" t="s">
        <v>752</v>
      </c>
      <c r="V2132" s="22">
        <v>43</v>
      </c>
      <c r="W2132" s="22">
        <v>2</v>
      </c>
      <c r="X2132" s="23"/>
    </row>
    <row r="2133" spans="1:24" s="1" customFormat="1" ht="22.05" customHeight="1" x14ac:dyDescent="0.3">
      <c r="A2133" s="24" t="s">
        <v>23</v>
      </c>
      <c r="B2133" s="24" t="s">
        <v>2183</v>
      </c>
      <c r="C2133" s="12" t="s">
        <v>2184</v>
      </c>
      <c r="D2133" s="61"/>
      <c r="E2133" s="41" t="str">
        <f t="shared" si="81"/>
        <v>Еще фото</v>
      </c>
      <c r="F2133" s="28" t="s">
        <v>138</v>
      </c>
      <c r="G2133" s="24" t="s">
        <v>1184</v>
      </c>
      <c r="H2133" s="24" t="s">
        <v>741</v>
      </c>
      <c r="I2133" s="24" t="s">
        <v>1185</v>
      </c>
      <c r="J2133" s="14" t="s">
        <v>29</v>
      </c>
      <c r="K2133" s="15" t="s">
        <v>723</v>
      </c>
      <c r="L2133" s="58"/>
      <c r="M2133" s="14" t="s">
        <v>1211</v>
      </c>
      <c r="N2133" s="14" t="s">
        <v>2162</v>
      </c>
      <c r="O2133" s="14"/>
      <c r="P2133" s="15" t="s">
        <v>1694</v>
      </c>
      <c r="Q2133" s="16">
        <v>23999</v>
      </c>
      <c r="R2133" s="17">
        <v>40</v>
      </c>
      <c r="S2133" s="18">
        <v>16559.309999999998</v>
      </c>
      <c r="T2133" s="19" t="s">
        <v>36</v>
      </c>
      <c r="U2133" s="20" t="s">
        <v>753</v>
      </c>
      <c r="V2133" s="34">
        <v>43.5</v>
      </c>
      <c r="W2133" s="22">
        <v>1</v>
      </c>
      <c r="X2133" s="23"/>
    </row>
    <row r="2134" spans="1:24" s="1" customFormat="1" ht="108" customHeight="1" x14ac:dyDescent="0.3">
      <c r="A2134" s="11" t="s">
        <v>23</v>
      </c>
      <c r="B2134" s="11" t="s">
        <v>2185</v>
      </c>
      <c r="C2134" s="12" t="s">
        <v>2186</v>
      </c>
      <c r="D2134" s="25"/>
      <c r="E2134" s="41" t="str">
        <f>HYPERLINK("https://www.google.ru/search?q=3027154-601&amp;newwindow=1&amp;tbm=isch","Еще фото")</f>
        <v>Еще фото</v>
      </c>
      <c r="F2134" s="13"/>
      <c r="G2134" s="11" t="s">
        <v>1184</v>
      </c>
      <c r="H2134" s="11" t="s">
        <v>741</v>
      </c>
      <c r="I2134" s="14" t="s">
        <v>1185</v>
      </c>
      <c r="J2134" s="14" t="s">
        <v>29</v>
      </c>
      <c r="K2134" s="15" t="s">
        <v>723</v>
      </c>
      <c r="L2134" s="14" t="s">
        <v>2181</v>
      </c>
      <c r="M2134" s="14" t="s">
        <v>1211</v>
      </c>
      <c r="N2134" s="14" t="s">
        <v>2187</v>
      </c>
      <c r="O2134" s="14"/>
      <c r="P2134" s="15" t="s">
        <v>1694</v>
      </c>
      <c r="Q2134" s="16">
        <v>23999</v>
      </c>
      <c r="R2134" s="17">
        <v>40</v>
      </c>
      <c r="S2134" s="18">
        <v>16559.309999999998</v>
      </c>
      <c r="T2134" s="19" t="s">
        <v>36</v>
      </c>
      <c r="U2134" s="20" t="s">
        <v>750</v>
      </c>
      <c r="V2134" s="34">
        <v>41.5</v>
      </c>
      <c r="W2134" s="22">
        <v>1</v>
      </c>
      <c r="X2134" s="23"/>
    </row>
    <row r="2135" spans="1:24" s="1" customFormat="1" ht="52.05" customHeight="1" x14ac:dyDescent="0.3">
      <c r="A2135" s="11" t="s">
        <v>23</v>
      </c>
      <c r="B2135" s="11" t="s">
        <v>1247</v>
      </c>
      <c r="C2135" s="12" t="s">
        <v>2188</v>
      </c>
      <c r="D2135" s="55"/>
      <c r="E2135" s="41" t="str">
        <f>HYPERLINK("https://www.google.ru/search?q=3027189-003&amp;newwindow=1&amp;tbm=isch","Еще фото")</f>
        <v>Еще фото</v>
      </c>
      <c r="F2135" s="13" t="s">
        <v>152</v>
      </c>
      <c r="G2135" s="11" t="s">
        <v>1184</v>
      </c>
      <c r="H2135" s="11" t="s">
        <v>741</v>
      </c>
      <c r="I2135" s="14" t="s">
        <v>1185</v>
      </c>
      <c r="J2135" s="14" t="s">
        <v>29</v>
      </c>
      <c r="K2135" s="15" t="s">
        <v>30</v>
      </c>
      <c r="L2135" s="57" t="s">
        <v>1249</v>
      </c>
      <c r="M2135" s="14"/>
      <c r="N2135" s="14" t="s">
        <v>33</v>
      </c>
      <c r="O2135" s="14"/>
      <c r="P2135" s="15" t="s">
        <v>1250</v>
      </c>
      <c r="Q2135" s="16">
        <v>19499</v>
      </c>
      <c r="R2135" s="17">
        <v>40</v>
      </c>
      <c r="S2135" s="18">
        <v>13454.309999999998</v>
      </c>
      <c r="T2135" s="19" t="s">
        <v>36</v>
      </c>
      <c r="U2135" s="20" t="s">
        <v>748</v>
      </c>
      <c r="V2135" s="22">
        <v>40</v>
      </c>
      <c r="W2135" s="22">
        <v>2</v>
      </c>
      <c r="X2135" s="23"/>
    </row>
    <row r="2136" spans="1:24" s="1" customFormat="1" ht="61.05" customHeight="1" x14ac:dyDescent="0.3">
      <c r="A2136" s="24" t="s">
        <v>23</v>
      </c>
      <c r="B2136" s="24" t="s">
        <v>1247</v>
      </c>
      <c r="C2136" s="12" t="s">
        <v>2188</v>
      </c>
      <c r="D2136" s="56"/>
      <c r="E2136" s="41" t="str">
        <f>HYPERLINK("https://www.google.ru/search?q=3027189-003&amp;newwindow=1&amp;tbm=isch","Еще фото")</f>
        <v>Еще фото</v>
      </c>
      <c r="F2136" s="13" t="s">
        <v>152</v>
      </c>
      <c r="G2136" s="24" t="s">
        <v>1184</v>
      </c>
      <c r="H2136" s="24" t="s">
        <v>741</v>
      </c>
      <c r="I2136" s="24" t="s">
        <v>1185</v>
      </c>
      <c r="J2136" s="14" t="s">
        <v>29</v>
      </c>
      <c r="K2136" s="15" t="s">
        <v>30</v>
      </c>
      <c r="L2136" s="58"/>
      <c r="M2136" s="14"/>
      <c r="N2136" s="14" t="s">
        <v>33</v>
      </c>
      <c r="O2136" s="14"/>
      <c r="P2136" s="15" t="s">
        <v>1250</v>
      </c>
      <c r="Q2136" s="16">
        <v>19499</v>
      </c>
      <c r="R2136" s="17">
        <v>40</v>
      </c>
      <c r="S2136" s="18">
        <v>13454.309999999998</v>
      </c>
      <c r="T2136" s="19" t="s">
        <v>36</v>
      </c>
      <c r="U2136" s="20" t="s">
        <v>750</v>
      </c>
      <c r="V2136" s="34">
        <v>41.5</v>
      </c>
      <c r="W2136" s="22">
        <v>1</v>
      </c>
      <c r="X2136" s="23"/>
    </row>
    <row r="2137" spans="1:24" s="1" customFormat="1" ht="52.05" customHeight="1" x14ac:dyDescent="0.3">
      <c r="A2137" s="11" t="s">
        <v>23</v>
      </c>
      <c r="B2137" s="11" t="s">
        <v>1247</v>
      </c>
      <c r="C2137" s="12" t="s">
        <v>2189</v>
      </c>
      <c r="D2137" s="55"/>
      <c r="E2137" s="41" t="str">
        <f>HYPERLINK("https://www.google.ru/search?q=3027189-101&amp;newwindow=1&amp;tbm=isch","Еще фото")</f>
        <v>Еще фото</v>
      </c>
      <c r="F2137" s="13"/>
      <c r="G2137" s="11" t="s">
        <v>1184</v>
      </c>
      <c r="H2137" s="11" t="s">
        <v>741</v>
      </c>
      <c r="I2137" s="14" t="s">
        <v>1185</v>
      </c>
      <c r="J2137" s="14" t="s">
        <v>29</v>
      </c>
      <c r="K2137" s="15" t="s">
        <v>30</v>
      </c>
      <c r="L2137" s="57" t="s">
        <v>1249</v>
      </c>
      <c r="M2137" s="14"/>
      <c r="N2137" s="14" t="s">
        <v>84</v>
      </c>
      <c r="O2137" s="14"/>
      <c r="P2137" s="15" t="s">
        <v>1250</v>
      </c>
      <c r="Q2137" s="16">
        <v>19499</v>
      </c>
      <c r="R2137" s="17">
        <v>40</v>
      </c>
      <c r="S2137" s="18">
        <v>13454.309999999998</v>
      </c>
      <c r="T2137" s="19" t="s">
        <v>36</v>
      </c>
      <c r="U2137" s="20" t="s">
        <v>749</v>
      </c>
      <c r="V2137" s="22">
        <v>41</v>
      </c>
      <c r="W2137" s="22">
        <v>1</v>
      </c>
      <c r="X2137" s="23"/>
    </row>
    <row r="2138" spans="1:24" s="1" customFormat="1" ht="61.05" customHeight="1" x14ac:dyDescent="0.3">
      <c r="A2138" s="24" t="s">
        <v>23</v>
      </c>
      <c r="B2138" s="24" t="s">
        <v>1247</v>
      </c>
      <c r="C2138" s="12" t="s">
        <v>2189</v>
      </c>
      <c r="D2138" s="56"/>
      <c r="E2138" s="41" t="str">
        <f>HYPERLINK("https://www.google.ru/search?q=3027189-101&amp;newwindow=1&amp;tbm=isch","Еще фото")</f>
        <v>Еще фото</v>
      </c>
      <c r="F2138" s="13"/>
      <c r="G2138" s="24" t="s">
        <v>1184</v>
      </c>
      <c r="H2138" s="24" t="s">
        <v>741</v>
      </c>
      <c r="I2138" s="24" t="s">
        <v>1185</v>
      </c>
      <c r="J2138" s="14" t="s">
        <v>29</v>
      </c>
      <c r="K2138" s="15" t="s">
        <v>30</v>
      </c>
      <c r="L2138" s="58"/>
      <c r="M2138" s="14"/>
      <c r="N2138" s="14" t="s">
        <v>84</v>
      </c>
      <c r="O2138" s="14"/>
      <c r="P2138" s="15" t="s">
        <v>1250</v>
      </c>
      <c r="Q2138" s="16">
        <v>19499</v>
      </c>
      <c r="R2138" s="17">
        <v>40</v>
      </c>
      <c r="S2138" s="18">
        <v>13454.309999999998</v>
      </c>
      <c r="T2138" s="19" t="s">
        <v>36</v>
      </c>
      <c r="U2138" s="20" t="s">
        <v>750</v>
      </c>
      <c r="V2138" s="34">
        <v>41.5</v>
      </c>
      <c r="W2138" s="22">
        <v>6</v>
      </c>
      <c r="X2138" s="23"/>
    </row>
    <row r="2139" spans="1:24" s="1" customFormat="1" ht="52.05" customHeight="1" x14ac:dyDescent="0.3">
      <c r="A2139" s="11" t="s">
        <v>23</v>
      </c>
      <c r="B2139" s="11" t="s">
        <v>1247</v>
      </c>
      <c r="C2139" s="12" t="s">
        <v>2190</v>
      </c>
      <c r="D2139" s="55"/>
      <c r="E2139" s="41" t="str">
        <f>HYPERLINK("https://www.google.ru/search?q=3027189-300&amp;newwindow=1&amp;tbm=isch","Еще фото")</f>
        <v>Еще фото</v>
      </c>
      <c r="F2139" s="13"/>
      <c r="G2139" s="11" t="s">
        <v>1184</v>
      </c>
      <c r="H2139" s="11" t="s">
        <v>741</v>
      </c>
      <c r="I2139" s="14" t="s">
        <v>1185</v>
      </c>
      <c r="J2139" s="14" t="s">
        <v>29</v>
      </c>
      <c r="K2139" s="15" t="s">
        <v>30</v>
      </c>
      <c r="L2139" s="57" t="s">
        <v>1892</v>
      </c>
      <c r="M2139" s="14" t="s">
        <v>1211</v>
      </c>
      <c r="N2139" s="14" t="s">
        <v>127</v>
      </c>
      <c r="O2139" s="14"/>
      <c r="P2139" s="15" t="s">
        <v>745</v>
      </c>
      <c r="Q2139" s="16">
        <v>19099</v>
      </c>
      <c r="R2139" s="17">
        <v>40</v>
      </c>
      <c r="S2139" s="18">
        <v>13178.309999999998</v>
      </c>
      <c r="T2139" s="19" t="s">
        <v>36</v>
      </c>
      <c r="U2139" s="20" t="s">
        <v>751</v>
      </c>
      <c r="V2139" s="22">
        <v>42</v>
      </c>
      <c r="W2139" s="22">
        <v>1</v>
      </c>
      <c r="X2139" s="23"/>
    </row>
    <row r="2140" spans="1:24" s="1" customFormat="1" ht="61.05" customHeight="1" x14ac:dyDescent="0.3">
      <c r="A2140" s="24" t="s">
        <v>23</v>
      </c>
      <c r="B2140" s="24" t="s">
        <v>1247</v>
      </c>
      <c r="C2140" s="12" t="s">
        <v>2190</v>
      </c>
      <c r="D2140" s="56"/>
      <c r="E2140" s="41" t="str">
        <f>HYPERLINK("https://www.google.ru/search?q=3027189-300&amp;newwindow=1&amp;tbm=isch","Еще фото")</f>
        <v>Еще фото</v>
      </c>
      <c r="F2140" s="13"/>
      <c r="G2140" s="24" t="s">
        <v>1184</v>
      </c>
      <c r="H2140" s="24" t="s">
        <v>741</v>
      </c>
      <c r="I2140" s="24" t="s">
        <v>1185</v>
      </c>
      <c r="J2140" s="14" t="s">
        <v>29</v>
      </c>
      <c r="K2140" s="15" t="s">
        <v>30</v>
      </c>
      <c r="L2140" s="58"/>
      <c r="M2140" s="14" t="s">
        <v>1211</v>
      </c>
      <c r="N2140" s="14" t="s">
        <v>127</v>
      </c>
      <c r="O2140" s="14"/>
      <c r="P2140" s="15" t="s">
        <v>745</v>
      </c>
      <c r="Q2140" s="16">
        <v>19099</v>
      </c>
      <c r="R2140" s="17">
        <v>40</v>
      </c>
      <c r="S2140" s="18">
        <v>13178.309999999998</v>
      </c>
      <c r="T2140" s="19" t="s">
        <v>36</v>
      </c>
      <c r="U2140" s="20" t="s">
        <v>755</v>
      </c>
      <c r="V2140" s="34">
        <v>44.5</v>
      </c>
      <c r="W2140" s="22">
        <v>1</v>
      </c>
      <c r="X2140" s="23"/>
    </row>
    <row r="2141" spans="1:24" s="1" customFormat="1" ht="35" customHeight="1" x14ac:dyDescent="0.3">
      <c r="A2141" s="11" t="s">
        <v>23</v>
      </c>
      <c r="B2141" s="11" t="s">
        <v>1507</v>
      </c>
      <c r="C2141" s="12" t="s">
        <v>2191</v>
      </c>
      <c r="D2141" s="59"/>
      <c r="E2141" s="41" t="str">
        <f>HYPERLINK("https://www.google.ru/search?q=3027190-001&amp;newwindow=1&amp;tbm=isch","Еще фото")</f>
        <v>Еще фото</v>
      </c>
      <c r="F2141" s="13"/>
      <c r="G2141" s="11" t="s">
        <v>1184</v>
      </c>
      <c r="H2141" s="11" t="s">
        <v>741</v>
      </c>
      <c r="I2141" s="14" t="s">
        <v>1185</v>
      </c>
      <c r="J2141" s="14" t="s">
        <v>29</v>
      </c>
      <c r="K2141" s="15" t="s">
        <v>30</v>
      </c>
      <c r="L2141" s="57" t="s">
        <v>1509</v>
      </c>
      <c r="M2141" s="14" t="s">
        <v>1211</v>
      </c>
      <c r="N2141" s="14" t="s">
        <v>33</v>
      </c>
      <c r="O2141" s="14"/>
      <c r="P2141" s="15" t="s">
        <v>2192</v>
      </c>
      <c r="Q2141" s="16">
        <v>16899</v>
      </c>
      <c r="R2141" s="17">
        <v>40</v>
      </c>
      <c r="S2141" s="18">
        <v>11660.31</v>
      </c>
      <c r="T2141" s="19" t="s">
        <v>36</v>
      </c>
      <c r="U2141" s="20" t="s">
        <v>748</v>
      </c>
      <c r="V2141" s="22">
        <v>40</v>
      </c>
      <c r="W2141" s="22">
        <v>1</v>
      </c>
      <c r="X2141" s="23"/>
    </row>
    <row r="2142" spans="1:24" s="1" customFormat="1" ht="35" customHeight="1" x14ac:dyDescent="0.3">
      <c r="A2142" s="24" t="s">
        <v>23</v>
      </c>
      <c r="B2142" s="24" t="s">
        <v>1507</v>
      </c>
      <c r="C2142" s="12" t="s">
        <v>2191</v>
      </c>
      <c r="D2142" s="60"/>
      <c r="E2142" s="41" t="str">
        <f>HYPERLINK("https://www.google.ru/search?q=3027190-001&amp;newwindow=1&amp;tbm=isch","Еще фото")</f>
        <v>Еще фото</v>
      </c>
      <c r="F2142" s="13"/>
      <c r="G2142" s="24" t="s">
        <v>1184</v>
      </c>
      <c r="H2142" s="24" t="s">
        <v>741</v>
      </c>
      <c r="I2142" s="24" t="s">
        <v>1185</v>
      </c>
      <c r="J2142" s="14" t="s">
        <v>29</v>
      </c>
      <c r="K2142" s="15" t="s">
        <v>30</v>
      </c>
      <c r="L2142" s="62"/>
      <c r="M2142" s="14" t="s">
        <v>1211</v>
      </c>
      <c r="N2142" s="14" t="s">
        <v>33</v>
      </c>
      <c r="O2142" s="14"/>
      <c r="P2142" s="15" t="s">
        <v>2192</v>
      </c>
      <c r="Q2142" s="16">
        <v>16899</v>
      </c>
      <c r="R2142" s="17">
        <v>40</v>
      </c>
      <c r="S2142" s="18">
        <v>11660.31</v>
      </c>
      <c r="T2142" s="19" t="s">
        <v>36</v>
      </c>
      <c r="U2142" s="20" t="s">
        <v>751</v>
      </c>
      <c r="V2142" s="22">
        <v>42</v>
      </c>
      <c r="W2142" s="22">
        <v>1</v>
      </c>
      <c r="X2142" s="23"/>
    </row>
    <row r="2143" spans="1:24" s="1" customFormat="1" ht="37.049999999999997" customHeight="1" x14ac:dyDescent="0.3">
      <c r="A2143" s="24" t="s">
        <v>23</v>
      </c>
      <c r="B2143" s="24" t="s">
        <v>1507</v>
      </c>
      <c r="C2143" s="12" t="s">
        <v>2191</v>
      </c>
      <c r="D2143" s="61"/>
      <c r="E2143" s="41" t="str">
        <f>HYPERLINK("https://www.google.ru/search?q=3027190-001&amp;newwindow=1&amp;tbm=isch","Еще фото")</f>
        <v>Еще фото</v>
      </c>
      <c r="F2143" s="13"/>
      <c r="G2143" s="24" t="s">
        <v>1184</v>
      </c>
      <c r="H2143" s="24" t="s">
        <v>741</v>
      </c>
      <c r="I2143" s="24" t="s">
        <v>1185</v>
      </c>
      <c r="J2143" s="14" t="s">
        <v>29</v>
      </c>
      <c r="K2143" s="15" t="s">
        <v>30</v>
      </c>
      <c r="L2143" s="58"/>
      <c r="M2143" s="14" t="s">
        <v>1211</v>
      </c>
      <c r="N2143" s="14" t="s">
        <v>33</v>
      </c>
      <c r="O2143" s="14"/>
      <c r="P2143" s="15" t="s">
        <v>2192</v>
      </c>
      <c r="Q2143" s="16">
        <v>16899</v>
      </c>
      <c r="R2143" s="17">
        <v>40</v>
      </c>
      <c r="S2143" s="18">
        <v>11660.31</v>
      </c>
      <c r="T2143" s="19" t="s">
        <v>36</v>
      </c>
      <c r="U2143" s="20" t="s">
        <v>753</v>
      </c>
      <c r="V2143" s="34">
        <v>43.5</v>
      </c>
      <c r="W2143" s="22">
        <v>3</v>
      </c>
      <c r="X2143" s="23"/>
    </row>
    <row r="2144" spans="1:24" s="1" customFormat="1" ht="108" customHeight="1" x14ac:dyDescent="0.3">
      <c r="A2144" s="11" t="s">
        <v>23</v>
      </c>
      <c r="B2144" s="11" t="s">
        <v>1507</v>
      </c>
      <c r="C2144" s="12" t="s">
        <v>2193</v>
      </c>
      <c r="D2144" s="25"/>
      <c r="E2144" s="41" t="str">
        <f>HYPERLINK("https://www.google.ru/search?q=3027190-002&amp;newwindow=1&amp;tbm=isch","Еще фото")</f>
        <v>Еще фото</v>
      </c>
      <c r="F2144" s="13"/>
      <c r="G2144" s="11" t="s">
        <v>1184</v>
      </c>
      <c r="H2144" s="11" t="s">
        <v>741</v>
      </c>
      <c r="I2144" s="14" t="s">
        <v>1185</v>
      </c>
      <c r="J2144" s="14" t="s">
        <v>29</v>
      </c>
      <c r="K2144" s="15" t="s">
        <v>30</v>
      </c>
      <c r="L2144" s="14" t="s">
        <v>1509</v>
      </c>
      <c r="M2144" s="14" t="s">
        <v>1211</v>
      </c>
      <c r="N2144" s="14" t="s">
        <v>33</v>
      </c>
      <c r="O2144" s="14"/>
      <c r="P2144" s="15" t="s">
        <v>1250</v>
      </c>
      <c r="Q2144" s="16">
        <v>18999</v>
      </c>
      <c r="R2144" s="17">
        <v>40</v>
      </c>
      <c r="S2144" s="18">
        <v>13109.309999999998</v>
      </c>
      <c r="T2144" s="19" t="s">
        <v>36</v>
      </c>
      <c r="U2144" s="20" t="s">
        <v>748</v>
      </c>
      <c r="V2144" s="22">
        <v>40</v>
      </c>
      <c r="W2144" s="22">
        <v>3</v>
      </c>
      <c r="X2144" s="23"/>
    </row>
    <row r="2145" spans="1:24" s="1" customFormat="1" ht="35" customHeight="1" x14ac:dyDescent="0.3">
      <c r="A2145" s="11" t="s">
        <v>23</v>
      </c>
      <c r="B2145" s="11" t="s">
        <v>2194</v>
      </c>
      <c r="C2145" s="12" t="s">
        <v>2195</v>
      </c>
      <c r="D2145" s="59"/>
      <c r="E2145" s="41" t="str">
        <f>HYPERLINK("https://www.google.ru/search?q=3027264-001&amp;newwindow=1&amp;tbm=isch","Еще фото")</f>
        <v>Еще фото</v>
      </c>
      <c r="F2145" s="13"/>
      <c r="G2145" s="11" t="s">
        <v>1184</v>
      </c>
      <c r="H2145" s="11" t="s">
        <v>741</v>
      </c>
      <c r="I2145" s="14" t="s">
        <v>1185</v>
      </c>
      <c r="J2145" s="14" t="s">
        <v>260</v>
      </c>
      <c r="K2145" s="15" t="s">
        <v>723</v>
      </c>
      <c r="L2145" s="57" t="s">
        <v>2196</v>
      </c>
      <c r="M2145" s="14"/>
      <c r="N2145" s="14" t="s">
        <v>2197</v>
      </c>
      <c r="O2145" s="14"/>
      <c r="P2145" s="15" t="s">
        <v>1325</v>
      </c>
      <c r="Q2145" s="16">
        <v>25199</v>
      </c>
      <c r="R2145" s="17">
        <v>40</v>
      </c>
      <c r="S2145" s="18">
        <v>17387.309999999998</v>
      </c>
      <c r="T2145" s="19" t="s">
        <v>36</v>
      </c>
      <c r="U2145" s="20" t="s">
        <v>1326</v>
      </c>
      <c r="V2145" s="22">
        <v>42</v>
      </c>
      <c r="W2145" s="22">
        <v>1</v>
      </c>
      <c r="X2145" s="23"/>
    </row>
    <row r="2146" spans="1:24" s="1" customFormat="1" ht="35" customHeight="1" x14ac:dyDescent="0.3">
      <c r="A2146" s="24" t="s">
        <v>23</v>
      </c>
      <c r="B2146" s="24" t="s">
        <v>2194</v>
      </c>
      <c r="C2146" s="12" t="s">
        <v>2195</v>
      </c>
      <c r="D2146" s="60"/>
      <c r="E2146" s="41" t="str">
        <f>HYPERLINK("https://www.google.ru/search?q=3027264-001&amp;newwindow=1&amp;tbm=isch","Еще фото")</f>
        <v>Еще фото</v>
      </c>
      <c r="F2146" s="13"/>
      <c r="G2146" s="24" t="s">
        <v>1184</v>
      </c>
      <c r="H2146" s="24" t="s">
        <v>741</v>
      </c>
      <c r="I2146" s="24" t="s">
        <v>1185</v>
      </c>
      <c r="J2146" s="14" t="s">
        <v>260</v>
      </c>
      <c r="K2146" s="15" t="s">
        <v>723</v>
      </c>
      <c r="L2146" s="62"/>
      <c r="M2146" s="14"/>
      <c r="N2146" s="14" t="s">
        <v>2197</v>
      </c>
      <c r="O2146" s="14"/>
      <c r="P2146" s="15" t="s">
        <v>1325</v>
      </c>
      <c r="Q2146" s="16">
        <v>25199</v>
      </c>
      <c r="R2146" s="17">
        <v>40</v>
      </c>
      <c r="S2146" s="18">
        <v>17387.309999999998</v>
      </c>
      <c r="T2146" s="19" t="s">
        <v>36</v>
      </c>
      <c r="U2146" s="20" t="s">
        <v>1347</v>
      </c>
      <c r="V2146" s="22">
        <v>43</v>
      </c>
      <c r="W2146" s="22">
        <v>2</v>
      </c>
      <c r="X2146" s="23"/>
    </row>
    <row r="2147" spans="1:24" s="1" customFormat="1" ht="37.049999999999997" customHeight="1" x14ac:dyDescent="0.3">
      <c r="A2147" s="24" t="s">
        <v>23</v>
      </c>
      <c r="B2147" s="24" t="s">
        <v>2194</v>
      </c>
      <c r="C2147" s="12" t="s">
        <v>2195</v>
      </c>
      <c r="D2147" s="61"/>
      <c r="E2147" s="41" t="str">
        <f>HYPERLINK("https://www.google.ru/search?q=3027264-001&amp;newwindow=1&amp;tbm=isch","Еще фото")</f>
        <v>Еще фото</v>
      </c>
      <c r="F2147" s="13"/>
      <c r="G2147" s="24" t="s">
        <v>1184</v>
      </c>
      <c r="H2147" s="24" t="s">
        <v>741</v>
      </c>
      <c r="I2147" s="24" t="s">
        <v>1185</v>
      </c>
      <c r="J2147" s="14" t="s">
        <v>260</v>
      </c>
      <c r="K2147" s="15" t="s">
        <v>723</v>
      </c>
      <c r="L2147" s="58"/>
      <c r="M2147" s="14"/>
      <c r="N2147" s="14" t="s">
        <v>2197</v>
      </c>
      <c r="O2147" s="14"/>
      <c r="P2147" s="15" t="s">
        <v>1325</v>
      </c>
      <c r="Q2147" s="16">
        <v>25199</v>
      </c>
      <c r="R2147" s="17">
        <v>40</v>
      </c>
      <c r="S2147" s="18">
        <v>17387.309999999998</v>
      </c>
      <c r="T2147" s="19" t="s">
        <v>36</v>
      </c>
      <c r="U2147" s="20" t="s">
        <v>1348</v>
      </c>
      <c r="V2147" s="34">
        <v>43.5</v>
      </c>
      <c r="W2147" s="22">
        <v>1</v>
      </c>
      <c r="X2147" s="23"/>
    </row>
    <row r="2148" spans="1:24" s="1" customFormat="1" ht="52.05" customHeight="1" x14ac:dyDescent="0.3">
      <c r="A2148" s="11" t="s">
        <v>23</v>
      </c>
      <c r="B2148" s="11" t="s">
        <v>2198</v>
      </c>
      <c r="C2148" s="12" t="s">
        <v>2199</v>
      </c>
      <c r="D2148" s="55"/>
      <c r="E2148" s="41" t="str">
        <f>HYPERLINK("https://www.google.ru/search?q=3027341-477&amp;newwindow=1&amp;tbm=isch","Еще фото")</f>
        <v>Еще фото</v>
      </c>
      <c r="F2148" s="13"/>
      <c r="G2148" s="11" t="s">
        <v>1184</v>
      </c>
      <c r="H2148" s="11" t="s">
        <v>741</v>
      </c>
      <c r="I2148" s="14" t="s">
        <v>1185</v>
      </c>
      <c r="J2148" s="14" t="s">
        <v>29</v>
      </c>
      <c r="K2148" s="15" t="s">
        <v>30</v>
      </c>
      <c r="L2148" s="57" t="s">
        <v>2200</v>
      </c>
      <c r="M2148" s="14"/>
      <c r="N2148" s="14" t="s">
        <v>46</v>
      </c>
      <c r="O2148" s="14"/>
      <c r="P2148" s="15" t="s">
        <v>745</v>
      </c>
      <c r="Q2148" s="16">
        <v>15199</v>
      </c>
      <c r="R2148" s="17">
        <v>40</v>
      </c>
      <c r="S2148" s="18">
        <v>10487.31</v>
      </c>
      <c r="T2148" s="19" t="s">
        <v>36</v>
      </c>
      <c r="U2148" s="20" t="s">
        <v>750</v>
      </c>
      <c r="V2148" s="34">
        <v>41.5</v>
      </c>
      <c r="W2148" s="22">
        <v>1</v>
      </c>
      <c r="X2148" s="23"/>
    </row>
    <row r="2149" spans="1:24" s="1" customFormat="1" ht="61.05" customHeight="1" x14ac:dyDescent="0.3">
      <c r="A2149" s="24" t="s">
        <v>23</v>
      </c>
      <c r="B2149" s="24" t="s">
        <v>2198</v>
      </c>
      <c r="C2149" s="12" t="s">
        <v>2199</v>
      </c>
      <c r="D2149" s="56"/>
      <c r="E2149" s="41" t="str">
        <f>HYPERLINK("https://www.google.ru/search?q=3027341-477&amp;newwindow=1&amp;tbm=isch","Еще фото")</f>
        <v>Еще фото</v>
      </c>
      <c r="F2149" s="13"/>
      <c r="G2149" s="24" t="s">
        <v>1184</v>
      </c>
      <c r="H2149" s="24" t="s">
        <v>741</v>
      </c>
      <c r="I2149" s="24" t="s">
        <v>1185</v>
      </c>
      <c r="J2149" s="14" t="s">
        <v>29</v>
      </c>
      <c r="K2149" s="15" t="s">
        <v>30</v>
      </c>
      <c r="L2149" s="58"/>
      <c r="M2149" s="14"/>
      <c r="N2149" s="14" t="s">
        <v>46</v>
      </c>
      <c r="O2149" s="14"/>
      <c r="P2149" s="15" t="s">
        <v>745</v>
      </c>
      <c r="Q2149" s="16">
        <v>15199</v>
      </c>
      <c r="R2149" s="17">
        <v>40</v>
      </c>
      <c r="S2149" s="18">
        <v>10487.31</v>
      </c>
      <c r="T2149" s="19" t="s">
        <v>36</v>
      </c>
      <c r="U2149" s="20" t="s">
        <v>751</v>
      </c>
      <c r="V2149" s="22">
        <v>42</v>
      </c>
      <c r="W2149" s="22">
        <v>2</v>
      </c>
      <c r="X2149" s="23"/>
    </row>
    <row r="2150" spans="1:24" s="1" customFormat="1" ht="26" customHeight="1" x14ac:dyDescent="0.3">
      <c r="A2150" s="11" t="s">
        <v>23</v>
      </c>
      <c r="B2150" s="11" t="s">
        <v>2201</v>
      </c>
      <c r="C2150" s="12" t="s">
        <v>2202</v>
      </c>
      <c r="D2150" s="59"/>
      <c r="E2150" s="41" t="str">
        <f>HYPERLINK("https://www.google.ru/search?q=3027342-009&amp;newwindow=1&amp;tbm=isch","Еще фото")</f>
        <v>Еще фото</v>
      </c>
      <c r="F2150" s="13" t="s">
        <v>152</v>
      </c>
      <c r="G2150" s="11" t="s">
        <v>1184</v>
      </c>
      <c r="H2150" s="11" t="s">
        <v>741</v>
      </c>
      <c r="I2150" s="14" t="s">
        <v>1185</v>
      </c>
      <c r="J2150" s="14" t="s">
        <v>29</v>
      </c>
      <c r="K2150" s="15" t="s">
        <v>59</v>
      </c>
      <c r="L2150" s="57" t="s">
        <v>2203</v>
      </c>
      <c r="M2150" s="14"/>
      <c r="N2150" s="14" t="s">
        <v>62</v>
      </c>
      <c r="O2150" s="14"/>
      <c r="P2150" s="15" t="s">
        <v>1858</v>
      </c>
      <c r="Q2150" s="16">
        <v>16599</v>
      </c>
      <c r="R2150" s="17">
        <v>40</v>
      </c>
      <c r="S2150" s="18">
        <v>11453.31</v>
      </c>
      <c r="T2150" s="19" t="s">
        <v>36</v>
      </c>
      <c r="U2150" s="20" t="s">
        <v>1203</v>
      </c>
      <c r="V2150" s="22">
        <v>36</v>
      </c>
      <c r="W2150" s="22">
        <v>1</v>
      </c>
      <c r="X2150" s="23"/>
    </row>
    <row r="2151" spans="1:24" s="1" customFormat="1" ht="26" customHeight="1" x14ac:dyDescent="0.3">
      <c r="A2151" s="24" t="s">
        <v>23</v>
      </c>
      <c r="B2151" s="24" t="s">
        <v>2201</v>
      </c>
      <c r="C2151" s="12" t="s">
        <v>2202</v>
      </c>
      <c r="D2151" s="60"/>
      <c r="E2151" s="41" t="str">
        <f>HYPERLINK("https://www.google.ru/search?q=3027342-009&amp;newwindow=1&amp;tbm=isch","Еще фото")</f>
        <v>Еще фото</v>
      </c>
      <c r="F2151" s="13" t="s">
        <v>152</v>
      </c>
      <c r="G2151" s="24" t="s">
        <v>1184</v>
      </c>
      <c r="H2151" s="24" t="s">
        <v>741</v>
      </c>
      <c r="I2151" s="24" t="s">
        <v>1185</v>
      </c>
      <c r="J2151" s="14" t="s">
        <v>29</v>
      </c>
      <c r="K2151" s="15" t="s">
        <v>59</v>
      </c>
      <c r="L2151" s="62"/>
      <c r="M2151" s="14"/>
      <c r="N2151" s="14" t="s">
        <v>62</v>
      </c>
      <c r="O2151" s="14"/>
      <c r="P2151" s="15" t="s">
        <v>1858</v>
      </c>
      <c r="Q2151" s="16">
        <v>16599</v>
      </c>
      <c r="R2151" s="17">
        <v>40</v>
      </c>
      <c r="S2151" s="18">
        <v>11453.31</v>
      </c>
      <c r="T2151" s="19" t="s">
        <v>36</v>
      </c>
      <c r="U2151" s="20" t="s">
        <v>1196</v>
      </c>
      <c r="V2151" s="34">
        <v>36.5</v>
      </c>
      <c r="W2151" s="22">
        <v>1</v>
      </c>
      <c r="X2151" s="23"/>
    </row>
    <row r="2152" spans="1:24" s="1" customFormat="1" ht="26" customHeight="1" x14ac:dyDescent="0.3">
      <c r="A2152" s="24" t="s">
        <v>23</v>
      </c>
      <c r="B2152" s="24" t="s">
        <v>2201</v>
      </c>
      <c r="C2152" s="12" t="s">
        <v>2202</v>
      </c>
      <c r="D2152" s="60"/>
      <c r="E2152" s="41" t="str">
        <f>HYPERLINK("https://www.google.ru/search?q=3027342-009&amp;newwindow=1&amp;tbm=isch","Еще фото")</f>
        <v>Еще фото</v>
      </c>
      <c r="F2152" s="13" t="s">
        <v>152</v>
      </c>
      <c r="G2152" s="24" t="s">
        <v>1184</v>
      </c>
      <c r="H2152" s="24" t="s">
        <v>741</v>
      </c>
      <c r="I2152" s="24" t="s">
        <v>1185</v>
      </c>
      <c r="J2152" s="14" t="s">
        <v>29</v>
      </c>
      <c r="K2152" s="15" t="s">
        <v>59</v>
      </c>
      <c r="L2152" s="62"/>
      <c r="M2152" s="14"/>
      <c r="N2152" s="14" t="s">
        <v>62</v>
      </c>
      <c r="O2152" s="14"/>
      <c r="P2152" s="15" t="s">
        <v>1858</v>
      </c>
      <c r="Q2152" s="16">
        <v>16599</v>
      </c>
      <c r="R2152" s="17">
        <v>40</v>
      </c>
      <c r="S2152" s="18">
        <v>11453.31</v>
      </c>
      <c r="T2152" s="19" t="s">
        <v>36</v>
      </c>
      <c r="U2152" s="20" t="s">
        <v>749</v>
      </c>
      <c r="V2152" s="22">
        <v>39</v>
      </c>
      <c r="W2152" s="22">
        <v>1</v>
      </c>
      <c r="X2152" s="23"/>
    </row>
    <row r="2153" spans="1:24" s="1" customFormat="1" ht="26" customHeight="1" x14ac:dyDescent="0.3">
      <c r="A2153" s="24" t="s">
        <v>23</v>
      </c>
      <c r="B2153" s="24" t="s">
        <v>2201</v>
      </c>
      <c r="C2153" s="12" t="s">
        <v>2202</v>
      </c>
      <c r="D2153" s="61"/>
      <c r="E2153" s="41" t="str">
        <f>HYPERLINK("https://www.google.ru/search?q=3027342-009&amp;newwindow=1&amp;tbm=isch","Еще фото")</f>
        <v>Еще фото</v>
      </c>
      <c r="F2153" s="13" t="s">
        <v>152</v>
      </c>
      <c r="G2153" s="24" t="s">
        <v>1184</v>
      </c>
      <c r="H2153" s="24" t="s">
        <v>741</v>
      </c>
      <c r="I2153" s="24" t="s">
        <v>1185</v>
      </c>
      <c r="J2153" s="14" t="s">
        <v>29</v>
      </c>
      <c r="K2153" s="15" t="s">
        <v>59</v>
      </c>
      <c r="L2153" s="58"/>
      <c r="M2153" s="14"/>
      <c r="N2153" s="14" t="s">
        <v>62</v>
      </c>
      <c r="O2153" s="14"/>
      <c r="P2153" s="15" t="s">
        <v>1858</v>
      </c>
      <c r="Q2153" s="16">
        <v>16599</v>
      </c>
      <c r="R2153" s="17">
        <v>40</v>
      </c>
      <c r="S2153" s="18">
        <v>11453.31</v>
      </c>
      <c r="T2153" s="19" t="s">
        <v>36</v>
      </c>
      <c r="U2153" s="20" t="s">
        <v>751</v>
      </c>
      <c r="V2153" s="22">
        <v>40</v>
      </c>
      <c r="W2153" s="22">
        <v>1</v>
      </c>
      <c r="X2153" s="23"/>
    </row>
    <row r="2154" spans="1:24" s="1" customFormat="1" ht="108" customHeight="1" x14ac:dyDescent="0.3">
      <c r="A2154" s="11" t="s">
        <v>23</v>
      </c>
      <c r="B2154" s="11" t="s">
        <v>2201</v>
      </c>
      <c r="C2154" s="12" t="s">
        <v>2204</v>
      </c>
      <c r="D2154" s="25"/>
      <c r="E2154" s="41" t="str">
        <f>HYPERLINK("https://www.google.ru/search?q=3027342-104&amp;newwindow=1&amp;tbm=isch","Еще фото")</f>
        <v>Еще фото</v>
      </c>
      <c r="F2154" s="13" t="s">
        <v>152</v>
      </c>
      <c r="G2154" s="11" t="s">
        <v>1184</v>
      </c>
      <c r="H2154" s="11" t="s">
        <v>741</v>
      </c>
      <c r="I2154" s="14" t="s">
        <v>1185</v>
      </c>
      <c r="J2154" s="14" t="s">
        <v>29</v>
      </c>
      <c r="K2154" s="15" t="s">
        <v>59</v>
      </c>
      <c r="L2154" s="14" t="s">
        <v>2205</v>
      </c>
      <c r="M2154" s="14"/>
      <c r="N2154" s="14" t="s">
        <v>84</v>
      </c>
      <c r="O2154" s="14"/>
      <c r="P2154" s="15" t="s">
        <v>1858</v>
      </c>
      <c r="Q2154" s="16">
        <v>16599</v>
      </c>
      <c r="R2154" s="17">
        <v>40</v>
      </c>
      <c r="S2154" s="18">
        <v>11453.31</v>
      </c>
      <c r="T2154" s="19" t="s">
        <v>36</v>
      </c>
      <c r="U2154" s="20" t="s">
        <v>1203</v>
      </c>
      <c r="V2154" s="22">
        <v>36</v>
      </c>
      <c r="W2154" s="22">
        <v>1</v>
      </c>
      <c r="X2154" s="23"/>
    </row>
    <row r="2155" spans="1:24" s="1" customFormat="1" ht="13.05" customHeight="1" x14ac:dyDescent="0.3">
      <c r="A2155" s="11" t="s">
        <v>23</v>
      </c>
      <c r="B2155" s="11" t="s">
        <v>2206</v>
      </c>
      <c r="C2155" s="12" t="s">
        <v>2207</v>
      </c>
      <c r="D2155" s="59"/>
      <c r="E2155" s="41" t="str">
        <f t="shared" ref="E2155:E2162" si="82">HYPERLINK("https://www.google.ru/search?q=3027381-001&amp;newwindow=1&amp;tbm=isch","Еще фото")</f>
        <v>Еще фото</v>
      </c>
      <c r="F2155" s="13" t="s">
        <v>103</v>
      </c>
      <c r="G2155" s="11" t="s">
        <v>740</v>
      </c>
      <c r="H2155" s="11" t="s">
        <v>741</v>
      </c>
      <c r="I2155" s="14" t="s">
        <v>1185</v>
      </c>
      <c r="J2155" s="14" t="s">
        <v>743</v>
      </c>
      <c r="K2155" s="15" t="s">
        <v>30</v>
      </c>
      <c r="L2155" s="57" t="s">
        <v>2208</v>
      </c>
      <c r="M2155" s="14"/>
      <c r="N2155" s="14" t="s">
        <v>33</v>
      </c>
      <c r="O2155" s="14"/>
      <c r="P2155" s="15" t="s">
        <v>745</v>
      </c>
      <c r="Q2155" s="16">
        <v>19099</v>
      </c>
      <c r="R2155" s="17">
        <v>40</v>
      </c>
      <c r="S2155" s="18">
        <v>13178.309999999998</v>
      </c>
      <c r="T2155" s="19" t="s">
        <v>36</v>
      </c>
      <c r="U2155" s="33" t="s">
        <v>747</v>
      </c>
      <c r="V2155" s="34">
        <v>39.5</v>
      </c>
      <c r="W2155" s="22">
        <v>1</v>
      </c>
      <c r="X2155" s="23"/>
    </row>
    <row r="2156" spans="1:24" s="1" customFormat="1" ht="13.05" customHeight="1" x14ac:dyDescent="0.3">
      <c r="A2156" s="24" t="s">
        <v>23</v>
      </c>
      <c r="B2156" s="24" t="s">
        <v>2206</v>
      </c>
      <c r="C2156" s="12" t="s">
        <v>2207</v>
      </c>
      <c r="D2156" s="60"/>
      <c r="E2156" s="41" t="str">
        <f t="shared" si="82"/>
        <v>Еще фото</v>
      </c>
      <c r="F2156" s="13" t="s">
        <v>103</v>
      </c>
      <c r="G2156" s="24" t="s">
        <v>740</v>
      </c>
      <c r="H2156" s="24" t="s">
        <v>741</v>
      </c>
      <c r="I2156" s="24" t="s">
        <v>1185</v>
      </c>
      <c r="J2156" s="14" t="s">
        <v>743</v>
      </c>
      <c r="K2156" s="15" t="s">
        <v>30</v>
      </c>
      <c r="L2156" s="62"/>
      <c r="M2156" s="14"/>
      <c r="N2156" s="14" t="s">
        <v>33</v>
      </c>
      <c r="O2156" s="14"/>
      <c r="P2156" s="15" t="s">
        <v>745</v>
      </c>
      <c r="Q2156" s="16">
        <v>19099</v>
      </c>
      <c r="R2156" s="17">
        <v>40</v>
      </c>
      <c r="S2156" s="18">
        <v>13178.309999999998</v>
      </c>
      <c r="T2156" s="19" t="s">
        <v>36</v>
      </c>
      <c r="U2156" s="20" t="s">
        <v>748</v>
      </c>
      <c r="V2156" s="22">
        <v>40</v>
      </c>
      <c r="W2156" s="22">
        <v>8</v>
      </c>
      <c r="X2156" s="23"/>
    </row>
    <row r="2157" spans="1:24" s="1" customFormat="1" ht="13.05" customHeight="1" x14ac:dyDescent="0.3">
      <c r="A2157" s="24" t="s">
        <v>23</v>
      </c>
      <c r="B2157" s="24" t="s">
        <v>2206</v>
      </c>
      <c r="C2157" s="12" t="s">
        <v>2207</v>
      </c>
      <c r="D2157" s="60"/>
      <c r="E2157" s="41" t="str">
        <f t="shared" si="82"/>
        <v>Еще фото</v>
      </c>
      <c r="F2157" s="13" t="s">
        <v>103</v>
      </c>
      <c r="G2157" s="24" t="s">
        <v>740</v>
      </c>
      <c r="H2157" s="24" t="s">
        <v>741</v>
      </c>
      <c r="I2157" s="24" t="s">
        <v>1185</v>
      </c>
      <c r="J2157" s="14" t="s">
        <v>743</v>
      </c>
      <c r="K2157" s="15" t="s">
        <v>30</v>
      </c>
      <c r="L2157" s="62"/>
      <c r="M2157" s="14"/>
      <c r="N2157" s="14" t="s">
        <v>33</v>
      </c>
      <c r="O2157" s="14"/>
      <c r="P2157" s="15" t="s">
        <v>745</v>
      </c>
      <c r="Q2157" s="16">
        <v>19099</v>
      </c>
      <c r="R2157" s="17">
        <v>40</v>
      </c>
      <c r="S2157" s="18">
        <v>13178.309999999998</v>
      </c>
      <c r="T2157" s="19" t="s">
        <v>36</v>
      </c>
      <c r="U2157" s="20" t="s">
        <v>749</v>
      </c>
      <c r="V2157" s="22">
        <v>41</v>
      </c>
      <c r="W2157" s="22">
        <v>9</v>
      </c>
      <c r="X2157" s="23"/>
    </row>
    <row r="2158" spans="1:24" s="1" customFormat="1" ht="13.05" customHeight="1" x14ac:dyDescent="0.3">
      <c r="A2158" s="24" t="s">
        <v>23</v>
      </c>
      <c r="B2158" s="24" t="s">
        <v>2206</v>
      </c>
      <c r="C2158" s="12" t="s">
        <v>2207</v>
      </c>
      <c r="D2158" s="60"/>
      <c r="E2158" s="41" t="str">
        <f t="shared" si="82"/>
        <v>Еще фото</v>
      </c>
      <c r="F2158" s="13" t="s">
        <v>103</v>
      </c>
      <c r="G2158" s="24" t="s">
        <v>740</v>
      </c>
      <c r="H2158" s="24" t="s">
        <v>741</v>
      </c>
      <c r="I2158" s="24" t="s">
        <v>1185</v>
      </c>
      <c r="J2158" s="14" t="s">
        <v>743</v>
      </c>
      <c r="K2158" s="15" t="s">
        <v>30</v>
      </c>
      <c r="L2158" s="62"/>
      <c r="M2158" s="14"/>
      <c r="N2158" s="14" t="s">
        <v>33</v>
      </c>
      <c r="O2158" s="14"/>
      <c r="P2158" s="15" t="s">
        <v>745</v>
      </c>
      <c r="Q2158" s="16">
        <v>19099</v>
      </c>
      <c r="R2158" s="17">
        <v>40</v>
      </c>
      <c r="S2158" s="18">
        <v>13178.309999999998</v>
      </c>
      <c r="T2158" s="19" t="s">
        <v>36</v>
      </c>
      <c r="U2158" s="20" t="s">
        <v>750</v>
      </c>
      <c r="V2158" s="34">
        <v>41.5</v>
      </c>
      <c r="W2158" s="22">
        <v>12</v>
      </c>
      <c r="X2158" s="23"/>
    </row>
    <row r="2159" spans="1:24" s="1" customFormat="1" ht="13.05" customHeight="1" x14ac:dyDescent="0.3">
      <c r="A2159" s="24" t="s">
        <v>23</v>
      </c>
      <c r="B2159" s="24" t="s">
        <v>2206</v>
      </c>
      <c r="C2159" s="12" t="s">
        <v>2207</v>
      </c>
      <c r="D2159" s="60"/>
      <c r="E2159" s="41" t="str">
        <f t="shared" si="82"/>
        <v>Еще фото</v>
      </c>
      <c r="F2159" s="13" t="s">
        <v>103</v>
      </c>
      <c r="G2159" s="24" t="s">
        <v>740</v>
      </c>
      <c r="H2159" s="24" t="s">
        <v>741</v>
      </c>
      <c r="I2159" s="24" t="s">
        <v>1185</v>
      </c>
      <c r="J2159" s="14" t="s">
        <v>743</v>
      </c>
      <c r="K2159" s="15" t="s">
        <v>30</v>
      </c>
      <c r="L2159" s="62"/>
      <c r="M2159" s="14"/>
      <c r="N2159" s="14" t="s">
        <v>33</v>
      </c>
      <c r="O2159" s="14"/>
      <c r="P2159" s="15" t="s">
        <v>745</v>
      </c>
      <c r="Q2159" s="16">
        <v>19099</v>
      </c>
      <c r="R2159" s="17">
        <v>40</v>
      </c>
      <c r="S2159" s="18">
        <v>13178.309999999998</v>
      </c>
      <c r="T2159" s="19" t="s">
        <v>36</v>
      </c>
      <c r="U2159" s="20" t="s">
        <v>751</v>
      </c>
      <c r="V2159" s="22">
        <v>42</v>
      </c>
      <c r="W2159" s="22">
        <v>6</v>
      </c>
      <c r="X2159" s="23"/>
    </row>
    <row r="2160" spans="1:24" s="1" customFormat="1" ht="13.05" customHeight="1" x14ac:dyDescent="0.3">
      <c r="A2160" s="24" t="s">
        <v>23</v>
      </c>
      <c r="B2160" s="24" t="s">
        <v>2206</v>
      </c>
      <c r="C2160" s="12" t="s">
        <v>2207</v>
      </c>
      <c r="D2160" s="60"/>
      <c r="E2160" s="41" t="str">
        <f t="shared" si="82"/>
        <v>Еще фото</v>
      </c>
      <c r="F2160" s="13" t="s">
        <v>103</v>
      </c>
      <c r="G2160" s="24" t="s">
        <v>740</v>
      </c>
      <c r="H2160" s="24" t="s">
        <v>741</v>
      </c>
      <c r="I2160" s="24" t="s">
        <v>1185</v>
      </c>
      <c r="J2160" s="14" t="s">
        <v>743</v>
      </c>
      <c r="K2160" s="15" t="s">
        <v>30</v>
      </c>
      <c r="L2160" s="62"/>
      <c r="M2160" s="14"/>
      <c r="N2160" s="14" t="s">
        <v>33</v>
      </c>
      <c r="O2160" s="14"/>
      <c r="P2160" s="15" t="s">
        <v>745</v>
      </c>
      <c r="Q2160" s="16">
        <v>19099</v>
      </c>
      <c r="R2160" s="17">
        <v>40</v>
      </c>
      <c r="S2160" s="18">
        <v>13178.309999999998</v>
      </c>
      <c r="T2160" s="19" t="s">
        <v>36</v>
      </c>
      <c r="U2160" s="20" t="s">
        <v>752</v>
      </c>
      <c r="V2160" s="22">
        <v>43</v>
      </c>
      <c r="W2160" s="22">
        <v>6</v>
      </c>
      <c r="X2160" s="23"/>
    </row>
    <row r="2161" spans="1:24" s="1" customFormat="1" ht="13.05" customHeight="1" x14ac:dyDescent="0.3">
      <c r="A2161" s="24" t="s">
        <v>23</v>
      </c>
      <c r="B2161" s="24" t="s">
        <v>2206</v>
      </c>
      <c r="C2161" s="12" t="s">
        <v>2207</v>
      </c>
      <c r="D2161" s="60"/>
      <c r="E2161" s="41" t="str">
        <f t="shared" si="82"/>
        <v>Еще фото</v>
      </c>
      <c r="F2161" s="13" t="s">
        <v>103</v>
      </c>
      <c r="G2161" s="24" t="s">
        <v>740</v>
      </c>
      <c r="H2161" s="24" t="s">
        <v>741</v>
      </c>
      <c r="I2161" s="24" t="s">
        <v>1185</v>
      </c>
      <c r="J2161" s="14" t="s">
        <v>743</v>
      </c>
      <c r="K2161" s="15" t="s">
        <v>30</v>
      </c>
      <c r="L2161" s="62"/>
      <c r="M2161" s="14"/>
      <c r="N2161" s="14" t="s">
        <v>33</v>
      </c>
      <c r="O2161" s="14"/>
      <c r="P2161" s="15" t="s">
        <v>745</v>
      </c>
      <c r="Q2161" s="16">
        <v>19099</v>
      </c>
      <c r="R2161" s="17">
        <v>40</v>
      </c>
      <c r="S2161" s="18">
        <v>13178.309999999998</v>
      </c>
      <c r="T2161" s="19" t="s">
        <v>36</v>
      </c>
      <c r="U2161" s="20" t="s">
        <v>753</v>
      </c>
      <c r="V2161" s="34">
        <v>43.5</v>
      </c>
      <c r="W2161" s="22">
        <v>6</v>
      </c>
      <c r="X2161" s="23"/>
    </row>
    <row r="2162" spans="1:24" s="1" customFormat="1" ht="18" customHeight="1" x14ac:dyDescent="0.3">
      <c r="A2162" s="24" t="s">
        <v>23</v>
      </c>
      <c r="B2162" s="24" t="s">
        <v>2206</v>
      </c>
      <c r="C2162" s="12" t="s">
        <v>2207</v>
      </c>
      <c r="D2162" s="61"/>
      <c r="E2162" s="41" t="str">
        <f t="shared" si="82"/>
        <v>Еще фото</v>
      </c>
      <c r="F2162" s="13" t="s">
        <v>103</v>
      </c>
      <c r="G2162" s="24" t="s">
        <v>740</v>
      </c>
      <c r="H2162" s="24" t="s">
        <v>741</v>
      </c>
      <c r="I2162" s="24" t="s">
        <v>1185</v>
      </c>
      <c r="J2162" s="14" t="s">
        <v>743</v>
      </c>
      <c r="K2162" s="15" t="s">
        <v>30</v>
      </c>
      <c r="L2162" s="58"/>
      <c r="M2162" s="14"/>
      <c r="N2162" s="14" t="s">
        <v>33</v>
      </c>
      <c r="O2162" s="14"/>
      <c r="P2162" s="15" t="s">
        <v>745</v>
      </c>
      <c r="Q2162" s="16">
        <v>19099</v>
      </c>
      <c r="R2162" s="17">
        <v>40</v>
      </c>
      <c r="S2162" s="18">
        <v>13178.309999999998</v>
      </c>
      <c r="T2162" s="19" t="s">
        <v>36</v>
      </c>
      <c r="U2162" s="20" t="s">
        <v>754</v>
      </c>
      <c r="V2162" s="22">
        <v>44</v>
      </c>
      <c r="W2162" s="22">
        <v>1</v>
      </c>
      <c r="X2162" s="23"/>
    </row>
    <row r="2163" spans="1:24" s="1" customFormat="1" ht="11" customHeight="1" x14ac:dyDescent="0.3">
      <c r="A2163" s="11" t="s">
        <v>23</v>
      </c>
      <c r="B2163" s="11" t="s">
        <v>2206</v>
      </c>
      <c r="C2163" s="12" t="s">
        <v>2209</v>
      </c>
      <c r="D2163" s="59"/>
      <c r="E2163" s="41" t="str">
        <f t="shared" ref="E2163:E2173" si="83">HYPERLINK("https://www.google.ru/search?q=3027381-200&amp;newwindow=1&amp;tbm=isch","Еще фото")</f>
        <v>Еще фото</v>
      </c>
      <c r="F2163" s="13" t="s">
        <v>103</v>
      </c>
      <c r="G2163" s="11" t="s">
        <v>740</v>
      </c>
      <c r="H2163" s="11" t="s">
        <v>741</v>
      </c>
      <c r="I2163" s="14" t="s">
        <v>1185</v>
      </c>
      <c r="J2163" s="14" t="s">
        <v>743</v>
      </c>
      <c r="K2163" s="15" t="s">
        <v>30</v>
      </c>
      <c r="L2163" s="57" t="s">
        <v>2208</v>
      </c>
      <c r="M2163" s="14"/>
      <c r="N2163" s="14" t="s">
        <v>332</v>
      </c>
      <c r="O2163" s="14"/>
      <c r="P2163" s="15" t="s">
        <v>745</v>
      </c>
      <c r="Q2163" s="16">
        <v>19099</v>
      </c>
      <c r="R2163" s="17">
        <v>40</v>
      </c>
      <c r="S2163" s="18">
        <v>13178.309999999998</v>
      </c>
      <c r="T2163" s="19" t="s">
        <v>36</v>
      </c>
      <c r="U2163" s="20" t="s">
        <v>746</v>
      </c>
      <c r="V2163" s="22">
        <v>39</v>
      </c>
      <c r="W2163" s="22">
        <v>7</v>
      </c>
      <c r="X2163" s="23"/>
    </row>
    <row r="2164" spans="1:24" s="1" customFormat="1" ht="11" customHeight="1" x14ac:dyDescent="0.3">
      <c r="A2164" s="24" t="s">
        <v>23</v>
      </c>
      <c r="B2164" s="24" t="s">
        <v>2206</v>
      </c>
      <c r="C2164" s="12" t="s">
        <v>2209</v>
      </c>
      <c r="D2164" s="60"/>
      <c r="E2164" s="41" t="str">
        <f t="shared" si="83"/>
        <v>Еще фото</v>
      </c>
      <c r="F2164" s="13" t="s">
        <v>103</v>
      </c>
      <c r="G2164" s="24" t="s">
        <v>740</v>
      </c>
      <c r="H2164" s="24" t="s">
        <v>741</v>
      </c>
      <c r="I2164" s="24" t="s">
        <v>1185</v>
      </c>
      <c r="J2164" s="14" t="s">
        <v>743</v>
      </c>
      <c r="K2164" s="15" t="s">
        <v>30</v>
      </c>
      <c r="L2164" s="62"/>
      <c r="M2164" s="14"/>
      <c r="N2164" s="14" t="s">
        <v>332</v>
      </c>
      <c r="O2164" s="14"/>
      <c r="P2164" s="15" t="s">
        <v>745</v>
      </c>
      <c r="Q2164" s="16">
        <v>19099</v>
      </c>
      <c r="R2164" s="17">
        <v>40</v>
      </c>
      <c r="S2164" s="18">
        <v>13178.309999999998</v>
      </c>
      <c r="T2164" s="19" t="s">
        <v>36</v>
      </c>
      <c r="U2164" s="20" t="s">
        <v>747</v>
      </c>
      <c r="V2164" s="34">
        <v>39.5</v>
      </c>
      <c r="W2164" s="22">
        <v>7</v>
      </c>
      <c r="X2164" s="23"/>
    </row>
    <row r="2165" spans="1:24" s="1" customFormat="1" ht="11" customHeight="1" x14ac:dyDescent="0.3">
      <c r="A2165" s="24" t="s">
        <v>23</v>
      </c>
      <c r="B2165" s="24" t="s">
        <v>2206</v>
      </c>
      <c r="C2165" s="12" t="s">
        <v>2209</v>
      </c>
      <c r="D2165" s="60"/>
      <c r="E2165" s="41" t="str">
        <f t="shared" si="83"/>
        <v>Еще фото</v>
      </c>
      <c r="F2165" s="13" t="s">
        <v>103</v>
      </c>
      <c r="G2165" s="24" t="s">
        <v>740</v>
      </c>
      <c r="H2165" s="24" t="s">
        <v>741</v>
      </c>
      <c r="I2165" s="24" t="s">
        <v>1185</v>
      </c>
      <c r="J2165" s="14" t="s">
        <v>743</v>
      </c>
      <c r="K2165" s="15" t="s">
        <v>30</v>
      </c>
      <c r="L2165" s="62"/>
      <c r="M2165" s="14"/>
      <c r="N2165" s="14" t="s">
        <v>332</v>
      </c>
      <c r="O2165" s="14"/>
      <c r="P2165" s="15" t="s">
        <v>745</v>
      </c>
      <c r="Q2165" s="16">
        <v>19099</v>
      </c>
      <c r="R2165" s="17">
        <v>40</v>
      </c>
      <c r="S2165" s="18">
        <v>13178.309999999998</v>
      </c>
      <c r="T2165" s="19" t="s">
        <v>36</v>
      </c>
      <c r="U2165" s="20" t="s">
        <v>748</v>
      </c>
      <c r="V2165" s="22">
        <v>40</v>
      </c>
      <c r="W2165" s="22">
        <v>8</v>
      </c>
      <c r="X2165" s="23"/>
    </row>
    <row r="2166" spans="1:24" s="1" customFormat="1" ht="11" customHeight="1" x14ac:dyDescent="0.3">
      <c r="A2166" s="24" t="s">
        <v>23</v>
      </c>
      <c r="B2166" s="24" t="s">
        <v>2206</v>
      </c>
      <c r="C2166" s="12" t="s">
        <v>2209</v>
      </c>
      <c r="D2166" s="60"/>
      <c r="E2166" s="41" t="str">
        <f t="shared" si="83"/>
        <v>Еще фото</v>
      </c>
      <c r="F2166" s="13" t="s">
        <v>103</v>
      </c>
      <c r="G2166" s="24" t="s">
        <v>740</v>
      </c>
      <c r="H2166" s="24" t="s">
        <v>741</v>
      </c>
      <c r="I2166" s="24" t="s">
        <v>1185</v>
      </c>
      <c r="J2166" s="14" t="s">
        <v>743</v>
      </c>
      <c r="K2166" s="15" t="s">
        <v>30</v>
      </c>
      <c r="L2166" s="62"/>
      <c r="M2166" s="14"/>
      <c r="N2166" s="14" t="s">
        <v>332</v>
      </c>
      <c r="O2166" s="14"/>
      <c r="P2166" s="15" t="s">
        <v>745</v>
      </c>
      <c r="Q2166" s="16">
        <v>19099</v>
      </c>
      <c r="R2166" s="17">
        <v>40</v>
      </c>
      <c r="S2166" s="18">
        <v>13178.309999999998</v>
      </c>
      <c r="T2166" s="19" t="s">
        <v>36</v>
      </c>
      <c r="U2166" s="20" t="s">
        <v>749</v>
      </c>
      <c r="V2166" s="22">
        <v>41</v>
      </c>
      <c r="W2166" s="22">
        <v>13</v>
      </c>
      <c r="X2166" s="23"/>
    </row>
    <row r="2167" spans="1:24" s="1" customFormat="1" ht="11" customHeight="1" x14ac:dyDescent="0.3">
      <c r="A2167" s="24" t="s">
        <v>23</v>
      </c>
      <c r="B2167" s="24" t="s">
        <v>2206</v>
      </c>
      <c r="C2167" s="12" t="s">
        <v>2209</v>
      </c>
      <c r="D2167" s="60"/>
      <c r="E2167" s="41" t="str">
        <f t="shared" si="83"/>
        <v>Еще фото</v>
      </c>
      <c r="F2167" s="13" t="s">
        <v>103</v>
      </c>
      <c r="G2167" s="24" t="s">
        <v>740</v>
      </c>
      <c r="H2167" s="24" t="s">
        <v>741</v>
      </c>
      <c r="I2167" s="24" t="s">
        <v>1185</v>
      </c>
      <c r="J2167" s="14" t="s">
        <v>743</v>
      </c>
      <c r="K2167" s="15" t="s">
        <v>30</v>
      </c>
      <c r="L2167" s="62"/>
      <c r="M2167" s="14"/>
      <c r="N2167" s="14" t="s">
        <v>332</v>
      </c>
      <c r="O2167" s="14"/>
      <c r="P2167" s="15" t="s">
        <v>745</v>
      </c>
      <c r="Q2167" s="16">
        <v>19099</v>
      </c>
      <c r="R2167" s="17">
        <v>40</v>
      </c>
      <c r="S2167" s="18">
        <v>13178.309999999998</v>
      </c>
      <c r="T2167" s="19" t="s">
        <v>36</v>
      </c>
      <c r="U2167" s="20" t="s">
        <v>750</v>
      </c>
      <c r="V2167" s="34">
        <v>41.5</v>
      </c>
      <c r="W2167" s="22">
        <v>23</v>
      </c>
      <c r="X2167" s="23"/>
    </row>
    <row r="2168" spans="1:24" s="1" customFormat="1" ht="11" customHeight="1" x14ac:dyDescent="0.3">
      <c r="A2168" s="24" t="s">
        <v>23</v>
      </c>
      <c r="B2168" s="24" t="s">
        <v>2206</v>
      </c>
      <c r="C2168" s="12" t="s">
        <v>2209</v>
      </c>
      <c r="D2168" s="60"/>
      <c r="E2168" s="41" t="str">
        <f t="shared" si="83"/>
        <v>Еще фото</v>
      </c>
      <c r="F2168" s="13" t="s">
        <v>103</v>
      </c>
      <c r="G2168" s="24" t="s">
        <v>740</v>
      </c>
      <c r="H2168" s="24" t="s">
        <v>741</v>
      </c>
      <c r="I2168" s="24" t="s">
        <v>1185</v>
      </c>
      <c r="J2168" s="14" t="s">
        <v>743</v>
      </c>
      <c r="K2168" s="15" t="s">
        <v>30</v>
      </c>
      <c r="L2168" s="62"/>
      <c r="M2168" s="14"/>
      <c r="N2168" s="14" t="s">
        <v>332</v>
      </c>
      <c r="O2168" s="14"/>
      <c r="P2168" s="15" t="s">
        <v>745</v>
      </c>
      <c r="Q2168" s="16">
        <v>19099</v>
      </c>
      <c r="R2168" s="17">
        <v>40</v>
      </c>
      <c r="S2168" s="18">
        <v>13178.309999999998</v>
      </c>
      <c r="T2168" s="19" t="s">
        <v>36</v>
      </c>
      <c r="U2168" s="20" t="s">
        <v>751</v>
      </c>
      <c r="V2168" s="22">
        <v>42</v>
      </c>
      <c r="W2168" s="22">
        <v>17</v>
      </c>
      <c r="X2168" s="23"/>
    </row>
    <row r="2169" spans="1:24" s="1" customFormat="1" ht="11" customHeight="1" x14ac:dyDescent="0.3">
      <c r="A2169" s="24" t="s">
        <v>23</v>
      </c>
      <c r="B2169" s="24" t="s">
        <v>2206</v>
      </c>
      <c r="C2169" s="12" t="s">
        <v>2209</v>
      </c>
      <c r="D2169" s="60"/>
      <c r="E2169" s="41" t="str">
        <f t="shared" si="83"/>
        <v>Еще фото</v>
      </c>
      <c r="F2169" s="13" t="s">
        <v>103</v>
      </c>
      <c r="G2169" s="24" t="s">
        <v>740</v>
      </c>
      <c r="H2169" s="24" t="s">
        <v>741</v>
      </c>
      <c r="I2169" s="24" t="s">
        <v>1185</v>
      </c>
      <c r="J2169" s="14" t="s">
        <v>743</v>
      </c>
      <c r="K2169" s="15" t="s">
        <v>30</v>
      </c>
      <c r="L2169" s="62"/>
      <c r="M2169" s="14"/>
      <c r="N2169" s="14" t="s">
        <v>332</v>
      </c>
      <c r="O2169" s="14"/>
      <c r="P2169" s="15" t="s">
        <v>745</v>
      </c>
      <c r="Q2169" s="16">
        <v>19099</v>
      </c>
      <c r="R2169" s="17">
        <v>40</v>
      </c>
      <c r="S2169" s="18">
        <v>13178.309999999998</v>
      </c>
      <c r="T2169" s="19" t="s">
        <v>36</v>
      </c>
      <c r="U2169" s="20" t="s">
        <v>752</v>
      </c>
      <c r="V2169" s="22">
        <v>43</v>
      </c>
      <c r="W2169" s="22">
        <v>11</v>
      </c>
      <c r="X2169" s="23"/>
    </row>
    <row r="2170" spans="1:24" s="1" customFormat="1" ht="11" customHeight="1" x14ac:dyDescent="0.3">
      <c r="A2170" s="24" t="s">
        <v>23</v>
      </c>
      <c r="B2170" s="24" t="s">
        <v>2206</v>
      </c>
      <c r="C2170" s="12" t="s">
        <v>2209</v>
      </c>
      <c r="D2170" s="60"/>
      <c r="E2170" s="41" t="str">
        <f t="shared" si="83"/>
        <v>Еще фото</v>
      </c>
      <c r="F2170" s="13" t="s">
        <v>103</v>
      </c>
      <c r="G2170" s="24" t="s">
        <v>740</v>
      </c>
      <c r="H2170" s="24" t="s">
        <v>741</v>
      </c>
      <c r="I2170" s="24" t="s">
        <v>1185</v>
      </c>
      <c r="J2170" s="14" t="s">
        <v>743</v>
      </c>
      <c r="K2170" s="15" t="s">
        <v>30</v>
      </c>
      <c r="L2170" s="62"/>
      <c r="M2170" s="14"/>
      <c r="N2170" s="14" t="s">
        <v>332</v>
      </c>
      <c r="O2170" s="14"/>
      <c r="P2170" s="15" t="s">
        <v>745</v>
      </c>
      <c r="Q2170" s="16">
        <v>19099</v>
      </c>
      <c r="R2170" s="17">
        <v>40</v>
      </c>
      <c r="S2170" s="18">
        <v>13178.309999999998</v>
      </c>
      <c r="T2170" s="19" t="s">
        <v>36</v>
      </c>
      <c r="U2170" s="20" t="s">
        <v>753</v>
      </c>
      <c r="V2170" s="34">
        <v>43.5</v>
      </c>
      <c r="W2170" s="22">
        <v>12</v>
      </c>
      <c r="X2170" s="23"/>
    </row>
    <row r="2171" spans="1:24" s="1" customFormat="1" ht="11" customHeight="1" x14ac:dyDescent="0.3">
      <c r="A2171" s="24" t="s">
        <v>23</v>
      </c>
      <c r="B2171" s="24" t="s">
        <v>2206</v>
      </c>
      <c r="C2171" s="12" t="s">
        <v>2209</v>
      </c>
      <c r="D2171" s="60"/>
      <c r="E2171" s="41" t="str">
        <f t="shared" si="83"/>
        <v>Еще фото</v>
      </c>
      <c r="F2171" s="13" t="s">
        <v>103</v>
      </c>
      <c r="G2171" s="24" t="s">
        <v>740</v>
      </c>
      <c r="H2171" s="24" t="s">
        <v>741</v>
      </c>
      <c r="I2171" s="24" t="s">
        <v>1185</v>
      </c>
      <c r="J2171" s="14" t="s">
        <v>743</v>
      </c>
      <c r="K2171" s="15" t="s">
        <v>30</v>
      </c>
      <c r="L2171" s="62"/>
      <c r="M2171" s="14"/>
      <c r="N2171" s="14" t="s">
        <v>332</v>
      </c>
      <c r="O2171" s="14"/>
      <c r="P2171" s="15" t="s">
        <v>745</v>
      </c>
      <c r="Q2171" s="16">
        <v>19099</v>
      </c>
      <c r="R2171" s="17">
        <v>40</v>
      </c>
      <c r="S2171" s="18">
        <v>13178.309999999998</v>
      </c>
      <c r="T2171" s="19" t="s">
        <v>36</v>
      </c>
      <c r="U2171" s="20" t="s">
        <v>754</v>
      </c>
      <c r="V2171" s="22">
        <v>44</v>
      </c>
      <c r="W2171" s="22">
        <v>5</v>
      </c>
      <c r="X2171" s="23"/>
    </row>
    <row r="2172" spans="1:24" s="1" customFormat="1" ht="11" customHeight="1" x14ac:dyDescent="0.3">
      <c r="A2172" s="14" t="s">
        <v>23</v>
      </c>
      <c r="B2172" s="14" t="s">
        <v>2206</v>
      </c>
      <c r="C2172" s="12" t="s">
        <v>2209</v>
      </c>
      <c r="D2172" s="60"/>
      <c r="E2172" s="41" t="str">
        <f t="shared" si="83"/>
        <v>Еще фото</v>
      </c>
      <c r="F2172" s="29" t="s">
        <v>103</v>
      </c>
      <c r="G2172" s="14" t="s">
        <v>740</v>
      </c>
      <c r="H2172" s="14" t="s">
        <v>741</v>
      </c>
      <c r="I2172" s="14" t="s">
        <v>1185</v>
      </c>
      <c r="J2172" s="14" t="s">
        <v>743</v>
      </c>
      <c r="K2172" s="14" t="s">
        <v>30</v>
      </c>
      <c r="L2172" s="62"/>
      <c r="M2172" s="14"/>
      <c r="N2172" s="14" t="s">
        <v>332</v>
      </c>
      <c r="O2172" s="14"/>
      <c r="P2172" s="14" t="s">
        <v>745</v>
      </c>
      <c r="Q2172" s="30">
        <v>19099</v>
      </c>
      <c r="R2172" s="31">
        <v>40</v>
      </c>
      <c r="S2172" s="32">
        <v>13178.309999999998</v>
      </c>
      <c r="T2172" s="19" t="s">
        <v>36</v>
      </c>
      <c r="U2172" s="20" t="s">
        <v>755</v>
      </c>
      <c r="V2172" s="34">
        <v>44.5</v>
      </c>
      <c r="W2172" s="22">
        <v>3</v>
      </c>
      <c r="X2172" s="23"/>
    </row>
    <row r="2173" spans="1:24" s="1" customFormat="1" ht="11" customHeight="1" x14ac:dyDescent="0.3">
      <c r="A2173" s="14" t="s">
        <v>23</v>
      </c>
      <c r="B2173" s="14" t="s">
        <v>2206</v>
      </c>
      <c r="C2173" s="12" t="s">
        <v>2209</v>
      </c>
      <c r="D2173" s="61"/>
      <c r="E2173" s="41" t="str">
        <f t="shared" si="83"/>
        <v>Еще фото</v>
      </c>
      <c r="F2173" s="29" t="s">
        <v>103</v>
      </c>
      <c r="G2173" s="14" t="s">
        <v>740</v>
      </c>
      <c r="H2173" s="14" t="s">
        <v>741</v>
      </c>
      <c r="I2173" s="14" t="s">
        <v>1185</v>
      </c>
      <c r="J2173" s="14" t="s">
        <v>743</v>
      </c>
      <c r="K2173" s="14" t="s">
        <v>30</v>
      </c>
      <c r="L2173" s="58"/>
      <c r="M2173" s="14"/>
      <c r="N2173" s="14" t="s">
        <v>332</v>
      </c>
      <c r="O2173" s="14"/>
      <c r="P2173" s="14" t="s">
        <v>745</v>
      </c>
      <c r="Q2173" s="30">
        <v>19099</v>
      </c>
      <c r="R2173" s="31">
        <v>40</v>
      </c>
      <c r="S2173" s="32">
        <v>13178.309999999998</v>
      </c>
      <c r="T2173" s="19" t="s">
        <v>36</v>
      </c>
      <c r="U2173" s="20" t="s">
        <v>1337</v>
      </c>
      <c r="V2173" s="22">
        <v>45</v>
      </c>
      <c r="W2173" s="22">
        <v>3</v>
      </c>
      <c r="X2173" s="23"/>
    </row>
    <row r="2174" spans="1:24" s="1" customFormat="1" ht="13.05" customHeight="1" x14ac:dyDescent="0.3">
      <c r="A2174" s="11" t="s">
        <v>23</v>
      </c>
      <c r="B2174" s="11" t="s">
        <v>738</v>
      </c>
      <c r="C2174" s="12" t="s">
        <v>2210</v>
      </c>
      <c r="D2174" s="59"/>
      <c r="E2174" s="41" t="str">
        <f t="shared" ref="E2174:E2181" si="84">HYPERLINK("https://www.google.ru/search?q=3027382-001&amp;newwindow=1&amp;tbm=isch","Еще фото")</f>
        <v>Еще фото</v>
      </c>
      <c r="F2174" s="13" t="s">
        <v>152</v>
      </c>
      <c r="G2174" s="11" t="s">
        <v>740</v>
      </c>
      <c r="H2174" s="11" t="s">
        <v>741</v>
      </c>
      <c r="I2174" s="14" t="s">
        <v>1185</v>
      </c>
      <c r="J2174" s="14" t="s">
        <v>743</v>
      </c>
      <c r="K2174" s="15" t="s">
        <v>30</v>
      </c>
      <c r="L2174" s="57" t="s">
        <v>744</v>
      </c>
      <c r="M2174" s="14"/>
      <c r="N2174" s="14" t="s">
        <v>33</v>
      </c>
      <c r="O2174" s="14"/>
      <c r="P2174" s="15" t="s">
        <v>745</v>
      </c>
      <c r="Q2174" s="16">
        <v>18399</v>
      </c>
      <c r="R2174" s="17">
        <v>40</v>
      </c>
      <c r="S2174" s="18">
        <v>12695.31</v>
      </c>
      <c r="T2174" s="19" t="s">
        <v>36</v>
      </c>
      <c r="U2174" s="33" t="s">
        <v>748</v>
      </c>
      <c r="V2174" s="22">
        <v>40</v>
      </c>
      <c r="W2174" s="22">
        <v>1</v>
      </c>
      <c r="X2174" s="23"/>
    </row>
    <row r="2175" spans="1:24" s="1" customFormat="1" ht="13.05" customHeight="1" x14ac:dyDescent="0.3">
      <c r="A2175" s="24" t="s">
        <v>23</v>
      </c>
      <c r="B2175" s="24" t="s">
        <v>738</v>
      </c>
      <c r="C2175" s="12" t="s">
        <v>2210</v>
      </c>
      <c r="D2175" s="60"/>
      <c r="E2175" s="41" t="str">
        <f t="shared" si="84"/>
        <v>Еще фото</v>
      </c>
      <c r="F2175" s="13" t="s">
        <v>152</v>
      </c>
      <c r="G2175" s="24" t="s">
        <v>740</v>
      </c>
      <c r="H2175" s="24" t="s">
        <v>741</v>
      </c>
      <c r="I2175" s="24" t="s">
        <v>1185</v>
      </c>
      <c r="J2175" s="14" t="s">
        <v>743</v>
      </c>
      <c r="K2175" s="15" t="s">
        <v>30</v>
      </c>
      <c r="L2175" s="62"/>
      <c r="M2175" s="14"/>
      <c r="N2175" s="14" t="s">
        <v>33</v>
      </c>
      <c r="O2175" s="14"/>
      <c r="P2175" s="15" t="s">
        <v>745</v>
      </c>
      <c r="Q2175" s="16">
        <v>18399</v>
      </c>
      <c r="R2175" s="17">
        <v>40</v>
      </c>
      <c r="S2175" s="18">
        <v>12695.31</v>
      </c>
      <c r="T2175" s="19" t="s">
        <v>36</v>
      </c>
      <c r="U2175" s="20" t="s">
        <v>749</v>
      </c>
      <c r="V2175" s="22">
        <v>41</v>
      </c>
      <c r="W2175" s="22">
        <v>15</v>
      </c>
      <c r="X2175" s="23"/>
    </row>
    <row r="2176" spans="1:24" s="1" customFormat="1" ht="13.05" customHeight="1" x14ac:dyDescent="0.3">
      <c r="A2176" s="24" t="s">
        <v>23</v>
      </c>
      <c r="B2176" s="24" t="s">
        <v>738</v>
      </c>
      <c r="C2176" s="12" t="s">
        <v>2210</v>
      </c>
      <c r="D2176" s="60"/>
      <c r="E2176" s="41" t="str">
        <f t="shared" si="84"/>
        <v>Еще фото</v>
      </c>
      <c r="F2176" s="13" t="s">
        <v>152</v>
      </c>
      <c r="G2176" s="24" t="s">
        <v>740</v>
      </c>
      <c r="H2176" s="24" t="s">
        <v>741</v>
      </c>
      <c r="I2176" s="24" t="s">
        <v>1185</v>
      </c>
      <c r="J2176" s="14" t="s">
        <v>743</v>
      </c>
      <c r="K2176" s="15" t="s">
        <v>30</v>
      </c>
      <c r="L2176" s="62"/>
      <c r="M2176" s="14"/>
      <c r="N2176" s="14" t="s">
        <v>33</v>
      </c>
      <c r="O2176" s="14"/>
      <c r="P2176" s="15" t="s">
        <v>745</v>
      </c>
      <c r="Q2176" s="16">
        <v>18399</v>
      </c>
      <c r="R2176" s="17">
        <v>40</v>
      </c>
      <c r="S2176" s="18">
        <v>12695.31</v>
      </c>
      <c r="T2176" s="19" t="s">
        <v>36</v>
      </c>
      <c r="U2176" s="20" t="s">
        <v>750</v>
      </c>
      <c r="V2176" s="34">
        <v>41.5</v>
      </c>
      <c r="W2176" s="22">
        <v>8</v>
      </c>
      <c r="X2176" s="23"/>
    </row>
    <row r="2177" spans="1:24" s="1" customFormat="1" ht="13.05" customHeight="1" x14ac:dyDescent="0.3">
      <c r="A2177" s="24" t="s">
        <v>23</v>
      </c>
      <c r="B2177" s="24" t="s">
        <v>738</v>
      </c>
      <c r="C2177" s="12" t="s">
        <v>2210</v>
      </c>
      <c r="D2177" s="60"/>
      <c r="E2177" s="41" t="str">
        <f t="shared" si="84"/>
        <v>Еще фото</v>
      </c>
      <c r="F2177" s="13" t="s">
        <v>152</v>
      </c>
      <c r="G2177" s="24" t="s">
        <v>740</v>
      </c>
      <c r="H2177" s="24" t="s">
        <v>741</v>
      </c>
      <c r="I2177" s="24" t="s">
        <v>1185</v>
      </c>
      <c r="J2177" s="14" t="s">
        <v>743</v>
      </c>
      <c r="K2177" s="15" t="s">
        <v>30</v>
      </c>
      <c r="L2177" s="62"/>
      <c r="M2177" s="14"/>
      <c r="N2177" s="14" t="s">
        <v>33</v>
      </c>
      <c r="O2177" s="14"/>
      <c r="P2177" s="15" t="s">
        <v>745</v>
      </c>
      <c r="Q2177" s="16">
        <v>18399</v>
      </c>
      <c r="R2177" s="17">
        <v>40</v>
      </c>
      <c r="S2177" s="18">
        <v>12695.31</v>
      </c>
      <c r="T2177" s="19" t="s">
        <v>36</v>
      </c>
      <c r="U2177" s="20" t="s">
        <v>751</v>
      </c>
      <c r="V2177" s="22">
        <v>42</v>
      </c>
      <c r="W2177" s="22">
        <v>15</v>
      </c>
      <c r="X2177" s="23"/>
    </row>
    <row r="2178" spans="1:24" s="1" customFormat="1" ht="13.05" customHeight="1" x14ac:dyDescent="0.3">
      <c r="A2178" s="24" t="s">
        <v>23</v>
      </c>
      <c r="B2178" s="24" t="s">
        <v>738</v>
      </c>
      <c r="C2178" s="12" t="s">
        <v>2210</v>
      </c>
      <c r="D2178" s="60"/>
      <c r="E2178" s="41" t="str">
        <f t="shared" si="84"/>
        <v>Еще фото</v>
      </c>
      <c r="F2178" s="13" t="s">
        <v>152</v>
      </c>
      <c r="G2178" s="24" t="s">
        <v>740</v>
      </c>
      <c r="H2178" s="24" t="s">
        <v>741</v>
      </c>
      <c r="I2178" s="24" t="s">
        <v>1185</v>
      </c>
      <c r="J2178" s="14" t="s">
        <v>743</v>
      </c>
      <c r="K2178" s="15" t="s">
        <v>30</v>
      </c>
      <c r="L2178" s="62"/>
      <c r="M2178" s="14"/>
      <c r="N2178" s="14" t="s">
        <v>33</v>
      </c>
      <c r="O2178" s="14"/>
      <c r="P2178" s="15" t="s">
        <v>745</v>
      </c>
      <c r="Q2178" s="16">
        <v>18399</v>
      </c>
      <c r="R2178" s="17">
        <v>40</v>
      </c>
      <c r="S2178" s="18">
        <v>12695.31</v>
      </c>
      <c r="T2178" s="19" t="s">
        <v>36</v>
      </c>
      <c r="U2178" s="20" t="s">
        <v>752</v>
      </c>
      <c r="V2178" s="22">
        <v>43</v>
      </c>
      <c r="W2178" s="22">
        <v>14</v>
      </c>
      <c r="X2178" s="23"/>
    </row>
    <row r="2179" spans="1:24" s="1" customFormat="1" ht="13.05" customHeight="1" x14ac:dyDescent="0.3">
      <c r="A2179" s="24" t="s">
        <v>23</v>
      </c>
      <c r="B2179" s="24" t="s">
        <v>738</v>
      </c>
      <c r="C2179" s="12" t="s">
        <v>2210</v>
      </c>
      <c r="D2179" s="60"/>
      <c r="E2179" s="41" t="str">
        <f t="shared" si="84"/>
        <v>Еще фото</v>
      </c>
      <c r="F2179" s="13" t="s">
        <v>152</v>
      </c>
      <c r="G2179" s="24" t="s">
        <v>740</v>
      </c>
      <c r="H2179" s="24" t="s">
        <v>741</v>
      </c>
      <c r="I2179" s="24" t="s">
        <v>1185</v>
      </c>
      <c r="J2179" s="14" t="s">
        <v>743</v>
      </c>
      <c r="K2179" s="15" t="s">
        <v>30</v>
      </c>
      <c r="L2179" s="62"/>
      <c r="M2179" s="14"/>
      <c r="N2179" s="14" t="s">
        <v>33</v>
      </c>
      <c r="O2179" s="14"/>
      <c r="P2179" s="15" t="s">
        <v>745</v>
      </c>
      <c r="Q2179" s="16">
        <v>18399</v>
      </c>
      <c r="R2179" s="17">
        <v>40</v>
      </c>
      <c r="S2179" s="18">
        <v>12695.31</v>
      </c>
      <c r="T2179" s="19" t="s">
        <v>36</v>
      </c>
      <c r="U2179" s="20" t="s">
        <v>753</v>
      </c>
      <c r="V2179" s="34">
        <v>43.5</v>
      </c>
      <c r="W2179" s="22">
        <v>5</v>
      </c>
      <c r="X2179" s="23"/>
    </row>
    <row r="2180" spans="1:24" s="1" customFormat="1" ht="13.05" customHeight="1" x14ac:dyDescent="0.3">
      <c r="A2180" s="24" t="s">
        <v>23</v>
      </c>
      <c r="B2180" s="24" t="s">
        <v>738</v>
      </c>
      <c r="C2180" s="12" t="s">
        <v>2210</v>
      </c>
      <c r="D2180" s="60"/>
      <c r="E2180" s="41" t="str">
        <f t="shared" si="84"/>
        <v>Еще фото</v>
      </c>
      <c r="F2180" s="13" t="s">
        <v>152</v>
      </c>
      <c r="G2180" s="24" t="s">
        <v>740</v>
      </c>
      <c r="H2180" s="24" t="s">
        <v>741</v>
      </c>
      <c r="I2180" s="24" t="s">
        <v>1185</v>
      </c>
      <c r="J2180" s="14" t="s">
        <v>743</v>
      </c>
      <c r="K2180" s="15" t="s">
        <v>30</v>
      </c>
      <c r="L2180" s="62"/>
      <c r="M2180" s="14"/>
      <c r="N2180" s="14" t="s">
        <v>33</v>
      </c>
      <c r="O2180" s="14"/>
      <c r="P2180" s="15" t="s">
        <v>745</v>
      </c>
      <c r="Q2180" s="16">
        <v>18399</v>
      </c>
      <c r="R2180" s="17">
        <v>40</v>
      </c>
      <c r="S2180" s="18">
        <v>12695.31</v>
      </c>
      <c r="T2180" s="19" t="s">
        <v>36</v>
      </c>
      <c r="U2180" s="20" t="s">
        <v>754</v>
      </c>
      <c r="V2180" s="22">
        <v>44</v>
      </c>
      <c r="W2180" s="22">
        <v>11</v>
      </c>
      <c r="X2180" s="23"/>
    </row>
    <row r="2181" spans="1:24" s="1" customFormat="1" ht="18" customHeight="1" x14ac:dyDescent="0.3">
      <c r="A2181" s="24" t="s">
        <v>23</v>
      </c>
      <c r="B2181" s="24" t="s">
        <v>738</v>
      </c>
      <c r="C2181" s="12" t="s">
        <v>2210</v>
      </c>
      <c r="D2181" s="61"/>
      <c r="E2181" s="41" t="str">
        <f t="shared" si="84"/>
        <v>Еще фото</v>
      </c>
      <c r="F2181" s="13" t="s">
        <v>152</v>
      </c>
      <c r="G2181" s="24" t="s">
        <v>740</v>
      </c>
      <c r="H2181" s="24" t="s">
        <v>741</v>
      </c>
      <c r="I2181" s="24" t="s">
        <v>1185</v>
      </c>
      <c r="J2181" s="14" t="s">
        <v>743</v>
      </c>
      <c r="K2181" s="15" t="s">
        <v>30</v>
      </c>
      <c r="L2181" s="58"/>
      <c r="M2181" s="14"/>
      <c r="N2181" s="14" t="s">
        <v>33</v>
      </c>
      <c r="O2181" s="14"/>
      <c r="P2181" s="15" t="s">
        <v>745</v>
      </c>
      <c r="Q2181" s="16">
        <v>18399</v>
      </c>
      <c r="R2181" s="17">
        <v>40</v>
      </c>
      <c r="S2181" s="18">
        <v>12695.31</v>
      </c>
      <c r="T2181" s="19" t="s">
        <v>36</v>
      </c>
      <c r="U2181" s="20" t="s">
        <v>1337</v>
      </c>
      <c r="V2181" s="22">
        <v>45</v>
      </c>
      <c r="W2181" s="22">
        <v>3</v>
      </c>
      <c r="X2181" s="23"/>
    </row>
    <row r="2182" spans="1:24" s="1" customFormat="1" ht="11" customHeight="1" x14ac:dyDescent="0.3">
      <c r="A2182" s="11" t="s">
        <v>23</v>
      </c>
      <c r="B2182" s="11" t="s">
        <v>738</v>
      </c>
      <c r="C2182" s="12" t="s">
        <v>2211</v>
      </c>
      <c r="D2182" s="59"/>
      <c r="E2182" s="41" t="str">
        <f t="shared" ref="E2182:E2192" si="85">HYPERLINK("https://www.google.ru/search?q=3027382-200&amp;newwindow=1&amp;tbm=isch","Еще фото")</f>
        <v>Еще фото</v>
      </c>
      <c r="F2182" s="13" t="s">
        <v>103</v>
      </c>
      <c r="G2182" s="11" t="s">
        <v>740</v>
      </c>
      <c r="H2182" s="11" t="s">
        <v>741</v>
      </c>
      <c r="I2182" s="14" t="s">
        <v>1185</v>
      </c>
      <c r="J2182" s="14" t="s">
        <v>743</v>
      </c>
      <c r="K2182" s="15" t="s">
        <v>30</v>
      </c>
      <c r="L2182" s="57" t="s">
        <v>744</v>
      </c>
      <c r="M2182" s="14"/>
      <c r="N2182" s="14" t="s">
        <v>332</v>
      </c>
      <c r="O2182" s="14"/>
      <c r="P2182" s="15" t="s">
        <v>745</v>
      </c>
      <c r="Q2182" s="16">
        <v>18399</v>
      </c>
      <c r="R2182" s="17">
        <v>40</v>
      </c>
      <c r="S2182" s="18">
        <v>12695.31</v>
      </c>
      <c r="T2182" s="19" t="s">
        <v>36</v>
      </c>
      <c r="U2182" s="20" t="s">
        <v>746</v>
      </c>
      <c r="V2182" s="22">
        <v>39</v>
      </c>
      <c r="W2182" s="22">
        <v>3</v>
      </c>
      <c r="X2182" s="23"/>
    </row>
    <row r="2183" spans="1:24" s="1" customFormat="1" ht="11" customHeight="1" x14ac:dyDescent="0.3">
      <c r="A2183" s="24" t="s">
        <v>23</v>
      </c>
      <c r="B2183" s="24" t="s">
        <v>738</v>
      </c>
      <c r="C2183" s="12" t="s">
        <v>2211</v>
      </c>
      <c r="D2183" s="60"/>
      <c r="E2183" s="41" t="str">
        <f t="shared" si="85"/>
        <v>Еще фото</v>
      </c>
      <c r="F2183" s="13" t="s">
        <v>103</v>
      </c>
      <c r="G2183" s="24" t="s">
        <v>740</v>
      </c>
      <c r="H2183" s="24" t="s">
        <v>741</v>
      </c>
      <c r="I2183" s="24" t="s">
        <v>1185</v>
      </c>
      <c r="J2183" s="14" t="s">
        <v>743</v>
      </c>
      <c r="K2183" s="15" t="s">
        <v>30</v>
      </c>
      <c r="L2183" s="62"/>
      <c r="M2183" s="14"/>
      <c r="N2183" s="14" t="s">
        <v>332</v>
      </c>
      <c r="O2183" s="14"/>
      <c r="P2183" s="15" t="s">
        <v>745</v>
      </c>
      <c r="Q2183" s="16">
        <v>18399</v>
      </c>
      <c r="R2183" s="17">
        <v>40</v>
      </c>
      <c r="S2183" s="18">
        <v>12695.31</v>
      </c>
      <c r="T2183" s="19" t="s">
        <v>36</v>
      </c>
      <c r="U2183" s="20" t="s">
        <v>747</v>
      </c>
      <c r="V2183" s="34">
        <v>39.5</v>
      </c>
      <c r="W2183" s="22">
        <v>6</v>
      </c>
      <c r="X2183" s="23"/>
    </row>
    <row r="2184" spans="1:24" s="1" customFormat="1" ht="11" customHeight="1" x14ac:dyDescent="0.3">
      <c r="A2184" s="24" t="s">
        <v>23</v>
      </c>
      <c r="B2184" s="24" t="s">
        <v>738</v>
      </c>
      <c r="C2184" s="12" t="s">
        <v>2211</v>
      </c>
      <c r="D2184" s="60"/>
      <c r="E2184" s="41" t="str">
        <f t="shared" si="85"/>
        <v>Еще фото</v>
      </c>
      <c r="F2184" s="13" t="s">
        <v>103</v>
      </c>
      <c r="G2184" s="24" t="s">
        <v>740</v>
      </c>
      <c r="H2184" s="24" t="s">
        <v>741</v>
      </c>
      <c r="I2184" s="24" t="s">
        <v>1185</v>
      </c>
      <c r="J2184" s="14" t="s">
        <v>743</v>
      </c>
      <c r="K2184" s="15" t="s">
        <v>30</v>
      </c>
      <c r="L2184" s="62"/>
      <c r="M2184" s="14"/>
      <c r="N2184" s="14" t="s">
        <v>332</v>
      </c>
      <c r="O2184" s="14"/>
      <c r="P2184" s="15" t="s">
        <v>745</v>
      </c>
      <c r="Q2184" s="16">
        <v>18399</v>
      </c>
      <c r="R2184" s="17">
        <v>40</v>
      </c>
      <c r="S2184" s="18">
        <v>12695.31</v>
      </c>
      <c r="T2184" s="19" t="s">
        <v>36</v>
      </c>
      <c r="U2184" s="20" t="s">
        <v>748</v>
      </c>
      <c r="V2184" s="22">
        <v>40</v>
      </c>
      <c r="W2184" s="22">
        <v>17</v>
      </c>
      <c r="X2184" s="23"/>
    </row>
    <row r="2185" spans="1:24" s="1" customFormat="1" ht="11" customHeight="1" x14ac:dyDescent="0.3">
      <c r="A2185" s="24" t="s">
        <v>23</v>
      </c>
      <c r="B2185" s="24" t="s">
        <v>738</v>
      </c>
      <c r="C2185" s="12" t="s">
        <v>2211</v>
      </c>
      <c r="D2185" s="60"/>
      <c r="E2185" s="41" t="str">
        <f t="shared" si="85"/>
        <v>Еще фото</v>
      </c>
      <c r="F2185" s="13" t="s">
        <v>103</v>
      </c>
      <c r="G2185" s="24" t="s">
        <v>740</v>
      </c>
      <c r="H2185" s="24" t="s">
        <v>741</v>
      </c>
      <c r="I2185" s="24" t="s">
        <v>1185</v>
      </c>
      <c r="J2185" s="14" t="s">
        <v>743</v>
      </c>
      <c r="K2185" s="15" t="s">
        <v>30</v>
      </c>
      <c r="L2185" s="62"/>
      <c r="M2185" s="14"/>
      <c r="N2185" s="14" t="s">
        <v>332</v>
      </c>
      <c r="O2185" s="14"/>
      <c r="P2185" s="15" t="s">
        <v>745</v>
      </c>
      <c r="Q2185" s="16">
        <v>18399</v>
      </c>
      <c r="R2185" s="17">
        <v>40</v>
      </c>
      <c r="S2185" s="18">
        <v>12695.31</v>
      </c>
      <c r="T2185" s="19" t="s">
        <v>36</v>
      </c>
      <c r="U2185" s="20" t="s">
        <v>749</v>
      </c>
      <c r="V2185" s="22">
        <v>41</v>
      </c>
      <c r="W2185" s="22">
        <v>15</v>
      </c>
      <c r="X2185" s="23"/>
    </row>
    <row r="2186" spans="1:24" s="1" customFormat="1" ht="11" customHeight="1" x14ac:dyDescent="0.3">
      <c r="A2186" s="24" t="s">
        <v>23</v>
      </c>
      <c r="B2186" s="24" t="s">
        <v>738</v>
      </c>
      <c r="C2186" s="12" t="s">
        <v>2211</v>
      </c>
      <c r="D2186" s="60"/>
      <c r="E2186" s="41" t="str">
        <f t="shared" si="85"/>
        <v>Еще фото</v>
      </c>
      <c r="F2186" s="13" t="s">
        <v>103</v>
      </c>
      <c r="G2186" s="24" t="s">
        <v>740</v>
      </c>
      <c r="H2186" s="24" t="s">
        <v>741</v>
      </c>
      <c r="I2186" s="24" t="s">
        <v>1185</v>
      </c>
      <c r="J2186" s="14" t="s">
        <v>743</v>
      </c>
      <c r="K2186" s="15" t="s">
        <v>30</v>
      </c>
      <c r="L2186" s="62"/>
      <c r="M2186" s="14"/>
      <c r="N2186" s="14" t="s">
        <v>332</v>
      </c>
      <c r="O2186" s="14"/>
      <c r="P2186" s="15" t="s">
        <v>745</v>
      </c>
      <c r="Q2186" s="16">
        <v>18399</v>
      </c>
      <c r="R2186" s="17">
        <v>40</v>
      </c>
      <c r="S2186" s="18">
        <v>12695.31</v>
      </c>
      <c r="T2186" s="19" t="s">
        <v>36</v>
      </c>
      <c r="U2186" s="20" t="s">
        <v>750</v>
      </c>
      <c r="V2186" s="34">
        <v>41.5</v>
      </c>
      <c r="W2186" s="22">
        <v>31</v>
      </c>
      <c r="X2186" s="23"/>
    </row>
    <row r="2187" spans="1:24" s="1" customFormat="1" ht="11" customHeight="1" x14ac:dyDescent="0.3">
      <c r="A2187" s="24" t="s">
        <v>23</v>
      </c>
      <c r="B2187" s="24" t="s">
        <v>738</v>
      </c>
      <c r="C2187" s="12" t="s">
        <v>2211</v>
      </c>
      <c r="D2187" s="60"/>
      <c r="E2187" s="41" t="str">
        <f t="shared" si="85"/>
        <v>Еще фото</v>
      </c>
      <c r="F2187" s="13" t="s">
        <v>103</v>
      </c>
      <c r="G2187" s="24" t="s">
        <v>740</v>
      </c>
      <c r="H2187" s="24" t="s">
        <v>741</v>
      </c>
      <c r="I2187" s="24" t="s">
        <v>1185</v>
      </c>
      <c r="J2187" s="14" t="s">
        <v>743</v>
      </c>
      <c r="K2187" s="15" t="s">
        <v>30</v>
      </c>
      <c r="L2187" s="62"/>
      <c r="M2187" s="14"/>
      <c r="N2187" s="14" t="s">
        <v>332</v>
      </c>
      <c r="O2187" s="14"/>
      <c r="P2187" s="15" t="s">
        <v>745</v>
      </c>
      <c r="Q2187" s="16">
        <v>18399</v>
      </c>
      <c r="R2187" s="17">
        <v>40</v>
      </c>
      <c r="S2187" s="18">
        <v>12695.31</v>
      </c>
      <c r="T2187" s="19" t="s">
        <v>36</v>
      </c>
      <c r="U2187" s="20" t="s">
        <v>751</v>
      </c>
      <c r="V2187" s="22">
        <v>42</v>
      </c>
      <c r="W2187" s="22">
        <v>21</v>
      </c>
      <c r="X2187" s="23"/>
    </row>
    <row r="2188" spans="1:24" s="1" customFormat="1" ht="11" customHeight="1" x14ac:dyDescent="0.3">
      <c r="A2188" s="24" t="s">
        <v>23</v>
      </c>
      <c r="B2188" s="24" t="s">
        <v>738</v>
      </c>
      <c r="C2188" s="12" t="s">
        <v>2211</v>
      </c>
      <c r="D2188" s="60"/>
      <c r="E2188" s="41" t="str">
        <f t="shared" si="85"/>
        <v>Еще фото</v>
      </c>
      <c r="F2188" s="13" t="s">
        <v>103</v>
      </c>
      <c r="G2188" s="24" t="s">
        <v>740</v>
      </c>
      <c r="H2188" s="24" t="s">
        <v>741</v>
      </c>
      <c r="I2188" s="24" t="s">
        <v>1185</v>
      </c>
      <c r="J2188" s="14" t="s">
        <v>743</v>
      </c>
      <c r="K2188" s="15" t="s">
        <v>30</v>
      </c>
      <c r="L2188" s="62"/>
      <c r="M2188" s="14"/>
      <c r="N2188" s="14" t="s">
        <v>332</v>
      </c>
      <c r="O2188" s="14"/>
      <c r="P2188" s="15" t="s">
        <v>745</v>
      </c>
      <c r="Q2188" s="16">
        <v>18399</v>
      </c>
      <c r="R2188" s="17">
        <v>40</v>
      </c>
      <c r="S2188" s="18">
        <v>12695.31</v>
      </c>
      <c r="T2188" s="19" t="s">
        <v>36</v>
      </c>
      <c r="U2188" s="20" t="s">
        <v>752</v>
      </c>
      <c r="V2188" s="22">
        <v>43</v>
      </c>
      <c r="W2188" s="22">
        <v>16</v>
      </c>
      <c r="X2188" s="23"/>
    </row>
    <row r="2189" spans="1:24" s="1" customFormat="1" ht="11" customHeight="1" x14ac:dyDescent="0.3">
      <c r="A2189" s="24" t="s">
        <v>23</v>
      </c>
      <c r="B2189" s="24" t="s">
        <v>738</v>
      </c>
      <c r="C2189" s="12" t="s">
        <v>2211</v>
      </c>
      <c r="D2189" s="60"/>
      <c r="E2189" s="41" t="str">
        <f t="shared" si="85"/>
        <v>Еще фото</v>
      </c>
      <c r="F2189" s="13" t="s">
        <v>103</v>
      </c>
      <c r="G2189" s="24" t="s">
        <v>740</v>
      </c>
      <c r="H2189" s="24" t="s">
        <v>741</v>
      </c>
      <c r="I2189" s="24" t="s">
        <v>1185</v>
      </c>
      <c r="J2189" s="14" t="s">
        <v>743</v>
      </c>
      <c r="K2189" s="15" t="s">
        <v>30</v>
      </c>
      <c r="L2189" s="62"/>
      <c r="M2189" s="14"/>
      <c r="N2189" s="14" t="s">
        <v>332</v>
      </c>
      <c r="O2189" s="14"/>
      <c r="P2189" s="15" t="s">
        <v>745</v>
      </c>
      <c r="Q2189" s="16">
        <v>18399</v>
      </c>
      <c r="R2189" s="17">
        <v>40</v>
      </c>
      <c r="S2189" s="18">
        <v>12695.31</v>
      </c>
      <c r="T2189" s="19" t="s">
        <v>36</v>
      </c>
      <c r="U2189" s="20" t="s">
        <v>753</v>
      </c>
      <c r="V2189" s="34">
        <v>43.5</v>
      </c>
      <c r="W2189" s="22">
        <v>16</v>
      </c>
      <c r="X2189" s="23"/>
    </row>
    <row r="2190" spans="1:24" s="1" customFormat="1" ht="11" customHeight="1" x14ac:dyDescent="0.3">
      <c r="A2190" s="24" t="s">
        <v>23</v>
      </c>
      <c r="B2190" s="24" t="s">
        <v>738</v>
      </c>
      <c r="C2190" s="12" t="s">
        <v>2211</v>
      </c>
      <c r="D2190" s="60"/>
      <c r="E2190" s="41" t="str">
        <f t="shared" si="85"/>
        <v>Еще фото</v>
      </c>
      <c r="F2190" s="13" t="s">
        <v>103</v>
      </c>
      <c r="G2190" s="24" t="s">
        <v>740</v>
      </c>
      <c r="H2190" s="24" t="s">
        <v>741</v>
      </c>
      <c r="I2190" s="24" t="s">
        <v>1185</v>
      </c>
      <c r="J2190" s="14" t="s">
        <v>743</v>
      </c>
      <c r="K2190" s="15" t="s">
        <v>30</v>
      </c>
      <c r="L2190" s="62"/>
      <c r="M2190" s="14"/>
      <c r="N2190" s="14" t="s">
        <v>332</v>
      </c>
      <c r="O2190" s="14"/>
      <c r="P2190" s="15" t="s">
        <v>745</v>
      </c>
      <c r="Q2190" s="16">
        <v>18399</v>
      </c>
      <c r="R2190" s="17">
        <v>40</v>
      </c>
      <c r="S2190" s="18">
        <v>12695.31</v>
      </c>
      <c r="T2190" s="19" t="s">
        <v>36</v>
      </c>
      <c r="U2190" s="20" t="s">
        <v>754</v>
      </c>
      <c r="V2190" s="22">
        <v>44</v>
      </c>
      <c r="W2190" s="22">
        <v>12</v>
      </c>
      <c r="X2190" s="23"/>
    </row>
    <row r="2191" spans="1:24" s="1" customFormat="1" ht="11" customHeight="1" x14ac:dyDescent="0.3">
      <c r="A2191" s="14" t="s">
        <v>23</v>
      </c>
      <c r="B2191" s="14" t="s">
        <v>738</v>
      </c>
      <c r="C2191" s="12" t="s">
        <v>2211</v>
      </c>
      <c r="D2191" s="60"/>
      <c r="E2191" s="41" t="str">
        <f t="shared" si="85"/>
        <v>Еще фото</v>
      </c>
      <c r="F2191" s="29" t="s">
        <v>103</v>
      </c>
      <c r="G2191" s="14" t="s">
        <v>740</v>
      </c>
      <c r="H2191" s="14" t="s">
        <v>741</v>
      </c>
      <c r="I2191" s="14" t="s">
        <v>1185</v>
      </c>
      <c r="J2191" s="14" t="s">
        <v>743</v>
      </c>
      <c r="K2191" s="14" t="s">
        <v>30</v>
      </c>
      <c r="L2191" s="62"/>
      <c r="M2191" s="14"/>
      <c r="N2191" s="14" t="s">
        <v>332</v>
      </c>
      <c r="O2191" s="14"/>
      <c r="P2191" s="14" t="s">
        <v>745</v>
      </c>
      <c r="Q2191" s="30">
        <v>18399</v>
      </c>
      <c r="R2191" s="31">
        <v>40</v>
      </c>
      <c r="S2191" s="32">
        <v>12695.31</v>
      </c>
      <c r="T2191" s="19" t="s">
        <v>36</v>
      </c>
      <c r="U2191" s="20" t="s">
        <v>755</v>
      </c>
      <c r="V2191" s="34">
        <v>44.5</v>
      </c>
      <c r="W2191" s="22">
        <v>6</v>
      </c>
      <c r="X2191" s="23"/>
    </row>
    <row r="2192" spans="1:24" s="1" customFormat="1" ht="11" customHeight="1" x14ac:dyDescent="0.3">
      <c r="A2192" s="14" t="s">
        <v>23</v>
      </c>
      <c r="B2192" s="14" t="s">
        <v>738</v>
      </c>
      <c r="C2192" s="12" t="s">
        <v>2211</v>
      </c>
      <c r="D2192" s="61"/>
      <c r="E2192" s="41" t="str">
        <f t="shared" si="85"/>
        <v>Еще фото</v>
      </c>
      <c r="F2192" s="29" t="s">
        <v>103</v>
      </c>
      <c r="G2192" s="14" t="s">
        <v>740</v>
      </c>
      <c r="H2192" s="14" t="s">
        <v>741</v>
      </c>
      <c r="I2192" s="14" t="s">
        <v>1185</v>
      </c>
      <c r="J2192" s="14" t="s">
        <v>743</v>
      </c>
      <c r="K2192" s="14" t="s">
        <v>30</v>
      </c>
      <c r="L2192" s="58"/>
      <c r="M2192" s="14"/>
      <c r="N2192" s="14" t="s">
        <v>332</v>
      </c>
      <c r="O2192" s="14"/>
      <c r="P2192" s="14" t="s">
        <v>745</v>
      </c>
      <c r="Q2192" s="30">
        <v>18399</v>
      </c>
      <c r="R2192" s="31">
        <v>40</v>
      </c>
      <c r="S2192" s="32">
        <v>12695.31</v>
      </c>
      <c r="T2192" s="19" t="s">
        <v>36</v>
      </c>
      <c r="U2192" s="20" t="s">
        <v>1337</v>
      </c>
      <c r="V2192" s="22">
        <v>45</v>
      </c>
      <c r="W2192" s="22">
        <v>4</v>
      </c>
      <c r="X2192" s="23"/>
    </row>
    <row r="2193" spans="1:24" s="1" customFormat="1" ht="11" customHeight="1" x14ac:dyDescent="0.3">
      <c r="A2193" s="11" t="s">
        <v>23</v>
      </c>
      <c r="B2193" s="11" t="s">
        <v>2212</v>
      </c>
      <c r="C2193" s="12" t="s">
        <v>2213</v>
      </c>
      <c r="D2193" s="59"/>
      <c r="E2193" s="41" t="str">
        <f t="shared" ref="E2193:E2202" si="86">HYPERLINK("https://www.google.ru/search?q=3027383-001&amp;newwindow=1&amp;tbm=isch","Еще фото")</f>
        <v>Еще фото</v>
      </c>
      <c r="F2193" s="28" t="s">
        <v>138</v>
      </c>
      <c r="G2193" s="11" t="s">
        <v>740</v>
      </c>
      <c r="H2193" s="11" t="s">
        <v>741</v>
      </c>
      <c r="I2193" s="14" t="s">
        <v>1185</v>
      </c>
      <c r="J2193" s="14" t="s">
        <v>743</v>
      </c>
      <c r="K2193" s="15" t="s">
        <v>30</v>
      </c>
      <c r="L2193" s="57" t="s">
        <v>744</v>
      </c>
      <c r="M2193" s="14"/>
      <c r="N2193" s="14" t="s">
        <v>33</v>
      </c>
      <c r="O2193" s="14"/>
      <c r="P2193" s="15" t="s">
        <v>745</v>
      </c>
      <c r="Q2193" s="16">
        <v>20599</v>
      </c>
      <c r="R2193" s="17">
        <v>40</v>
      </c>
      <c r="S2193" s="18">
        <v>14213.309999999998</v>
      </c>
      <c r="T2193" s="19" t="s">
        <v>36</v>
      </c>
      <c r="U2193" s="20" t="s">
        <v>747</v>
      </c>
      <c r="V2193" s="34">
        <v>39.5</v>
      </c>
      <c r="W2193" s="22">
        <v>13</v>
      </c>
      <c r="X2193" s="23"/>
    </row>
    <row r="2194" spans="1:24" s="1" customFormat="1" ht="11" customHeight="1" x14ac:dyDescent="0.3">
      <c r="A2194" s="24" t="s">
        <v>23</v>
      </c>
      <c r="B2194" s="24" t="s">
        <v>2212</v>
      </c>
      <c r="C2194" s="12" t="s">
        <v>2213</v>
      </c>
      <c r="D2194" s="60"/>
      <c r="E2194" s="41" t="str">
        <f t="shared" si="86"/>
        <v>Еще фото</v>
      </c>
      <c r="F2194" s="28" t="s">
        <v>138</v>
      </c>
      <c r="G2194" s="24" t="s">
        <v>740</v>
      </c>
      <c r="H2194" s="24" t="s">
        <v>741</v>
      </c>
      <c r="I2194" s="24" t="s">
        <v>1185</v>
      </c>
      <c r="J2194" s="14" t="s">
        <v>743</v>
      </c>
      <c r="K2194" s="15" t="s">
        <v>30</v>
      </c>
      <c r="L2194" s="62"/>
      <c r="M2194" s="14"/>
      <c r="N2194" s="14" t="s">
        <v>33</v>
      </c>
      <c r="O2194" s="14"/>
      <c r="P2194" s="15" t="s">
        <v>745</v>
      </c>
      <c r="Q2194" s="16">
        <v>20599</v>
      </c>
      <c r="R2194" s="17">
        <v>40</v>
      </c>
      <c r="S2194" s="18">
        <v>14213.309999999998</v>
      </c>
      <c r="T2194" s="19" t="s">
        <v>36</v>
      </c>
      <c r="U2194" s="20" t="s">
        <v>748</v>
      </c>
      <c r="V2194" s="22">
        <v>40</v>
      </c>
      <c r="W2194" s="22">
        <v>24</v>
      </c>
      <c r="X2194" s="23"/>
    </row>
    <row r="2195" spans="1:24" s="1" customFormat="1" ht="11" customHeight="1" x14ac:dyDescent="0.3">
      <c r="A2195" s="24" t="s">
        <v>23</v>
      </c>
      <c r="B2195" s="24" t="s">
        <v>2212</v>
      </c>
      <c r="C2195" s="12" t="s">
        <v>2213</v>
      </c>
      <c r="D2195" s="60"/>
      <c r="E2195" s="41" t="str">
        <f t="shared" si="86"/>
        <v>Еще фото</v>
      </c>
      <c r="F2195" s="28" t="s">
        <v>138</v>
      </c>
      <c r="G2195" s="24" t="s">
        <v>740</v>
      </c>
      <c r="H2195" s="24" t="s">
        <v>741</v>
      </c>
      <c r="I2195" s="24" t="s">
        <v>1185</v>
      </c>
      <c r="J2195" s="14" t="s">
        <v>743</v>
      </c>
      <c r="K2195" s="15" t="s">
        <v>30</v>
      </c>
      <c r="L2195" s="62"/>
      <c r="M2195" s="14"/>
      <c r="N2195" s="14" t="s">
        <v>33</v>
      </c>
      <c r="O2195" s="14"/>
      <c r="P2195" s="15" t="s">
        <v>745</v>
      </c>
      <c r="Q2195" s="16">
        <v>20599</v>
      </c>
      <c r="R2195" s="17">
        <v>40</v>
      </c>
      <c r="S2195" s="18">
        <v>14213.309999999998</v>
      </c>
      <c r="T2195" s="19" t="s">
        <v>36</v>
      </c>
      <c r="U2195" s="20" t="s">
        <v>749</v>
      </c>
      <c r="V2195" s="22">
        <v>41</v>
      </c>
      <c r="W2195" s="22">
        <v>27</v>
      </c>
      <c r="X2195" s="23"/>
    </row>
    <row r="2196" spans="1:24" s="1" customFormat="1" ht="11" customHeight="1" x14ac:dyDescent="0.3">
      <c r="A2196" s="24" t="s">
        <v>23</v>
      </c>
      <c r="B2196" s="24" t="s">
        <v>2212</v>
      </c>
      <c r="C2196" s="12" t="s">
        <v>2213</v>
      </c>
      <c r="D2196" s="60"/>
      <c r="E2196" s="41" t="str">
        <f t="shared" si="86"/>
        <v>Еще фото</v>
      </c>
      <c r="F2196" s="28" t="s">
        <v>138</v>
      </c>
      <c r="G2196" s="24" t="s">
        <v>740</v>
      </c>
      <c r="H2196" s="24" t="s">
        <v>741</v>
      </c>
      <c r="I2196" s="24" t="s">
        <v>1185</v>
      </c>
      <c r="J2196" s="14" t="s">
        <v>743</v>
      </c>
      <c r="K2196" s="15" t="s">
        <v>30</v>
      </c>
      <c r="L2196" s="62"/>
      <c r="M2196" s="14"/>
      <c r="N2196" s="14" t="s">
        <v>33</v>
      </c>
      <c r="O2196" s="14"/>
      <c r="P2196" s="15" t="s">
        <v>745</v>
      </c>
      <c r="Q2196" s="16">
        <v>20599</v>
      </c>
      <c r="R2196" s="17">
        <v>40</v>
      </c>
      <c r="S2196" s="18">
        <v>14213.309999999998</v>
      </c>
      <c r="T2196" s="19" t="s">
        <v>36</v>
      </c>
      <c r="U2196" s="20" t="s">
        <v>750</v>
      </c>
      <c r="V2196" s="34">
        <v>41.5</v>
      </c>
      <c r="W2196" s="22">
        <v>33</v>
      </c>
      <c r="X2196" s="23"/>
    </row>
    <row r="2197" spans="1:24" s="1" customFormat="1" ht="11" customHeight="1" x14ac:dyDescent="0.3">
      <c r="A2197" s="24" t="s">
        <v>23</v>
      </c>
      <c r="B2197" s="24" t="s">
        <v>2212</v>
      </c>
      <c r="C2197" s="12" t="s">
        <v>2213</v>
      </c>
      <c r="D2197" s="60"/>
      <c r="E2197" s="41" t="str">
        <f t="shared" si="86"/>
        <v>Еще фото</v>
      </c>
      <c r="F2197" s="28" t="s">
        <v>138</v>
      </c>
      <c r="G2197" s="24" t="s">
        <v>740</v>
      </c>
      <c r="H2197" s="24" t="s">
        <v>741</v>
      </c>
      <c r="I2197" s="24" t="s">
        <v>1185</v>
      </c>
      <c r="J2197" s="14" t="s">
        <v>743</v>
      </c>
      <c r="K2197" s="15" t="s">
        <v>30</v>
      </c>
      <c r="L2197" s="62"/>
      <c r="M2197" s="14"/>
      <c r="N2197" s="14" t="s">
        <v>33</v>
      </c>
      <c r="O2197" s="14"/>
      <c r="P2197" s="15" t="s">
        <v>745</v>
      </c>
      <c r="Q2197" s="16">
        <v>20599</v>
      </c>
      <c r="R2197" s="17">
        <v>40</v>
      </c>
      <c r="S2197" s="18">
        <v>14213.309999999998</v>
      </c>
      <c r="T2197" s="19" t="s">
        <v>36</v>
      </c>
      <c r="U2197" s="20" t="s">
        <v>751</v>
      </c>
      <c r="V2197" s="22">
        <v>42</v>
      </c>
      <c r="W2197" s="22">
        <v>31</v>
      </c>
      <c r="X2197" s="23"/>
    </row>
    <row r="2198" spans="1:24" s="1" customFormat="1" ht="11" customHeight="1" x14ac:dyDescent="0.3">
      <c r="A2198" s="24" t="s">
        <v>23</v>
      </c>
      <c r="B2198" s="24" t="s">
        <v>2212</v>
      </c>
      <c r="C2198" s="12" t="s">
        <v>2213</v>
      </c>
      <c r="D2198" s="60"/>
      <c r="E2198" s="41" t="str">
        <f t="shared" si="86"/>
        <v>Еще фото</v>
      </c>
      <c r="F2198" s="28" t="s">
        <v>138</v>
      </c>
      <c r="G2198" s="24" t="s">
        <v>740</v>
      </c>
      <c r="H2198" s="24" t="s">
        <v>741</v>
      </c>
      <c r="I2198" s="24" t="s">
        <v>1185</v>
      </c>
      <c r="J2198" s="14" t="s">
        <v>743</v>
      </c>
      <c r="K2198" s="15" t="s">
        <v>30</v>
      </c>
      <c r="L2198" s="62"/>
      <c r="M2198" s="14"/>
      <c r="N2198" s="14" t="s">
        <v>33</v>
      </c>
      <c r="O2198" s="14"/>
      <c r="P2198" s="15" t="s">
        <v>745</v>
      </c>
      <c r="Q2198" s="16">
        <v>20599</v>
      </c>
      <c r="R2198" s="17">
        <v>40</v>
      </c>
      <c r="S2198" s="18">
        <v>14213.309999999998</v>
      </c>
      <c r="T2198" s="19" t="s">
        <v>36</v>
      </c>
      <c r="U2198" s="20" t="s">
        <v>752</v>
      </c>
      <c r="V2198" s="22">
        <v>43</v>
      </c>
      <c r="W2198" s="22">
        <v>28</v>
      </c>
      <c r="X2198" s="23"/>
    </row>
    <row r="2199" spans="1:24" s="1" customFormat="1" ht="11" customHeight="1" x14ac:dyDescent="0.3">
      <c r="A2199" s="24" t="s">
        <v>23</v>
      </c>
      <c r="B2199" s="24" t="s">
        <v>2212</v>
      </c>
      <c r="C2199" s="12" t="s">
        <v>2213</v>
      </c>
      <c r="D2199" s="60"/>
      <c r="E2199" s="41" t="str">
        <f t="shared" si="86"/>
        <v>Еще фото</v>
      </c>
      <c r="F2199" s="28" t="s">
        <v>138</v>
      </c>
      <c r="G2199" s="24" t="s">
        <v>740</v>
      </c>
      <c r="H2199" s="24" t="s">
        <v>741</v>
      </c>
      <c r="I2199" s="24" t="s">
        <v>1185</v>
      </c>
      <c r="J2199" s="14" t="s">
        <v>743</v>
      </c>
      <c r="K2199" s="15" t="s">
        <v>30</v>
      </c>
      <c r="L2199" s="62"/>
      <c r="M2199" s="14"/>
      <c r="N2199" s="14" t="s">
        <v>33</v>
      </c>
      <c r="O2199" s="14"/>
      <c r="P2199" s="15" t="s">
        <v>745</v>
      </c>
      <c r="Q2199" s="16">
        <v>20599</v>
      </c>
      <c r="R2199" s="17">
        <v>40</v>
      </c>
      <c r="S2199" s="18">
        <v>14213.309999999998</v>
      </c>
      <c r="T2199" s="19" t="s">
        <v>36</v>
      </c>
      <c r="U2199" s="20" t="s">
        <v>753</v>
      </c>
      <c r="V2199" s="34">
        <v>43.5</v>
      </c>
      <c r="W2199" s="22">
        <v>24</v>
      </c>
      <c r="X2199" s="23"/>
    </row>
    <row r="2200" spans="1:24" s="1" customFormat="1" ht="11" customHeight="1" x14ac:dyDescent="0.3">
      <c r="A2200" s="24" t="s">
        <v>23</v>
      </c>
      <c r="B2200" s="24" t="s">
        <v>2212</v>
      </c>
      <c r="C2200" s="12" t="s">
        <v>2213</v>
      </c>
      <c r="D2200" s="60"/>
      <c r="E2200" s="41" t="str">
        <f t="shared" si="86"/>
        <v>Еще фото</v>
      </c>
      <c r="F2200" s="28" t="s">
        <v>138</v>
      </c>
      <c r="G2200" s="24" t="s">
        <v>740</v>
      </c>
      <c r="H2200" s="24" t="s">
        <v>741</v>
      </c>
      <c r="I2200" s="24" t="s">
        <v>1185</v>
      </c>
      <c r="J2200" s="14" t="s">
        <v>743</v>
      </c>
      <c r="K2200" s="15" t="s">
        <v>30</v>
      </c>
      <c r="L2200" s="62"/>
      <c r="M2200" s="14"/>
      <c r="N2200" s="14" t="s">
        <v>33</v>
      </c>
      <c r="O2200" s="14"/>
      <c r="P2200" s="15" t="s">
        <v>745</v>
      </c>
      <c r="Q2200" s="16">
        <v>20599</v>
      </c>
      <c r="R2200" s="17">
        <v>40</v>
      </c>
      <c r="S2200" s="18">
        <v>14213.309999999998</v>
      </c>
      <c r="T2200" s="19" t="s">
        <v>36</v>
      </c>
      <c r="U2200" s="20" t="s">
        <v>754</v>
      </c>
      <c r="V2200" s="22">
        <v>44</v>
      </c>
      <c r="W2200" s="22">
        <v>11</v>
      </c>
      <c r="X2200" s="23"/>
    </row>
    <row r="2201" spans="1:24" s="1" customFormat="1" ht="11" customHeight="1" x14ac:dyDescent="0.3">
      <c r="A2201" s="24" t="s">
        <v>23</v>
      </c>
      <c r="B2201" s="24" t="s">
        <v>2212</v>
      </c>
      <c r="C2201" s="12" t="s">
        <v>2213</v>
      </c>
      <c r="D2201" s="60"/>
      <c r="E2201" s="41" t="str">
        <f t="shared" si="86"/>
        <v>Еще фото</v>
      </c>
      <c r="F2201" s="28" t="s">
        <v>138</v>
      </c>
      <c r="G2201" s="24" t="s">
        <v>740</v>
      </c>
      <c r="H2201" s="24" t="s">
        <v>741</v>
      </c>
      <c r="I2201" s="24" t="s">
        <v>1185</v>
      </c>
      <c r="J2201" s="14" t="s">
        <v>743</v>
      </c>
      <c r="K2201" s="15" t="s">
        <v>30</v>
      </c>
      <c r="L2201" s="62"/>
      <c r="M2201" s="14"/>
      <c r="N2201" s="14" t="s">
        <v>33</v>
      </c>
      <c r="O2201" s="14"/>
      <c r="P2201" s="15" t="s">
        <v>745</v>
      </c>
      <c r="Q2201" s="16">
        <v>20599</v>
      </c>
      <c r="R2201" s="17">
        <v>40</v>
      </c>
      <c r="S2201" s="18">
        <v>14213.309999999998</v>
      </c>
      <c r="T2201" s="19" t="s">
        <v>36</v>
      </c>
      <c r="U2201" s="20" t="s">
        <v>755</v>
      </c>
      <c r="V2201" s="34">
        <v>44.5</v>
      </c>
      <c r="W2201" s="22">
        <v>10</v>
      </c>
      <c r="X2201" s="23"/>
    </row>
    <row r="2202" spans="1:24" s="1" customFormat="1" ht="11" customHeight="1" x14ac:dyDescent="0.3">
      <c r="A2202" s="14" t="s">
        <v>23</v>
      </c>
      <c r="B2202" s="14" t="s">
        <v>2212</v>
      </c>
      <c r="C2202" s="12" t="s">
        <v>2213</v>
      </c>
      <c r="D2202" s="61"/>
      <c r="E2202" s="41" t="str">
        <f t="shared" si="86"/>
        <v>Еще фото</v>
      </c>
      <c r="F2202" s="36" t="s">
        <v>138</v>
      </c>
      <c r="G2202" s="14" t="s">
        <v>740</v>
      </c>
      <c r="H2202" s="14" t="s">
        <v>741</v>
      </c>
      <c r="I2202" s="14" t="s">
        <v>1185</v>
      </c>
      <c r="J2202" s="14" t="s">
        <v>743</v>
      </c>
      <c r="K2202" s="14" t="s">
        <v>30</v>
      </c>
      <c r="L2202" s="58"/>
      <c r="M2202" s="14"/>
      <c r="N2202" s="14" t="s">
        <v>33</v>
      </c>
      <c r="O2202" s="14"/>
      <c r="P2202" s="14" t="s">
        <v>745</v>
      </c>
      <c r="Q2202" s="30">
        <v>20599</v>
      </c>
      <c r="R2202" s="31">
        <v>40</v>
      </c>
      <c r="S2202" s="32">
        <v>14213.309999999998</v>
      </c>
      <c r="T2202" s="19" t="s">
        <v>36</v>
      </c>
      <c r="U2202" s="20" t="s">
        <v>1337</v>
      </c>
      <c r="V2202" s="22">
        <v>45</v>
      </c>
      <c r="W2202" s="22">
        <v>5</v>
      </c>
      <c r="X2202" s="23"/>
    </row>
    <row r="2203" spans="1:24" s="1" customFormat="1" ht="108" customHeight="1" x14ac:dyDescent="0.3">
      <c r="A2203" s="11" t="s">
        <v>23</v>
      </c>
      <c r="B2203" s="11" t="s">
        <v>1303</v>
      </c>
      <c r="C2203" s="12" t="s">
        <v>2214</v>
      </c>
      <c r="D2203" s="25"/>
      <c r="E2203" s="41" t="str">
        <f>HYPERLINK("https://www.google.ru/search?q=3027523-001&amp;newwindow=1&amp;tbm=isch","Еще фото")</f>
        <v>Еще фото</v>
      </c>
      <c r="F2203" s="13" t="s">
        <v>103</v>
      </c>
      <c r="G2203" s="11" t="s">
        <v>1184</v>
      </c>
      <c r="H2203" s="11" t="s">
        <v>741</v>
      </c>
      <c r="I2203" s="14" t="s">
        <v>1185</v>
      </c>
      <c r="J2203" s="14" t="s">
        <v>29</v>
      </c>
      <c r="K2203" s="15" t="s">
        <v>30</v>
      </c>
      <c r="L2203" s="14" t="s">
        <v>1305</v>
      </c>
      <c r="M2203" s="14" t="s">
        <v>1211</v>
      </c>
      <c r="N2203" s="14" t="s">
        <v>33</v>
      </c>
      <c r="O2203" s="14"/>
      <c r="P2203" s="15" t="s">
        <v>745</v>
      </c>
      <c r="Q2203" s="16">
        <v>13199</v>
      </c>
      <c r="R2203" s="17">
        <v>40</v>
      </c>
      <c r="S2203" s="18">
        <v>9107.31</v>
      </c>
      <c r="T2203" s="19" t="s">
        <v>36</v>
      </c>
      <c r="U2203" s="20" t="s">
        <v>752</v>
      </c>
      <c r="V2203" s="22">
        <v>43</v>
      </c>
      <c r="W2203" s="22">
        <v>1</v>
      </c>
      <c r="X2203" s="23"/>
    </row>
    <row r="2204" spans="1:24" s="1" customFormat="1" ht="108" customHeight="1" x14ac:dyDescent="0.3">
      <c r="A2204" s="11" t="s">
        <v>23</v>
      </c>
      <c r="B2204" s="11" t="s">
        <v>1303</v>
      </c>
      <c r="C2204" s="12" t="s">
        <v>2215</v>
      </c>
      <c r="D2204" s="25"/>
      <c r="E2204" s="41" t="str">
        <f>HYPERLINK("https://www.google.ru/search?q=3027523-002&amp;newwindow=1&amp;tbm=isch","Еще фото")</f>
        <v>Еще фото</v>
      </c>
      <c r="F2204" s="13"/>
      <c r="G2204" s="11" t="s">
        <v>1184</v>
      </c>
      <c r="H2204" s="11" t="s">
        <v>741</v>
      </c>
      <c r="I2204" s="14" t="s">
        <v>1185</v>
      </c>
      <c r="J2204" s="14" t="s">
        <v>29</v>
      </c>
      <c r="K2204" s="15" t="s">
        <v>30</v>
      </c>
      <c r="L2204" s="14" t="s">
        <v>1305</v>
      </c>
      <c r="M2204" s="14" t="s">
        <v>1211</v>
      </c>
      <c r="N2204" s="14" t="s">
        <v>33</v>
      </c>
      <c r="O2204" s="14"/>
      <c r="P2204" s="15" t="s">
        <v>745</v>
      </c>
      <c r="Q2204" s="16">
        <v>13199</v>
      </c>
      <c r="R2204" s="17">
        <v>40</v>
      </c>
      <c r="S2204" s="18">
        <v>9107.31</v>
      </c>
      <c r="T2204" s="19" t="s">
        <v>36</v>
      </c>
      <c r="U2204" s="20" t="s">
        <v>752</v>
      </c>
      <c r="V2204" s="22">
        <v>43</v>
      </c>
      <c r="W2204" s="22">
        <v>2</v>
      </c>
      <c r="X2204" s="23"/>
    </row>
    <row r="2205" spans="1:24" s="1" customFormat="1" ht="21" customHeight="1" x14ac:dyDescent="0.3">
      <c r="A2205" s="11" t="s">
        <v>23</v>
      </c>
      <c r="B2205" s="11" t="s">
        <v>1303</v>
      </c>
      <c r="C2205" s="26" t="s">
        <v>2216</v>
      </c>
      <c r="D2205" s="59"/>
      <c r="E2205" s="41" t="str">
        <f>HYPERLINK("https://www.google.ru/search?q=3027523-011&amp;newwindow=1&amp;tbm=isch","Еще фото")</f>
        <v>Еще фото</v>
      </c>
      <c r="F2205" s="13"/>
      <c r="G2205" s="11" t="s">
        <v>1184</v>
      </c>
      <c r="H2205" s="11" t="s">
        <v>741</v>
      </c>
      <c r="I2205" s="14" t="s">
        <v>1185</v>
      </c>
      <c r="J2205" s="14" t="s">
        <v>29</v>
      </c>
      <c r="K2205" s="15" t="s">
        <v>30</v>
      </c>
      <c r="L2205" s="57" t="s">
        <v>1305</v>
      </c>
      <c r="M2205" s="14" t="s">
        <v>1211</v>
      </c>
      <c r="N2205" s="14" t="s">
        <v>62</v>
      </c>
      <c r="O2205" s="14"/>
      <c r="P2205" s="15" t="s">
        <v>745</v>
      </c>
      <c r="Q2205" s="16">
        <v>13299</v>
      </c>
      <c r="R2205" s="17">
        <v>40</v>
      </c>
      <c r="S2205" s="18">
        <v>9176.31</v>
      </c>
      <c r="T2205" s="19" t="s">
        <v>36</v>
      </c>
      <c r="U2205" s="20" t="s">
        <v>747</v>
      </c>
      <c r="V2205" s="34">
        <v>39.5</v>
      </c>
      <c r="W2205" s="22">
        <v>2</v>
      </c>
      <c r="X2205" s="23"/>
    </row>
    <row r="2206" spans="1:24" s="1" customFormat="1" ht="21" customHeight="1" x14ac:dyDescent="0.3">
      <c r="A2206" s="24" t="s">
        <v>23</v>
      </c>
      <c r="B2206" s="24" t="s">
        <v>1303</v>
      </c>
      <c r="C2206" s="27" t="s">
        <v>2216</v>
      </c>
      <c r="D2206" s="60"/>
      <c r="E2206" s="41" t="str">
        <f>HYPERLINK("https://www.google.ru/search?q=3027523-011&amp;newwindow=1&amp;tbm=isch","Еще фото")</f>
        <v>Еще фото</v>
      </c>
      <c r="F2206" s="13"/>
      <c r="G2206" s="24" t="s">
        <v>1184</v>
      </c>
      <c r="H2206" s="24" t="s">
        <v>741</v>
      </c>
      <c r="I2206" s="24" t="s">
        <v>1185</v>
      </c>
      <c r="J2206" s="14" t="s">
        <v>29</v>
      </c>
      <c r="K2206" s="15" t="s">
        <v>30</v>
      </c>
      <c r="L2206" s="62"/>
      <c r="M2206" s="14" t="s">
        <v>1211</v>
      </c>
      <c r="N2206" s="14" t="s">
        <v>62</v>
      </c>
      <c r="O2206" s="14"/>
      <c r="P2206" s="15" t="s">
        <v>745</v>
      </c>
      <c r="Q2206" s="16">
        <v>13299</v>
      </c>
      <c r="R2206" s="17">
        <v>40</v>
      </c>
      <c r="S2206" s="18">
        <v>9176.31</v>
      </c>
      <c r="T2206" s="19" t="s">
        <v>36</v>
      </c>
      <c r="U2206" s="20" t="s">
        <v>750</v>
      </c>
      <c r="V2206" s="34">
        <v>41.5</v>
      </c>
      <c r="W2206" s="22">
        <v>2</v>
      </c>
      <c r="X2206" s="23"/>
    </row>
    <row r="2207" spans="1:24" s="1" customFormat="1" ht="21" customHeight="1" x14ac:dyDescent="0.3">
      <c r="A2207" s="24" t="s">
        <v>23</v>
      </c>
      <c r="B2207" s="24" t="s">
        <v>1303</v>
      </c>
      <c r="C2207" s="27" t="s">
        <v>2216</v>
      </c>
      <c r="D2207" s="60"/>
      <c r="E2207" s="41" t="str">
        <f>HYPERLINK("https://www.google.ru/search?q=3027523-011&amp;newwindow=1&amp;tbm=isch","Еще фото")</f>
        <v>Еще фото</v>
      </c>
      <c r="F2207" s="13"/>
      <c r="G2207" s="24" t="s">
        <v>1184</v>
      </c>
      <c r="H2207" s="24" t="s">
        <v>741</v>
      </c>
      <c r="I2207" s="24" t="s">
        <v>1185</v>
      </c>
      <c r="J2207" s="14" t="s">
        <v>29</v>
      </c>
      <c r="K2207" s="15" t="s">
        <v>30</v>
      </c>
      <c r="L2207" s="62"/>
      <c r="M2207" s="14" t="s">
        <v>1211</v>
      </c>
      <c r="N2207" s="14" t="s">
        <v>62</v>
      </c>
      <c r="O2207" s="14"/>
      <c r="P2207" s="15" t="s">
        <v>745</v>
      </c>
      <c r="Q2207" s="16">
        <v>13299</v>
      </c>
      <c r="R2207" s="17">
        <v>40</v>
      </c>
      <c r="S2207" s="18">
        <v>9176.31</v>
      </c>
      <c r="T2207" s="19" t="s">
        <v>36</v>
      </c>
      <c r="U2207" s="20" t="s">
        <v>751</v>
      </c>
      <c r="V2207" s="22">
        <v>42</v>
      </c>
      <c r="W2207" s="22">
        <v>2</v>
      </c>
      <c r="X2207" s="23"/>
    </row>
    <row r="2208" spans="1:24" s="1" customFormat="1" ht="21" customHeight="1" x14ac:dyDescent="0.3">
      <c r="A2208" s="24" t="s">
        <v>23</v>
      </c>
      <c r="B2208" s="24" t="s">
        <v>1303</v>
      </c>
      <c r="C2208" s="27" t="s">
        <v>2216</v>
      </c>
      <c r="D2208" s="60"/>
      <c r="E2208" s="41" t="str">
        <f>HYPERLINK("https://www.google.ru/search?q=3027523-011&amp;newwindow=1&amp;tbm=isch","Еще фото")</f>
        <v>Еще фото</v>
      </c>
      <c r="F2208" s="13"/>
      <c r="G2208" s="24" t="s">
        <v>1184</v>
      </c>
      <c r="H2208" s="24" t="s">
        <v>741</v>
      </c>
      <c r="I2208" s="24" t="s">
        <v>1185</v>
      </c>
      <c r="J2208" s="14" t="s">
        <v>29</v>
      </c>
      <c r="K2208" s="15" t="s">
        <v>30</v>
      </c>
      <c r="L2208" s="62"/>
      <c r="M2208" s="14" t="s">
        <v>1211</v>
      </c>
      <c r="N2208" s="14" t="s">
        <v>62</v>
      </c>
      <c r="O2208" s="14"/>
      <c r="P2208" s="15" t="s">
        <v>745</v>
      </c>
      <c r="Q2208" s="16">
        <v>13299</v>
      </c>
      <c r="R2208" s="17">
        <v>40</v>
      </c>
      <c r="S2208" s="18">
        <v>9176.31</v>
      </c>
      <c r="T2208" s="19" t="s">
        <v>36</v>
      </c>
      <c r="U2208" s="20" t="s">
        <v>752</v>
      </c>
      <c r="V2208" s="22">
        <v>43</v>
      </c>
      <c r="W2208" s="22">
        <v>3</v>
      </c>
      <c r="X2208" s="23"/>
    </row>
    <row r="2209" spans="1:24" s="1" customFormat="1" ht="32" customHeight="1" x14ac:dyDescent="0.3">
      <c r="A2209" s="24" t="s">
        <v>23</v>
      </c>
      <c r="B2209" s="24" t="s">
        <v>1303</v>
      </c>
      <c r="C2209" s="27" t="s">
        <v>2216</v>
      </c>
      <c r="D2209" s="61"/>
      <c r="E2209" s="41" t="str">
        <f>HYPERLINK("https://www.google.ru/search?q=3027523-011&amp;newwindow=1&amp;tbm=isch","Еще фото")</f>
        <v>Еще фото</v>
      </c>
      <c r="F2209" s="13"/>
      <c r="G2209" s="24" t="s">
        <v>1184</v>
      </c>
      <c r="H2209" s="24" t="s">
        <v>741</v>
      </c>
      <c r="I2209" s="24" t="s">
        <v>1185</v>
      </c>
      <c r="J2209" s="14" t="s">
        <v>29</v>
      </c>
      <c r="K2209" s="15" t="s">
        <v>30</v>
      </c>
      <c r="L2209" s="58"/>
      <c r="M2209" s="14" t="s">
        <v>1211</v>
      </c>
      <c r="N2209" s="14" t="s">
        <v>62</v>
      </c>
      <c r="O2209" s="14"/>
      <c r="P2209" s="15" t="s">
        <v>745</v>
      </c>
      <c r="Q2209" s="16">
        <v>13299</v>
      </c>
      <c r="R2209" s="17">
        <v>40</v>
      </c>
      <c r="S2209" s="18">
        <v>9176.31</v>
      </c>
      <c r="T2209" s="19" t="s">
        <v>36</v>
      </c>
      <c r="U2209" s="20" t="s">
        <v>753</v>
      </c>
      <c r="V2209" s="34">
        <v>43.5</v>
      </c>
      <c r="W2209" s="22">
        <v>1</v>
      </c>
      <c r="X2209" s="23"/>
    </row>
    <row r="2210" spans="1:24" s="1" customFormat="1" ht="26" customHeight="1" x14ac:dyDescent="0.3">
      <c r="A2210" s="11" t="s">
        <v>23</v>
      </c>
      <c r="B2210" s="11" t="s">
        <v>1303</v>
      </c>
      <c r="C2210" s="12" t="s">
        <v>2217</v>
      </c>
      <c r="D2210" s="59"/>
      <c r="E2210" s="41" t="str">
        <f>HYPERLINK("https://www.google.ru/search?q=3027523-103&amp;newwindow=1&amp;tbm=isch","Еще фото")</f>
        <v>Еще фото</v>
      </c>
      <c r="F2210" s="13"/>
      <c r="G2210" s="11" t="s">
        <v>1184</v>
      </c>
      <c r="H2210" s="11" t="s">
        <v>741</v>
      </c>
      <c r="I2210" s="14" t="s">
        <v>1185</v>
      </c>
      <c r="J2210" s="14" t="s">
        <v>29</v>
      </c>
      <c r="K2210" s="15" t="s">
        <v>30</v>
      </c>
      <c r="L2210" s="57" t="s">
        <v>2218</v>
      </c>
      <c r="M2210" s="14"/>
      <c r="N2210" s="14" t="s">
        <v>84</v>
      </c>
      <c r="O2210" s="14"/>
      <c r="P2210" s="15" t="s">
        <v>745</v>
      </c>
      <c r="Q2210" s="16">
        <v>13199</v>
      </c>
      <c r="R2210" s="17">
        <v>40</v>
      </c>
      <c r="S2210" s="18">
        <v>9107.31</v>
      </c>
      <c r="T2210" s="19" t="s">
        <v>36</v>
      </c>
      <c r="U2210" s="20" t="s">
        <v>749</v>
      </c>
      <c r="V2210" s="22">
        <v>41</v>
      </c>
      <c r="W2210" s="22">
        <v>1</v>
      </c>
      <c r="X2210" s="23"/>
    </row>
    <row r="2211" spans="1:24" s="1" customFormat="1" ht="26" customHeight="1" x14ac:dyDescent="0.3">
      <c r="A2211" s="24" t="s">
        <v>23</v>
      </c>
      <c r="B2211" s="24" t="s">
        <v>1303</v>
      </c>
      <c r="C2211" s="12" t="s">
        <v>2217</v>
      </c>
      <c r="D2211" s="60"/>
      <c r="E2211" s="41" t="str">
        <f>HYPERLINK("https://www.google.ru/search?q=3027523-103&amp;newwindow=1&amp;tbm=isch","Еще фото")</f>
        <v>Еще фото</v>
      </c>
      <c r="F2211" s="13"/>
      <c r="G2211" s="24" t="s">
        <v>1184</v>
      </c>
      <c r="H2211" s="24" t="s">
        <v>741</v>
      </c>
      <c r="I2211" s="24" t="s">
        <v>1185</v>
      </c>
      <c r="J2211" s="14" t="s">
        <v>29</v>
      </c>
      <c r="K2211" s="15" t="s">
        <v>30</v>
      </c>
      <c r="L2211" s="62"/>
      <c r="M2211" s="14"/>
      <c r="N2211" s="14" t="s">
        <v>84</v>
      </c>
      <c r="O2211" s="14"/>
      <c r="P2211" s="15" t="s">
        <v>745</v>
      </c>
      <c r="Q2211" s="16">
        <v>13199</v>
      </c>
      <c r="R2211" s="17">
        <v>40</v>
      </c>
      <c r="S2211" s="18">
        <v>9107.31</v>
      </c>
      <c r="T2211" s="19" t="s">
        <v>36</v>
      </c>
      <c r="U2211" s="20" t="s">
        <v>751</v>
      </c>
      <c r="V2211" s="22">
        <v>42</v>
      </c>
      <c r="W2211" s="22">
        <v>2</v>
      </c>
      <c r="X2211" s="23"/>
    </row>
    <row r="2212" spans="1:24" s="1" customFormat="1" ht="26" customHeight="1" x14ac:dyDescent="0.3">
      <c r="A2212" s="24" t="s">
        <v>23</v>
      </c>
      <c r="B2212" s="24" t="s">
        <v>1303</v>
      </c>
      <c r="C2212" s="12" t="s">
        <v>2217</v>
      </c>
      <c r="D2212" s="60"/>
      <c r="E2212" s="41" t="str">
        <f>HYPERLINK("https://www.google.ru/search?q=3027523-103&amp;newwindow=1&amp;tbm=isch","Еще фото")</f>
        <v>Еще фото</v>
      </c>
      <c r="F2212" s="13"/>
      <c r="G2212" s="24" t="s">
        <v>1184</v>
      </c>
      <c r="H2212" s="24" t="s">
        <v>741</v>
      </c>
      <c r="I2212" s="24" t="s">
        <v>1185</v>
      </c>
      <c r="J2212" s="14" t="s">
        <v>29</v>
      </c>
      <c r="K2212" s="15" t="s">
        <v>30</v>
      </c>
      <c r="L2212" s="62"/>
      <c r="M2212" s="14"/>
      <c r="N2212" s="14" t="s">
        <v>84</v>
      </c>
      <c r="O2212" s="14"/>
      <c r="P2212" s="15" t="s">
        <v>745</v>
      </c>
      <c r="Q2212" s="16">
        <v>13199</v>
      </c>
      <c r="R2212" s="17">
        <v>40</v>
      </c>
      <c r="S2212" s="18">
        <v>9107.31</v>
      </c>
      <c r="T2212" s="19" t="s">
        <v>36</v>
      </c>
      <c r="U2212" s="20" t="s">
        <v>752</v>
      </c>
      <c r="V2212" s="22">
        <v>43</v>
      </c>
      <c r="W2212" s="22">
        <v>3</v>
      </c>
      <c r="X2212" s="23"/>
    </row>
    <row r="2213" spans="1:24" s="1" customFormat="1" ht="26" customHeight="1" x14ac:dyDescent="0.3">
      <c r="A2213" s="24" t="s">
        <v>23</v>
      </c>
      <c r="B2213" s="24" t="s">
        <v>1303</v>
      </c>
      <c r="C2213" s="12" t="s">
        <v>2217</v>
      </c>
      <c r="D2213" s="61"/>
      <c r="E2213" s="41" t="str">
        <f>HYPERLINK("https://www.google.ru/search?q=3027523-103&amp;newwindow=1&amp;tbm=isch","Еще фото")</f>
        <v>Еще фото</v>
      </c>
      <c r="F2213" s="13"/>
      <c r="G2213" s="24" t="s">
        <v>1184</v>
      </c>
      <c r="H2213" s="24" t="s">
        <v>741</v>
      </c>
      <c r="I2213" s="24" t="s">
        <v>1185</v>
      </c>
      <c r="J2213" s="14" t="s">
        <v>29</v>
      </c>
      <c r="K2213" s="15" t="s">
        <v>30</v>
      </c>
      <c r="L2213" s="58"/>
      <c r="M2213" s="14"/>
      <c r="N2213" s="14" t="s">
        <v>84</v>
      </c>
      <c r="O2213" s="14"/>
      <c r="P2213" s="15" t="s">
        <v>745</v>
      </c>
      <c r="Q2213" s="16">
        <v>13199</v>
      </c>
      <c r="R2213" s="17">
        <v>40</v>
      </c>
      <c r="S2213" s="18">
        <v>9107.31</v>
      </c>
      <c r="T2213" s="19" t="s">
        <v>36</v>
      </c>
      <c r="U2213" s="20" t="s">
        <v>753</v>
      </c>
      <c r="V2213" s="34">
        <v>43.5</v>
      </c>
      <c r="W2213" s="22">
        <v>3</v>
      </c>
      <c r="X2213" s="23"/>
    </row>
    <row r="2214" spans="1:24" s="1" customFormat="1" ht="26" customHeight="1" x14ac:dyDescent="0.3">
      <c r="A2214" s="11" t="s">
        <v>23</v>
      </c>
      <c r="B2214" s="11" t="s">
        <v>1303</v>
      </c>
      <c r="C2214" s="12" t="s">
        <v>2219</v>
      </c>
      <c r="D2214" s="59"/>
      <c r="E2214" s="41" t="str">
        <f>HYPERLINK("https://www.google.ru/search?q=3027523-323&amp;newwindow=1&amp;tbm=isch","Еще фото")</f>
        <v>Еще фото</v>
      </c>
      <c r="F2214" s="28" t="s">
        <v>138</v>
      </c>
      <c r="G2214" s="11" t="s">
        <v>1184</v>
      </c>
      <c r="H2214" s="11" t="s">
        <v>741</v>
      </c>
      <c r="I2214" s="14" t="s">
        <v>1185</v>
      </c>
      <c r="J2214" s="14" t="s">
        <v>29</v>
      </c>
      <c r="K2214" s="15" t="s">
        <v>30</v>
      </c>
      <c r="L2214" s="57" t="s">
        <v>1305</v>
      </c>
      <c r="M2214" s="14"/>
      <c r="N2214" s="14" t="s">
        <v>127</v>
      </c>
      <c r="O2214" s="14"/>
      <c r="P2214" s="15" t="s">
        <v>745</v>
      </c>
      <c r="Q2214" s="16">
        <v>13199</v>
      </c>
      <c r="R2214" s="17">
        <v>40</v>
      </c>
      <c r="S2214" s="18">
        <v>9107.31</v>
      </c>
      <c r="T2214" s="19" t="s">
        <v>36</v>
      </c>
      <c r="U2214" s="20" t="s">
        <v>749</v>
      </c>
      <c r="V2214" s="22">
        <v>41</v>
      </c>
      <c r="W2214" s="22">
        <v>5</v>
      </c>
      <c r="X2214" s="23"/>
    </row>
    <row r="2215" spans="1:24" s="1" customFormat="1" ht="26" customHeight="1" x14ac:dyDescent="0.3">
      <c r="A2215" s="24" t="s">
        <v>23</v>
      </c>
      <c r="B2215" s="24" t="s">
        <v>1303</v>
      </c>
      <c r="C2215" s="12" t="s">
        <v>2219</v>
      </c>
      <c r="D2215" s="60"/>
      <c r="E2215" s="41" t="str">
        <f>HYPERLINK("https://www.google.ru/search?q=3027523-323&amp;newwindow=1&amp;tbm=isch","Еще фото")</f>
        <v>Еще фото</v>
      </c>
      <c r="F2215" s="28" t="s">
        <v>138</v>
      </c>
      <c r="G2215" s="24" t="s">
        <v>1184</v>
      </c>
      <c r="H2215" s="24" t="s">
        <v>741</v>
      </c>
      <c r="I2215" s="24" t="s">
        <v>1185</v>
      </c>
      <c r="J2215" s="14" t="s">
        <v>29</v>
      </c>
      <c r="K2215" s="15" t="s">
        <v>30</v>
      </c>
      <c r="L2215" s="62"/>
      <c r="M2215" s="14"/>
      <c r="N2215" s="14" t="s">
        <v>127</v>
      </c>
      <c r="O2215" s="14"/>
      <c r="P2215" s="15" t="s">
        <v>745</v>
      </c>
      <c r="Q2215" s="16">
        <v>13199</v>
      </c>
      <c r="R2215" s="17">
        <v>40</v>
      </c>
      <c r="S2215" s="18">
        <v>9107.31</v>
      </c>
      <c r="T2215" s="19" t="s">
        <v>36</v>
      </c>
      <c r="U2215" s="20" t="s">
        <v>750</v>
      </c>
      <c r="V2215" s="34">
        <v>41.5</v>
      </c>
      <c r="W2215" s="22">
        <v>1</v>
      </c>
      <c r="X2215" s="23"/>
    </row>
    <row r="2216" spans="1:24" s="1" customFormat="1" ht="26" customHeight="1" x14ac:dyDescent="0.3">
      <c r="A2216" s="24" t="s">
        <v>23</v>
      </c>
      <c r="B2216" s="24" t="s">
        <v>1303</v>
      </c>
      <c r="C2216" s="12" t="s">
        <v>2219</v>
      </c>
      <c r="D2216" s="60"/>
      <c r="E2216" s="41" t="str">
        <f>HYPERLINK("https://www.google.ru/search?q=3027523-323&amp;newwindow=1&amp;tbm=isch","Еще фото")</f>
        <v>Еще фото</v>
      </c>
      <c r="F2216" s="28" t="s">
        <v>138</v>
      </c>
      <c r="G2216" s="24" t="s">
        <v>1184</v>
      </c>
      <c r="H2216" s="24" t="s">
        <v>741</v>
      </c>
      <c r="I2216" s="24" t="s">
        <v>1185</v>
      </c>
      <c r="J2216" s="14" t="s">
        <v>29</v>
      </c>
      <c r="K2216" s="15" t="s">
        <v>30</v>
      </c>
      <c r="L2216" s="62"/>
      <c r="M2216" s="14"/>
      <c r="N2216" s="14" t="s">
        <v>127</v>
      </c>
      <c r="O2216" s="14"/>
      <c r="P2216" s="15" t="s">
        <v>745</v>
      </c>
      <c r="Q2216" s="16">
        <v>13199</v>
      </c>
      <c r="R2216" s="17">
        <v>40</v>
      </c>
      <c r="S2216" s="18">
        <v>9107.31</v>
      </c>
      <c r="T2216" s="19" t="s">
        <v>36</v>
      </c>
      <c r="U2216" s="20" t="s">
        <v>752</v>
      </c>
      <c r="V2216" s="22">
        <v>43</v>
      </c>
      <c r="W2216" s="22">
        <v>2</v>
      </c>
      <c r="X2216" s="23"/>
    </row>
    <row r="2217" spans="1:24" s="1" customFormat="1" ht="26" customHeight="1" x14ac:dyDescent="0.3">
      <c r="A2217" s="24" t="s">
        <v>23</v>
      </c>
      <c r="B2217" s="24" t="s">
        <v>1303</v>
      </c>
      <c r="C2217" s="12" t="s">
        <v>2219</v>
      </c>
      <c r="D2217" s="61"/>
      <c r="E2217" s="41" t="str">
        <f>HYPERLINK("https://www.google.ru/search?q=3027523-323&amp;newwindow=1&amp;tbm=isch","Еще фото")</f>
        <v>Еще фото</v>
      </c>
      <c r="F2217" s="28" t="s">
        <v>138</v>
      </c>
      <c r="G2217" s="24" t="s">
        <v>1184</v>
      </c>
      <c r="H2217" s="24" t="s">
        <v>741</v>
      </c>
      <c r="I2217" s="24" t="s">
        <v>1185</v>
      </c>
      <c r="J2217" s="14" t="s">
        <v>29</v>
      </c>
      <c r="K2217" s="15" t="s">
        <v>30</v>
      </c>
      <c r="L2217" s="58"/>
      <c r="M2217" s="14"/>
      <c r="N2217" s="14" t="s">
        <v>127</v>
      </c>
      <c r="O2217" s="14"/>
      <c r="P2217" s="15" t="s">
        <v>745</v>
      </c>
      <c r="Q2217" s="16">
        <v>13199</v>
      </c>
      <c r="R2217" s="17">
        <v>40</v>
      </c>
      <c r="S2217" s="18">
        <v>9107.31</v>
      </c>
      <c r="T2217" s="19" t="s">
        <v>36</v>
      </c>
      <c r="U2217" s="20" t="s">
        <v>754</v>
      </c>
      <c r="V2217" s="22">
        <v>44</v>
      </c>
      <c r="W2217" s="22">
        <v>1</v>
      </c>
      <c r="X2217" s="23"/>
    </row>
    <row r="2218" spans="1:24" s="1" customFormat="1" ht="52.05" customHeight="1" x14ac:dyDescent="0.3">
      <c r="A2218" s="11" t="s">
        <v>23</v>
      </c>
      <c r="B2218" s="11" t="s">
        <v>1313</v>
      </c>
      <c r="C2218" s="12" t="s">
        <v>2220</v>
      </c>
      <c r="D2218" s="55"/>
      <c r="E2218" s="41" t="str">
        <f>HYPERLINK("https://www.google.ru/search?q=3027524-104&amp;newwindow=1&amp;tbm=isch","Еще фото")</f>
        <v>Еще фото</v>
      </c>
      <c r="F2218" s="13"/>
      <c r="G2218" s="11" t="s">
        <v>1184</v>
      </c>
      <c r="H2218" s="11" t="s">
        <v>741</v>
      </c>
      <c r="I2218" s="14" t="s">
        <v>1185</v>
      </c>
      <c r="J2218" s="14" t="s">
        <v>29</v>
      </c>
      <c r="K2218" s="15" t="s">
        <v>59</v>
      </c>
      <c r="L2218" s="57" t="s">
        <v>2221</v>
      </c>
      <c r="M2218" s="14" t="s">
        <v>1211</v>
      </c>
      <c r="N2218" s="14" t="s">
        <v>62</v>
      </c>
      <c r="O2218" s="14"/>
      <c r="P2218" s="15" t="s">
        <v>1858</v>
      </c>
      <c r="Q2218" s="16">
        <v>13299</v>
      </c>
      <c r="R2218" s="17">
        <v>40</v>
      </c>
      <c r="S2218" s="18">
        <v>9176.31</v>
      </c>
      <c r="T2218" s="19" t="s">
        <v>36</v>
      </c>
      <c r="U2218" s="20" t="s">
        <v>1196</v>
      </c>
      <c r="V2218" s="34">
        <v>36.5</v>
      </c>
      <c r="W2218" s="22">
        <v>1</v>
      </c>
      <c r="X2218" s="23"/>
    </row>
    <row r="2219" spans="1:24" s="1" customFormat="1" ht="61.05" customHeight="1" x14ac:dyDescent="0.3">
      <c r="A2219" s="24" t="s">
        <v>23</v>
      </c>
      <c r="B2219" s="24" t="s">
        <v>1313</v>
      </c>
      <c r="C2219" s="12" t="s">
        <v>2220</v>
      </c>
      <c r="D2219" s="56"/>
      <c r="E2219" s="41" t="str">
        <f>HYPERLINK("https://www.google.ru/search?q=3027524-104&amp;newwindow=1&amp;tbm=isch","Еще фото")</f>
        <v>Еще фото</v>
      </c>
      <c r="F2219" s="13"/>
      <c r="G2219" s="24" t="s">
        <v>1184</v>
      </c>
      <c r="H2219" s="24" t="s">
        <v>741</v>
      </c>
      <c r="I2219" s="24" t="s">
        <v>1185</v>
      </c>
      <c r="J2219" s="14" t="s">
        <v>29</v>
      </c>
      <c r="K2219" s="15" t="s">
        <v>59</v>
      </c>
      <c r="L2219" s="58"/>
      <c r="M2219" s="14" t="s">
        <v>1211</v>
      </c>
      <c r="N2219" s="14" t="s">
        <v>62</v>
      </c>
      <c r="O2219" s="14"/>
      <c r="P2219" s="15" t="s">
        <v>1858</v>
      </c>
      <c r="Q2219" s="16">
        <v>13299</v>
      </c>
      <c r="R2219" s="17">
        <v>40</v>
      </c>
      <c r="S2219" s="18">
        <v>9176.31</v>
      </c>
      <c r="T2219" s="19" t="s">
        <v>36</v>
      </c>
      <c r="U2219" s="20" t="s">
        <v>746</v>
      </c>
      <c r="V2219" s="22">
        <v>37</v>
      </c>
      <c r="W2219" s="22">
        <v>3</v>
      </c>
      <c r="X2219" s="23"/>
    </row>
    <row r="2220" spans="1:24" s="1" customFormat="1" ht="52.05" customHeight="1" x14ac:dyDescent="0.3">
      <c r="A2220" s="11" t="s">
        <v>23</v>
      </c>
      <c r="B2220" s="11" t="s">
        <v>1313</v>
      </c>
      <c r="C2220" s="12" t="s">
        <v>2222</v>
      </c>
      <c r="D2220" s="55"/>
      <c r="E2220" s="41" t="str">
        <f>HYPERLINK("https://www.google.ru/search?q=3027524-600&amp;newwindow=1&amp;tbm=isch","Еще фото")</f>
        <v>Еще фото</v>
      </c>
      <c r="F2220" s="13"/>
      <c r="G2220" s="11" t="s">
        <v>1184</v>
      </c>
      <c r="H2220" s="11" t="s">
        <v>741</v>
      </c>
      <c r="I2220" s="14" t="s">
        <v>1185</v>
      </c>
      <c r="J2220" s="14" t="s">
        <v>29</v>
      </c>
      <c r="K2220" s="15" t="s">
        <v>59</v>
      </c>
      <c r="L2220" s="57" t="s">
        <v>2221</v>
      </c>
      <c r="M2220" s="14" t="s">
        <v>1211</v>
      </c>
      <c r="N2220" s="14" t="s">
        <v>69</v>
      </c>
      <c r="O2220" s="14"/>
      <c r="P2220" s="15" t="s">
        <v>1858</v>
      </c>
      <c r="Q2220" s="16">
        <v>13299</v>
      </c>
      <c r="R2220" s="17">
        <v>40</v>
      </c>
      <c r="S2220" s="18">
        <v>9176.31</v>
      </c>
      <c r="T2220" s="19" t="s">
        <v>36</v>
      </c>
      <c r="U2220" s="20" t="s">
        <v>1203</v>
      </c>
      <c r="V2220" s="22">
        <v>36</v>
      </c>
      <c r="W2220" s="22">
        <v>2</v>
      </c>
      <c r="X2220" s="23"/>
    </row>
    <row r="2221" spans="1:24" s="1" customFormat="1" ht="61.05" customHeight="1" x14ac:dyDescent="0.3">
      <c r="A2221" s="24" t="s">
        <v>23</v>
      </c>
      <c r="B2221" s="24" t="s">
        <v>1313</v>
      </c>
      <c r="C2221" s="12" t="s">
        <v>2222</v>
      </c>
      <c r="D2221" s="56"/>
      <c r="E2221" s="41" t="str">
        <f>HYPERLINK("https://www.google.ru/search?q=3027524-600&amp;newwindow=1&amp;tbm=isch","Еще фото")</f>
        <v>Еще фото</v>
      </c>
      <c r="F2221" s="13"/>
      <c r="G2221" s="24" t="s">
        <v>1184</v>
      </c>
      <c r="H2221" s="24" t="s">
        <v>741</v>
      </c>
      <c r="I2221" s="24" t="s">
        <v>1185</v>
      </c>
      <c r="J2221" s="14" t="s">
        <v>29</v>
      </c>
      <c r="K2221" s="15" t="s">
        <v>59</v>
      </c>
      <c r="L2221" s="58"/>
      <c r="M2221" s="14" t="s">
        <v>1211</v>
      </c>
      <c r="N2221" s="14" t="s">
        <v>69</v>
      </c>
      <c r="O2221" s="14"/>
      <c r="P2221" s="15" t="s">
        <v>1858</v>
      </c>
      <c r="Q2221" s="16">
        <v>13299</v>
      </c>
      <c r="R2221" s="17">
        <v>40</v>
      </c>
      <c r="S2221" s="18">
        <v>9176.31</v>
      </c>
      <c r="T2221" s="19" t="s">
        <v>36</v>
      </c>
      <c r="U2221" s="20" t="s">
        <v>748</v>
      </c>
      <c r="V2221" s="22">
        <v>38</v>
      </c>
      <c r="W2221" s="22">
        <v>2</v>
      </c>
      <c r="X2221" s="23"/>
    </row>
    <row r="2222" spans="1:24" s="1" customFormat="1" ht="108" customHeight="1" x14ac:dyDescent="0.3">
      <c r="A2222" s="11" t="s">
        <v>23</v>
      </c>
      <c r="B2222" s="11" t="s">
        <v>1422</v>
      </c>
      <c r="C2222" s="12" t="s">
        <v>2223</v>
      </c>
      <c r="D2222" s="25"/>
      <c r="E2222" s="41" t="str">
        <f>HYPERLINK("https://www.google.ru/search?q=3027588-001&amp;newwindow=1&amp;tbm=isch","Еще фото")</f>
        <v>Еще фото</v>
      </c>
      <c r="F2222" s="13" t="s">
        <v>152</v>
      </c>
      <c r="G2222" s="11" t="s">
        <v>1184</v>
      </c>
      <c r="H2222" s="11" t="s">
        <v>741</v>
      </c>
      <c r="I2222" s="14" t="s">
        <v>1185</v>
      </c>
      <c r="J2222" s="14" t="s">
        <v>29</v>
      </c>
      <c r="K2222" s="15" t="s">
        <v>723</v>
      </c>
      <c r="L2222" s="14" t="s">
        <v>1424</v>
      </c>
      <c r="M2222" s="14" t="s">
        <v>32</v>
      </c>
      <c r="N2222" s="14" t="s">
        <v>33</v>
      </c>
      <c r="O2222" s="14"/>
      <c r="P2222" s="15" t="s">
        <v>745</v>
      </c>
      <c r="Q2222" s="16">
        <v>22599</v>
      </c>
      <c r="R2222" s="17">
        <v>40</v>
      </c>
      <c r="S2222" s="18">
        <v>15593.309999999998</v>
      </c>
      <c r="T2222" s="19" t="s">
        <v>36</v>
      </c>
      <c r="U2222" s="20" t="s">
        <v>1345</v>
      </c>
      <c r="V2222" s="22">
        <v>41</v>
      </c>
      <c r="W2222" s="22">
        <v>1</v>
      </c>
      <c r="X2222" s="23"/>
    </row>
    <row r="2223" spans="1:24" s="1" customFormat="1" ht="26" customHeight="1" x14ac:dyDescent="0.3">
      <c r="A2223" s="11" t="s">
        <v>23</v>
      </c>
      <c r="B2223" s="11" t="s">
        <v>1422</v>
      </c>
      <c r="C2223" s="12" t="s">
        <v>2224</v>
      </c>
      <c r="D2223" s="59"/>
      <c r="E2223" s="41" t="str">
        <f>HYPERLINK("https://www.google.ru/search?q=3027588-100&amp;newwindow=1&amp;tbm=isch","Еще фото")</f>
        <v>Еще фото</v>
      </c>
      <c r="F2223" s="13" t="s">
        <v>152</v>
      </c>
      <c r="G2223" s="11" t="s">
        <v>1184</v>
      </c>
      <c r="H2223" s="11" t="s">
        <v>741</v>
      </c>
      <c r="I2223" s="14" t="s">
        <v>1185</v>
      </c>
      <c r="J2223" s="14" t="s">
        <v>29</v>
      </c>
      <c r="K2223" s="15" t="s">
        <v>723</v>
      </c>
      <c r="L2223" s="57" t="s">
        <v>1424</v>
      </c>
      <c r="M2223" s="14" t="s">
        <v>32</v>
      </c>
      <c r="N2223" s="14" t="s">
        <v>62</v>
      </c>
      <c r="O2223" s="14"/>
      <c r="P2223" s="15" t="s">
        <v>745</v>
      </c>
      <c r="Q2223" s="16">
        <v>22599</v>
      </c>
      <c r="R2223" s="17">
        <v>40</v>
      </c>
      <c r="S2223" s="18">
        <v>15593.309999999998</v>
      </c>
      <c r="T2223" s="19" t="s">
        <v>36</v>
      </c>
      <c r="U2223" s="20" t="s">
        <v>1345</v>
      </c>
      <c r="V2223" s="22">
        <v>41</v>
      </c>
      <c r="W2223" s="22">
        <v>1</v>
      </c>
      <c r="X2223" s="23"/>
    </row>
    <row r="2224" spans="1:24" s="1" customFormat="1" ht="26" customHeight="1" x14ac:dyDescent="0.3">
      <c r="A2224" s="24" t="s">
        <v>23</v>
      </c>
      <c r="B2224" s="24" t="s">
        <v>1422</v>
      </c>
      <c r="C2224" s="12" t="s">
        <v>2224</v>
      </c>
      <c r="D2224" s="60"/>
      <c r="E2224" s="41" t="str">
        <f>HYPERLINK("https://www.google.ru/search?q=3027588-100&amp;newwindow=1&amp;tbm=isch","Еще фото")</f>
        <v>Еще фото</v>
      </c>
      <c r="F2224" s="13" t="s">
        <v>152</v>
      </c>
      <c r="G2224" s="24" t="s">
        <v>1184</v>
      </c>
      <c r="H2224" s="24" t="s">
        <v>741</v>
      </c>
      <c r="I2224" s="24" t="s">
        <v>1185</v>
      </c>
      <c r="J2224" s="14" t="s">
        <v>29</v>
      </c>
      <c r="K2224" s="15" t="s">
        <v>723</v>
      </c>
      <c r="L2224" s="62"/>
      <c r="M2224" s="14" t="s">
        <v>32</v>
      </c>
      <c r="N2224" s="14" t="s">
        <v>62</v>
      </c>
      <c r="O2224" s="14"/>
      <c r="P2224" s="15" t="s">
        <v>745</v>
      </c>
      <c r="Q2224" s="16">
        <v>22599</v>
      </c>
      <c r="R2224" s="17">
        <v>40</v>
      </c>
      <c r="S2224" s="18">
        <v>15593.309999999998</v>
      </c>
      <c r="T2224" s="19" t="s">
        <v>36</v>
      </c>
      <c r="U2224" s="20" t="s">
        <v>1346</v>
      </c>
      <c r="V2224" s="34">
        <v>41.5</v>
      </c>
      <c r="W2224" s="22">
        <v>1</v>
      </c>
      <c r="X2224" s="23"/>
    </row>
    <row r="2225" spans="1:24" s="1" customFormat="1" ht="26" customHeight="1" x14ac:dyDescent="0.3">
      <c r="A2225" s="24" t="s">
        <v>23</v>
      </c>
      <c r="B2225" s="24" t="s">
        <v>1422</v>
      </c>
      <c r="C2225" s="12" t="s">
        <v>2224</v>
      </c>
      <c r="D2225" s="60"/>
      <c r="E2225" s="41" t="str">
        <f>HYPERLINK("https://www.google.ru/search?q=3027588-100&amp;newwindow=1&amp;tbm=isch","Еще фото")</f>
        <v>Еще фото</v>
      </c>
      <c r="F2225" s="13" t="s">
        <v>152</v>
      </c>
      <c r="G2225" s="24" t="s">
        <v>1184</v>
      </c>
      <c r="H2225" s="24" t="s">
        <v>741</v>
      </c>
      <c r="I2225" s="24" t="s">
        <v>1185</v>
      </c>
      <c r="J2225" s="14" t="s">
        <v>29</v>
      </c>
      <c r="K2225" s="15" t="s">
        <v>723</v>
      </c>
      <c r="L2225" s="62"/>
      <c r="M2225" s="14" t="s">
        <v>32</v>
      </c>
      <c r="N2225" s="14" t="s">
        <v>62</v>
      </c>
      <c r="O2225" s="14"/>
      <c r="P2225" s="15" t="s">
        <v>745</v>
      </c>
      <c r="Q2225" s="16">
        <v>22599</v>
      </c>
      <c r="R2225" s="17">
        <v>40</v>
      </c>
      <c r="S2225" s="18">
        <v>15593.309999999998</v>
      </c>
      <c r="T2225" s="19" t="s">
        <v>36</v>
      </c>
      <c r="U2225" s="20" t="s">
        <v>1326</v>
      </c>
      <c r="V2225" s="22">
        <v>42</v>
      </c>
      <c r="W2225" s="22">
        <v>2</v>
      </c>
      <c r="X2225" s="23"/>
    </row>
    <row r="2226" spans="1:24" s="1" customFormat="1" ht="26" customHeight="1" x14ac:dyDescent="0.3">
      <c r="A2226" s="24" t="s">
        <v>23</v>
      </c>
      <c r="B2226" s="24" t="s">
        <v>1422</v>
      </c>
      <c r="C2226" s="12" t="s">
        <v>2224</v>
      </c>
      <c r="D2226" s="61"/>
      <c r="E2226" s="41" t="str">
        <f>HYPERLINK("https://www.google.ru/search?q=3027588-100&amp;newwindow=1&amp;tbm=isch","Еще фото")</f>
        <v>Еще фото</v>
      </c>
      <c r="F2226" s="13" t="s">
        <v>152</v>
      </c>
      <c r="G2226" s="24" t="s">
        <v>1184</v>
      </c>
      <c r="H2226" s="24" t="s">
        <v>741</v>
      </c>
      <c r="I2226" s="24" t="s">
        <v>1185</v>
      </c>
      <c r="J2226" s="14" t="s">
        <v>29</v>
      </c>
      <c r="K2226" s="15" t="s">
        <v>723</v>
      </c>
      <c r="L2226" s="58"/>
      <c r="M2226" s="14" t="s">
        <v>32</v>
      </c>
      <c r="N2226" s="14" t="s">
        <v>62</v>
      </c>
      <c r="O2226" s="14"/>
      <c r="P2226" s="15" t="s">
        <v>745</v>
      </c>
      <c r="Q2226" s="16">
        <v>22599</v>
      </c>
      <c r="R2226" s="17">
        <v>40</v>
      </c>
      <c r="S2226" s="18">
        <v>15593.309999999998</v>
      </c>
      <c r="T2226" s="19" t="s">
        <v>36</v>
      </c>
      <c r="U2226" s="20" t="s">
        <v>1347</v>
      </c>
      <c r="V2226" s="22">
        <v>43</v>
      </c>
      <c r="W2226" s="22">
        <v>1</v>
      </c>
      <c r="X2226" s="23"/>
    </row>
    <row r="2227" spans="1:24" s="1" customFormat="1" ht="108" customHeight="1" x14ac:dyDescent="0.3">
      <c r="A2227" s="11" t="s">
        <v>23</v>
      </c>
      <c r="B2227" s="11" t="s">
        <v>1514</v>
      </c>
      <c r="C2227" s="12" t="s">
        <v>2225</v>
      </c>
      <c r="D2227" s="25"/>
      <c r="E2227" s="41" t="str">
        <f>HYPERLINK("https://www.google.ru/search?q=3027600-003&amp;newwindow=1&amp;tbm=isch","Еще фото")</f>
        <v>Еще фото</v>
      </c>
      <c r="F2227" s="13" t="s">
        <v>152</v>
      </c>
      <c r="G2227" s="11" t="s">
        <v>1184</v>
      </c>
      <c r="H2227" s="11" t="s">
        <v>741</v>
      </c>
      <c r="I2227" s="14" t="s">
        <v>1185</v>
      </c>
      <c r="J2227" s="14" t="s">
        <v>29</v>
      </c>
      <c r="K2227" s="15" t="s">
        <v>30</v>
      </c>
      <c r="L2227" s="14" t="s">
        <v>1312</v>
      </c>
      <c r="M2227" s="14"/>
      <c r="N2227" s="14" t="s">
        <v>33</v>
      </c>
      <c r="O2227" s="14"/>
      <c r="P2227" s="15" t="s">
        <v>1516</v>
      </c>
      <c r="Q2227" s="16">
        <v>25699</v>
      </c>
      <c r="R2227" s="17">
        <v>40</v>
      </c>
      <c r="S2227" s="18">
        <v>17732.309999999998</v>
      </c>
      <c r="T2227" s="19" t="s">
        <v>36</v>
      </c>
      <c r="U2227" s="20" t="s">
        <v>750</v>
      </c>
      <c r="V2227" s="34">
        <v>41.5</v>
      </c>
      <c r="W2227" s="22">
        <v>1</v>
      </c>
      <c r="X2227" s="23"/>
    </row>
    <row r="2228" spans="1:24" s="1" customFormat="1" ht="52.05" customHeight="1" x14ac:dyDescent="0.3">
      <c r="A2228" s="11" t="s">
        <v>23</v>
      </c>
      <c r="B2228" s="11" t="s">
        <v>1514</v>
      </c>
      <c r="C2228" s="12" t="s">
        <v>2226</v>
      </c>
      <c r="D2228" s="55"/>
      <c r="E2228" s="41" t="str">
        <f>HYPERLINK("https://www.google.ru/search?q=3027600-101&amp;newwindow=1&amp;tbm=isch","Еще фото")</f>
        <v>Еще фото</v>
      </c>
      <c r="F2228" s="13" t="s">
        <v>152</v>
      </c>
      <c r="G2228" s="11" t="s">
        <v>1184</v>
      </c>
      <c r="H2228" s="11" t="s">
        <v>741</v>
      </c>
      <c r="I2228" s="14" t="s">
        <v>1185</v>
      </c>
      <c r="J2228" s="14" t="s">
        <v>29</v>
      </c>
      <c r="K2228" s="15" t="s">
        <v>30</v>
      </c>
      <c r="L2228" s="57" t="s">
        <v>1312</v>
      </c>
      <c r="M2228" s="14"/>
      <c r="N2228" s="14" t="s">
        <v>84</v>
      </c>
      <c r="O2228" s="14"/>
      <c r="P2228" s="15" t="s">
        <v>1516</v>
      </c>
      <c r="Q2228" s="16">
        <v>25699</v>
      </c>
      <c r="R2228" s="17">
        <v>40</v>
      </c>
      <c r="S2228" s="18">
        <v>17732.309999999998</v>
      </c>
      <c r="T2228" s="19" t="s">
        <v>36</v>
      </c>
      <c r="U2228" s="20" t="s">
        <v>749</v>
      </c>
      <c r="V2228" s="22">
        <v>41</v>
      </c>
      <c r="W2228" s="22">
        <v>1</v>
      </c>
      <c r="X2228" s="23"/>
    </row>
    <row r="2229" spans="1:24" s="1" customFormat="1" ht="61.05" customHeight="1" x14ac:dyDescent="0.3">
      <c r="A2229" s="24" t="s">
        <v>23</v>
      </c>
      <c r="B2229" s="24" t="s">
        <v>1514</v>
      </c>
      <c r="C2229" s="12" t="s">
        <v>2226</v>
      </c>
      <c r="D2229" s="56"/>
      <c r="E2229" s="41" t="str">
        <f>HYPERLINK("https://www.google.ru/search?q=3027600-101&amp;newwindow=1&amp;tbm=isch","Еще фото")</f>
        <v>Еще фото</v>
      </c>
      <c r="F2229" s="13" t="s">
        <v>152</v>
      </c>
      <c r="G2229" s="24" t="s">
        <v>1184</v>
      </c>
      <c r="H2229" s="24" t="s">
        <v>741</v>
      </c>
      <c r="I2229" s="24" t="s">
        <v>1185</v>
      </c>
      <c r="J2229" s="14" t="s">
        <v>29</v>
      </c>
      <c r="K2229" s="15" t="s">
        <v>30</v>
      </c>
      <c r="L2229" s="58"/>
      <c r="M2229" s="14"/>
      <c r="N2229" s="14" t="s">
        <v>84</v>
      </c>
      <c r="O2229" s="14"/>
      <c r="P2229" s="15" t="s">
        <v>1516</v>
      </c>
      <c r="Q2229" s="16">
        <v>25699</v>
      </c>
      <c r="R2229" s="17">
        <v>40</v>
      </c>
      <c r="S2229" s="18">
        <v>17732.309999999998</v>
      </c>
      <c r="T2229" s="19" t="s">
        <v>36</v>
      </c>
      <c r="U2229" s="20" t="s">
        <v>750</v>
      </c>
      <c r="V2229" s="34">
        <v>41.5</v>
      </c>
      <c r="W2229" s="22">
        <v>3</v>
      </c>
      <c r="X2229" s="23"/>
    </row>
    <row r="2230" spans="1:24" s="1" customFormat="1" ht="26" customHeight="1" x14ac:dyDescent="0.3">
      <c r="A2230" s="11" t="s">
        <v>23</v>
      </c>
      <c r="B2230" s="11" t="s">
        <v>2227</v>
      </c>
      <c r="C2230" s="12" t="s">
        <v>2228</v>
      </c>
      <c r="D2230" s="59"/>
      <c r="E2230" s="41" t="str">
        <f>HYPERLINK("https://www.google.ru/search?q=3027601-104&amp;newwindow=1&amp;tbm=isch","Еще фото")</f>
        <v>Еще фото</v>
      </c>
      <c r="F2230" s="13"/>
      <c r="G2230" s="11" t="s">
        <v>1184</v>
      </c>
      <c r="H2230" s="11" t="s">
        <v>741</v>
      </c>
      <c r="I2230" s="14" t="s">
        <v>1185</v>
      </c>
      <c r="J2230" s="14" t="s">
        <v>29</v>
      </c>
      <c r="K2230" s="15" t="s">
        <v>59</v>
      </c>
      <c r="L2230" s="57" t="s">
        <v>2229</v>
      </c>
      <c r="M2230" s="14"/>
      <c r="N2230" s="14" t="s">
        <v>84</v>
      </c>
      <c r="O2230" s="14"/>
      <c r="P2230" s="15" t="s">
        <v>1516</v>
      </c>
      <c r="Q2230" s="16">
        <v>28699</v>
      </c>
      <c r="R2230" s="17">
        <v>40</v>
      </c>
      <c r="S2230" s="18">
        <v>19802.310000000001</v>
      </c>
      <c r="T2230" s="19" t="s">
        <v>36</v>
      </c>
      <c r="U2230" s="20" t="s">
        <v>1203</v>
      </c>
      <c r="V2230" s="22">
        <v>36</v>
      </c>
      <c r="W2230" s="22">
        <v>1</v>
      </c>
      <c r="X2230" s="23"/>
    </row>
    <row r="2231" spans="1:24" s="1" customFormat="1" ht="26" customHeight="1" x14ac:dyDescent="0.3">
      <c r="A2231" s="24" t="s">
        <v>23</v>
      </c>
      <c r="B2231" s="24" t="s">
        <v>2227</v>
      </c>
      <c r="C2231" s="12" t="s">
        <v>2228</v>
      </c>
      <c r="D2231" s="60"/>
      <c r="E2231" s="41" t="str">
        <f>HYPERLINK("https://www.google.ru/search?q=3027601-104&amp;newwindow=1&amp;tbm=isch","Еще фото")</f>
        <v>Еще фото</v>
      </c>
      <c r="F2231" s="13"/>
      <c r="G2231" s="24" t="s">
        <v>1184</v>
      </c>
      <c r="H2231" s="24" t="s">
        <v>741</v>
      </c>
      <c r="I2231" s="24" t="s">
        <v>1185</v>
      </c>
      <c r="J2231" s="14" t="s">
        <v>29</v>
      </c>
      <c r="K2231" s="15" t="s">
        <v>59</v>
      </c>
      <c r="L2231" s="62"/>
      <c r="M2231" s="14"/>
      <c r="N2231" s="14" t="s">
        <v>84</v>
      </c>
      <c r="O2231" s="14"/>
      <c r="P2231" s="15" t="s">
        <v>1516</v>
      </c>
      <c r="Q2231" s="16">
        <v>28699</v>
      </c>
      <c r="R2231" s="17">
        <v>40</v>
      </c>
      <c r="S2231" s="18">
        <v>19802.310000000001</v>
      </c>
      <c r="T2231" s="19" t="s">
        <v>36</v>
      </c>
      <c r="U2231" s="20" t="s">
        <v>746</v>
      </c>
      <c r="V2231" s="22">
        <v>37</v>
      </c>
      <c r="W2231" s="22">
        <v>2</v>
      </c>
      <c r="X2231" s="23"/>
    </row>
    <row r="2232" spans="1:24" s="1" customFormat="1" ht="26" customHeight="1" x14ac:dyDescent="0.3">
      <c r="A2232" s="24" t="s">
        <v>23</v>
      </c>
      <c r="B2232" s="24" t="s">
        <v>2227</v>
      </c>
      <c r="C2232" s="12" t="s">
        <v>2228</v>
      </c>
      <c r="D2232" s="60"/>
      <c r="E2232" s="41" t="str">
        <f>HYPERLINK("https://www.google.ru/search?q=3027601-104&amp;newwindow=1&amp;tbm=isch","Еще фото")</f>
        <v>Еще фото</v>
      </c>
      <c r="F2232" s="13"/>
      <c r="G2232" s="24" t="s">
        <v>1184</v>
      </c>
      <c r="H2232" s="24" t="s">
        <v>741</v>
      </c>
      <c r="I2232" s="24" t="s">
        <v>1185</v>
      </c>
      <c r="J2232" s="14" t="s">
        <v>29</v>
      </c>
      <c r="K2232" s="15" t="s">
        <v>59</v>
      </c>
      <c r="L2232" s="62"/>
      <c r="M2232" s="14"/>
      <c r="N2232" s="14" t="s">
        <v>84</v>
      </c>
      <c r="O2232" s="14"/>
      <c r="P2232" s="15" t="s">
        <v>1516</v>
      </c>
      <c r="Q2232" s="16">
        <v>28699</v>
      </c>
      <c r="R2232" s="17">
        <v>40</v>
      </c>
      <c r="S2232" s="18">
        <v>19802.310000000001</v>
      </c>
      <c r="T2232" s="19" t="s">
        <v>36</v>
      </c>
      <c r="U2232" s="20" t="s">
        <v>750</v>
      </c>
      <c r="V2232" s="34">
        <v>39.5</v>
      </c>
      <c r="W2232" s="22">
        <v>1</v>
      </c>
      <c r="X2232" s="23"/>
    </row>
    <row r="2233" spans="1:24" s="1" customFormat="1" ht="26" customHeight="1" x14ac:dyDescent="0.3">
      <c r="A2233" s="24" t="s">
        <v>23</v>
      </c>
      <c r="B2233" s="24" t="s">
        <v>2227</v>
      </c>
      <c r="C2233" s="12" t="s">
        <v>2228</v>
      </c>
      <c r="D2233" s="61"/>
      <c r="E2233" s="41" t="str">
        <f>HYPERLINK("https://www.google.ru/search?q=3027601-104&amp;newwindow=1&amp;tbm=isch","Еще фото")</f>
        <v>Еще фото</v>
      </c>
      <c r="F2233" s="13"/>
      <c r="G2233" s="24" t="s">
        <v>1184</v>
      </c>
      <c r="H2233" s="24" t="s">
        <v>741</v>
      </c>
      <c r="I2233" s="24" t="s">
        <v>1185</v>
      </c>
      <c r="J2233" s="14" t="s">
        <v>29</v>
      </c>
      <c r="K2233" s="15" t="s">
        <v>59</v>
      </c>
      <c r="L2233" s="58"/>
      <c r="M2233" s="14"/>
      <c r="N2233" s="14" t="s">
        <v>84</v>
      </c>
      <c r="O2233" s="14"/>
      <c r="P2233" s="15" t="s">
        <v>1516</v>
      </c>
      <c r="Q2233" s="16">
        <v>28699</v>
      </c>
      <c r="R2233" s="17">
        <v>40</v>
      </c>
      <c r="S2233" s="18">
        <v>19802.310000000001</v>
      </c>
      <c r="T2233" s="19" t="s">
        <v>36</v>
      </c>
      <c r="U2233" s="20" t="s">
        <v>751</v>
      </c>
      <c r="V2233" s="22">
        <v>40</v>
      </c>
      <c r="W2233" s="22">
        <v>1</v>
      </c>
      <c r="X2233" s="23"/>
    </row>
    <row r="2234" spans="1:24" s="1" customFormat="1" ht="26" customHeight="1" x14ac:dyDescent="0.3">
      <c r="A2234" s="11" t="s">
        <v>23</v>
      </c>
      <c r="B2234" s="11" t="s">
        <v>2227</v>
      </c>
      <c r="C2234" s="12" t="s">
        <v>2230</v>
      </c>
      <c r="D2234" s="59"/>
      <c r="E2234" s="41" t="str">
        <f>HYPERLINK("https://www.google.ru/search?q=3027601-299&amp;newwindow=1&amp;tbm=isch","Еще фото")</f>
        <v>Еще фото</v>
      </c>
      <c r="F2234" s="13"/>
      <c r="G2234" s="11" t="s">
        <v>1184</v>
      </c>
      <c r="H2234" s="11" t="s">
        <v>741</v>
      </c>
      <c r="I2234" s="14" t="s">
        <v>1185</v>
      </c>
      <c r="J2234" s="14" t="s">
        <v>29</v>
      </c>
      <c r="K2234" s="15" t="s">
        <v>59</v>
      </c>
      <c r="L2234" s="57" t="s">
        <v>2229</v>
      </c>
      <c r="M2234" s="14" t="s">
        <v>1211</v>
      </c>
      <c r="N2234" s="14" t="s">
        <v>229</v>
      </c>
      <c r="O2234" s="14"/>
      <c r="P2234" s="15" t="s">
        <v>1254</v>
      </c>
      <c r="Q2234" s="16">
        <v>28699</v>
      </c>
      <c r="R2234" s="17">
        <v>40</v>
      </c>
      <c r="S2234" s="18">
        <v>19802.310000000001</v>
      </c>
      <c r="T2234" s="19" t="s">
        <v>36</v>
      </c>
      <c r="U2234" s="20" t="s">
        <v>1196</v>
      </c>
      <c r="V2234" s="34">
        <v>36.5</v>
      </c>
      <c r="W2234" s="22">
        <v>1</v>
      </c>
      <c r="X2234" s="23"/>
    </row>
    <row r="2235" spans="1:24" s="1" customFormat="1" ht="26" customHeight="1" x14ac:dyDescent="0.3">
      <c r="A2235" s="24" t="s">
        <v>23</v>
      </c>
      <c r="B2235" s="24" t="s">
        <v>2227</v>
      </c>
      <c r="C2235" s="12" t="s">
        <v>2230</v>
      </c>
      <c r="D2235" s="60"/>
      <c r="E2235" s="41" t="str">
        <f>HYPERLINK("https://www.google.ru/search?q=3027601-299&amp;newwindow=1&amp;tbm=isch","Еще фото")</f>
        <v>Еще фото</v>
      </c>
      <c r="F2235" s="13"/>
      <c r="G2235" s="24" t="s">
        <v>1184</v>
      </c>
      <c r="H2235" s="24" t="s">
        <v>741</v>
      </c>
      <c r="I2235" s="24" t="s">
        <v>1185</v>
      </c>
      <c r="J2235" s="14" t="s">
        <v>29</v>
      </c>
      <c r="K2235" s="15" t="s">
        <v>59</v>
      </c>
      <c r="L2235" s="62"/>
      <c r="M2235" s="14" t="s">
        <v>1211</v>
      </c>
      <c r="N2235" s="14" t="s">
        <v>229</v>
      </c>
      <c r="O2235" s="14"/>
      <c r="P2235" s="15" t="s">
        <v>1254</v>
      </c>
      <c r="Q2235" s="16">
        <v>28699</v>
      </c>
      <c r="R2235" s="17">
        <v>40</v>
      </c>
      <c r="S2235" s="18">
        <v>19802.310000000001</v>
      </c>
      <c r="T2235" s="19" t="s">
        <v>36</v>
      </c>
      <c r="U2235" s="20" t="s">
        <v>747</v>
      </c>
      <c r="V2235" s="34">
        <v>37.5</v>
      </c>
      <c r="W2235" s="22">
        <v>4</v>
      </c>
      <c r="X2235" s="23"/>
    </row>
    <row r="2236" spans="1:24" s="1" customFormat="1" ht="26" customHeight="1" x14ac:dyDescent="0.3">
      <c r="A2236" s="24" t="s">
        <v>23</v>
      </c>
      <c r="B2236" s="24" t="s">
        <v>2227</v>
      </c>
      <c r="C2236" s="12" t="s">
        <v>2230</v>
      </c>
      <c r="D2236" s="60"/>
      <c r="E2236" s="41" t="str">
        <f>HYPERLINK("https://www.google.ru/search?q=3027601-299&amp;newwindow=1&amp;tbm=isch","Еще фото")</f>
        <v>Еще фото</v>
      </c>
      <c r="F2236" s="13"/>
      <c r="G2236" s="24" t="s">
        <v>1184</v>
      </c>
      <c r="H2236" s="24" t="s">
        <v>741</v>
      </c>
      <c r="I2236" s="24" t="s">
        <v>1185</v>
      </c>
      <c r="J2236" s="14" t="s">
        <v>29</v>
      </c>
      <c r="K2236" s="15" t="s">
        <v>59</v>
      </c>
      <c r="L2236" s="62"/>
      <c r="M2236" s="14" t="s">
        <v>1211</v>
      </c>
      <c r="N2236" s="14" t="s">
        <v>229</v>
      </c>
      <c r="O2236" s="14"/>
      <c r="P2236" s="15" t="s">
        <v>1254</v>
      </c>
      <c r="Q2236" s="16">
        <v>28699</v>
      </c>
      <c r="R2236" s="17">
        <v>40</v>
      </c>
      <c r="S2236" s="18">
        <v>19802.310000000001</v>
      </c>
      <c r="T2236" s="19" t="s">
        <v>36</v>
      </c>
      <c r="U2236" s="20" t="s">
        <v>748</v>
      </c>
      <c r="V2236" s="22">
        <v>38</v>
      </c>
      <c r="W2236" s="22">
        <v>2</v>
      </c>
      <c r="X2236" s="23"/>
    </row>
    <row r="2237" spans="1:24" s="1" customFormat="1" ht="26" customHeight="1" x14ac:dyDescent="0.3">
      <c r="A2237" s="24" t="s">
        <v>23</v>
      </c>
      <c r="B2237" s="24" t="s">
        <v>2227</v>
      </c>
      <c r="C2237" s="12" t="s">
        <v>2230</v>
      </c>
      <c r="D2237" s="61"/>
      <c r="E2237" s="41" t="str">
        <f>HYPERLINK("https://www.google.ru/search?q=3027601-299&amp;newwindow=1&amp;tbm=isch","Еще фото")</f>
        <v>Еще фото</v>
      </c>
      <c r="F2237" s="13"/>
      <c r="G2237" s="24" t="s">
        <v>1184</v>
      </c>
      <c r="H2237" s="24" t="s">
        <v>741</v>
      </c>
      <c r="I2237" s="24" t="s">
        <v>1185</v>
      </c>
      <c r="J2237" s="14" t="s">
        <v>29</v>
      </c>
      <c r="K2237" s="15" t="s">
        <v>59</v>
      </c>
      <c r="L2237" s="58"/>
      <c r="M2237" s="14" t="s">
        <v>1211</v>
      </c>
      <c r="N2237" s="14" t="s">
        <v>229</v>
      </c>
      <c r="O2237" s="14"/>
      <c r="P2237" s="15" t="s">
        <v>1254</v>
      </c>
      <c r="Q2237" s="16">
        <v>28699</v>
      </c>
      <c r="R2237" s="17">
        <v>40</v>
      </c>
      <c r="S2237" s="18">
        <v>19802.310000000001</v>
      </c>
      <c r="T2237" s="19" t="s">
        <v>36</v>
      </c>
      <c r="U2237" s="20" t="s">
        <v>749</v>
      </c>
      <c r="V2237" s="22">
        <v>39</v>
      </c>
      <c r="W2237" s="22">
        <v>1</v>
      </c>
      <c r="X2237" s="23"/>
    </row>
    <row r="2238" spans="1:24" s="1" customFormat="1" ht="108" customHeight="1" x14ac:dyDescent="0.3">
      <c r="A2238" s="11" t="s">
        <v>23</v>
      </c>
      <c r="B2238" s="11" t="s">
        <v>2231</v>
      </c>
      <c r="C2238" s="12" t="s">
        <v>2232</v>
      </c>
      <c r="D2238" s="25"/>
      <c r="E2238" s="41" t="str">
        <f>HYPERLINK("https://www.google.ru/search?q=3027646-001&amp;newwindow=1&amp;tbm=isch","Еще фото")</f>
        <v>Еще фото</v>
      </c>
      <c r="F2238" s="13" t="s">
        <v>103</v>
      </c>
      <c r="G2238" s="11" t="s">
        <v>1184</v>
      </c>
      <c r="H2238" s="11" t="s">
        <v>741</v>
      </c>
      <c r="I2238" s="14" t="s">
        <v>1185</v>
      </c>
      <c r="J2238" s="14" t="s">
        <v>260</v>
      </c>
      <c r="K2238" s="15" t="s">
        <v>723</v>
      </c>
      <c r="L2238" s="14" t="s">
        <v>2233</v>
      </c>
      <c r="M2238" s="14"/>
      <c r="N2238" s="14" t="s">
        <v>33</v>
      </c>
      <c r="O2238" s="14"/>
      <c r="P2238" s="15" t="s">
        <v>1457</v>
      </c>
      <c r="Q2238" s="16">
        <v>9899</v>
      </c>
      <c r="R2238" s="17">
        <v>40</v>
      </c>
      <c r="S2238" s="18">
        <v>6830.3099999999995</v>
      </c>
      <c r="T2238" s="19" t="s">
        <v>36</v>
      </c>
      <c r="U2238" s="20" t="s">
        <v>1348</v>
      </c>
      <c r="V2238" s="34">
        <v>43.5</v>
      </c>
      <c r="W2238" s="22">
        <v>7</v>
      </c>
      <c r="X2238" s="23"/>
    </row>
    <row r="2239" spans="1:24" s="1" customFormat="1" ht="17" customHeight="1" x14ac:dyDescent="0.3">
      <c r="A2239" s="11" t="s">
        <v>23</v>
      </c>
      <c r="B2239" s="11" t="s">
        <v>2231</v>
      </c>
      <c r="C2239" s="12" t="s">
        <v>2234</v>
      </c>
      <c r="D2239" s="59"/>
      <c r="E2239" s="41" t="str">
        <f t="shared" ref="E2239:E2244" si="87">HYPERLINK("https://www.google.ru/search?q=3027646-003&amp;newwindow=1&amp;tbm=isch","Еще фото")</f>
        <v>Еще фото</v>
      </c>
      <c r="F2239" s="13" t="s">
        <v>103</v>
      </c>
      <c r="G2239" s="11" t="s">
        <v>1184</v>
      </c>
      <c r="H2239" s="11" t="s">
        <v>741</v>
      </c>
      <c r="I2239" s="14" t="s">
        <v>1185</v>
      </c>
      <c r="J2239" s="14" t="s">
        <v>260</v>
      </c>
      <c r="K2239" s="15" t="s">
        <v>723</v>
      </c>
      <c r="L2239" s="57" t="s">
        <v>2233</v>
      </c>
      <c r="M2239" s="14"/>
      <c r="N2239" s="14" t="s">
        <v>33</v>
      </c>
      <c r="O2239" s="14"/>
      <c r="P2239" s="15" t="s">
        <v>1722</v>
      </c>
      <c r="Q2239" s="16">
        <v>9899</v>
      </c>
      <c r="R2239" s="17">
        <v>40</v>
      </c>
      <c r="S2239" s="18">
        <v>6830.3099999999995</v>
      </c>
      <c r="T2239" s="19" t="s">
        <v>36</v>
      </c>
      <c r="U2239" s="20" t="s">
        <v>1345</v>
      </c>
      <c r="V2239" s="22">
        <v>41</v>
      </c>
      <c r="W2239" s="22">
        <v>3</v>
      </c>
      <c r="X2239" s="23"/>
    </row>
    <row r="2240" spans="1:24" s="1" customFormat="1" ht="17" customHeight="1" x14ac:dyDescent="0.3">
      <c r="A2240" s="24" t="s">
        <v>23</v>
      </c>
      <c r="B2240" s="24" t="s">
        <v>2231</v>
      </c>
      <c r="C2240" s="12" t="s">
        <v>2234</v>
      </c>
      <c r="D2240" s="60"/>
      <c r="E2240" s="41" t="str">
        <f t="shared" si="87"/>
        <v>Еще фото</v>
      </c>
      <c r="F2240" s="13" t="s">
        <v>103</v>
      </c>
      <c r="G2240" s="24" t="s">
        <v>1184</v>
      </c>
      <c r="H2240" s="24" t="s">
        <v>741</v>
      </c>
      <c r="I2240" s="24" t="s">
        <v>1185</v>
      </c>
      <c r="J2240" s="14" t="s">
        <v>260</v>
      </c>
      <c r="K2240" s="15" t="s">
        <v>723</v>
      </c>
      <c r="L2240" s="62"/>
      <c r="M2240" s="14"/>
      <c r="N2240" s="14" t="s">
        <v>33</v>
      </c>
      <c r="O2240" s="14"/>
      <c r="P2240" s="15" t="s">
        <v>1722</v>
      </c>
      <c r="Q2240" s="16">
        <v>9899</v>
      </c>
      <c r="R2240" s="17">
        <v>40</v>
      </c>
      <c r="S2240" s="18">
        <v>6830.3099999999995</v>
      </c>
      <c r="T2240" s="19" t="s">
        <v>36</v>
      </c>
      <c r="U2240" s="20" t="s">
        <v>1346</v>
      </c>
      <c r="V2240" s="34">
        <v>41.5</v>
      </c>
      <c r="W2240" s="22">
        <v>7</v>
      </c>
      <c r="X2240" s="23"/>
    </row>
    <row r="2241" spans="1:24" s="1" customFormat="1" ht="17" customHeight="1" x14ac:dyDescent="0.3">
      <c r="A2241" s="24" t="s">
        <v>23</v>
      </c>
      <c r="B2241" s="24" t="s">
        <v>2231</v>
      </c>
      <c r="C2241" s="12" t="s">
        <v>2234</v>
      </c>
      <c r="D2241" s="60"/>
      <c r="E2241" s="41" t="str">
        <f t="shared" si="87"/>
        <v>Еще фото</v>
      </c>
      <c r="F2241" s="13" t="s">
        <v>103</v>
      </c>
      <c r="G2241" s="24" t="s">
        <v>1184</v>
      </c>
      <c r="H2241" s="24" t="s">
        <v>741</v>
      </c>
      <c r="I2241" s="24" t="s">
        <v>1185</v>
      </c>
      <c r="J2241" s="14" t="s">
        <v>260</v>
      </c>
      <c r="K2241" s="15" t="s">
        <v>723</v>
      </c>
      <c r="L2241" s="62"/>
      <c r="M2241" s="14"/>
      <c r="N2241" s="14" t="s">
        <v>33</v>
      </c>
      <c r="O2241" s="14"/>
      <c r="P2241" s="15" t="s">
        <v>1722</v>
      </c>
      <c r="Q2241" s="16">
        <v>9899</v>
      </c>
      <c r="R2241" s="17">
        <v>40</v>
      </c>
      <c r="S2241" s="18">
        <v>6830.3099999999995</v>
      </c>
      <c r="T2241" s="19" t="s">
        <v>36</v>
      </c>
      <c r="U2241" s="20" t="s">
        <v>1326</v>
      </c>
      <c r="V2241" s="22">
        <v>42</v>
      </c>
      <c r="W2241" s="22">
        <v>7</v>
      </c>
      <c r="X2241" s="23"/>
    </row>
    <row r="2242" spans="1:24" s="1" customFormat="1" ht="17" customHeight="1" x14ac:dyDescent="0.3">
      <c r="A2242" s="24" t="s">
        <v>23</v>
      </c>
      <c r="B2242" s="24" t="s">
        <v>2231</v>
      </c>
      <c r="C2242" s="12" t="s">
        <v>2234</v>
      </c>
      <c r="D2242" s="60"/>
      <c r="E2242" s="41" t="str">
        <f t="shared" si="87"/>
        <v>Еще фото</v>
      </c>
      <c r="F2242" s="13" t="s">
        <v>103</v>
      </c>
      <c r="G2242" s="24" t="s">
        <v>1184</v>
      </c>
      <c r="H2242" s="24" t="s">
        <v>741</v>
      </c>
      <c r="I2242" s="24" t="s">
        <v>1185</v>
      </c>
      <c r="J2242" s="14" t="s">
        <v>260</v>
      </c>
      <c r="K2242" s="15" t="s">
        <v>723</v>
      </c>
      <c r="L2242" s="62"/>
      <c r="M2242" s="14"/>
      <c r="N2242" s="14" t="s">
        <v>33</v>
      </c>
      <c r="O2242" s="14"/>
      <c r="P2242" s="15" t="s">
        <v>1722</v>
      </c>
      <c r="Q2242" s="16">
        <v>9899</v>
      </c>
      <c r="R2242" s="17">
        <v>40</v>
      </c>
      <c r="S2242" s="18">
        <v>6830.3099999999995</v>
      </c>
      <c r="T2242" s="19" t="s">
        <v>36</v>
      </c>
      <c r="U2242" s="20" t="s">
        <v>1347</v>
      </c>
      <c r="V2242" s="22">
        <v>43</v>
      </c>
      <c r="W2242" s="22">
        <v>11</v>
      </c>
      <c r="X2242" s="23"/>
    </row>
    <row r="2243" spans="1:24" s="1" customFormat="1" ht="17" customHeight="1" x14ac:dyDescent="0.3">
      <c r="A2243" s="24" t="s">
        <v>23</v>
      </c>
      <c r="B2243" s="24" t="s">
        <v>2231</v>
      </c>
      <c r="C2243" s="12" t="s">
        <v>2234</v>
      </c>
      <c r="D2243" s="60"/>
      <c r="E2243" s="41" t="str">
        <f t="shared" si="87"/>
        <v>Еще фото</v>
      </c>
      <c r="F2243" s="13" t="s">
        <v>103</v>
      </c>
      <c r="G2243" s="24" t="s">
        <v>1184</v>
      </c>
      <c r="H2243" s="24" t="s">
        <v>741</v>
      </c>
      <c r="I2243" s="24" t="s">
        <v>1185</v>
      </c>
      <c r="J2243" s="14" t="s">
        <v>260</v>
      </c>
      <c r="K2243" s="15" t="s">
        <v>723</v>
      </c>
      <c r="L2243" s="62"/>
      <c r="M2243" s="14"/>
      <c r="N2243" s="14" t="s">
        <v>33</v>
      </c>
      <c r="O2243" s="14"/>
      <c r="P2243" s="15" t="s">
        <v>1722</v>
      </c>
      <c r="Q2243" s="16">
        <v>9899</v>
      </c>
      <c r="R2243" s="17">
        <v>40</v>
      </c>
      <c r="S2243" s="18">
        <v>6830.3099999999995</v>
      </c>
      <c r="T2243" s="19" t="s">
        <v>36</v>
      </c>
      <c r="U2243" s="20" t="s">
        <v>1348</v>
      </c>
      <c r="V2243" s="34">
        <v>43.5</v>
      </c>
      <c r="W2243" s="22">
        <v>4</v>
      </c>
      <c r="X2243" s="23"/>
    </row>
    <row r="2244" spans="1:24" s="1" customFormat="1" ht="22.05" customHeight="1" x14ac:dyDescent="0.3">
      <c r="A2244" s="24" t="s">
        <v>23</v>
      </c>
      <c r="B2244" s="24" t="s">
        <v>2231</v>
      </c>
      <c r="C2244" s="12" t="s">
        <v>2234</v>
      </c>
      <c r="D2244" s="61"/>
      <c r="E2244" s="41" t="str">
        <f t="shared" si="87"/>
        <v>Еще фото</v>
      </c>
      <c r="F2244" s="13" t="s">
        <v>103</v>
      </c>
      <c r="G2244" s="24" t="s">
        <v>1184</v>
      </c>
      <c r="H2244" s="24" t="s">
        <v>741</v>
      </c>
      <c r="I2244" s="24" t="s">
        <v>1185</v>
      </c>
      <c r="J2244" s="14" t="s">
        <v>260</v>
      </c>
      <c r="K2244" s="15" t="s">
        <v>723</v>
      </c>
      <c r="L2244" s="58"/>
      <c r="M2244" s="14"/>
      <c r="N2244" s="14" t="s">
        <v>33</v>
      </c>
      <c r="O2244" s="14"/>
      <c r="P2244" s="15" t="s">
        <v>1722</v>
      </c>
      <c r="Q2244" s="16">
        <v>9899</v>
      </c>
      <c r="R2244" s="17">
        <v>40</v>
      </c>
      <c r="S2244" s="18">
        <v>6830.3099999999995</v>
      </c>
      <c r="T2244" s="19" t="s">
        <v>36</v>
      </c>
      <c r="U2244" s="20" t="s">
        <v>1349</v>
      </c>
      <c r="V2244" s="34">
        <v>44.5</v>
      </c>
      <c r="W2244" s="22">
        <v>2</v>
      </c>
      <c r="X2244" s="23"/>
    </row>
    <row r="2245" spans="1:24" s="1" customFormat="1" ht="26" customHeight="1" x14ac:dyDescent="0.3">
      <c r="A2245" s="11" t="s">
        <v>23</v>
      </c>
      <c r="B2245" s="11" t="s">
        <v>2231</v>
      </c>
      <c r="C2245" s="12" t="s">
        <v>2235</v>
      </c>
      <c r="D2245" s="59"/>
      <c r="E2245" s="41" t="str">
        <f>HYPERLINK("https://www.google.ru/search?q=3027646-453&amp;newwindow=1&amp;tbm=isch","Еще фото")</f>
        <v>Еще фото</v>
      </c>
      <c r="F2245" s="13" t="s">
        <v>103</v>
      </c>
      <c r="G2245" s="11" t="s">
        <v>1184</v>
      </c>
      <c r="H2245" s="11" t="s">
        <v>741</v>
      </c>
      <c r="I2245" s="14" t="s">
        <v>1185</v>
      </c>
      <c r="J2245" s="14" t="s">
        <v>260</v>
      </c>
      <c r="K2245" s="15" t="s">
        <v>723</v>
      </c>
      <c r="L2245" s="57" t="s">
        <v>2233</v>
      </c>
      <c r="M2245" s="14"/>
      <c r="N2245" s="14" t="s">
        <v>115</v>
      </c>
      <c r="O2245" s="14"/>
      <c r="P2245" s="15" t="s">
        <v>1457</v>
      </c>
      <c r="Q2245" s="16">
        <v>9899</v>
      </c>
      <c r="R2245" s="17">
        <v>40</v>
      </c>
      <c r="S2245" s="18">
        <v>6830.3099999999995</v>
      </c>
      <c r="T2245" s="19" t="s">
        <v>36</v>
      </c>
      <c r="U2245" s="20" t="s">
        <v>1345</v>
      </c>
      <c r="V2245" s="22">
        <v>41</v>
      </c>
      <c r="W2245" s="22">
        <v>1</v>
      </c>
      <c r="X2245" s="23"/>
    </row>
    <row r="2246" spans="1:24" s="1" customFormat="1" ht="26" customHeight="1" x14ac:dyDescent="0.3">
      <c r="A2246" s="24" t="s">
        <v>23</v>
      </c>
      <c r="B2246" s="24" t="s">
        <v>2231</v>
      </c>
      <c r="C2246" s="12" t="s">
        <v>2235</v>
      </c>
      <c r="D2246" s="60"/>
      <c r="E2246" s="41" t="str">
        <f>HYPERLINK("https://www.google.ru/search?q=3027646-453&amp;newwindow=1&amp;tbm=isch","Еще фото")</f>
        <v>Еще фото</v>
      </c>
      <c r="F2246" s="13" t="s">
        <v>103</v>
      </c>
      <c r="G2246" s="24" t="s">
        <v>1184</v>
      </c>
      <c r="H2246" s="24" t="s">
        <v>741</v>
      </c>
      <c r="I2246" s="24" t="s">
        <v>1185</v>
      </c>
      <c r="J2246" s="14" t="s">
        <v>260</v>
      </c>
      <c r="K2246" s="15" t="s">
        <v>723</v>
      </c>
      <c r="L2246" s="62"/>
      <c r="M2246" s="14"/>
      <c r="N2246" s="14" t="s">
        <v>115</v>
      </c>
      <c r="O2246" s="14"/>
      <c r="P2246" s="15" t="s">
        <v>1457</v>
      </c>
      <c r="Q2246" s="16">
        <v>9899</v>
      </c>
      <c r="R2246" s="17">
        <v>40</v>
      </c>
      <c r="S2246" s="18">
        <v>6830.3099999999995</v>
      </c>
      <c r="T2246" s="19" t="s">
        <v>36</v>
      </c>
      <c r="U2246" s="20" t="s">
        <v>1346</v>
      </c>
      <c r="V2246" s="34">
        <v>41.5</v>
      </c>
      <c r="W2246" s="22">
        <v>2</v>
      </c>
      <c r="X2246" s="23"/>
    </row>
    <row r="2247" spans="1:24" s="1" customFormat="1" ht="26" customHeight="1" x14ac:dyDescent="0.3">
      <c r="A2247" s="24" t="s">
        <v>23</v>
      </c>
      <c r="B2247" s="24" t="s">
        <v>2231</v>
      </c>
      <c r="C2247" s="12" t="s">
        <v>2235</v>
      </c>
      <c r="D2247" s="60"/>
      <c r="E2247" s="41" t="str">
        <f>HYPERLINK("https://www.google.ru/search?q=3027646-453&amp;newwindow=1&amp;tbm=isch","Еще фото")</f>
        <v>Еще фото</v>
      </c>
      <c r="F2247" s="13" t="s">
        <v>103</v>
      </c>
      <c r="G2247" s="24" t="s">
        <v>1184</v>
      </c>
      <c r="H2247" s="24" t="s">
        <v>741</v>
      </c>
      <c r="I2247" s="24" t="s">
        <v>1185</v>
      </c>
      <c r="J2247" s="14" t="s">
        <v>260</v>
      </c>
      <c r="K2247" s="15" t="s">
        <v>723</v>
      </c>
      <c r="L2247" s="62"/>
      <c r="M2247" s="14"/>
      <c r="N2247" s="14" t="s">
        <v>115</v>
      </c>
      <c r="O2247" s="14"/>
      <c r="P2247" s="15" t="s">
        <v>1457</v>
      </c>
      <c r="Q2247" s="16">
        <v>9899</v>
      </c>
      <c r="R2247" s="17">
        <v>40</v>
      </c>
      <c r="S2247" s="18">
        <v>6830.3099999999995</v>
      </c>
      <c r="T2247" s="19" t="s">
        <v>36</v>
      </c>
      <c r="U2247" s="20" t="s">
        <v>1348</v>
      </c>
      <c r="V2247" s="34">
        <v>43.5</v>
      </c>
      <c r="W2247" s="22">
        <v>9</v>
      </c>
      <c r="X2247" s="23"/>
    </row>
    <row r="2248" spans="1:24" s="1" customFormat="1" ht="26" customHeight="1" x14ac:dyDescent="0.3">
      <c r="A2248" s="24" t="s">
        <v>23</v>
      </c>
      <c r="B2248" s="24" t="s">
        <v>2231</v>
      </c>
      <c r="C2248" s="12" t="s">
        <v>2235</v>
      </c>
      <c r="D2248" s="61"/>
      <c r="E2248" s="41" t="str">
        <f>HYPERLINK("https://www.google.ru/search?q=3027646-453&amp;newwindow=1&amp;tbm=isch","Еще фото")</f>
        <v>Еще фото</v>
      </c>
      <c r="F2248" s="13" t="s">
        <v>103</v>
      </c>
      <c r="G2248" s="24" t="s">
        <v>1184</v>
      </c>
      <c r="H2248" s="24" t="s">
        <v>741</v>
      </c>
      <c r="I2248" s="24" t="s">
        <v>1185</v>
      </c>
      <c r="J2248" s="14" t="s">
        <v>260</v>
      </c>
      <c r="K2248" s="15" t="s">
        <v>723</v>
      </c>
      <c r="L2248" s="58"/>
      <c r="M2248" s="14"/>
      <c r="N2248" s="14" t="s">
        <v>115</v>
      </c>
      <c r="O2248" s="14"/>
      <c r="P2248" s="15" t="s">
        <v>1457</v>
      </c>
      <c r="Q2248" s="16">
        <v>9899</v>
      </c>
      <c r="R2248" s="17">
        <v>40</v>
      </c>
      <c r="S2248" s="18">
        <v>6830.3099999999995</v>
      </c>
      <c r="T2248" s="19" t="s">
        <v>36</v>
      </c>
      <c r="U2248" s="20" t="s">
        <v>1327</v>
      </c>
      <c r="V2248" s="22">
        <v>44</v>
      </c>
      <c r="W2248" s="22">
        <v>8</v>
      </c>
      <c r="X2248" s="23"/>
    </row>
    <row r="2249" spans="1:24" s="1" customFormat="1" ht="108" customHeight="1" x14ac:dyDescent="0.3">
      <c r="A2249" s="11" t="s">
        <v>23</v>
      </c>
      <c r="B2249" s="11" t="s">
        <v>2231</v>
      </c>
      <c r="C2249" s="12" t="s">
        <v>2236</v>
      </c>
      <c r="D2249" s="25"/>
      <c r="E2249" s="41" t="str">
        <f>HYPERLINK("https://www.google.ru/search?q=3027646-600&amp;newwindow=1&amp;tbm=isch","Еще фото")</f>
        <v>Еще фото</v>
      </c>
      <c r="F2249" s="13" t="s">
        <v>103</v>
      </c>
      <c r="G2249" s="11" t="s">
        <v>1184</v>
      </c>
      <c r="H2249" s="11" t="s">
        <v>741</v>
      </c>
      <c r="I2249" s="14" t="s">
        <v>1185</v>
      </c>
      <c r="J2249" s="14" t="s">
        <v>260</v>
      </c>
      <c r="K2249" s="15" t="s">
        <v>723</v>
      </c>
      <c r="L2249" s="14" t="s">
        <v>2233</v>
      </c>
      <c r="M2249" s="14"/>
      <c r="N2249" s="14" t="s">
        <v>1530</v>
      </c>
      <c r="O2249" s="14"/>
      <c r="P2249" s="15" t="s">
        <v>1457</v>
      </c>
      <c r="Q2249" s="16">
        <v>9899</v>
      </c>
      <c r="R2249" s="17">
        <v>40</v>
      </c>
      <c r="S2249" s="18">
        <v>6830.3099999999995</v>
      </c>
      <c r="T2249" s="19" t="s">
        <v>36</v>
      </c>
      <c r="U2249" s="20" t="s">
        <v>1346</v>
      </c>
      <c r="V2249" s="34">
        <v>41.5</v>
      </c>
      <c r="W2249" s="22">
        <v>1</v>
      </c>
      <c r="X2249" s="23"/>
    </row>
    <row r="2250" spans="1:24" s="1" customFormat="1" ht="11" customHeight="1" x14ac:dyDescent="0.3">
      <c r="A2250" s="11" t="s">
        <v>23</v>
      </c>
      <c r="B2250" s="11" t="s">
        <v>2237</v>
      </c>
      <c r="C2250" s="12" t="s">
        <v>2238</v>
      </c>
      <c r="D2250" s="59"/>
      <c r="E2250" s="41" t="str">
        <f t="shared" ref="E2250:E2258" si="88">HYPERLINK("https://www.google.ru/search?q=3027729-001&amp;newwindow=1&amp;tbm=isch","Еще фото")</f>
        <v>Еще фото</v>
      </c>
      <c r="F2250" s="28" t="s">
        <v>138</v>
      </c>
      <c r="G2250" s="11" t="s">
        <v>1184</v>
      </c>
      <c r="H2250" s="11" t="s">
        <v>741</v>
      </c>
      <c r="I2250" s="14" t="s">
        <v>1185</v>
      </c>
      <c r="J2250" s="14" t="s">
        <v>29</v>
      </c>
      <c r="K2250" s="15" t="s">
        <v>30</v>
      </c>
      <c r="L2250" s="57" t="s">
        <v>2239</v>
      </c>
      <c r="M2250" s="14" t="s">
        <v>1211</v>
      </c>
      <c r="N2250" s="14" t="s">
        <v>33</v>
      </c>
      <c r="O2250" s="14"/>
      <c r="P2250" s="15" t="s">
        <v>2147</v>
      </c>
      <c r="Q2250" s="16">
        <v>24899</v>
      </c>
      <c r="R2250" s="17">
        <v>40</v>
      </c>
      <c r="S2250" s="18">
        <v>17180.309999999998</v>
      </c>
      <c r="T2250" s="19" t="s">
        <v>36</v>
      </c>
      <c r="U2250" s="20" t="s">
        <v>746</v>
      </c>
      <c r="V2250" s="22">
        <v>39</v>
      </c>
      <c r="W2250" s="22">
        <v>2</v>
      </c>
      <c r="X2250" s="23"/>
    </row>
    <row r="2251" spans="1:24" s="1" customFormat="1" ht="11" customHeight="1" x14ac:dyDescent="0.3">
      <c r="A2251" s="24" t="s">
        <v>23</v>
      </c>
      <c r="B2251" s="24" t="s">
        <v>2237</v>
      </c>
      <c r="C2251" s="12" t="s">
        <v>2238</v>
      </c>
      <c r="D2251" s="60"/>
      <c r="E2251" s="41" t="str">
        <f t="shared" si="88"/>
        <v>Еще фото</v>
      </c>
      <c r="F2251" s="28" t="s">
        <v>138</v>
      </c>
      <c r="G2251" s="24" t="s">
        <v>1184</v>
      </c>
      <c r="H2251" s="24" t="s">
        <v>741</v>
      </c>
      <c r="I2251" s="24" t="s">
        <v>1185</v>
      </c>
      <c r="J2251" s="14" t="s">
        <v>29</v>
      </c>
      <c r="K2251" s="15" t="s">
        <v>30</v>
      </c>
      <c r="L2251" s="62"/>
      <c r="M2251" s="14" t="s">
        <v>1211</v>
      </c>
      <c r="N2251" s="14" t="s">
        <v>33</v>
      </c>
      <c r="O2251" s="14"/>
      <c r="P2251" s="15" t="s">
        <v>2147</v>
      </c>
      <c r="Q2251" s="16">
        <v>24899</v>
      </c>
      <c r="R2251" s="17">
        <v>40</v>
      </c>
      <c r="S2251" s="18">
        <v>17180.309999999998</v>
      </c>
      <c r="T2251" s="19" t="s">
        <v>36</v>
      </c>
      <c r="U2251" s="20" t="s">
        <v>747</v>
      </c>
      <c r="V2251" s="34">
        <v>39.5</v>
      </c>
      <c r="W2251" s="22">
        <v>4</v>
      </c>
      <c r="X2251" s="23"/>
    </row>
    <row r="2252" spans="1:24" s="1" customFormat="1" ht="11" customHeight="1" x14ac:dyDescent="0.3">
      <c r="A2252" s="24" t="s">
        <v>23</v>
      </c>
      <c r="B2252" s="24" t="s">
        <v>2237</v>
      </c>
      <c r="C2252" s="12" t="s">
        <v>2238</v>
      </c>
      <c r="D2252" s="60"/>
      <c r="E2252" s="41" t="str">
        <f t="shared" si="88"/>
        <v>Еще фото</v>
      </c>
      <c r="F2252" s="28" t="s">
        <v>138</v>
      </c>
      <c r="G2252" s="24" t="s">
        <v>1184</v>
      </c>
      <c r="H2252" s="24" t="s">
        <v>741</v>
      </c>
      <c r="I2252" s="24" t="s">
        <v>1185</v>
      </c>
      <c r="J2252" s="14" t="s">
        <v>29</v>
      </c>
      <c r="K2252" s="15" t="s">
        <v>30</v>
      </c>
      <c r="L2252" s="62"/>
      <c r="M2252" s="14" t="s">
        <v>1211</v>
      </c>
      <c r="N2252" s="14" t="s">
        <v>33</v>
      </c>
      <c r="O2252" s="14"/>
      <c r="P2252" s="15" t="s">
        <v>2147</v>
      </c>
      <c r="Q2252" s="16">
        <v>24899</v>
      </c>
      <c r="R2252" s="17">
        <v>40</v>
      </c>
      <c r="S2252" s="18">
        <v>17180.309999999998</v>
      </c>
      <c r="T2252" s="19" t="s">
        <v>36</v>
      </c>
      <c r="U2252" s="20" t="s">
        <v>748</v>
      </c>
      <c r="V2252" s="22">
        <v>40</v>
      </c>
      <c r="W2252" s="22">
        <v>2</v>
      </c>
      <c r="X2252" s="23"/>
    </row>
    <row r="2253" spans="1:24" s="1" customFormat="1" ht="11" customHeight="1" x14ac:dyDescent="0.3">
      <c r="A2253" s="24" t="s">
        <v>23</v>
      </c>
      <c r="B2253" s="24" t="s">
        <v>2237</v>
      </c>
      <c r="C2253" s="12" t="s">
        <v>2238</v>
      </c>
      <c r="D2253" s="60"/>
      <c r="E2253" s="41" t="str">
        <f t="shared" si="88"/>
        <v>Еще фото</v>
      </c>
      <c r="F2253" s="28" t="s">
        <v>138</v>
      </c>
      <c r="G2253" s="24" t="s">
        <v>1184</v>
      </c>
      <c r="H2253" s="24" t="s">
        <v>741</v>
      </c>
      <c r="I2253" s="24" t="s">
        <v>1185</v>
      </c>
      <c r="J2253" s="14" t="s">
        <v>29</v>
      </c>
      <c r="K2253" s="15" t="s">
        <v>30</v>
      </c>
      <c r="L2253" s="62"/>
      <c r="M2253" s="14" t="s">
        <v>1211</v>
      </c>
      <c r="N2253" s="14" t="s">
        <v>33</v>
      </c>
      <c r="O2253" s="14"/>
      <c r="P2253" s="15" t="s">
        <v>2147</v>
      </c>
      <c r="Q2253" s="16">
        <v>24899</v>
      </c>
      <c r="R2253" s="17">
        <v>40</v>
      </c>
      <c r="S2253" s="18">
        <v>17180.309999999998</v>
      </c>
      <c r="T2253" s="19" t="s">
        <v>36</v>
      </c>
      <c r="U2253" s="20" t="s">
        <v>749</v>
      </c>
      <c r="V2253" s="22">
        <v>41</v>
      </c>
      <c r="W2253" s="22">
        <v>5</v>
      </c>
      <c r="X2253" s="23"/>
    </row>
    <row r="2254" spans="1:24" s="1" customFormat="1" ht="11" customHeight="1" x14ac:dyDescent="0.3">
      <c r="A2254" s="24" t="s">
        <v>23</v>
      </c>
      <c r="B2254" s="24" t="s">
        <v>2237</v>
      </c>
      <c r="C2254" s="12" t="s">
        <v>2238</v>
      </c>
      <c r="D2254" s="60"/>
      <c r="E2254" s="41" t="str">
        <f t="shared" si="88"/>
        <v>Еще фото</v>
      </c>
      <c r="F2254" s="28" t="s">
        <v>138</v>
      </c>
      <c r="G2254" s="24" t="s">
        <v>1184</v>
      </c>
      <c r="H2254" s="24" t="s">
        <v>741</v>
      </c>
      <c r="I2254" s="24" t="s">
        <v>1185</v>
      </c>
      <c r="J2254" s="14" t="s">
        <v>29</v>
      </c>
      <c r="K2254" s="15" t="s">
        <v>30</v>
      </c>
      <c r="L2254" s="62"/>
      <c r="M2254" s="14" t="s">
        <v>1211</v>
      </c>
      <c r="N2254" s="14" t="s">
        <v>33</v>
      </c>
      <c r="O2254" s="14"/>
      <c r="P2254" s="15" t="s">
        <v>2147</v>
      </c>
      <c r="Q2254" s="16">
        <v>24899</v>
      </c>
      <c r="R2254" s="17">
        <v>40</v>
      </c>
      <c r="S2254" s="18">
        <v>17180.309999999998</v>
      </c>
      <c r="T2254" s="19" t="s">
        <v>36</v>
      </c>
      <c r="U2254" s="20" t="s">
        <v>750</v>
      </c>
      <c r="V2254" s="34">
        <v>41.5</v>
      </c>
      <c r="W2254" s="22">
        <v>3</v>
      </c>
      <c r="X2254" s="23"/>
    </row>
    <row r="2255" spans="1:24" s="1" customFormat="1" ht="11" customHeight="1" x14ac:dyDescent="0.3">
      <c r="A2255" s="24" t="s">
        <v>23</v>
      </c>
      <c r="B2255" s="24" t="s">
        <v>2237</v>
      </c>
      <c r="C2255" s="12" t="s">
        <v>2238</v>
      </c>
      <c r="D2255" s="60"/>
      <c r="E2255" s="41" t="str">
        <f t="shared" si="88"/>
        <v>Еще фото</v>
      </c>
      <c r="F2255" s="28" t="s">
        <v>138</v>
      </c>
      <c r="G2255" s="24" t="s">
        <v>1184</v>
      </c>
      <c r="H2255" s="24" t="s">
        <v>741</v>
      </c>
      <c r="I2255" s="24" t="s">
        <v>1185</v>
      </c>
      <c r="J2255" s="14" t="s">
        <v>29</v>
      </c>
      <c r="K2255" s="15" t="s">
        <v>30</v>
      </c>
      <c r="L2255" s="62"/>
      <c r="M2255" s="14" t="s">
        <v>1211</v>
      </c>
      <c r="N2255" s="14" t="s">
        <v>33</v>
      </c>
      <c r="O2255" s="14"/>
      <c r="P2255" s="15" t="s">
        <v>2147</v>
      </c>
      <c r="Q2255" s="16">
        <v>24899</v>
      </c>
      <c r="R2255" s="17">
        <v>40</v>
      </c>
      <c r="S2255" s="18">
        <v>17180.309999999998</v>
      </c>
      <c r="T2255" s="19" t="s">
        <v>36</v>
      </c>
      <c r="U2255" s="20" t="s">
        <v>751</v>
      </c>
      <c r="V2255" s="22">
        <v>42</v>
      </c>
      <c r="W2255" s="22">
        <v>2</v>
      </c>
      <c r="X2255" s="23"/>
    </row>
    <row r="2256" spans="1:24" s="1" customFormat="1" ht="11" customHeight="1" x14ac:dyDescent="0.3">
      <c r="A2256" s="24" t="s">
        <v>23</v>
      </c>
      <c r="B2256" s="24" t="s">
        <v>2237</v>
      </c>
      <c r="C2256" s="12" t="s">
        <v>2238</v>
      </c>
      <c r="D2256" s="60"/>
      <c r="E2256" s="41" t="str">
        <f t="shared" si="88"/>
        <v>Еще фото</v>
      </c>
      <c r="F2256" s="28" t="s">
        <v>138</v>
      </c>
      <c r="G2256" s="24" t="s">
        <v>1184</v>
      </c>
      <c r="H2256" s="24" t="s">
        <v>741</v>
      </c>
      <c r="I2256" s="24" t="s">
        <v>1185</v>
      </c>
      <c r="J2256" s="14" t="s">
        <v>29</v>
      </c>
      <c r="K2256" s="15" t="s">
        <v>30</v>
      </c>
      <c r="L2256" s="62"/>
      <c r="M2256" s="14" t="s">
        <v>1211</v>
      </c>
      <c r="N2256" s="14" t="s">
        <v>33</v>
      </c>
      <c r="O2256" s="14"/>
      <c r="P2256" s="15" t="s">
        <v>2147</v>
      </c>
      <c r="Q2256" s="16">
        <v>24899</v>
      </c>
      <c r="R2256" s="17">
        <v>40</v>
      </c>
      <c r="S2256" s="18">
        <v>17180.309999999998</v>
      </c>
      <c r="T2256" s="19" t="s">
        <v>36</v>
      </c>
      <c r="U2256" s="20" t="s">
        <v>752</v>
      </c>
      <c r="V2256" s="22">
        <v>43</v>
      </c>
      <c r="W2256" s="22">
        <v>3</v>
      </c>
      <c r="X2256" s="23"/>
    </row>
    <row r="2257" spans="1:24" s="1" customFormat="1" ht="11" customHeight="1" x14ac:dyDescent="0.3">
      <c r="A2257" s="24" t="s">
        <v>23</v>
      </c>
      <c r="B2257" s="24" t="s">
        <v>2237</v>
      </c>
      <c r="C2257" s="12" t="s">
        <v>2238</v>
      </c>
      <c r="D2257" s="60"/>
      <c r="E2257" s="41" t="str">
        <f t="shared" si="88"/>
        <v>Еще фото</v>
      </c>
      <c r="F2257" s="28" t="s">
        <v>138</v>
      </c>
      <c r="G2257" s="24" t="s">
        <v>1184</v>
      </c>
      <c r="H2257" s="24" t="s">
        <v>741</v>
      </c>
      <c r="I2257" s="24" t="s">
        <v>1185</v>
      </c>
      <c r="J2257" s="14" t="s">
        <v>29</v>
      </c>
      <c r="K2257" s="15" t="s">
        <v>30</v>
      </c>
      <c r="L2257" s="62"/>
      <c r="M2257" s="14" t="s">
        <v>1211</v>
      </c>
      <c r="N2257" s="14" t="s">
        <v>33</v>
      </c>
      <c r="O2257" s="14"/>
      <c r="P2257" s="15" t="s">
        <v>2147</v>
      </c>
      <c r="Q2257" s="16">
        <v>24899</v>
      </c>
      <c r="R2257" s="17">
        <v>40</v>
      </c>
      <c r="S2257" s="18">
        <v>17180.309999999998</v>
      </c>
      <c r="T2257" s="19" t="s">
        <v>36</v>
      </c>
      <c r="U2257" s="20" t="s">
        <v>753</v>
      </c>
      <c r="V2257" s="34">
        <v>43.5</v>
      </c>
      <c r="W2257" s="22">
        <v>2</v>
      </c>
      <c r="X2257" s="23"/>
    </row>
    <row r="2258" spans="1:24" s="1" customFormat="1" ht="11" customHeight="1" x14ac:dyDescent="0.3">
      <c r="A2258" s="24" t="s">
        <v>23</v>
      </c>
      <c r="B2258" s="24" t="s">
        <v>2237</v>
      </c>
      <c r="C2258" s="12" t="s">
        <v>2238</v>
      </c>
      <c r="D2258" s="61"/>
      <c r="E2258" s="41" t="str">
        <f t="shared" si="88"/>
        <v>Еще фото</v>
      </c>
      <c r="F2258" s="28" t="s">
        <v>138</v>
      </c>
      <c r="G2258" s="24" t="s">
        <v>1184</v>
      </c>
      <c r="H2258" s="24" t="s">
        <v>741</v>
      </c>
      <c r="I2258" s="24" t="s">
        <v>1185</v>
      </c>
      <c r="J2258" s="14" t="s">
        <v>29</v>
      </c>
      <c r="K2258" s="15" t="s">
        <v>30</v>
      </c>
      <c r="L2258" s="58"/>
      <c r="M2258" s="14" t="s">
        <v>1211</v>
      </c>
      <c r="N2258" s="14" t="s">
        <v>33</v>
      </c>
      <c r="O2258" s="14"/>
      <c r="P2258" s="15" t="s">
        <v>2147</v>
      </c>
      <c r="Q2258" s="16">
        <v>24899</v>
      </c>
      <c r="R2258" s="17">
        <v>40</v>
      </c>
      <c r="S2258" s="18">
        <v>17180.309999999998</v>
      </c>
      <c r="T2258" s="19" t="s">
        <v>36</v>
      </c>
      <c r="U2258" s="20" t="s">
        <v>754</v>
      </c>
      <c r="V2258" s="22">
        <v>44</v>
      </c>
      <c r="W2258" s="22">
        <v>1</v>
      </c>
      <c r="X2258" s="23"/>
    </row>
    <row r="2259" spans="1:24" s="1" customFormat="1" ht="26" customHeight="1" x14ac:dyDescent="0.3">
      <c r="A2259" s="11" t="s">
        <v>23</v>
      </c>
      <c r="B2259" s="11" t="s">
        <v>2240</v>
      </c>
      <c r="C2259" s="12" t="s">
        <v>2241</v>
      </c>
      <c r="D2259" s="59"/>
      <c r="E2259" s="41" t="str">
        <f>HYPERLINK("https://www.google.ru/search?q=3027767-002&amp;newwindow=1&amp;tbm=isch","Еще фото")</f>
        <v>Еще фото</v>
      </c>
      <c r="F2259" s="13"/>
      <c r="G2259" s="11" t="s">
        <v>1184</v>
      </c>
      <c r="H2259" s="11" t="s">
        <v>741</v>
      </c>
      <c r="I2259" s="14" t="s">
        <v>1185</v>
      </c>
      <c r="J2259" s="14" t="s">
        <v>29</v>
      </c>
      <c r="K2259" s="15" t="s">
        <v>723</v>
      </c>
      <c r="L2259" s="57" t="s">
        <v>2242</v>
      </c>
      <c r="M2259" s="14"/>
      <c r="N2259" s="14" t="s">
        <v>33</v>
      </c>
      <c r="O2259" s="14"/>
      <c r="P2259" s="15" t="s">
        <v>2243</v>
      </c>
      <c r="Q2259" s="16">
        <v>39699</v>
      </c>
      <c r="R2259" s="17">
        <v>40</v>
      </c>
      <c r="S2259" s="18">
        <v>27392.31</v>
      </c>
      <c r="T2259" s="19" t="s">
        <v>36</v>
      </c>
      <c r="U2259" s="20" t="s">
        <v>1326</v>
      </c>
      <c r="V2259" s="22">
        <v>42</v>
      </c>
      <c r="W2259" s="22">
        <v>1</v>
      </c>
      <c r="X2259" s="23"/>
    </row>
    <row r="2260" spans="1:24" s="1" customFormat="1" ht="26" customHeight="1" x14ac:dyDescent="0.3">
      <c r="A2260" s="24" t="s">
        <v>23</v>
      </c>
      <c r="B2260" s="24" t="s">
        <v>2240</v>
      </c>
      <c r="C2260" s="12" t="s">
        <v>2241</v>
      </c>
      <c r="D2260" s="60"/>
      <c r="E2260" s="41" t="str">
        <f>HYPERLINK("https://www.google.ru/search?q=3027767-002&amp;newwindow=1&amp;tbm=isch","Еще фото")</f>
        <v>Еще фото</v>
      </c>
      <c r="F2260" s="13"/>
      <c r="G2260" s="24" t="s">
        <v>1184</v>
      </c>
      <c r="H2260" s="24" t="s">
        <v>741</v>
      </c>
      <c r="I2260" s="24" t="s">
        <v>1185</v>
      </c>
      <c r="J2260" s="14" t="s">
        <v>29</v>
      </c>
      <c r="K2260" s="15" t="s">
        <v>723</v>
      </c>
      <c r="L2260" s="62"/>
      <c r="M2260" s="14"/>
      <c r="N2260" s="14" t="s">
        <v>33</v>
      </c>
      <c r="O2260" s="14"/>
      <c r="P2260" s="15" t="s">
        <v>2243</v>
      </c>
      <c r="Q2260" s="16">
        <v>39699</v>
      </c>
      <c r="R2260" s="17">
        <v>40</v>
      </c>
      <c r="S2260" s="18">
        <v>27392.31</v>
      </c>
      <c r="T2260" s="19" t="s">
        <v>36</v>
      </c>
      <c r="U2260" s="20" t="s">
        <v>1347</v>
      </c>
      <c r="V2260" s="22">
        <v>43</v>
      </c>
      <c r="W2260" s="22">
        <v>1</v>
      </c>
      <c r="X2260" s="23"/>
    </row>
    <row r="2261" spans="1:24" s="1" customFormat="1" ht="26" customHeight="1" x14ac:dyDescent="0.3">
      <c r="A2261" s="24" t="s">
        <v>23</v>
      </c>
      <c r="B2261" s="24" t="s">
        <v>2240</v>
      </c>
      <c r="C2261" s="12" t="s">
        <v>2241</v>
      </c>
      <c r="D2261" s="60"/>
      <c r="E2261" s="41" t="str">
        <f>HYPERLINK("https://www.google.ru/search?q=3027767-002&amp;newwindow=1&amp;tbm=isch","Еще фото")</f>
        <v>Еще фото</v>
      </c>
      <c r="F2261" s="13"/>
      <c r="G2261" s="24" t="s">
        <v>1184</v>
      </c>
      <c r="H2261" s="24" t="s">
        <v>741</v>
      </c>
      <c r="I2261" s="24" t="s">
        <v>1185</v>
      </c>
      <c r="J2261" s="14" t="s">
        <v>29</v>
      </c>
      <c r="K2261" s="15" t="s">
        <v>723</v>
      </c>
      <c r="L2261" s="62"/>
      <c r="M2261" s="14"/>
      <c r="N2261" s="14" t="s">
        <v>33</v>
      </c>
      <c r="O2261" s="14"/>
      <c r="P2261" s="15" t="s">
        <v>2243</v>
      </c>
      <c r="Q2261" s="16">
        <v>39699</v>
      </c>
      <c r="R2261" s="17">
        <v>40</v>
      </c>
      <c r="S2261" s="18">
        <v>27392.31</v>
      </c>
      <c r="T2261" s="19" t="s">
        <v>36</v>
      </c>
      <c r="U2261" s="20" t="s">
        <v>1348</v>
      </c>
      <c r="V2261" s="34">
        <v>43.5</v>
      </c>
      <c r="W2261" s="22">
        <v>1</v>
      </c>
      <c r="X2261" s="23"/>
    </row>
    <row r="2262" spans="1:24" s="1" customFormat="1" ht="26" customHeight="1" x14ac:dyDescent="0.3">
      <c r="A2262" s="24" t="s">
        <v>23</v>
      </c>
      <c r="B2262" s="24" t="s">
        <v>2240</v>
      </c>
      <c r="C2262" s="12" t="s">
        <v>2241</v>
      </c>
      <c r="D2262" s="61"/>
      <c r="E2262" s="41" t="str">
        <f>HYPERLINK("https://www.google.ru/search?q=3027767-002&amp;newwindow=1&amp;tbm=isch","Еще фото")</f>
        <v>Еще фото</v>
      </c>
      <c r="F2262" s="13"/>
      <c r="G2262" s="24" t="s">
        <v>1184</v>
      </c>
      <c r="H2262" s="24" t="s">
        <v>741</v>
      </c>
      <c r="I2262" s="24" t="s">
        <v>1185</v>
      </c>
      <c r="J2262" s="14" t="s">
        <v>29</v>
      </c>
      <c r="K2262" s="15" t="s">
        <v>723</v>
      </c>
      <c r="L2262" s="58"/>
      <c r="M2262" s="14"/>
      <c r="N2262" s="14" t="s">
        <v>33</v>
      </c>
      <c r="O2262" s="14"/>
      <c r="P2262" s="15" t="s">
        <v>2243</v>
      </c>
      <c r="Q2262" s="16">
        <v>39699</v>
      </c>
      <c r="R2262" s="17">
        <v>40</v>
      </c>
      <c r="S2262" s="18">
        <v>27392.31</v>
      </c>
      <c r="T2262" s="19" t="s">
        <v>36</v>
      </c>
      <c r="U2262" s="20" t="s">
        <v>1327</v>
      </c>
      <c r="V2262" s="22">
        <v>44</v>
      </c>
      <c r="W2262" s="22">
        <v>1</v>
      </c>
      <c r="X2262" s="23"/>
    </row>
    <row r="2263" spans="1:24" s="1" customFormat="1" ht="108" customHeight="1" x14ac:dyDescent="0.3">
      <c r="A2263" s="11" t="s">
        <v>23</v>
      </c>
      <c r="B2263" s="11" t="s">
        <v>1375</v>
      </c>
      <c r="C2263" s="12" t="s">
        <v>2244</v>
      </c>
      <c r="D2263" s="25"/>
      <c r="E2263" s="41" t="str">
        <f>HYPERLINK("https://www.google.ru/search?q=3027776-003&amp;newwindow=1&amp;tbm=isch","Еще фото")</f>
        <v>Еще фото</v>
      </c>
      <c r="F2263" s="13"/>
      <c r="G2263" s="11" t="s">
        <v>1184</v>
      </c>
      <c r="H2263" s="11" t="s">
        <v>741</v>
      </c>
      <c r="I2263" s="14" t="s">
        <v>1185</v>
      </c>
      <c r="J2263" s="14" t="s">
        <v>29</v>
      </c>
      <c r="K2263" s="15" t="s">
        <v>30</v>
      </c>
      <c r="L2263" s="14" t="s">
        <v>1377</v>
      </c>
      <c r="M2263" s="14"/>
      <c r="N2263" s="14" t="s">
        <v>33</v>
      </c>
      <c r="O2263" s="14"/>
      <c r="P2263" s="15" t="s">
        <v>1378</v>
      </c>
      <c r="Q2263" s="16">
        <v>15199</v>
      </c>
      <c r="R2263" s="17">
        <v>40</v>
      </c>
      <c r="S2263" s="18">
        <v>10487.31</v>
      </c>
      <c r="T2263" s="19" t="s">
        <v>36</v>
      </c>
      <c r="U2263" s="20" t="s">
        <v>747</v>
      </c>
      <c r="V2263" s="34">
        <v>39.5</v>
      </c>
      <c r="W2263" s="22">
        <v>2</v>
      </c>
      <c r="X2263" s="23"/>
    </row>
    <row r="2264" spans="1:24" s="1" customFormat="1" ht="108" customHeight="1" x14ac:dyDescent="0.3">
      <c r="A2264" s="11" t="s">
        <v>23</v>
      </c>
      <c r="B2264" s="11" t="s">
        <v>1375</v>
      </c>
      <c r="C2264" s="12" t="s">
        <v>2245</v>
      </c>
      <c r="D2264" s="25"/>
      <c r="E2264" s="41" t="str">
        <f>HYPERLINK("https://www.google.ru/search?q=3027776-103&amp;newwindow=1&amp;tbm=isch","Еще фото")</f>
        <v>Еще фото</v>
      </c>
      <c r="F2264" s="13"/>
      <c r="G2264" s="11" t="s">
        <v>1184</v>
      </c>
      <c r="H2264" s="11" t="s">
        <v>741</v>
      </c>
      <c r="I2264" s="14" t="s">
        <v>1185</v>
      </c>
      <c r="J2264" s="14" t="s">
        <v>29</v>
      </c>
      <c r="K2264" s="15" t="s">
        <v>30</v>
      </c>
      <c r="L2264" s="14" t="s">
        <v>2246</v>
      </c>
      <c r="M2264" s="14"/>
      <c r="N2264" s="14" t="s">
        <v>62</v>
      </c>
      <c r="O2264" s="14"/>
      <c r="P2264" s="15" t="s">
        <v>1378</v>
      </c>
      <c r="Q2264" s="16">
        <v>15199</v>
      </c>
      <c r="R2264" s="17">
        <v>40</v>
      </c>
      <c r="S2264" s="18">
        <v>10487.31</v>
      </c>
      <c r="T2264" s="19" t="s">
        <v>36</v>
      </c>
      <c r="U2264" s="20" t="s">
        <v>750</v>
      </c>
      <c r="V2264" s="34">
        <v>41.5</v>
      </c>
      <c r="W2264" s="22">
        <v>1</v>
      </c>
      <c r="X2264" s="23"/>
    </row>
    <row r="2265" spans="1:24" s="1" customFormat="1" ht="52.05" customHeight="1" x14ac:dyDescent="0.3">
      <c r="A2265" s="11" t="s">
        <v>23</v>
      </c>
      <c r="B2265" s="11" t="s">
        <v>1375</v>
      </c>
      <c r="C2265" s="12" t="s">
        <v>2247</v>
      </c>
      <c r="D2265" s="55"/>
      <c r="E2265" s="41" t="str">
        <f>HYPERLINK("https://www.google.ru/search?q=3027776-401&amp;newwindow=1&amp;tbm=isch","Еще фото")</f>
        <v>Еще фото</v>
      </c>
      <c r="F2265" s="13"/>
      <c r="G2265" s="11" t="s">
        <v>1184</v>
      </c>
      <c r="H2265" s="11" t="s">
        <v>741</v>
      </c>
      <c r="I2265" s="14" t="s">
        <v>1185</v>
      </c>
      <c r="J2265" s="14" t="s">
        <v>29</v>
      </c>
      <c r="K2265" s="15" t="s">
        <v>30</v>
      </c>
      <c r="L2265" s="57" t="s">
        <v>1377</v>
      </c>
      <c r="M2265" s="14"/>
      <c r="N2265" s="14" t="s">
        <v>115</v>
      </c>
      <c r="O2265" s="14"/>
      <c r="P2265" s="15" t="s">
        <v>1378</v>
      </c>
      <c r="Q2265" s="16">
        <v>15999</v>
      </c>
      <c r="R2265" s="17">
        <v>40</v>
      </c>
      <c r="S2265" s="18">
        <v>11039.31</v>
      </c>
      <c r="T2265" s="19" t="s">
        <v>36</v>
      </c>
      <c r="U2265" s="20" t="s">
        <v>749</v>
      </c>
      <c r="V2265" s="22">
        <v>41</v>
      </c>
      <c r="W2265" s="22">
        <v>1</v>
      </c>
      <c r="X2265" s="23"/>
    </row>
    <row r="2266" spans="1:24" s="1" customFormat="1" ht="61.05" customHeight="1" x14ac:dyDescent="0.3">
      <c r="A2266" s="24" t="s">
        <v>23</v>
      </c>
      <c r="B2266" s="24" t="s">
        <v>1375</v>
      </c>
      <c r="C2266" s="12" t="s">
        <v>2247</v>
      </c>
      <c r="D2266" s="56"/>
      <c r="E2266" s="41" t="str">
        <f>HYPERLINK("https://www.google.ru/search?q=3027776-401&amp;newwindow=1&amp;tbm=isch","Еще фото")</f>
        <v>Еще фото</v>
      </c>
      <c r="F2266" s="13"/>
      <c r="G2266" s="24" t="s">
        <v>1184</v>
      </c>
      <c r="H2266" s="24" t="s">
        <v>741</v>
      </c>
      <c r="I2266" s="24" t="s">
        <v>1185</v>
      </c>
      <c r="J2266" s="14" t="s">
        <v>29</v>
      </c>
      <c r="K2266" s="15" t="s">
        <v>30</v>
      </c>
      <c r="L2266" s="58"/>
      <c r="M2266" s="14"/>
      <c r="N2266" s="14" t="s">
        <v>115</v>
      </c>
      <c r="O2266" s="14"/>
      <c r="P2266" s="15" t="s">
        <v>1378</v>
      </c>
      <c r="Q2266" s="16">
        <v>15999</v>
      </c>
      <c r="R2266" s="17">
        <v>40</v>
      </c>
      <c r="S2266" s="18">
        <v>11039.31</v>
      </c>
      <c r="T2266" s="19" t="s">
        <v>36</v>
      </c>
      <c r="U2266" s="20" t="s">
        <v>751</v>
      </c>
      <c r="V2266" s="22">
        <v>42</v>
      </c>
      <c r="W2266" s="22">
        <v>1</v>
      </c>
      <c r="X2266" s="23"/>
    </row>
    <row r="2267" spans="1:24" s="1" customFormat="1" ht="52.05" customHeight="1" x14ac:dyDescent="0.3">
      <c r="A2267" s="11" t="s">
        <v>23</v>
      </c>
      <c r="B2267" s="11" t="s">
        <v>2248</v>
      </c>
      <c r="C2267" s="12" t="s">
        <v>2249</v>
      </c>
      <c r="D2267" s="55"/>
      <c r="E2267" s="41" t="str">
        <f>HYPERLINK("https://www.google.ru/search?q=3027971-100&amp;newwindow=1&amp;tbm=isch","Еще фото")</f>
        <v>Еще фото</v>
      </c>
      <c r="F2267" s="13"/>
      <c r="G2267" s="11" t="s">
        <v>1184</v>
      </c>
      <c r="H2267" s="11" t="s">
        <v>741</v>
      </c>
      <c r="I2267" s="14" t="s">
        <v>1185</v>
      </c>
      <c r="J2267" s="14" t="s">
        <v>29</v>
      </c>
      <c r="K2267" s="15" t="s">
        <v>30</v>
      </c>
      <c r="L2267" s="57" t="s">
        <v>2250</v>
      </c>
      <c r="M2267" s="14" t="s">
        <v>2251</v>
      </c>
      <c r="N2267" s="14" t="s">
        <v>2079</v>
      </c>
      <c r="O2267" s="14"/>
      <c r="P2267" s="15" t="s">
        <v>1250</v>
      </c>
      <c r="Q2267" s="16">
        <v>19199</v>
      </c>
      <c r="R2267" s="17">
        <v>40</v>
      </c>
      <c r="S2267" s="18">
        <v>13247.309999999998</v>
      </c>
      <c r="T2267" s="19" t="s">
        <v>36</v>
      </c>
      <c r="U2267" s="20" t="s">
        <v>747</v>
      </c>
      <c r="V2267" s="34">
        <v>39.5</v>
      </c>
      <c r="W2267" s="22">
        <v>1</v>
      </c>
      <c r="X2267" s="23"/>
    </row>
    <row r="2268" spans="1:24" s="1" customFormat="1" ht="61.05" customHeight="1" x14ac:dyDescent="0.3">
      <c r="A2268" s="24" t="s">
        <v>23</v>
      </c>
      <c r="B2268" s="24" t="s">
        <v>2248</v>
      </c>
      <c r="C2268" s="12" t="s">
        <v>2249</v>
      </c>
      <c r="D2268" s="56"/>
      <c r="E2268" s="41" t="str">
        <f>HYPERLINK("https://www.google.ru/search?q=3027971-100&amp;newwindow=1&amp;tbm=isch","Еще фото")</f>
        <v>Еще фото</v>
      </c>
      <c r="F2268" s="13"/>
      <c r="G2268" s="24" t="s">
        <v>1184</v>
      </c>
      <c r="H2268" s="24" t="s">
        <v>741</v>
      </c>
      <c r="I2268" s="24" t="s">
        <v>1185</v>
      </c>
      <c r="J2268" s="14" t="s">
        <v>29</v>
      </c>
      <c r="K2268" s="15" t="s">
        <v>30</v>
      </c>
      <c r="L2268" s="58"/>
      <c r="M2268" s="14" t="s">
        <v>2251</v>
      </c>
      <c r="N2268" s="14" t="s">
        <v>2079</v>
      </c>
      <c r="O2268" s="14"/>
      <c r="P2268" s="15" t="s">
        <v>1250</v>
      </c>
      <c r="Q2268" s="16">
        <v>19199</v>
      </c>
      <c r="R2268" s="17">
        <v>40</v>
      </c>
      <c r="S2268" s="18">
        <v>13247.309999999998</v>
      </c>
      <c r="T2268" s="19" t="s">
        <v>36</v>
      </c>
      <c r="U2268" s="20" t="s">
        <v>748</v>
      </c>
      <c r="V2268" s="22">
        <v>40</v>
      </c>
      <c r="W2268" s="22">
        <v>1</v>
      </c>
      <c r="X2268" s="23"/>
    </row>
    <row r="2269" spans="1:24" s="1" customFormat="1" ht="52.05" customHeight="1" x14ac:dyDescent="0.3">
      <c r="A2269" s="11" t="s">
        <v>23</v>
      </c>
      <c r="B2269" s="11" t="s">
        <v>1299</v>
      </c>
      <c r="C2269" s="12" t="s">
        <v>2252</v>
      </c>
      <c r="D2269" s="55"/>
      <c r="E2269" s="41" t="str">
        <f>HYPERLINK("https://www.google.ru/search?q=3028002-001&amp;newwindow=1&amp;tbm=isch","Еще фото")</f>
        <v>Еще фото</v>
      </c>
      <c r="F2269" s="13" t="s">
        <v>152</v>
      </c>
      <c r="G2269" s="11" t="s">
        <v>1184</v>
      </c>
      <c r="H2269" s="11" t="s">
        <v>741</v>
      </c>
      <c r="I2269" s="14" t="s">
        <v>1185</v>
      </c>
      <c r="J2269" s="14" t="s">
        <v>29</v>
      </c>
      <c r="K2269" s="15" t="s">
        <v>30</v>
      </c>
      <c r="L2269" s="57" t="s">
        <v>2253</v>
      </c>
      <c r="M2269" s="14" t="s">
        <v>1211</v>
      </c>
      <c r="N2269" s="14" t="s">
        <v>33</v>
      </c>
      <c r="O2269" s="14"/>
      <c r="P2269" s="15" t="s">
        <v>745</v>
      </c>
      <c r="Q2269" s="16">
        <v>15599</v>
      </c>
      <c r="R2269" s="17">
        <v>40</v>
      </c>
      <c r="S2269" s="18">
        <v>10763.31</v>
      </c>
      <c r="T2269" s="19" t="s">
        <v>36</v>
      </c>
      <c r="U2269" s="20" t="s">
        <v>752</v>
      </c>
      <c r="V2269" s="22">
        <v>43</v>
      </c>
      <c r="W2269" s="22">
        <v>12</v>
      </c>
      <c r="X2269" s="23"/>
    </row>
    <row r="2270" spans="1:24" s="1" customFormat="1" ht="61.05" customHeight="1" x14ac:dyDescent="0.3">
      <c r="A2270" s="24" t="s">
        <v>23</v>
      </c>
      <c r="B2270" s="24" t="s">
        <v>1299</v>
      </c>
      <c r="C2270" s="12" t="s">
        <v>2252</v>
      </c>
      <c r="D2270" s="56"/>
      <c r="E2270" s="41" t="str">
        <f>HYPERLINK("https://www.google.ru/search?q=3028002-001&amp;newwindow=1&amp;tbm=isch","Еще фото")</f>
        <v>Еще фото</v>
      </c>
      <c r="F2270" s="13" t="s">
        <v>152</v>
      </c>
      <c r="G2270" s="24" t="s">
        <v>1184</v>
      </c>
      <c r="H2270" s="24" t="s">
        <v>741</v>
      </c>
      <c r="I2270" s="24" t="s">
        <v>1185</v>
      </c>
      <c r="J2270" s="14" t="s">
        <v>29</v>
      </c>
      <c r="K2270" s="15" t="s">
        <v>30</v>
      </c>
      <c r="L2270" s="58"/>
      <c r="M2270" s="14" t="s">
        <v>1211</v>
      </c>
      <c r="N2270" s="14" t="s">
        <v>33</v>
      </c>
      <c r="O2270" s="14"/>
      <c r="P2270" s="15" t="s">
        <v>745</v>
      </c>
      <c r="Q2270" s="16">
        <v>15599</v>
      </c>
      <c r="R2270" s="17">
        <v>40</v>
      </c>
      <c r="S2270" s="18">
        <v>10763.31</v>
      </c>
      <c r="T2270" s="19" t="s">
        <v>36</v>
      </c>
      <c r="U2270" s="20" t="s">
        <v>753</v>
      </c>
      <c r="V2270" s="34">
        <v>43.5</v>
      </c>
      <c r="W2270" s="22">
        <v>5</v>
      </c>
      <c r="X2270" s="23"/>
    </row>
    <row r="2271" spans="1:24" s="1" customFormat="1" ht="26" customHeight="1" x14ac:dyDescent="0.3">
      <c r="A2271" s="11" t="s">
        <v>23</v>
      </c>
      <c r="B2271" s="11" t="s">
        <v>1299</v>
      </c>
      <c r="C2271" s="12" t="s">
        <v>2254</v>
      </c>
      <c r="D2271" s="59"/>
      <c r="E2271" s="41" t="str">
        <f>HYPERLINK("https://www.google.ru/search?q=3028002-100&amp;newwindow=1&amp;tbm=isch","Еще фото")</f>
        <v>Еще фото</v>
      </c>
      <c r="F2271" s="13" t="s">
        <v>103</v>
      </c>
      <c r="G2271" s="11" t="s">
        <v>1184</v>
      </c>
      <c r="H2271" s="11" t="s">
        <v>741</v>
      </c>
      <c r="I2271" s="14" t="s">
        <v>1185</v>
      </c>
      <c r="J2271" s="14" t="s">
        <v>29</v>
      </c>
      <c r="K2271" s="15" t="s">
        <v>30</v>
      </c>
      <c r="L2271" s="57" t="s">
        <v>2255</v>
      </c>
      <c r="M2271" s="14" t="s">
        <v>1211</v>
      </c>
      <c r="N2271" s="14" t="s">
        <v>84</v>
      </c>
      <c r="O2271" s="14"/>
      <c r="P2271" s="15" t="s">
        <v>745</v>
      </c>
      <c r="Q2271" s="16">
        <v>15599</v>
      </c>
      <c r="R2271" s="17">
        <v>40</v>
      </c>
      <c r="S2271" s="18">
        <v>10763.31</v>
      </c>
      <c r="T2271" s="19" t="s">
        <v>36</v>
      </c>
      <c r="U2271" s="20" t="s">
        <v>748</v>
      </c>
      <c r="V2271" s="22">
        <v>40</v>
      </c>
      <c r="W2271" s="22">
        <v>2</v>
      </c>
      <c r="X2271" s="23"/>
    </row>
    <row r="2272" spans="1:24" s="1" customFormat="1" ht="26" customHeight="1" x14ac:dyDescent="0.3">
      <c r="A2272" s="24" t="s">
        <v>23</v>
      </c>
      <c r="B2272" s="24" t="s">
        <v>1299</v>
      </c>
      <c r="C2272" s="12" t="s">
        <v>2254</v>
      </c>
      <c r="D2272" s="60"/>
      <c r="E2272" s="41" t="str">
        <f>HYPERLINK("https://www.google.ru/search?q=3028002-100&amp;newwindow=1&amp;tbm=isch","Еще фото")</f>
        <v>Еще фото</v>
      </c>
      <c r="F2272" s="13" t="s">
        <v>103</v>
      </c>
      <c r="G2272" s="24" t="s">
        <v>1184</v>
      </c>
      <c r="H2272" s="24" t="s">
        <v>741</v>
      </c>
      <c r="I2272" s="24" t="s">
        <v>1185</v>
      </c>
      <c r="J2272" s="14" t="s">
        <v>29</v>
      </c>
      <c r="K2272" s="15" t="s">
        <v>30</v>
      </c>
      <c r="L2272" s="62"/>
      <c r="M2272" s="14" t="s">
        <v>1211</v>
      </c>
      <c r="N2272" s="14" t="s">
        <v>84</v>
      </c>
      <c r="O2272" s="14"/>
      <c r="P2272" s="15" t="s">
        <v>745</v>
      </c>
      <c r="Q2272" s="16">
        <v>15599</v>
      </c>
      <c r="R2272" s="17">
        <v>40</v>
      </c>
      <c r="S2272" s="18">
        <v>10763.31</v>
      </c>
      <c r="T2272" s="19" t="s">
        <v>36</v>
      </c>
      <c r="U2272" s="20" t="s">
        <v>749</v>
      </c>
      <c r="V2272" s="22">
        <v>41</v>
      </c>
      <c r="W2272" s="22">
        <v>4</v>
      </c>
      <c r="X2272" s="23"/>
    </row>
    <row r="2273" spans="1:24" s="1" customFormat="1" ht="26" customHeight="1" x14ac:dyDescent="0.3">
      <c r="A2273" s="24" t="s">
        <v>23</v>
      </c>
      <c r="B2273" s="24" t="s">
        <v>1299</v>
      </c>
      <c r="C2273" s="12" t="s">
        <v>2254</v>
      </c>
      <c r="D2273" s="60"/>
      <c r="E2273" s="41" t="str">
        <f>HYPERLINK("https://www.google.ru/search?q=3028002-100&amp;newwindow=1&amp;tbm=isch","Еще фото")</f>
        <v>Еще фото</v>
      </c>
      <c r="F2273" s="13" t="s">
        <v>103</v>
      </c>
      <c r="G2273" s="24" t="s">
        <v>1184</v>
      </c>
      <c r="H2273" s="24" t="s">
        <v>741</v>
      </c>
      <c r="I2273" s="24" t="s">
        <v>1185</v>
      </c>
      <c r="J2273" s="14" t="s">
        <v>29</v>
      </c>
      <c r="K2273" s="15" t="s">
        <v>30</v>
      </c>
      <c r="L2273" s="62"/>
      <c r="M2273" s="14" t="s">
        <v>1211</v>
      </c>
      <c r="N2273" s="14" t="s">
        <v>84</v>
      </c>
      <c r="O2273" s="14"/>
      <c r="P2273" s="15" t="s">
        <v>745</v>
      </c>
      <c r="Q2273" s="16">
        <v>15599</v>
      </c>
      <c r="R2273" s="17">
        <v>40</v>
      </c>
      <c r="S2273" s="18">
        <v>10763.31</v>
      </c>
      <c r="T2273" s="19" t="s">
        <v>36</v>
      </c>
      <c r="U2273" s="20" t="s">
        <v>750</v>
      </c>
      <c r="V2273" s="34">
        <v>41.5</v>
      </c>
      <c r="W2273" s="22">
        <v>1</v>
      </c>
      <c r="X2273" s="23"/>
    </row>
    <row r="2274" spans="1:24" s="1" customFormat="1" ht="26" customHeight="1" x14ac:dyDescent="0.3">
      <c r="A2274" s="24" t="s">
        <v>23</v>
      </c>
      <c r="B2274" s="24" t="s">
        <v>1299</v>
      </c>
      <c r="C2274" s="12" t="s">
        <v>2254</v>
      </c>
      <c r="D2274" s="61"/>
      <c r="E2274" s="41" t="str">
        <f>HYPERLINK("https://www.google.ru/search?q=3028002-100&amp;newwindow=1&amp;tbm=isch","Еще фото")</f>
        <v>Еще фото</v>
      </c>
      <c r="F2274" s="13" t="s">
        <v>103</v>
      </c>
      <c r="G2274" s="24" t="s">
        <v>1184</v>
      </c>
      <c r="H2274" s="24" t="s">
        <v>741</v>
      </c>
      <c r="I2274" s="24" t="s">
        <v>1185</v>
      </c>
      <c r="J2274" s="14" t="s">
        <v>29</v>
      </c>
      <c r="K2274" s="15" t="s">
        <v>30</v>
      </c>
      <c r="L2274" s="58"/>
      <c r="M2274" s="14" t="s">
        <v>1211</v>
      </c>
      <c r="N2274" s="14" t="s">
        <v>84</v>
      </c>
      <c r="O2274" s="14"/>
      <c r="P2274" s="15" t="s">
        <v>745</v>
      </c>
      <c r="Q2274" s="16">
        <v>15599</v>
      </c>
      <c r="R2274" s="17">
        <v>40</v>
      </c>
      <c r="S2274" s="18">
        <v>10763.31</v>
      </c>
      <c r="T2274" s="19" t="s">
        <v>36</v>
      </c>
      <c r="U2274" s="20" t="s">
        <v>752</v>
      </c>
      <c r="V2274" s="22">
        <v>43</v>
      </c>
      <c r="W2274" s="22">
        <v>3</v>
      </c>
      <c r="X2274" s="23"/>
    </row>
    <row r="2275" spans="1:24" s="1" customFormat="1" ht="17" customHeight="1" x14ac:dyDescent="0.3">
      <c r="A2275" s="11" t="s">
        <v>23</v>
      </c>
      <c r="B2275" s="11" t="s">
        <v>1299</v>
      </c>
      <c r="C2275" s="12" t="s">
        <v>2256</v>
      </c>
      <c r="D2275" s="59"/>
      <c r="E2275" s="41" t="str">
        <f t="shared" ref="E2275:E2280" si="89">HYPERLINK("https://www.google.ru/search?q=3028002-103&amp;newwindow=1&amp;tbm=isch","Еще фото")</f>
        <v>Еще фото</v>
      </c>
      <c r="F2275" s="13" t="s">
        <v>103</v>
      </c>
      <c r="G2275" s="11" t="s">
        <v>1184</v>
      </c>
      <c r="H2275" s="11" t="s">
        <v>741</v>
      </c>
      <c r="I2275" s="14" t="s">
        <v>1185</v>
      </c>
      <c r="J2275" s="14" t="s">
        <v>29</v>
      </c>
      <c r="K2275" s="15" t="s">
        <v>30</v>
      </c>
      <c r="L2275" s="57" t="s">
        <v>1301</v>
      </c>
      <c r="M2275" s="14" t="s">
        <v>1211</v>
      </c>
      <c r="N2275" s="14" t="s">
        <v>84</v>
      </c>
      <c r="O2275" s="14"/>
      <c r="P2275" s="15" t="s">
        <v>1302</v>
      </c>
      <c r="Q2275" s="16">
        <v>16599</v>
      </c>
      <c r="R2275" s="17">
        <v>40</v>
      </c>
      <c r="S2275" s="18">
        <v>11453.31</v>
      </c>
      <c r="T2275" s="19" t="s">
        <v>36</v>
      </c>
      <c r="U2275" s="20" t="s">
        <v>746</v>
      </c>
      <c r="V2275" s="22">
        <v>39</v>
      </c>
      <c r="W2275" s="22">
        <v>2</v>
      </c>
      <c r="X2275" s="23"/>
    </row>
    <row r="2276" spans="1:24" s="1" customFormat="1" ht="17" customHeight="1" x14ac:dyDescent="0.3">
      <c r="A2276" s="24" t="s">
        <v>23</v>
      </c>
      <c r="B2276" s="24" t="s">
        <v>1299</v>
      </c>
      <c r="C2276" s="12" t="s">
        <v>2256</v>
      </c>
      <c r="D2276" s="60"/>
      <c r="E2276" s="41" t="str">
        <f t="shared" si="89"/>
        <v>Еще фото</v>
      </c>
      <c r="F2276" s="13" t="s">
        <v>103</v>
      </c>
      <c r="G2276" s="24" t="s">
        <v>1184</v>
      </c>
      <c r="H2276" s="24" t="s">
        <v>741</v>
      </c>
      <c r="I2276" s="24" t="s">
        <v>1185</v>
      </c>
      <c r="J2276" s="14" t="s">
        <v>29</v>
      </c>
      <c r="K2276" s="15" t="s">
        <v>30</v>
      </c>
      <c r="L2276" s="62"/>
      <c r="M2276" s="14" t="s">
        <v>1211</v>
      </c>
      <c r="N2276" s="14" t="s">
        <v>84</v>
      </c>
      <c r="O2276" s="14"/>
      <c r="P2276" s="15" t="s">
        <v>1302</v>
      </c>
      <c r="Q2276" s="16">
        <v>16599</v>
      </c>
      <c r="R2276" s="17">
        <v>40</v>
      </c>
      <c r="S2276" s="18">
        <v>11453.31</v>
      </c>
      <c r="T2276" s="19" t="s">
        <v>36</v>
      </c>
      <c r="U2276" s="20" t="s">
        <v>748</v>
      </c>
      <c r="V2276" s="22">
        <v>40</v>
      </c>
      <c r="W2276" s="22">
        <v>1</v>
      </c>
      <c r="X2276" s="23"/>
    </row>
    <row r="2277" spans="1:24" s="1" customFormat="1" ht="17" customHeight="1" x14ac:dyDescent="0.3">
      <c r="A2277" s="24" t="s">
        <v>23</v>
      </c>
      <c r="B2277" s="24" t="s">
        <v>1299</v>
      </c>
      <c r="C2277" s="12" t="s">
        <v>2256</v>
      </c>
      <c r="D2277" s="60"/>
      <c r="E2277" s="41" t="str">
        <f t="shared" si="89"/>
        <v>Еще фото</v>
      </c>
      <c r="F2277" s="13" t="s">
        <v>103</v>
      </c>
      <c r="G2277" s="24" t="s">
        <v>1184</v>
      </c>
      <c r="H2277" s="24" t="s">
        <v>741</v>
      </c>
      <c r="I2277" s="24" t="s">
        <v>1185</v>
      </c>
      <c r="J2277" s="14" t="s">
        <v>29</v>
      </c>
      <c r="K2277" s="15" t="s">
        <v>30</v>
      </c>
      <c r="L2277" s="62"/>
      <c r="M2277" s="14" t="s">
        <v>1211</v>
      </c>
      <c r="N2277" s="14" t="s">
        <v>84</v>
      </c>
      <c r="O2277" s="14"/>
      <c r="P2277" s="15" t="s">
        <v>1302</v>
      </c>
      <c r="Q2277" s="16">
        <v>16599</v>
      </c>
      <c r="R2277" s="17">
        <v>40</v>
      </c>
      <c r="S2277" s="18">
        <v>11453.31</v>
      </c>
      <c r="T2277" s="19" t="s">
        <v>36</v>
      </c>
      <c r="U2277" s="20" t="s">
        <v>749</v>
      </c>
      <c r="V2277" s="22">
        <v>41</v>
      </c>
      <c r="W2277" s="22">
        <v>1</v>
      </c>
      <c r="X2277" s="23"/>
    </row>
    <row r="2278" spans="1:24" s="1" customFormat="1" ht="17" customHeight="1" x14ac:dyDescent="0.3">
      <c r="A2278" s="24" t="s">
        <v>23</v>
      </c>
      <c r="B2278" s="24" t="s">
        <v>1299</v>
      </c>
      <c r="C2278" s="12" t="s">
        <v>2256</v>
      </c>
      <c r="D2278" s="60"/>
      <c r="E2278" s="41" t="str">
        <f t="shared" si="89"/>
        <v>Еще фото</v>
      </c>
      <c r="F2278" s="13" t="s">
        <v>103</v>
      </c>
      <c r="G2278" s="24" t="s">
        <v>1184</v>
      </c>
      <c r="H2278" s="24" t="s">
        <v>741</v>
      </c>
      <c r="I2278" s="24" t="s">
        <v>1185</v>
      </c>
      <c r="J2278" s="14" t="s">
        <v>29</v>
      </c>
      <c r="K2278" s="15" t="s">
        <v>30</v>
      </c>
      <c r="L2278" s="62"/>
      <c r="M2278" s="14" t="s">
        <v>1211</v>
      </c>
      <c r="N2278" s="14" t="s">
        <v>84</v>
      </c>
      <c r="O2278" s="14"/>
      <c r="P2278" s="15" t="s">
        <v>1302</v>
      </c>
      <c r="Q2278" s="16">
        <v>16599</v>
      </c>
      <c r="R2278" s="17">
        <v>40</v>
      </c>
      <c r="S2278" s="18">
        <v>11453.31</v>
      </c>
      <c r="T2278" s="19" t="s">
        <v>36</v>
      </c>
      <c r="U2278" s="20" t="s">
        <v>750</v>
      </c>
      <c r="V2278" s="34">
        <v>41.5</v>
      </c>
      <c r="W2278" s="22">
        <v>3</v>
      </c>
      <c r="X2278" s="23"/>
    </row>
    <row r="2279" spans="1:24" s="1" customFormat="1" ht="17" customHeight="1" x14ac:dyDescent="0.3">
      <c r="A2279" s="24" t="s">
        <v>23</v>
      </c>
      <c r="B2279" s="24" t="s">
        <v>1299</v>
      </c>
      <c r="C2279" s="12" t="s">
        <v>2256</v>
      </c>
      <c r="D2279" s="60"/>
      <c r="E2279" s="41" t="str">
        <f t="shared" si="89"/>
        <v>Еще фото</v>
      </c>
      <c r="F2279" s="13" t="s">
        <v>103</v>
      </c>
      <c r="G2279" s="24" t="s">
        <v>1184</v>
      </c>
      <c r="H2279" s="24" t="s">
        <v>741</v>
      </c>
      <c r="I2279" s="24" t="s">
        <v>1185</v>
      </c>
      <c r="J2279" s="14" t="s">
        <v>29</v>
      </c>
      <c r="K2279" s="15" t="s">
        <v>30</v>
      </c>
      <c r="L2279" s="62"/>
      <c r="M2279" s="14" t="s">
        <v>1211</v>
      </c>
      <c r="N2279" s="14" t="s">
        <v>84</v>
      </c>
      <c r="O2279" s="14"/>
      <c r="P2279" s="15" t="s">
        <v>1302</v>
      </c>
      <c r="Q2279" s="16">
        <v>16599</v>
      </c>
      <c r="R2279" s="17">
        <v>40</v>
      </c>
      <c r="S2279" s="18">
        <v>11453.31</v>
      </c>
      <c r="T2279" s="19" t="s">
        <v>36</v>
      </c>
      <c r="U2279" s="20" t="s">
        <v>752</v>
      </c>
      <c r="V2279" s="22">
        <v>43</v>
      </c>
      <c r="W2279" s="22">
        <v>2</v>
      </c>
      <c r="X2279" s="23"/>
    </row>
    <row r="2280" spans="1:24" s="1" customFormat="1" ht="22.05" customHeight="1" x14ac:dyDescent="0.3">
      <c r="A2280" s="24" t="s">
        <v>23</v>
      </c>
      <c r="B2280" s="24" t="s">
        <v>1299</v>
      </c>
      <c r="C2280" s="12" t="s">
        <v>2256</v>
      </c>
      <c r="D2280" s="61"/>
      <c r="E2280" s="41" t="str">
        <f t="shared" si="89"/>
        <v>Еще фото</v>
      </c>
      <c r="F2280" s="13" t="s">
        <v>103</v>
      </c>
      <c r="G2280" s="24" t="s">
        <v>1184</v>
      </c>
      <c r="H2280" s="24" t="s">
        <v>741</v>
      </c>
      <c r="I2280" s="24" t="s">
        <v>1185</v>
      </c>
      <c r="J2280" s="14" t="s">
        <v>29</v>
      </c>
      <c r="K2280" s="15" t="s">
        <v>30</v>
      </c>
      <c r="L2280" s="58"/>
      <c r="M2280" s="14" t="s">
        <v>1211</v>
      </c>
      <c r="N2280" s="14" t="s">
        <v>84</v>
      </c>
      <c r="O2280" s="14"/>
      <c r="P2280" s="15" t="s">
        <v>1302</v>
      </c>
      <c r="Q2280" s="16">
        <v>16599</v>
      </c>
      <c r="R2280" s="17">
        <v>40</v>
      </c>
      <c r="S2280" s="18">
        <v>11453.31</v>
      </c>
      <c r="T2280" s="19" t="s">
        <v>36</v>
      </c>
      <c r="U2280" s="20" t="s">
        <v>754</v>
      </c>
      <c r="V2280" s="22">
        <v>44</v>
      </c>
      <c r="W2280" s="22">
        <v>1</v>
      </c>
      <c r="X2280" s="23"/>
    </row>
    <row r="2281" spans="1:24" s="1" customFormat="1" ht="13.05" customHeight="1" x14ac:dyDescent="0.3">
      <c r="A2281" s="11" t="s">
        <v>23</v>
      </c>
      <c r="B2281" s="11" t="s">
        <v>1358</v>
      </c>
      <c r="C2281" s="12" t="s">
        <v>2257</v>
      </c>
      <c r="D2281" s="59"/>
      <c r="E2281" s="41" t="str">
        <f t="shared" ref="E2281:E2288" si="90">HYPERLINK("https://www.google.ru/search?q=3028076-002&amp;newwindow=1&amp;tbm=isch","Еще фото")</f>
        <v>Еще фото</v>
      </c>
      <c r="F2281" s="13" t="s">
        <v>103</v>
      </c>
      <c r="G2281" s="11" t="s">
        <v>1184</v>
      </c>
      <c r="H2281" s="11" t="s">
        <v>741</v>
      </c>
      <c r="I2281" s="14" t="s">
        <v>1185</v>
      </c>
      <c r="J2281" s="14" t="s">
        <v>29</v>
      </c>
      <c r="K2281" s="15" t="s">
        <v>30</v>
      </c>
      <c r="L2281" s="57" t="s">
        <v>2258</v>
      </c>
      <c r="M2281" s="14"/>
      <c r="N2281" s="14" t="s">
        <v>33</v>
      </c>
      <c r="O2281" s="14"/>
      <c r="P2281" s="15" t="s">
        <v>1599</v>
      </c>
      <c r="Q2281" s="16">
        <v>13199</v>
      </c>
      <c r="R2281" s="17">
        <v>40</v>
      </c>
      <c r="S2281" s="18">
        <v>9107.31</v>
      </c>
      <c r="T2281" s="19" t="s">
        <v>36</v>
      </c>
      <c r="U2281" s="33" t="s">
        <v>748</v>
      </c>
      <c r="V2281" s="22">
        <v>40</v>
      </c>
      <c r="W2281" s="22">
        <v>5</v>
      </c>
      <c r="X2281" s="23"/>
    </row>
    <row r="2282" spans="1:24" s="1" customFormat="1" ht="13.05" customHeight="1" x14ac:dyDescent="0.3">
      <c r="A2282" s="24" t="s">
        <v>23</v>
      </c>
      <c r="B2282" s="24" t="s">
        <v>1358</v>
      </c>
      <c r="C2282" s="12" t="s">
        <v>2257</v>
      </c>
      <c r="D2282" s="60"/>
      <c r="E2282" s="41" t="str">
        <f t="shared" si="90"/>
        <v>Еще фото</v>
      </c>
      <c r="F2282" s="13" t="s">
        <v>103</v>
      </c>
      <c r="G2282" s="24" t="s">
        <v>1184</v>
      </c>
      <c r="H2282" s="24" t="s">
        <v>741</v>
      </c>
      <c r="I2282" s="24" t="s">
        <v>1185</v>
      </c>
      <c r="J2282" s="14" t="s">
        <v>29</v>
      </c>
      <c r="K2282" s="15" t="s">
        <v>30</v>
      </c>
      <c r="L2282" s="62"/>
      <c r="M2282" s="14"/>
      <c r="N2282" s="14" t="s">
        <v>33</v>
      </c>
      <c r="O2282" s="14"/>
      <c r="P2282" s="15" t="s">
        <v>1599</v>
      </c>
      <c r="Q2282" s="16">
        <v>13199</v>
      </c>
      <c r="R2282" s="17">
        <v>40</v>
      </c>
      <c r="S2282" s="18">
        <v>9107.31</v>
      </c>
      <c r="T2282" s="19" t="s">
        <v>36</v>
      </c>
      <c r="U2282" s="20" t="s">
        <v>749</v>
      </c>
      <c r="V2282" s="22">
        <v>41</v>
      </c>
      <c r="W2282" s="22">
        <v>6</v>
      </c>
      <c r="X2282" s="23"/>
    </row>
    <row r="2283" spans="1:24" s="1" customFormat="1" ht="13.05" customHeight="1" x14ac:dyDescent="0.3">
      <c r="A2283" s="24" t="s">
        <v>23</v>
      </c>
      <c r="B2283" s="24" t="s">
        <v>1358</v>
      </c>
      <c r="C2283" s="12" t="s">
        <v>2257</v>
      </c>
      <c r="D2283" s="60"/>
      <c r="E2283" s="41" t="str">
        <f t="shared" si="90"/>
        <v>Еще фото</v>
      </c>
      <c r="F2283" s="13" t="s">
        <v>103</v>
      </c>
      <c r="G2283" s="24" t="s">
        <v>1184</v>
      </c>
      <c r="H2283" s="24" t="s">
        <v>741</v>
      </c>
      <c r="I2283" s="24" t="s">
        <v>1185</v>
      </c>
      <c r="J2283" s="14" t="s">
        <v>29</v>
      </c>
      <c r="K2283" s="15" t="s">
        <v>30</v>
      </c>
      <c r="L2283" s="62"/>
      <c r="M2283" s="14"/>
      <c r="N2283" s="14" t="s">
        <v>33</v>
      </c>
      <c r="O2283" s="14"/>
      <c r="P2283" s="15" t="s">
        <v>1599</v>
      </c>
      <c r="Q2283" s="16">
        <v>13199</v>
      </c>
      <c r="R2283" s="17">
        <v>40</v>
      </c>
      <c r="S2283" s="18">
        <v>9107.31</v>
      </c>
      <c r="T2283" s="19" t="s">
        <v>36</v>
      </c>
      <c r="U2283" s="20" t="s">
        <v>750</v>
      </c>
      <c r="V2283" s="34">
        <v>41.5</v>
      </c>
      <c r="W2283" s="22">
        <v>13</v>
      </c>
      <c r="X2283" s="23"/>
    </row>
    <row r="2284" spans="1:24" s="1" customFormat="1" ht="13.05" customHeight="1" x14ac:dyDescent="0.3">
      <c r="A2284" s="24" t="s">
        <v>23</v>
      </c>
      <c r="B2284" s="24" t="s">
        <v>1358</v>
      </c>
      <c r="C2284" s="12" t="s">
        <v>2257</v>
      </c>
      <c r="D2284" s="60"/>
      <c r="E2284" s="41" t="str">
        <f t="shared" si="90"/>
        <v>Еще фото</v>
      </c>
      <c r="F2284" s="13" t="s">
        <v>103</v>
      </c>
      <c r="G2284" s="24" t="s">
        <v>1184</v>
      </c>
      <c r="H2284" s="24" t="s">
        <v>741</v>
      </c>
      <c r="I2284" s="24" t="s">
        <v>1185</v>
      </c>
      <c r="J2284" s="14" t="s">
        <v>29</v>
      </c>
      <c r="K2284" s="15" t="s">
        <v>30</v>
      </c>
      <c r="L2284" s="62"/>
      <c r="M2284" s="14"/>
      <c r="N2284" s="14" t="s">
        <v>33</v>
      </c>
      <c r="O2284" s="14"/>
      <c r="P2284" s="15" t="s">
        <v>1599</v>
      </c>
      <c r="Q2284" s="16">
        <v>13199</v>
      </c>
      <c r="R2284" s="17">
        <v>40</v>
      </c>
      <c r="S2284" s="18">
        <v>9107.31</v>
      </c>
      <c r="T2284" s="19" t="s">
        <v>36</v>
      </c>
      <c r="U2284" s="20" t="s">
        <v>751</v>
      </c>
      <c r="V2284" s="22">
        <v>42</v>
      </c>
      <c r="W2284" s="22">
        <v>15</v>
      </c>
      <c r="X2284" s="23"/>
    </row>
    <row r="2285" spans="1:24" s="1" customFormat="1" ht="13.05" customHeight="1" x14ac:dyDescent="0.3">
      <c r="A2285" s="24" t="s">
        <v>23</v>
      </c>
      <c r="B2285" s="24" t="s">
        <v>1358</v>
      </c>
      <c r="C2285" s="12" t="s">
        <v>2257</v>
      </c>
      <c r="D2285" s="60"/>
      <c r="E2285" s="41" t="str">
        <f t="shared" si="90"/>
        <v>Еще фото</v>
      </c>
      <c r="F2285" s="13" t="s">
        <v>103</v>
      </c>
      <c r="G2285" s="24" t="s">
        <v>1184</v>
      </c>
      <c r="H2285" s="24" t="s">
        <v>741</v>
      </c>
      <c r="I2285" s="24" t="s">
        <v>1185</v>
      </c>
      <c r="J2285" s="14" t="s">
        <v>29</v>
      </c>
      <c r="K2285" s="15" t="s">
        <v>30</v>
      </c>
      <c r="L2285" s="62"/>
      <c r="M2285" s="14"/>
      <c r="N2285" s="14" t="s">
        <v>33</v>
      </c>
      <c r="O2285" s="14"/>
      <c r="P2285" s="15" t="s">
        <v>1599</v>
      </c>
      <c r="Q2285" s="16">
        <v>13199</v>
      </c>
      <c r="R2285" s="17">
        <v>40</v>
      </c>
      <c r="S2285" s="18">
        <v>9107.31</v>
      </c>
      <c r="T2285" s="19" t="s">
        <v>36</v>
      </c>
      <c r="U2285" s="20" t="s">
        <v>752</v>
      </c>
      <c r="V2285" s="22">
        <v>43</v>
      </c>
      <c r="W2285" s="22">
        <v>16</v>
      </c>
      <c r="X2285" s="23"/>
    </row>
    <row r="2286" spans="1:24" s="1" customFormat="1" ht="13.05" customHeight="1" x14ac:dyDescent="0.3">
      <c r="A2286" s="24" t="s">
        <v>23</v>
      </c>
      <c r="B2286" s="24" t="s">
        <v>1358</v>
      </c>
      <c r="C2286" s="12" t="s">
        <v>2257</v>
      </c>
      <c r="D2286" s="60"/>
      <c r="E2286" s="41" t="str">
        <f t="shared" si="90"/>
        <v>Еще фото</v>
      </c>
      <c r="F2286" s="13" t="s">
        <v>103</v>
      </c>
      <c r="G2286" s="24" t="s">
        <v>1184</v>
      </c>
      <c r="H2286" s="24" t="s">
        <v>741</v>
      </c>
      <c r="I2286" s="24" t="s">
        <v>1185</v>
      </c>
      <c r="J2286" s="14" t="s">
        <v>29</v>
      </c>
      <c r="K2286" s="15" t="s">
        <v>30</v>
      </c>
      <c r="L2286" s="62"/>
      <c r="M2286" s="14"/>
      <c r="N2286" s="14" t="s">
        <v>33</v>
      </c>
      <c r="O2286" s="14"/>
      <c r="P2286" s="15" t="s">
        <v>1599</v>
      </c>
      <c r="Q2286" s="16">
        <v>13199</v>
      </c>
      <c r="R2286" s="17">
        <v>40</v>
      </c>
      <c r="S2286" s="18">
        <v>9107.31</v>
      </c>
      <c r="T2286" s="19" t="s">
        <v>36</v>
      </c>
      <c r="U2286" s="20" t="s">
        <v>753</v>
      </c>
      <c r="V2286" s="34">
        <v>43.5</v>
      </c>
      <c r="W2286" s="22">
        <v>18</v>
      </c>
      <c r="X2286" s="23"/>
    </row>
    <row r="2287" spans="1:24" s="1" customFormat="1" ht="13.05" customHeight="1" x14ac:dyDescent="0.3">
      <c r="A2287" s="24" t="s">
        <v>23</v>
      </c>
      <c r="B2287" s="24" t="s">
        <v>1358</v>
      </c>
      <c r="C2287" s="12" t="s">
        <v>2257</v>
      </c>
      <c r="D2287" s="60"/>
      <c r="E2287" s="41" t="str">
        <f t="shared" si="90"/>
        <v>Еще фото</v>
      </c>
      <c r="F2287" s="13" t="s">
        <v>103</v>
      </c>
      <c r="G2287" s="24" t="s">
        <v>1184</v>
      </c>
      <c r="H2287" s="24" t="s">
        <v>741</v>
      </c>
      <c r="I2287" s="24" t="s">
        <v>1185</v>
      </c>
      <c r="J2287" s="14" t="s">
        <v>29</v>
      </c>
      <c r="K2287" s="15" t="s">
        <v>30</v>
      </c>
      <c r="L2287" s="62"/>
      <c r="M2287" s="14"/>
      <c r="N2287" s="14" t="s">
        <v>33</v>
      </c>
      <c r="O2287" s="14"/>
      <c r="P2287" s="15" t="s">
        <v>1599</v>
      </c>
      <c r="Q2287" s="16">
        <v>13199</v>
      </c>
      <c r="R2287" s="17">
        <v>40</v>
      </c>
      <c r="S2287" s="18">
        <v>9107.31</v>
      </c>
      <c r="T2287" s="19" t="s">
        <v>36</v>
      </c>
      <c r="U2287" s="20" t="s">
        <v>754</v>
      </c>
      <c r="V2287" s="22">
        <v>44</v>
      </c>
      <c r="W2287" s="22">
        <v>12</v>
      </c>
      <c r="X2287" s="23"/>
    </row>
    <row r="2288" spans="1:24" s="1" customFormat="1" ht="18" customHeight="1" x14ac:dyDescent="0.3">
      <c r="A2288" s="24" t="s">
        <v>23</v>
      </c>
      <c r="B2288" s="24" t="s">
        <v>1358</v>
      </c>
      <c r="C2288" s="12" t="s">
        <v>2257</v>
      </c>
      <c r="D2288" s="61"/>
      <c r="E2288" s="41" t="str">
        <f t="shared" si="90"/>
        <v>Еще фото</v>
      </c>
      <c r="F2288" s="13" t="s">
        <v>103</v>
      </c>
      <c r="G2288" s="24" t="s">
        <v>1184</v>
      </c>
      <c r="H2288" s="24" t="s">
        <v>741</v>
      </c>
      <c r="I2288" s="24" t="s">
        <v>1185</v>
      </c>
      <c r="J2288" s="14" t="s">
        <v>29</v>
      </c>
      <c r="K2288" s="15" t="s">
        <v>30</v>
      </c>
      <c r="L2288" s="58"/>
      <c r="M2288" s="14"/>
      <c r="N2288" s="14" t="s">
        <v>33</v>
      </c>
      <c r="O2288" s="14"/>
      <c r="P2288" s="15" t="s">
        <v>1599</v>
      </c>
      <c r="Q2288" s="16">
        <v>13199</v>
      </c>
      <c r="R2288" s="17">
        <v>40</v>
      </c>
      <c r="S2288" s="18">
        <v>9107.31</v>
      </c>
      <c r="T2288" s="19" t="s">
        <v>36</v>
      </c>
      <c r="U2288" s="20" t="s">
        <v>755</v>
      </c>
      <c r="V2288" s="34">
        <v>44.5</v>
      </c>
      <c r="W2288" s="22">
        <v>5</v>
      </c>
      <c r="X2288" s="23"/>
    </row>
    <row r="2289" spans="1:24" s="1" customFormat="1" ht="14" customHeight="1" x14ac:dyDescent="0.3">
      <c r="A2289" s="11" t="s">
        <v>23</v>
      </c>
      <c r="B2289" s="11" t="s">
        <v>1358</v>
      </c>
      <c r="C2289" s="12" t="s">
        <v>2259</v>
      </c>
      <c r="D2289" s="59"/>
      <c r="E2289" s="41" t="str">
        <f t="shared" ref="E2289:E2295" si="91">HYPERLINK("https://www.google.ru/search?q=3028076-025&amp;newwindow=1&amp;tbm=isch","Еще фото")</f>
        <v>Еще фото</v>
      </c>
      <c r="F2289" s="13" t="s">
        <v>103</v>
      </c>
      <c r="G2289" s="11" t="s">
        <v>1184</v>
      </c>
      <c r="H2289" s="11" t="s">
        <v>741</v>
      </c>
      <c r="I2289" s="14" t="s">
        <v>1185</v>
      </c>
      <c r="J2289" s="14" t="s">
        <v>29</v>
      </c>
      <c r="K2289" s="15" t="s">
        <v>30</v>
      </c>
      <c r="L2289" s="57" t="s">
        <v>1360</v>
      </c>
      <c r="M2289" s="14"/>
      <c r="N2289" s="14" t="s">
        <v>62</v>
      </c>
      <c r="O2289" s="14"/>
      <c r="P2289" s="15" t="s">
        <v>1599</v>
      </c>
      <c r="Q2289" s="16">
        <v>13199</v>
      </c>
      <c r="R2289" s="17">
        <v>40</v>
      </c>
      <c r="S2289" s="18">
        <v>9107.31</v>
      </c>
      <c r="T2289" s="19" t="s">
        <v>36</v>
      </c>
      <c r="U2289" s="20" t="s">
        <v>748</v>
      </c>
      <c r="V2289" s="22">
        <v>40</v>
      </c>
      <c r="W2289" s="22">
        <v>1</v>
      </c>
      <c r="X2289" s="23"/>
    </row>
    <row r="2290" spans="1:24" s="1" customFormat="1" ht="14" customHeight="1" x14ac:dyDescent="0.3">
      <c r="A2290" s="24" t="s">
        <v>23</v>
      </c>
      <c r="B2290" s="24" t="s">
        <v>1358</v>
      </c>
      <c r="C2290" s="12" t="s">
        <v>2259</v>
      </c>
      <c r="D2290" s="60"/>
      <c r="E2290" s="41" t="str">
        <f t="shared" si="91"/>
        <v>Еще фото</v>
      </c>
      <c r="F2290" s="13" t="s">
        <v>103</v>
      </c>
      <c r="G2290" s="24" t="s">
        <v>1184</v>
      </c>
      <c r="H2290" s="24" t="s">
        <v>741</v>
      </c>
      <c r="I2290" s="24" t="s">
        <v>1185</v>
      </c>
      <c r="J2290" s="14" t="s">
        <v>29</v>
      </c>
      <c r="K2290" s="15" t="s">
        <v>30</v>
      </c>
      <c r="L2290" s="62"/>
      <c r="M2290" s="14"/>
      <c r="N2290" s="14" t="s">
        <v>62</v>
      </c>
      <c r="O2290" s="14"/>
      <c r="P2290" s="15" t="s">
        <v>1599</v>
      </c>
      <c r="Q2290" s="16">
        <v>13199</v>
      </c>
      <c r="R2290" s="17">
        <v>40</v>
      </c>
      <c r="S2290" s="18">
        <v>9107.31</v>
      </c>
      <c r="T2290" s="19" t="s">
        <v>36</v>
      </c>
      <c r="U2290" s="20" t="s">
        <v>749</v>
      </c>
      <c r="V2290" s="22">
        <v>41</v>
      </c>
      <c r="W2290" s="22">
        <v>4</v>
      </c>
      <c r="X2290" s="23"/>
    </row>
    <row r="2291" spans="1:24" s="1" customFormat="1" ht="14" customHeight="1" x14ac:dyDescent="0.3">
      <c r="A2291" s="24" t="s">
        <v>23</v>
      </c>
      <c r="B2291" s="24" t="s">
        <v>1358</v>
      </c>
      <c r="C2291" s="12" t="s">
        <v>2259</v>
      </c>
      <c r="D2291" s="60"/>
      <c r="E2291" s="41" t="str">
        <f t="shared" si="91"/>
        <v>Еще фото</v>
      </c>
      <c r="F2291" s="13" t="s">
        <v>103</v>
      </c>
      <c r="G2291" s="24" t="s">
        <v>1184</v>
      </c>
      <c r="H2291" s="24" t="s">
        <v>741</v>
      </c>
      <c r="I2291" s="24" t="s">
        <v>1185</v>
      </c>
      <c r="J2291" s="14" t="s">
        <v>29</v>
      </c>
      <c r="K2291" s="15" t="s">
        <v>30</v>
      </c>
      <c r="L2291" s="62"/>
      <c r="M2291" s="14"/>
      <c r="N2291" s="14" t="s">
        <v>62</v>
      </c>
      <c r="O2291" s="14"/>
      <c r="P2291" s="15" t="s">
        <v>1599</v>
      </c>
      <c r="Q2291" s="16">
        <v>13199</v>
      </c>
      <c r="R2291" s="17">
        <v>40</v>
      </c>
      <c r="S2291" s="18">
        <v>9107.31</v>
      </c>
      <c r="T2291" s="19" t="s">
        <v>36</v>
      </c>
      <c r="U2291" s="20" t="s">
        <v>750</v>
      </c>
      <c r="V2291" s="34">
        <v>41.5</v>
      </c>
      <c r="W2291" s="22">
        <v>2</v>
      </c>
      <c r="X2291" s="23"/>
    </row>
    <row r="2292" spans="1:24" s="1" customFormat="1" ht="14" customHeight="1" x14ac:dyDescent="0.3">
      <c r="A2292" s="24" t="s">
        <v>23</v>
      </c>
      <c r="B2292" s="24" t="s">
        <v>1358</v>
      </c>
      <c r="C2292" s="12" t="s">
        <v>2259</v>
      </c>
      <c r="D2292" s="60"/>
      <c r="E2292" s="41" t="str">
        <f t="shared" si="91"/>
        <v>Еще фото</v>
      </c>
      <c r="F2292" s="13" t="s">
        <v>103</v>
      </c>
      <c r="G2292" s="24" t="s">
        <v>1184</v>
      </c>
      <c r="H2292" s="24" t="s">
        <v>741</v>
      </c>
      <c r="I2292" s="24" t="s">
        <v>1185</v>
      </c>
      <c r="J2292" s="14" t="s">
        <v>29</v>
      </c>
      <c r="K2292" s="15" t="s">
        <v>30</v>
      </c>
      <c r="L2292" s="62"/>
      <c r="M2292" s="14"/>
      <c r="N2292" s="14" t="s">
        <v>62</v>
      </c>
      <c r="O2292" s="14"/>
      <c r="P2292" s="15" t="s">
        <v>1599</v>
      </c>
      <c r="Q2292" s="16">
        <v>13199</v>
      </c>
      <c r="R2292" s="17">
        <v>40</v>
      </c>
      <c r="S2292" s="18">
        <v>9107.31</v>
      </c>
      <c r="T2292" s="19" t="s">
        <v>36</v>
      </c>
      <c r="U2292" s="20" t="s">
        <v>751</v>
      </c>
      <c r="V2292" s="22">
        <v>42</v>
      </c>
      <c r="W2292" s="22">
        <v>4</v>
      </c>
      <c r="X2292" s="23"/>
    </row>
    <row r="2293" spans="1:24" s="1" customFormat="1" ht="14" customHeight="1" x14ac:dyDescent="0.3">
      <c r="A2293" s="24" t="s">
        <v>23</v>
      </c>
      <c r="B2293" s="24" t="s">
        <v>1358</v>
      </c>
      <c r="C2293" s="12" t="s">
        <v>2259</v>
      </c>
      <c r="D2293" s="60"/>
      <c r="E2293" s="41" t="str">
        <f t="shared" si="91"/>
        <v>Еще фото</v>
      </c>
      <c r="F2293" s="13" t="s">
        <v>103</v>
      </c>
      <c r="G2293" s="24" t="s">
        <v>1184</v>
      </c>
      <c r="H2293" s="24" t="s">
        <v>741</v>
      </c>
      <c r="I2293" s="24" t="s">
        <v>1185</v>
      </c>
      <c r="J2293" s="14" t="s">
        <v>29</v>
      </c>
      <c r="K2293" s="15" t="s">
        <v>30</v>
      </c>
      <c r="L2293" s="62"/>
      <c r="M2293" s="14"/>
      <c r="N2293" s="14" t="s">
        <v>62</v>
      </c>
      <c r="O2293" s="14"/>
      <c r="P2293" s="15" t="s">
        <v>1599</v>
      </c>
      <c r="Q2293" s="16">
        <v>13199</v>
      </c>
      <c r="R2293" s="17">
        <v>40</v>
      </c>
      <c r="S2293" s="18">
        <v>9107.31</v>
      </c>
      <c r="T2293" s="19" t="s">
        <v>36</v>
      </c>
      <c r="U2293" s="20" t="s">
        <v>752</v>
      </c>
      <c r="V2293" s="22">
        <v>43</v>
      </c>
      <c r="W2293" s="22">
        <v>1</v>
      </c>
      <c r="X2293" s="23"/>
    </row>
    <row r="2294" spans="1:24" s="1" customFormat="1" ht="14" customHeight="1" x14ac:dyDescent="0.3">
      <c r="A2294" s="24" t="s">
        <v>23</v>
      </c>
      <c r="B2294" s="24" t="s">
        <v>1358</v>
      </c>
      <c r="C2294" s="12" t="s">
        <v>2259</v>
      </c>
      <c r="D2294" s="60"/>
      <c r="E2294" s="41" t="str">
        <f t="shared" si="91"/>
        <v>Еще фото</v>
      </c>
      <c r="F2294" s="13" t="s">
        <v>103</v>
      </c>
      <c r="G2294" s="24" t="s">
        <v>1184</v>
      </c>
      <c r="H2294" s="24" t="s">
        <v>741</v>
      </c>
      <c r="I2294" s="24" t="s">
        <v>1185</v>
      </c>
      <c r="J2294" s="14" t="s">
        <v>29</v>
      </c>
      <c r="K2294" s="15" t="s">
        <v>30</v>
      </c>
      <c r="L2294" s="62"/>
      <c r="M2294" s="14"/>
      <c r="N2294" s="14" t="s">
        <v>62</v>
      </c>
      <c r="O2294" s="14"/>
      <c r="P2294" s="15" t="s">
        <v>1599</v>
      </c>
      <c r="Q2294" s="16">
        <v>13199</v>
      </c>
      <c r="R2294" s="17">
        <v>40</v>
      </c>
      <c r="S2294" s="18">
        <v>9107.31</v>
      </c>
      <c r="T2294" s="19" t="s">
        <v>36</v>
      </c>
      <c r="U2294" s="20" t="s">
        <v>753</v>
      </c>
      <c r="V2294" s="34">
        <v>43.5</v>
      </c>
      <c r="W2294" s="22">
        <v>1</v>
      </c>
      <c r="X2294" s="23"/>
    </row>
    <row r="2295" spans="1:24" s="1" customFormat="1" ht="17" customHeight="1" x14ac:dyDescent="0.3">
      <c r="A2295" s="24" t="s">
        <v>23</v>
      </c>
      <c r="B2295" s="24" t="s">
        <v>1358</v>
      </c>
      <c r="C2295" s="12" t="s">
        <v>2259</v>
      </c>
      <c r="D2295" s="61"/>
      <c r="E2295" s="41" t="str">
        <f t="shared" si="91"/>
        <v>Еще фото</v>
      </c>
      <c r="F2295" s="13" t="s">
        <v>103</v>
      </c>
      <c r="G2295" s="24" t="s">
        <v>1184</v>
      </c>
      <c r="H2295" s="24" t="s">
        <v>741</v>
      </c>
      <c r="I2295" s="24" t="s">
        <v>1185</v>
      </c>
      <c r="J2295" s="14" t="s">
        <v>29</v>
      </c>
      <c r="K2295" s="15" t="s">
        <v>30</v>
      </c>
      <c r="L2295" s="58"/>
      <c r="M2295" s="14"/>
      <c r="N2295" s="14" t="s">
        <v>62</v>
      </c>
      <c r="O2295" s="14"/>
      <c r="P2295" s="15" t="s">
        <v>1599</v>
      </c>
      <c r="Q2295" s="16">
        <v>13199</v>
      </c>
      <c r="R2295" s="17">
        <v>40</v>
      </c>
      <c r="S2295" s="18">
        <v>9107.31</v>
      </c>
      <c r="T2295" s="19" t="s">
        <v>36</v>
      </c>
      <c r="U2295" s="20" t="s">
        <v>1337</v>
      </c>
      <c r="V2295" s="22">
        <v>45</v>
      </c>
      <c r="W2295" s="22">
        <v>1</v>
      </c>
      <c r="X2295" s="23"/>
    </row>
    <row r="2296" spans="1:24" s="1" customFormat="1" ht="26" customHeight="1" x14ac:dyDescent="0.3">
      <c r="A2296" s="11" t="s">
        <v>23</v>
      </c>
      <c r="B2296" s="11" t="s">
        <v>1596</v>
      </c>
      <c r="C2296" s="12" t="s">
        <v>2260</v>
      </c>
      <c r="D2296" s="59"/>
      <c r="E2296" s="41" t="str">
        <f>HYPERLINK("https://www.google.ru/search?q=3028077-003&amp;newwindow=1&amp;tbm=isch","Еще фото")</f>
        <v>Еще фото</v>
      </c>
      <c r="F2296" s="13" t="s">
        <v>103</v>
      </c>
      <c r="G2296" s="11" t="s">
        <v>1184</v>
      </c>
      <c r="H2296" s="11" t="s">
        <v>741</v>
      </c>
      <c r="I2296" s="14" t="s">
        <v>1185</v>
      </c>
      <c r="J2296" s="14" t="s">
        <v>29</v>
      </c>
      <c r="K2296" s="15" t="s">
        <v>59</v>
      </c>
      <c r="L2296" s="57" t="s">
        <v>2261</v>
      </c>
      <c r="M2296" s="14"/>
      <c r="N2296" s="14" t="s">
        <v>33</v>
      </c>
      <c r="O2296" s="14"/>
      <c r="P2296" s="15" t="s">
        <v>1599</v>
      </c>
      <c r="Q2296" s="16">
        <v>12699</v>
      </c>
      <c r="R2296" s="17">
        <v>40</v>
      </c>
      <c r="S2296" s="18">
        <v>8762.31</v>
      </c>
      <c r="T2296" s="19" t="s">
        <v>36</v>
      </c>
      <c r="U2296" s="20" t="s">
        <v>1190</v>
      </c>
      <c r="V2296" s="34">
        <v>35.5</v>
      </c>
      <c r="W2296" s="22">
        <v>1</v>
      </c>
      <c r="X2296" s="23"/>
    </row>
    <row r="2297" spans="1:24" s="1" customFormat="1" ht="26" customHeight="1" x14ac:dyDescent="0.3">
      <c r="A2297" s="24" t="s">
        <v>23</v>
      </c>
      <c r="B2297" s="24" t="s">
        <v>1596</v>
      </c>
      <c r="C2297" s="12" t="s">
        <v>2260</v>
      </c>
      <c r="D2297" s="60"/>
      <c r="E2297" s="41" t="str">
        <f>HYPERLINK("https://www.google.ru/search?q=3028077-003&amp;newwindow=1&amp;tbm=isch","Еще фото")</f>
        <v>Еще фото</v>
      </c>
      <c r="F2297" s="13" t="s">
        <v>103</v>
      </c>
      <c r="G2297" s="24" t="s">
        <v>1184</v>
      </c>
      <c r="H2297" s="24" t="s">
        <v>741</v>
      </c>
      <c r="I2297" s="24" t="s">
        <v>1185</v>
      </c>
      <c r="J2297" s="14" t="s">
        <v>29</v>
      </c>
      <c r="K2297" s="15" t="s">
        <v>59</v>
      </c>
      <c r="L2297" s="62"/>
      <c r="M2297" s="14"/>
      <c r="N2297" s="14" t="s">
        <v>33</v>
      </c>
      <c r="O2297" s="14"/>
      <c r="P2297" s="15" t="s">
        <v>1599</v>
      </c>
      <c r="Q2297" s="16">
        <v>12699</v>
      </c>
      <c r="R2297" s="17">
        <v>40</v>
      </c>
      <c r="S2297" s="18">
        <v>8762.31</v>
      </c>
      <c r="T2297" s="19" t="s">
        <v>36</v>
      </c>
      <c r="U2297" s="20" t="s">
        <v>1203</v>
      </c>
      <c r="V2297" s="22">
        <v>36</v>
      </c>
      <c r="W2297" s="22">
        <v>1</v>
      </c>
      <c r="X2297" s="23"/>
    </row>
    <row r="2298" spans="1:24" s="1" customFormat="1" ht="26" customHeight="1" x14ac:dyDescent="0.3">
      <c r="A2298" s="24" t="s">
        <v>23</v>
      </c>
      <c r="B2298" s="24" t="s">
        <v>1596</v>
      </c>
      <c r="C2298" s="12" t="s">
        <v>2260</v>
      </c>
      <c r="D2298" s="60"/>
      <c r="E2298" s="41" t="str">
        <f>HYPERLINK("https://www.google.ru/search?q=3028077-003&amp;newwindow=1&amp;tbm=isch","Еще фото")</f>
        <v>Еще фото</v>
      </c>
      <c r="F2298" s="13" t="s">
        <v>103</v>
      </c>
      <c r="G2298" s="24" t="s">
        <v>1184</v>
      </c>
      <c r="H2298" s="24" t="s">
        <v>741</v>
      </c>
      <c r="I2298" s="24" t="s">
        <v>1185</v>
      </c>
      <c r="J2298" s="14" t="s">
        <v>29</v>
      </c>
      <c r="K2298" s="15" t="s">
        <v>59</v>
      </c>
      <c r="L2298" s="62"/>
      <c r="M2298" s="14"/>
      <c r="N2298" s="14" t="s">
        <v>33</v>
      </c>
      <c r="O2298" s="14"/>
      <c r="P2298" s="15" t="s">
        <v>1599</v>
      </c>
      <c r="Q2298" s="16">
        <v>12699</v>
      </c>
      <c r="R2298" s="17">
        <v>40</v>
      </c>
      <c r="S2298" s="18">
        <v>8762.31</v>
      </c>
      <c r="T2298" s="19" t="s">
        <v>36</v>
      </c>
      <c r="U2298" s="20" t="s">
        <v>746</v>
      </c>
      <c r="V2298" s="22">
        <v>37</v>
      </c>
      <c r="W2298" s="22">
        <v>5</v>
      </c>
      <c r="X2298" s="23"/>
    </row>
    <row r="2299" spans="1:24" s="1" customFormat="1" ht="26" customHeight="1" x14ac:dyDescent="0.3">
      <c r="A2299" s="24" t="s">
        <v>23</v>
      </c>
      <c r="B2299" s="24" t="s">
        <v>1596</v>
      </c>
      <c r="C2299" s="12" t="s">
        <v>2260</v>
      </c>
      <c r="D2299" s="61"/>
      <c r="E2299" s="41" t="str">
        <f>HYPERLINK("https://www.google.ru/search?q=3028077-003&amp;newwindow=1&amp;tbm=isch","Еще фото")</f>
        <v>Еще фото</v>
      </c>
      <c r="F2299" s="13" t="s">
        <v>103</v>
      </c>
      <c r="G2299" s="24" t="s">
        <v>1184</v>
      </c>
      <c r="H2299" s="24" t="s">
        <v>741</v>
      </c>
      <c r="I2299" s="24" t="s">
        <v>1185</v>
      </c>
      <c r="J2299" s="14" t="s">
        <v>29</v>
      </c>
      <c r="K2299" s="15" t="s">
        <v>59</v>
      </c>
      <c r="L2299" s="58"/>
      <c r="M2299" s="14"/>
      <c r="N2299" s="14" t="s">
        <v>33</v>
      </c>
      <c r="O2299" s="14"/>
      <c r="P2299" s="15" t="s">
        <v>1599</v>
      </c>
      <c r="Q2299" s="16">
        <v>12699</v>
      </c>
      <c r="R2299" s="17">
        <v>40</v>
      </c>
      <c r="S2299" s="18">
        <v>8762.31</v>
      </c>
      <c r="T2299" s="19" t="s">
        <v>36</v>
      </c>
      <c r="U2299" s="20" t="s">
        <v>747</v>
      </c>
      <c r="V2299" s="34">
        <v>37.5</v>
      </c>
      <c r="W2299" s="22">
        <v>1</v>
      </c>
      <c r="X2299" s="23"/>
    </row>
    <row r="2300" spans="1:24" s="1" customFormat="1" ht="52.05" customHeight="1" x14ac:dyDescent="0.3">
      <c r="A2300" s="11" t="s">
        <v>23</v>
      </c>
      <c r="B2300" s="11" t="s">
        <v>1803</v>
      </c>
      <c r="C2300" s="12" t="s">
        <v>2262</v>
      </c>
      <c r="D2300" s="55"/>
      <c r="E2300" s="41" t="str">
        <f>HYPERLINK("https://www.google.ru/search?q=3028168-001&amp;newwindow=1&amp;tbm=isch","Еще фото")</f>
        <v>Еще фото</v>
      </c>
      <c r="F2300" s="13" t="s">
        <v>152</v>
      </c>
      <c r="G2300" s="11" t="s">
        <v>1184</v>
      </c>
      <c r="H2300" s="11" t="s">
        <v>741</v>
      </c>
      <c r="I2300" s="14" t="s">
        <v>1185</v>
      </c>
      <c r="J2300" s="14" t="s">
        <v>29</v>
      </c>
      <c r="K2300" s="15" t="s">
        <v>30</v>
      </c>
      <c r="L2300" s="57" t="s">
        <v>1805</v>
      </c>
      <c r="M2300" s="14" t="s">
        <v>1211</v>
      </c>
      <c r="N2300" s="14" t="s">
        <v>33</v>
      </c>
      <c r="O2300" s="14"/>
      <c r="P2300" s="15" t="s">
        <v>745</v>
      </c>
      <c r="Q2300" s="16">
        <v>17999</v>
      </c>
      <c r="R2300" s="17">
        <v>40</v>
      </c>
      <c r="S2300" s="18">
        <v>12419.31</v>
      </c>
      <c r="T2300" s="19" t="s">
        <v>36</v>
      </c>
      <c r="U2300" s="20" t="s">
        <v>749</v>
      </c>
      <c r="V2300" s="22">
        <v>41</v>
      </c>
      <c r="W2300" s="22">
        <v>1</v>
      </c>
      <c r="X2300" s="23"/>
    </row>
    <row r="2301" spans="1:24" s="1" customFormat="1" ht="61.05" customHeight="1" x14ac:dyDescent="0.3">
      <c r="A2301" s="24" t="s">
        <v>23</v>
      </c>
      <c r="B2301" s="24" t="s">
        <v>1803</v>
      </c>
      <c r="C2301" s="12" t="s">
        <v>2262</v>
      </c>
      <c r="D2301" s="56"/>
      <c r="E2301" s="41" t="str">
        <f>HYPERLINK("https://www.google.ru/search?q=3028168-001&amp;newwindow=1&amp;tbm=isch","Еще фото")</f>
        <v>Еще фото</v>
      </c>
      <c r="F2301" s="13" t="s">
        <v>152</v>
      </c>
      <c r="G2301" s="24" t="s">
        <v>1184</v>
      </c>
      <c r="H2301" s="24" t="s">
        <v>741</v>
      </c>
      <c r="I2301" s="24" t="s">
        <v>1185</v>
      </c>
      <c r="J2301" s="14" t="s">
        <v>29</v>
      </c>
      <c r="K2301" s="15" t="s">
        <v>30</v>
      </c>
      <c r="L2301" s="58"/>
      <c r="M2301" s="14" t="s">
        <v>1211</v>
      </c>
      <c r="N2301" s="14" t="s">
        <v>33</v>
      </c>
      <c r="O2301" s="14"/>
      <c r="P2301" s="15" t="s">
        <v>745</v>
      </c>
      <c r="Q2301" s="16">
        <v>17999</v>
      </c>
      <c r="R2301" s="17">
        <v>40</v>
      </c>
      <c r="S2301" s="18">
        <v>12419.31</v>
      </c>
      <c r="T2301" s="19" t="s">
        <v>36</v>
      </c>
      <c r="U2301" s="20" t="s">
        <v>752</v>
      </c>
      <c r="V2301" s="22">
        <v>43</v>
      </c>
      <c r="W2301" s="22">
        <v>3</v>
      </c>
      <c r="X2301" s="23"/>
    </row>
    <row r="2302" spans="1:24" s="1" customFormat="1" ht="35" customHeight="1" x14ac:dyDescent="0.3">
      <c r="A2302" s="11" t="s">
        <v>23</v>
      </c>
      <c r="B2302" s="11" t="s">
        <v>1231</v>
      </c>
      <c r="C2302" s="12" t="s">
        <v>2263</v>
      </c>
      <c r="D2302" s="59"/>
      <c r="E2302" s="41" t="str">
        <f>HYPERLINK("https://www.google.ru/search?q=3028169-004&amp;newwindow=1&amp;tbm=isch","Еще фото")</f>
        <v>Еще фото</v>
      </c>
      <c r="F2302" s="13"/>
      <c r="G2302" s="11" t="s">
        <v>1184</v>
      </c>
      <c r="H2302" s="11" t="s">
        <v>741</v>
      </c>
      <c r="I2302" s="14" t="s">
        <v>1185</v>
      </c>
      <c r="J2302" s="14" t="s">
        <v>29</v>
      </c>
      <c r="K2302" s="15" t="s">
        <v>30</v>
      </c>
      <c r="L2302" s="57" t="s">
        <v>1233</v>
      </c>
      <c r="M2302" s="14" t="s">
        <v>1211</v>
      </c>
      <c r="N2302" s="14" t="s">
        <v>33</v>
      </c>
      <c r="O2302" s="14"/>
      <c r="P2302" s="15" t="s">
        <v>745</v>
      </c>
      <c r="Q2302" s="16">
        <v>20999</v>
      </c>
      <c r="R2302" s="17">
        <v>40</v>
      </c>
      <c r="S2302" s="18">
        <v>14489.309999999998</v>
      </c>
      <c r="T2302" s="19" t="s">
        <v>36</v>
      </c>
      <c r="U2302" s="20" t="s">
        <v>749</v>
      </c>
      <c r="V2302" s="22">
        <v>41</v>
      </c>
      <c r="W2302" s="22">
        <v>2</v>
      </c>
      <c r="X2302" s="23"/>
    </row>
    <row r="2303" spans="1:24" s="1" customFormat="1" ht="35" customHeight="1" x14ac:dyDescent="0.3">
      <c r="A2303" s="24" t="s">
        <v>23</v>
      </c>
      <c r="B2303" s="24" t="s">
        <v>1231</v>
      </c>
      <c r="C2303" s="12" t="s">
        <v>2263</v>
      </c>
      <c r="D2303" s="60"/>
      <c r="E2303" s="41" t="str">
        <f>HYPERLINK("https://www.google.ru/search?q=3028169-004&amp;newwindow=1&amp;tbm=isch","Еще фото")</f>
        <v>Еще фото</v>
      </c>
      <c r="F2303" s="13"/>
      <c r="G2303" s="24" t="s">
        <v>1184</v>
      </c>
      <c r="H2303" s="24" t="s">
        <v>741</v>
      </c>
      <c r="I2303" s="24" t="s">
        <v>1185</v>
      </c>
      <c r="J2303" s="14" t="s">
        <v>29</v>
      </c>
      <c r="K2303" s="15" t="s">
        <v>30</v>
      </c>
      <c r="L2303" s="62"/>
      <c r="M2303" s="14" t="s">
        <v>1211</v>
      </c>
      <c r="N2303" s="14" t="s">
        <v>33</v>
      </c>
      <c r="O2303" s="14"/>
      <c r="P2303" s="15" t="s">
        <v>745</v>
      </c>
      <c r="Q2303" s="16">
        <v>20999</v>
      </c>
      <c r="R2303" s="17">
        <v>40</v>
      </c>
      <c r="S2303" s="18">
        <v>14489.309999999998</v>
      </c>
      <c r="T2303" s="19" t="s">
        <v>36</v>
      </c>
      <c r="U2303" s="20" t="s">
        <v>750</v>
      </c>
      <c r="V2303" s="34">
        <v>41.5</v>
      </c>
      <c r="W2303" s="22">
        <v>2</v>
      </c>
      <c r="X2303" s="23"/>
    </row>
    <row r="2304" spans="1:24" s="1" customFormat="1" ht="37.049999999999997" customHeight="1" x14ac:dyDescent="0.3">
      <c r="A2304" s="24" t="s">
        <v>23</v>
      </c>
      <c r="B2304" s="24" t="s">
        <v>1231</v>
      </c>
      <c r="C2304" s="12" t="s">
        <v>2263</v>
      </c>
      <c r="D2304" s="61"/>
      <c r="E2304" s="41" t="str">
        <f>HYPERLINK("https://www.google.ru/search?q=3028169-004&amp;newwindow=1&amp;tbm=isch","Еще фото")</f>
        <v>Еще фото</v>
      </c>
      <c r="F2304" s="13"/>
      <c r="G2304" s="24" t="s">
        <v>1184</v>
      </c>
      <c r="H2304" s="24" t="s">
        <v>741</v>
      </c>
      <c r="I2304" s="24" t="s">
        <v>1185</v>
      </c>
      <c r="J2304" s="14" t="s">
        <v>29</v>
      </c>
      <c r="K2304" s="15" t="s">
        <v>30</v>
      </c>
      <c r="L2304" s="58"/>
      <c r="M2304" s="14" t="s">
        <v>1211</v>
      </c>
      <c r="N2304" s="14" t="s">
        <v>33</v>
      </c>
      <c r="O2304" s="14"/>
      <c r="P2304" s="15" t="s">
        <v>745</v>
      </c>
      <c r="Q2304" s="16">
        <v>20999</v>
      </c>
      <c r="R2304" s="17">
        <v>40</v>
      </c>
      <c r="S2304" s="18">
        <v>14489.309999999998</v>
      </c>
      <c r="T2304" s="19" t="s">
        <v>36</v>
      </c>
      <c r="U2304" s="20" t="s">
        <v>753</v>
      </c>
      <c r="V2304" s="34">
        <v>43.5</v>
      </c>
      <c r="W2304" s="22">
        <v>1</v>
      </c>
      <c r="X2304" s="23"/>
    </row>
    <row r="2305" spans="1:24" s="1" customFormat="1" ht="52.05" customHeight="1" x14ac:dyDescent="0.3">
      <c r="A2305" s="11" t="s">
        <v>23</v>
      </c>
      <c r="B2305" s="11" t="s">
        <v>2264</v>
      </c>
      <c r="C2305" s="12" t="s">
        <v>2265</v>
      </c>
      <c r="D2305" s="55"/>
      <c r="E2305" s="41" t="str">
        <f>HYPERLINK("https://www.google.ru/search?q=3028252-001&amp;newwindow=1&amp;tbm=isch","Еще фото")</f>
        <v>Еще фото</v>
      </c>
      <c r="F2305" s="13" t="s">
        <v>103</v>
      </c>
      <c r="G2305" s="11" t="s">
        <v>1184</v>
      </c>
      <c r="H2305" s="11" t="s">
        <v>741</v>
      </c>
      <c r="I2305" s="14" t="s">
        <v>1185</v>
      </c>
      <c r="J2305" s="14" t="s">
        <v>29</v>
      </c>
      <c r="K2305" s="15" t="s">
        <v>30</v>
      </c>
      <c r="L2305" s="57" t="s">
        <v>2266</v>
      </c>
      <c r="M2305" s="14"/>
      <c r="N2305" s="14" t="s">
        <v>33</v>
      </c>
      <c r="O2305" s="14"/>
      <c r="P2305" s="15" t="s">
        <v>2267</v>
      </c>
      <c r="Q2305" s="16">
        <v>6799</v>
      </c>
      <c r="R2305" s="17">
        <v>40</v>
      </c>
      <c r="S2305" s="18">
        <v>4691.3099999999995</v>
      </c>
      <c r="T2305" s="19" t="s">
        <v>36</v>
      </c>
      <c r="U2305" s="20" t="s">
        <v>747</v>
      </c>
      <c r="V2305" s="34">
        <v>39.5</v>
      </c>
      <c r="W2305" s="22">
        <v>4</v>
      </c>
      <c r="X2305" s="23"/>
    </row>
    <row r="2306" spans="1:24" s="1" customFormat="1" ht="61.05" customHeight="1" x14ac:dyDescent="0.3">
      <c r="A2306" s="24" t="s">
        <v>23</v>
      </c>
      <c r="B2306" s="24" t="s">
        <v>2264</v>
      </c>
      <c r="C2306" s="12" t="s">
        <v>2265</v>
      </c>
      <c r="D2306" s="56"/>
      <c r="E2306" s="41" t="str">
        <f>HYPERLINK("https://www.google.ru/search?q=3028252-001&amp;newwindow=1&amp;tbm=isch","Еще фото")</f>
        <v>Еще фото</v>
      </c>
      <c r="F2306" s="13" t="s">
        <v>103</v>
      </c>
      <c r="G2306" s="24" t="s">
        <v>1184</v>
      </c>
      <c r="H2306" s="24" t="s">
        <v>741</v>
      </c>
      <c r="I2306" s="24" t="s">
        <v>1185</v>
      </c>
      <c r="J2306" s="14" t="s">
        <v>29</v>
      </c>
      <c r="K2306" s="15" t="s">
        <v>30</v>
      </c>
      <c r="L2306" s="58"/>
      <c r="M2306" s="14"/>
      <c r="N2306" s="14" t="s">
        <v>33</v>
      </c>
      <c r="O2306" s="14"/>
      <c r="P2306" s="15" t="s">
        <v>2267</v>
      </c>
      <c r="Q2306" s="16">
        <v>6799</v>
      </c>
      <c r="R2306" s="17">
        <v>40</v>
      </c>
      <c r="S2306" s="18">
        <v>4691.3099999999995</v>
      </c>
      <c r="T2306" s="19" t="s">
        <v>36</v>
      </c>
      <c r="U2306" s="20" t="s">
        <v>748</v>
      </c>
      <c r="V2306" s="22">
        <v>40</v>
      </c>
      <c r="W2306" s="22">
        <v>2</v>
      </c>
      <c r="X2306" s="23"/>
    </row>
    <row r="2307" spans="1:24" s="1" customFormat="1" ht="108" customHeight="1" x14ac:dyDescent="0.3">
      <c r="A2307" s="11" t="s">
        <v>23</v>
      </c>
      <c r="B2307" s="11" t="s">
        <v>2264</v>
      </c>
      <c r="C2307" s="12" t="s">
        <v>2268</v>
      </c>
      <c r="D2307" s="25"/>
      <c r="E2307" s="41" t="str">
        <f>HYPERLINK("https://www.google.ru/search?q=3028252-002&amp;newwindow=1&amp;tbm=isch","Еще фото")</f>
        <v>Еще фото</v>
      </c>
      <c r="F2307" s="13" t="s">
        <v>103</v>
      </c>
      <c r="G2307" s="11" t="s">
        <v>1184</v>
      </c>
      <c r="H2307" s="11" t="s">
        <v>741</v>
      </c>
      <c r="I2307" s="14" t="s">
        <v>1185</v>
      </c>
      <c r="J2307" s="14" t="s">
        <v>29</v>
      </c>
      <c r="K2307" s="15" t="s">
        <v>30</v>
      </c>
      <c r="L2307" s="14" t="s">
        <v>2266</v>
      </c>
      <c r="M2307" s="14"/>
      <c r="N2307" s="14" t="s">
        <v>33</v>
      </c>
      <c r="O2307" s="14"/>
      <c r="P2307" s="15" t="s">
        <v>2267</v>
      </c>
      <c r="Q2307" s="16">
        <v>6799</v>
      </c>
      <c r="R2307" s="17">
        <v>40</v>
      </c>
      <c r="S2307" s="18">
        <v>4691.3099999999995</v>
      </c>
      <c r="T2307" s="19" t="s">
        <v>36</v>
      </c>
      <c r="U2307" s="20" t="s">
        <v>751</v>
      </c>
      <c r="V2307" s="22">
        <v>42</v>
      </c>
      <c r="W2307" s="22">
        <v>1</v>
      </c>
      <c r="X2307" s="23"/>
    </row>
    <row r="2308" spans="1:24" s="1" customFormat="1" ht="17" customHeight="1" x14ac:dyDescent="0.3">
      <c r="A2308" s="11" t="s">
        <v>23</v>
      </c>
      <c r="B2308" s="11" t="s">
        <v>2264</v>
      </c>
      <c r="C2308" s="12" t="s">
        <v>2269</v>
      </c>
      <c r="D2308" s="59"/>
      <c r="E2308" s="41" t="str">
        <f t="shared" ref="E2308:E2313" si="92">HYPERLINK("https://www.google.ru/search?q=3028252-410&amp;newwindow=1&amp;tbm=isch","Еще фото")</f>
        <v>Еще фото</v>
      </c>
      <c r="F2308" s="13" t="s">
        <v>103</v>
      </c>
      <c r="G2308" s="11" t="s">
        <v>1184</v>
      </c>
      <c r="H2308" s="11" t="s">
        <v>741</v>
      </c>
      <c r="I2308" s="14" t="s">
        <v>1185</v>
      </c>
      <c r="J2308" s="14" t="s">
        <v>29</v>
      </c>
      <c r="K2308" s="15" t="s">
        <v>30</v>
      </c>
      <c r="L2308" s="57" t="s">
        <v>2266</v>
      </c>
      <c r="M2308" s="14"/>
      <c r="N2308" s="14" t="s">
        <v>115</v>
      </c>
      <c r="O2308" s="14"/>
      <c r="P2308" s="15" t="s">
        <v>2267</v>
      </c>
      <c r="Q2308" s="16">
        <v>6799</v>
      </c>
      <c r="R2308" s="17">
        <v>40</v>
      </c>
      <c r="S2308" s="18">
        <v>4691.3099999999995</v>
      </c>
      <c r="T2308" s="19" t="s">
        <v>36</v>
      </c>
      <c r="U2308" s="20" t="s">
        <v>747</v>
      </c>
      <c r="V2308" s="34">
        <v>39.5</v>
      </c>
      <c r="W2308" s="22">
        <v>6</v>
      </c>
      <c r="X2308" s="23"/>
    </row>
    <row r="2309" spans="1:24" s="1" customFormat="1" ht="17" customHeight="1" x14ac:dyDescent="0.3">
      <c r="A2309" s="24" t="s">
        <v>23</v>
      </c>
      <c r="B2309" s="24" t="s">
        <v>2264</v>
      </c>
      <c r="C2309" s="12" t="s">
        <v>2269</v>
      </c>
      <c r="D2309" s="60"/>
      <c r="E2309" s="41" t="str">
        <f t="shared" si="92"/>
        <v>Еще фото</v>
      </c>
      <c r="F2309" s="13" t="s">
        <v>103</v>
      </c>
      <c r="G2309" s="24" t="s">
        <v>1184</v>
      </c>
      <c r="H2309" s="24" t="s">
        <v>741</v>
      </c>
      <c r="I2309" s="24" t="s">
        <v>1185</v>
      </c>
      <c r="J2309" s="14" t="s">
        <v>29</v>
      </c>
      <c r="K2309" s="15" t="s">
        <v>30</v>
      </c>
      <c r="L2309" s="62"/>
      <c r="M2309" s="14"/>
      <c r="N2309" s="14" t="s">
        <v>115</v>
      </c>
      <c r="O2309" s="14"/>
      <c r="P2309" s="15" t="s">
        <v>2267</v>
      </c>
      <c r="Q2309" s="16">
        <v>6799</v>
      </c>
      <c r="R2309" s="17">
        <v>40</v>
      </c>
      <c r="S2309" s="18">
        <v>4691.3099999999995</v>
      </c>
      <c r="T2309" s="19" t="s">
        <v>36</v>
      </c>
      <c r="U2309" s="20" t="s">
        <v>749</v>
      </c>
      <c r="V2309" s="22">
        <v>41</v>
      </c>
      <c r="W2309" s="22">
        <v>5</v>
      </c>
      <c r="X2309" s="23"/>
    </row>
    <row r="2310" spans="1:24" s="1" customFormat="1" ht="17" customHeight="1" x14ac:dyDescent="0.3">
      <c r="A2310" s="24" t="s">
        <v>23</v>
      </c>
      <c r="B2310" s="24" t="s">
        <v>2264</v>
      </c>
      <c r="C2310" s="12" t="s">
        <v>2269</v>
      </c>
      <c r="D2310" s="60"/>
      <c r="E2310" s="41" t="str">
        <f t="shared" si="92"/>
        <v>Еще фото</v>
      </c>
      <c r="F2310" s="13" t="s">
        <v>103</v>
      </c>
      <c r="G2310" s="24" t="s">
        <v>1184</v>
      </c>
      <c r="H2310" s="24" t="s">
        <v>741</v>
      </c>
      <c r="I2310" s="24" t="s">
        <v>1185</v>
      </c>
      <c r="J2310" s="14" t="s">
        <v>29</v>
      </c>
      <c r="K2310" s="15" t="s">
        <v>30</v>
      </c>
      <c r="L2310" s="62"/>
      <c r="M2310" s="14"/>
      <c r="N2310" s="14" t="s">
        <v>115</v>
      </c>
      <c r="O2310" s="14"/>
      <c r="P2310" s="15" t="s">
        <v>2267</v>
      </c>
      <c r="Q2310" s="16">
        <v>6799</v>
      </c>
      <c r="R2310" s="17">
        <v>40</v>
      </c>
      <c r="S2310" s="18">
        <v>4691.3099999999995</v>
      </c>
      <c r="T2310" s="19" t="s">
        <v>36</v>
      </c>
      <c r="U2310" s="20" t="s">
        <v>750</v>
      </c>
      <c r="V2310" s="34">
        <v>41.5</v>
      </c>
      <c r="W2310" s="22">
        <v>4</v>
      </c>
      <c r="X2310" s="23"/>
    </row>
    <row r="2311" spans="1:24" s="1" customFormat="1" ht="17" customHeight="1" x14ac:dyDescent="0.3">
      <c r="A2311" s="24" t="s">
        <v>23</v>
      </c>
      <c r="B2311" s="24" t="s">
        <v>2264</v>
      </c>
      <c r="C2311" s="12" t="s">
        <v>2269</v>
      </c>
      <c r="D2311" s="60"/>
      <c r="E2311" s="41" t="str">
        <f t="shared" si="92"/>
        <v>Еще фото</v>
      </c>
      <c r="F2311" s="13" t="s">
        <v>103</v>
      </c>
      <c r="G2311" s="24" t="s">
        <v>1184</v>
      </c>
      <c r="H2311" s="24" t="s">
        <v>741</v>
      </c>
      <c r="I2311" s="24" t="s">
        <v>1185</v>
      </c>
      <c r="J2311" s="14" t="s">
        <v>29</v>
      </c>
      <c r="K2311" s="15" t="s">
        <v>30</v>
      </c>
      <c r="L2311" s="62"/>
      <c r="M2311" s="14"/>
      <c r="N2311" s="14" t="s">
        <v>115</v>
      </c>
      <c r="O2311" s="14"/>
      <c r="P2311" s="15" t="s">
        <v>2267</v>
      </c>
      <c r="Q2311" s="16">
        <v>6799</v>
      </c>
      <c r="R2311" s="17">
        <v>40</v>
      </c>
      <c r="S2311" s="18">
        <v>4691.3099999999995</v>
      </c>
      <c r="T2311" s="19" t="s">
        <v>36</v>
      </c>
      <c r="U2311" s="20" t="s">
        <v>751</v>
      </c>
      <c r="V2311" s="22">
        <v>42</v>
      </c>
      <c r="W2311" s="22">
        <v>1</v>
      </c>
      <c r="X2311" s="23"/>
    </row>
    <row r="2312" spans="1:24" s="1" customFormat="1" ht="17" customHeight="1" x14ac:dyDescent="0.3">
      <c r="A2312" s="24" t="s">
        <v>23</v>
      </c>
      <c r="B2312" s="24" t="s">
        <v>2264</v>
      </c>
      <c r="C2312" s="12" t="s">
        <v>2269</v>
      </c>
      <c r="D2312" s="60"/>
      <c r="E2312" s="41" t="str">
        <f t="shared" si="92"/>
        <v>Еще фото</v>
      </c>
      <c r="F2312" s="13" t="s">
        <v>103</v>
      </c>
      <c r="G2312" s="24" t="s">
        <v>1184</v>
      </c>
      <c r="H2312" s="24" t="s">
        <v>741</v>
      </c>
      <c r="I2312" s="24" t="s">
        <v>1185</v>
      </c>
      <c r="J2312" s="14" t="s">
        <v>29</v>
      </c>
      <c r="K2312" s="15" t="s">
        <v>30</v>
      </c>
      <c r="L2312" s="62"/>
      <c r="M2312" s="14"/>
      <c r="N2312" s="14" t="s">
        <v>115</v>
      </c>
      <c r="O2312" s="14"/>
      <c r="P2312" s="15" t="s">
        <v>2267</v>
      </c>
      <c r="Q2312" s="16">
        <v>6799</v>
      </c>
      <c r="R2312" s="17">
        <v>40</v>
      </c>
      <c r="S2312" s="18">
        <v>4691.3099999999995</v>
      </c>
      <c r="T2312" s="19" t="s">
        <v>36</v>
      </c>
      <c r="U2312" s="20" t="s">
        <v>752</v>
      </c>
      <c r="V2312" s="22">
        <v>43</v>
      </c>
      <c r="W2312" s="22">
        <v>6</v>
      </c>
      <c r="X2312" s="23"/>
    </row>
    <row r="2313" spans="1:24" s="1" customFormat="1" ht="22.05" customHeight="1" x14ac:dyDescent="0.3">
      <c r="A2313" s="24" t="s">
        <v>23</v>
      </c>
      <c r="B2313" s="24" t="s">
        <v>2264</v>
      </c>
      <c r="C2313" s="12" t="s">
        <v>2269</v>
      </c>
      <c r="D2313" s="61"/>
      <c r="E2313" s="41" t="str">
        <f t="shared" si="92"/>
        <v>Еще фото</v>
      </c>
      <c r="F2313" s="13" t="s">
        <v>103</v>
      </c>
      <c r="G2313" s="24" t="s">
        <v>1184</v>
      </c>
      <c r="H2313" s="24" t="s">
        <v>741</v>
      </c>
      <c r="I2313" s="24" t="s">
        <v>1185</v>
      </c>
      <c r="J2313" s="14" t="s">
        <v>29</v>
      </c>
      <c r="K2313" s="15" t="s">
        <v>30</v>
      </c>
      <c r="L2313" s="58"/>
      <c r="M2313" s="14"/>
      <c r="N2313" s="14" t="s">
        <v>115</v>
      </c>
      <c r="O2313" s="14"/>
      <c r="P2313" s="15" t="s">
        <v>2267</v>
      </c>
      <c r="Q2313" s="16">
        <v>6799</v>
      </c>
      <c r="R2313" s="17">
        <v>40</v>
      </c>
      <c r="S2313" s="18">
        <v>4691.3099999999995</v>
      </c>
      <c r="T2313" s="19" t="s">
        <v>36</v>
      </c>
      <c r="U2313" s="20" t="s">
        <v>755</v>
      </c>
      <c r="V2313" s="34">
        <v>44.5</v>
      </c>
      <c r="W2313" s="22">
        <v>2</v>
      </c>
      <c r="X2313" s="23"/>
    </row>
    <row r="2314" spans="1:24" s="1" customFormat="1" ht="52.05" customHeight="1" x14ac:dyDescent="0.3">
      <c r="A2314" s="11" t="s">
        <v>23</v>
      </c>
      <c r="B2314" s="11" t="s">
        <v>1544</v>
      </c>
      <c r="C2314" s="12" t="s">
        <v>2270</v>
      </c>
      <c r="D2314" s="55"/>
      <c r="E2314" s="41" t="str">
        <f>HYPERLINK("https://www.google.ru/search?q=3028254-001&amp;newwindow=1&amp;tbm=isch","Еще фото")</f>
        <v>Еще фото</v>
      </c>
      <c r="F2314" s="13" t="s">
        <v>103</v>
      </c>
      <c r="G2314" s="11" t="s">
        <v>1184</v>
      </c>
      <c r="H2314" s="11" t="s">
        <v>741</v>
      </c>
      <c r="I2314" s="14" t="s">
        <v>1185</v>
      </c>
      <c r="J2314" s="14" t="s">
        <v>29</v>
      </c>
      <c r="K2314" s="15" t="s">
        <v>30</v>
      </c>
      <c r="L2314" s="57" t="s">
        <v>1546</v>
      </c>
      <c r="M2314" s="14"/>
      <c r="N2314" s="14" t="s">
        <v>33</v>
      </c>
      <c r="O2314" s="14"/>
      <c r="P2314" s="15" t="s">
        <v>745</v>
      </c>
      <c r="Q2314" s="16">
        <v>9199</v>
      </c>
      <c r="R2314" s="17">
        <v>40</v>
      </c>
      <c r="S2314" s="18">
        <v>6347.3099999999995</v>
      </c>
      <c r="T2314" s="19" t="s">
        <v>36</v>
      </c>
      <c r="U2314" s="20" t="s">
        <v>750</v>
      </c>
      <c r="V2314" s="34">
        <v>41.5</v>
      </c>
      <c r="W2314" s="22">
        <v>2</v>
      </c>
      <c r="X2314" s="23"/>
    </row>
    <row r="2315" spans="1:24" s="1" customFormat="1" ht="61.05" customHeight="1" x14ac:dyDescent="0.3">
      <c r="A2315" s="24" t="s">
        <v>23</v>
      </c>
      <c r="B2315" s="24" t="s">
        <v>1544</v>
      </c>
      <c r="C2315" s="12" t="s">
        <v>2270</v>
      </c>
      <c r="D2315" s="56"/>
      <c r="E2315" s="41" t="str">
        <f>HYPERLINK("https://www.google.ru/search?q=3028254-001&amp;newwindow=1&amp;tbm=isch","Еще фото")</f>
        <v>Еще фото</v>
      </c>
      <c r="F2315" s="13" t="s">
        <v>103</v>
      </c>
      <c r="G2315" s="24" t="s">
        <v>1184</v>
      </c>
      <c r="H2315" s="24" t="s">
        <v>741</v>
      </c>
      <c r="I2315" s="24" t="s">
        <v>1185</v>
      </c>
      <c r="J2315" s="14" t="s">
        <v>29</v>
      </c>
      <c r="K2315" s="15" t="s">
        <v>30</v>
      </c>
      <c r="L2315" s="58"/>
      <c r="M2315" s="14"/>
      <c r="N2315" s="14" t="s">
        <v>33</v>
      </c>
      <c r="O2315" s="14"/>
      <c r="P2315" s="15" t="s">
        <v>745</v>
      </c>
      <c r="Q2315" s="16">
        <v>9199</v>
      </c>
      <c r="R2315" s="17">
        <v>40</v>
      </c>
      <c r="S2315" s="18">
        <v>6347.3099999999995</v>
      </c>
      <c r="T2315" s="19" t="s">
        <v>36</v>
      </c>
      <c r="U2315" s="20" t="s">
        <v>753</v>
      </c>
      <c r="V2315" s="34">
        <v>43.5</v>
      </c>
      <c r="W2315" s="22">
        <v>1</v>
      </c>
      <c r="X2315" s="23"/>
    </row>
    <row r="2316" spans="1:24" s="1" customFormat="1" ht="35" customHeight="1" x14ac:dyDescent="0.3">
      <c r="A2316" s="11" t="s">
        <v>23</v>
      </c>
      <c r="B2316" s="11" t="s">
        <v>1544</v>
      </c>
      <c r="C2316" s="12" t="s">
        <v>2271</v>
      </c>
      <c r="D2316" s="59"/>
      <c r="E2316" s="41" t="str">
        <f>HYPERLINK("https://www.google.ru/search?q=3028254-391&amp;newwindow=1&amp;tbm=isch","Еще фото")</f>
        <v>Еще фото</v>
      </c>
      <c r="F2316" s="13"/>
      <c r="G2316" s="11" t="s">
        <v>1184</v>
      </c>
      <c r="H2316" s="11" t="s">
        <v>741</v>
      </c>
      <c r="I2316" s="14" t="s">
        <v>1185</v>
      </c>
      <c r="J2316" s="14" t="s">
        <v>29</v>
      </c>
      <c r="K2316" s="15" t="s">
        <v>30</v>
      </c>
      <c r="L2316" s="57" t="s">
        <v>1546</v>
      </c>
      <c r="M2316" s="14"/>
      <c r="N2316" s="14" t="s">
        <v>127</v>
      </c>
      <c r="O2316" s="14"/>
      <c r="P2316" s="15" t="s">
        <v>1302</v>
      </c>
      <c r="Q2316" s="16">
        <v>8899</v>
      </c>
      <c r="R2316" s="17">
        <v>40</v>
      </c>
      <c r="S2316" s="18">
        <v>6140.3099999999995</v>
      </c>
      <c r="T2316" s="19" t="s">
        <v>36</v>
      </c>
      <c r="U2316" s="20" t="s">
        <v>747</v>
      </c>
      <c r="V2316" s="34">
        <v>39.5</v>
      </c>
      <c r="W2316" s="22">
        <v>1</v>
      </c>
      <c r="X2316" s="23"/>
    </row>
    <row r="2317" spans="1:24" s="1" customFormat="1" ht="35" customHeight="1" x14ac:dyDescent="0.3">
      <c r="A2317" s="24" t="s">
        <v>23</v>
      </c>
      <c r="B2317" s="24" t="s">
        <v>1544</v>
      </c>
      <c r="C2317" s="12" t="s">
        <v>2271</v>
      </c>
      <c r="D2317" s="60"/>
      <c r="E2317" s="41" t="str">
        <f>HYPERLINK("https://www.google.ru/search?q=3028254-391&amp;newwindow=1&amp;tbm=isch","Еще фото")</f>
        <v>Еще фото</v>
      </c>
      <c r="F2317" s="13"/>
      <c r="G2317" s="24" t="s">
        <v>1184</v>
      </c>
      <c r="H2317" s="24" t="s">
        <v>741</v>
      </c>
      <c r="I2317" s="24" t="s">
        <v>1185</v>
      </c>
      <c r="J2317" s="14" t="s">
        <v>29</v>
      </c>
      <c r="K2317" s="15" t="s">
        <v>30</v>
      </c>
      <c r="L2317" s="62"/>
      <c r="M2317" s="14"/>
      <c r="N2317" s="14" t="s">
        <v>127</v>
      </c>
      <c r="O2317" s="14"/>
      <c r="P2317" s="15" t="s">
        <v>1302</v>
      </c>
      <c r="Q2317" s="16">
        <v>8899</v>
      </c>
      <c r="R2317" s="17">
        <v>40</v>
      </c>
      <c r="S2317" s="18">
        <v>6140.3099999999995</v>
      </c>
      <c r="T2317" s="19" t="s">
        <v>36</v>
      </c>
      <c r="U2317" s="20" t="s">
        <v>748</v>
      </c>
      <c r="V2317" s="22">
        <v>40</v>
      </c>
      <c r="W2317" s="22">
        <v>1</v>
      </c>
      <c r="X2317" s="23"/>
    </row>
    <row r="2318" spans="1:24" s="1" customFormat="1" ht="37.049999999999997" customHeight="1" x14ac:dyDescent="0.3">
      <c r="A2318" s="24" t="s">
        <v>23</v>
      </c>
      <c r="B2318" s="24" t="s">
        <v>1544</v>
      </c>
      <c r="C2318" s="12" t="s">
        <v>2271</v>
      </c>
      <c r="D2318" s="61"/>
      <c r="E2318" s="41" t="str">
        <f>HYPERLINK("https://www.google.ru/search?q=3028254-391&amp;newwindow=1&amp;tbm=isch","Еще фото")</f>
        <v>Еще фото</v>
      </c>
      <c r="F2318" s="13"/>
      <c r="G2318" s="24" t="s">
        <v>1184</v>
      </c>
      <c r="H2318" s="24" t="s">
        <v>741</v>
      </c>
      <c r="I2318" s="24" t="s">
        <v>1185</v>
      </c>
      <c r="J2318" s="14" t="s">
        <v>29</v>
      </c>
      <c r="K2318" s="15" t="s">
        <v>30</v>
      </c>
      <c r="L2318" s="58"/>
      <c r="M2318" s="14"/>
      <c r="N2318" s="14" t="s">
        <v>127</v>
      </c>
      <c r="O2318" s="14"/>
      <c r="P2318" s="15" t="s">
        <v>1302</v>
      </c>
      <c r="Q2318" s="16">
        <v>8899</v>
      </c>
      <c r="R2318" s="17">
        <v>40</v>
      </c>
      <c r="S2318" s="18">
        <v>6140.3099999999995</v>
      </c>
      <c r="T2318" s="19" t="s">
        <v>36</v>
      </c>
      <c r="U2318" s="20" t="s">
        <v>750</v>
      </c>
      <c r="V2318" s="34">
        <v>41.5</v>
      </c>
      <c r="W2318" s="22">
        <v>3</v>
      </c>
      <c r="X2318" s="23"/>
    </row>
    <row r="2319" spans="1:24" s="1" customFormat="1" ht="52.05" customHeight="1" x14ac:dyDescent="0.3">
      <c r="A2319" s="11" t="s">
        <v>23</v>
      </c>
      <c r="B2319" s="11" t="s">
        <v>1865</v>
      </c>
      <c r="C2319" s="12" t="s">
        <v>2272</v>
      </c>
      <c r="D2319" s="55"/>
      <c r="E2319" s="41" t="str">
        <f>HYPERLINK("https://www.google.ru/search?q=3028256-001&amp;newwindow=1&amp;tbm=isch","Еще фото")</f>
        <v>Еще фото</v>
      </c>
      <c r="F2319" s="13" t="s">
        <v>103</v>
      </c>
      <c r="G2319" s="11" t="s">
        <v>1184</v>
      </c>
      <c r="H2319" s="11" t="s">
        <v>741</v>
      </c>
      <c r="I2319" s="14" t="s">
        <v>1185</v>
      </c>
      <c r="J2319" s="14" t="s">
        <v>29</v>
      </c>
      <c r="K2319" s="15" t="s">
        <v>30</v>
      </c>
      <c r="L2319" s="57" t="s">
        <v>1867</v>
      </c>
      <c r="M2319" s="14"/>
      <c r="N2319" s="14" t="s">
        <v>33</v>
      </c>
      <c r="O2319" s="14"/>
      <c r="P2319" s="15" t="s">
        <v>745</v>
      </c>
      <c r="Q2319" s="16">
        <v>11199</v>
      </c>
      <c r="R2319" s="17">
        <v>40</v>
      </c>
      <c r="S2319" s="18">
        <v>7727.3099999999986</v>
      </c>
      <c r="T2319" s="19" t="s">
        <v>36</v>
      </c>
      <c r="U2319" s="20" t="s">
        <v>748</v>
      </c>
      <c r="V2319" s="22">
        <v>40</v>
      </c>
      <c r="W2319" s="22">
        <v>10</v>
      </c>
      <c r="X2319" s="23"/>
    </row>
    <row r="2320" spans="1:24" s="1" customFormat="1" ht="61.05" customHeight="1" x14ac:dyDescent="0.3">
      <c r="A2320" s="24" t="s">
        <v>23</v>
      </c>
      <c r="B2320" s="24" t="s">
        <v>1865</v>
      </c>
      <c r="C2320" s="12" t="s">
        <v>2272</v>
      </c>
      <c r="D2320" s="56"/>
      <c r="E2320" s="41" t="str">
        <f>HYPERLINK("https://www.google.ru/search?q=3028256-001&amp;newwindow=1&amp;tbm=isch","Еще фото")</f>
        <v>Еще фото</v>
      </c>
      <c r="F2320" s="13" t="s">
        <v>103</v>
      </c>
      <c r="G2320" s="24" t="s">
        <v>1184</v>
      </c>
      <c r="H2320" s="24" t="s">
        <v>741</v>
      </c>
      <c r="I2320" s="24" t="s">
        <v>1185</v>
      </c>
      <c r="J2320" s="14" t="s">
        <v>29</v>
      </c>
      <c r="K2320" s="15" t="s">
        <v>30</v>
      </c>
      <c r="L2320" s="58"/>
      <c r="M2320" s="14"/>
      <c r="N2320" s="14" t="s">
        <v>33</v>
      </c>
      <c r="O2320" s="14"/>
      <c r="P2320" s="15" t="s">
        <v>745</v>
      </c>
      <c r="Q2320" s="16">
        <v>11199</v>
      </c>
      <c r="R2320" s="17">
        <v>40</v>
      </c>
      <c r="S2320" s="18">
        <v>7727.3099999999986</v>
      </c>
      <c r="T2320" s="19" t="s">
        <v>36</v>
      </c>
      <c r="U2320" s="20" t="s">
        <v>750</v>
      </c>
      <c r="V2320" s="34">
        <v>41.5</v>
      </c>
      <c r="W2320" s="22">
        <v>8</v>
      </c>
      <c r="X2320" s="23"/>
    </row>
    <row r="2321" spans="1:24" s="1" customFormat="1" ht="26" customHeight="1" x14ac:dyDescent="0.3">
      <c r="A2321" s="11" t="s">
        <v>23</v>
      </c>
      <c r="B2321" s="11" t="s">
        <v>1865</v>
      </c>
      <c r="C2321" s="12" t="s">
        <v>2273</v>
      </c>
      <c r="D2321" s="59"/>
      <c r="E2321" s="41" t="str">
        <f>HYPERLINK("https://www.google.ru/search?q=3028256-428&amp;newwindow=1&amp;tbm=isch","Еще фото")</f>
        <v>Еще фото</v>
      </c>
      <c r="F2321" s="13" t="s">
        <v>103</v>
      </c>
      <c r="G2321" s="11" t="s">
        <v>1184</v>
      </c>
      <c r="H2321" s="11" t="s">
        <v>741</v>
      </c>
      <c r="I2321" s="14" t="s">
        <v>1185</v>
      </c>
      <c r="J2321" s="14" t="s">
        <v>29</v>
      </c>
      <c r="K2321" s="15" t="s">
        <v>30</v>
      </c>
      <c r="L2321" s="57" t="s">
        <v>1867</v>
      </c>
      <c r="M2321" s="14"/>
      <c r="N2321" s="14" t="s">
        <v>115</v>
      </c>
      <c r="O2321" s="14"/>
      <c r="P2321" s="15" t="s">
        <v>745</v>
      </c>
      <c r="Q2321" s="16">
        <v>12199</v>
      </c>
      <c r="R2321" s="17">
        <v>40</v>
      </c>
      <c r="S2321" s="18">
        <v>8417.31</v>
      </c>
      <c r="T2321" s="19" t="s">
        <v>36</v>
      </c>
      <c r="U2321" s="20" t="s">
        <v>749</v>
      </c>
      <c r="V2321" s="22">
        <v>41</v>
      </c>
      <c r="W2321" s="22">
        <v>3</v>
      </c>
      <c r="X2321" s="23"/>
    </row>
    <row r="2322" spans="1:24" s="1" customFormat="1" ht="26" customHeight="1" x14ac:dyDescent="0.3">
      <c r="A2322" s="24" t="s">
        <v>23</v>
      </c>
      <c r="B2322" s="24" t="s">
        <v>1865</v>
      </c>
      <c r="C2322" s="12" t="s">
        <v>2273</v>
      </c>
      <c r="D2322" s="60"/>
      <c r="E2322" s="41" t="str">
        <f>HYPERLINK("https://www.google.ru/search?q=3028256-428&amp;newwindow=1&amp;tbm=isch","Еще фото")</f>
        <v>Еще фото</v>
      </c>
      <c r="F2322" s="13" t="s">
        <v>103</v>
      </c>
      <c r="G2322" s="24" t="s">
        <v>1184</v>
      </c>
      <c r="H2322" s="24" t="s">
        <v>741</v>
      </c>
      <c r="I2322" s="24" t="s">
        <v>1185</v>
      </c>
      <c r="J2322" s="14" t="s">
        <v>29</v>
      </c>
      <c r="K2322" s="15" t="s">
        <v>30</v>
      </c>
      <c r="L2322" s="62"/>
      <c r="M2322" s="14"/>
      <c r="N2322" s="14" t="s">
        <v>115</v>
      </c>
      <c r="O2322" s="14"/>
      <c r="P2322" s="15" t="s">
        <v>745</v>
      </c>
      <c r="Q2322" s="16">
        <v>12199</v>
      </c>
      <c r="R2322" s="17">
        <v>40</v>
      </c>
      <c r="S2322" s="18">
        <v>8417.31</v>
      </c>
      <c r="T2322" s="19" t="s">
        <v>36</v>
      </c>
      <c r="U2322" s="20" t="s">
        <v>750</v>
      </c>
      <c r="V2322" s="34">
        <v>41.5</v>
      </c>
      <c r="W2322" s="22">
        <v>6</v>
      </c>
      <c r="X2322" s="23"/>
    </row>
    <row r="2323" spans="1:24" s="1" customFormat="1" ht="26" customHeight="1" x14ac:dyDescent="0.3">
      <c r="A2323" s="24" t="s">
        <v>23</v>
      </c>
      <c r="B2323" s="24" t="s">
        <v>1865</v>
      </c>
      <c r="C2323" s="12" t="s">
        <v>2273</v>
      </c>
      <c r="D2323" s="60"/>
      <c r="E2323" s="41" t="str">
        <f>HYPERLINK("https://www.google.ru/search?q=3028256-428&amp;newwindow=1&amp;tbm=isch","Еще фото")</f>
        <v>Еще фото</v>
      </c>
      <c r="F2323" s="13" t="s">
        <v>103</v>
      </c>
      <c r="G2323" s="24" t="s">
        <v>1184</v>
      </c>
      <c r="H2323" s="24" t="s">
        <v>741</v>
      </c>
      <c r="I2323" s="24" t="s">
        <v>1185</v>
      </c>
      <c r="J2323" s="14" t="s">
        <v>29</v>
      </c>
      <c r="K2323" s="15" t="s">
        <v>30</v>
      </c>
      <c r="L2323" s="62"/>
      <c r="M2323" s="14"/>
      <c r="N2323" s="14" t="s">
        <v>115</v>
      </c>
      <c r="O2323" s="14"/>
      <c r="P2323" s="15" t="s">
        <v>745</v>
      </c>
      <c r="Q2323" s="16">
        <v>12199</v>
      </c>
      <c r="R2323" s="17">
        <v>40</v>
      </c>
      <c r="S2323" s="18">
        <v>8417.31</v>
      </c>
      <c r="T2323" s="19" t="s">
        <v>36</v>
      </c>
      <c r="U2323" s="20" t="s">
        <v>752</v>
      </c>
      <c r="V2323" s="22">
        <v>43</v>
      </c>
      <c r="W2323" s="22">
        <v>2</v>
      </c>
      <c r="X2323" s="23"/>
    </row>
    <row r="2324" spans="1:24" s="1" customFormat="1" ht="26" customHeight="1" x14ac:dyDescent="0.3">
      <c r="A2324" s="24" t="s">
        <v>23</v>
      </c>
      <c r="B2324" s="24" t="s">
        <v>1865</v>
      </c>
      <c r="C2324" s="12" t="s">
        <v>2273</v>
      </c>
      <c r="D2324" s="61"/>
      <c r="E2324" s="41" t="str">
        <f>HYPERLINK("https://www.google.ru/search?q=3028256-428&amp;newwindow=1&amp;tbm=isch","Еще фото")</f>
        <v>Еще фото</v>
      </c>
      <c r="F2324" s="13" t="s">
        <v>103</v>
      </c>
      <c r="G2324" s="24" t="s">
        <v>1184</v>
      </c>
      <c r="H2324" s="24" t="s">
        <v>741</v>
      </c>
      <c r="I2324" s="24" t="s">
        <v>1185</v>
      </c>
      <c r="J2324" s="14" t="s">
        <v>29</v>
      </c>
      <c r="K2324" s="15" t="s">
        <v>30</v>
      </c>
      <c r="L2324" s="58"/>
      <c r="M2324" s="14"/>
      <c r="N2324" s="14" t="s">
        <v>115</v>
      </c>
      <c r="O2324" s="14"/>
      <c r="P2324" s="15" t="s">
        <v>745</v>
      </c>
      <c r="Q2324" s="16">
        <v>12199</v>
      </c>
      <c r="R2324" s="17">
        <v>40</v>
      </c>
      <c r="S2324" s="18">
        <v>8417.31</v>
      </c>
      <c r="T2324" s="19" t="s">
        <v>36</v>
      </c>
      <c r="U2324" s="20" t="s">
        <v>753</v>
      </c>
      <c r="V2324" s="34">
        <v>43.5</v>
      </c>
      <c r="W2324" s="22">
        <v>1</v>
      </c>
      <c r="X2324" s="23"/>
    </row>
    <row r="2325" spans="1:24" s="1" customFormat="1" ht="14" customHeight="1" x14ac:dyDescent="0.3">
      <c r="A2325" s="11" t="s">
        <v>23</v>
      </c>
      <c r="B2325" s="11" t="s">
        <v>2274</v>
      </c>
      <c r="C2325" s="12" t="s">
        <v>2275</v>
      </c>
      <c r="D2325" s="59"/>
      <c r="E2325" s="41" t="str">
        <f t="shared" ref="E2325:E2331" si="93">HYPERLINK("https://www.google.ru/search?q=3028259-001&amp;newwindow=1&amp;tbm=isch","Еще фото")</f>
        <v>Еще фото</v>
      </c>
      <c r="F2325" s="13" t="s">
        <v>103</v>
      </c>
      <c r="G2325" s="11" t="s">
        <v>1184</v>
      </c>
      <c r="H2325" s="11" t="s">
        <v>741</v>
      </c>
      <c r="I2325" s="14" t="s">
        <v>1185</v>
      </c>
      <c r="J2325" s="14" t="s">
        <v>29</v>
      </c>
      <c r="K2325" s="15" t="s">
        <v>59</v>
      </c>
      <c r="L2325" s="57" t="s">
        <v>2276</v>
      </c>
      <c r="M2325" s="14"/>
      <c r="N2325" s="14" t="s">
        <v>33</v>
      </c>
      <c r="O2325" s="14"/>
      <c r="P2325" s="15" t="s">
        <v>2267</v>
      </c>
      <c r="Q2325" s="16">
        <v>6599</v>
      </c>
      <c r="R2325" s="17">
        <v>40</v>
      </c>
      <c r="S2325" s="18">
        <v>4553.3099999999995</v>
      </c>
      <c r="T2325" s="19" t="s">
        <v>36</v>
      </c>
      <c r="U2325" s="20" t="s">
        <v>1203</v>
      </c>
      <c r="V2325" s="22">
        <v>36</v>
      </c>
      <c r="W2325" s="22">
        <v>7</v>
      </c>
      <c r="X2325" s="23"/>
    </row>
    <row r="2326" spans="1:24" s="1" customFormat="1" ht="14" customHeight="1" x14ac:dyDescent="0.3">
      <c r="A2326" s="24" t="s">
        <v>23</v>
      </c>
      <c r="B2326" s="24" t="s">
        <v>2274</v>
      </c>
      <c r="C2326" s="12" t="s">
        <v>2275</v>
      </c>
      <c r="D2326" s="60"/>
      <c r="E2326" s="41" t="str">
        <f t="shared" si="93"/>
        <v>Еще фото</v>
      </c>
      <c r="F2326" s="13" t="s">
        <v>103</v>
      </c>
      <c r="G2326" s="24" t="s">
        <v>1184</v>
      </c>
      <c r="H2326" s="24" t="s">
        <v>741</v>
      </c>
      <c r="I2326" s="24" t="s">
        <v>1185</v>
      </c>
      <c r="J2326" s="14" t="s">
        <v>29</v>
      </c>
      <c r="K2326" s="15" t="s">
        <v>59</v>
      </c>
      <c r="L2326" s="62"/>
      <c r="M2326" s="14"/>
      <c r="N2326" s="14" t="s">
        <v>33</v>
      </c>
      <c r="O2326" s="14"/>
      <c r="P2326" s="15" t="s">
        <v>2267</v>
      </c>
      <c r="Q2326" s="16">
        <v>6599</v>
      </c>
      <c r="R2326" s="17">
        <v>40</v>
      </c>
      <c r="S2326" s="18">
        <v>4553.3099999999995</v>
      </c>
      <c r="T2326" s="19" t="s">
        <v>36</v>
      </c>
      <c r="U2326" s="20" t="s">
        <v>1196</v>
      </c>
      <c r="V2326" s="34">
        <v>36.5</v>
      </c>
      <c r="W2326" s="22">
        <v>14</v>
      </c>
      <c r="X2326" s="23"/>
    </row>
    <row r="2327" spans="1:24" s="1" customFormat="1" ht="14" customHeight="1" x14ac:dyDescent="0.3">
      <c r="A2327" s="24" t="s">
        <v>23</v>
      </c>
      <c r="B2327" s="24" t="s">
        <v>2274</v>
      </c>
      <c r="C2327" s="12" t="s">
        <v>2275</v>
      </c>
      <c r="D2327" s="60"/>
      <c r="E2327" s="41" t="str">
        <f t="shared" si="93"/>
        <v>Еще фото</v>
      </c>
      <c r="F2327" s="13" t="s">
        <v>103</v>
      </c>
      <c r="G2327" s="24" t="s">
        <v>1184</v>
      </c>
      <c r="H2327" s="24" t="s">
        <v>741</v>
      </c>
      <c r="I2327" s="24" t="s">
        <v>1185</v>
      </c>
      <c r="J2327" s="14" t="s">
        <v>29</v>
      </c>
      <c r="K2327" s="15" t="s">
        <v>59</v>
      </c>
      <c r="L2327" s="62"/>
      <c r="M2327" s="14"/>
      <c r="N2327" s="14" t="s">
        <v>33</v>
      </c>
      <c r="O2327" s="14"/>
      <c r="P2327" s="15" t="s">
        <v>2267</v>
      </c>
      <c r="Q2327" s="16">
        <v>6599</v>
      </c>
      <c r="R2327" s="17">
        <v>40</v>
      </c>
      <c r="S2327" s="18">
        <v>4553.3099999999995</v>
      </c>
      <c r="T2327" s="19" t="s">
        <v>36</v>
      </c>
      <c r="U2327" s="20" t="s">
        <v>746</v>
      </c>
      <c r="V2327" s="22">
        <v>37</v>
      </c>
      <c r="W2327" s="22">
        <v>12</v>
      </c>
      <c r="X2327" s="23"/>
    </row>
    <row r="2328" spans="1:24" s="1" customFormat="1" ht="14" customHeight="1" x14ac:dyDescent="0.3">
      <c r="A2328" s="24" t="s">
        <v>23</v>
      </c>
      <c r="B2328" s="24" t="s">
        <v>2274</v>
      </c>
      <c r="C2328" s="12" t="s">
        <v>2275</v>
      </c>
      <c r="D2328" s="60"/>
      <c r="E2328" s="41" t="str">
        <f t="shared" si="93"/>
        <v>Еще фото</v>
      </c>
      <c r="F2328" s="13" t="s">
        <v>103</v>
      </c>
      <c r="G2328" s="24" t="s">
        <v>1184</v>
      </c>
      <c r="H2328" s="24" t="s">
        <v>741</v>
      </c>
      <c r="I2328" s="24" t="s">
        <v>1185</v>
      </c>
      <c r="J2328" s="14" t="s">
        <v>29</v>
      </c>
      <c r="K2328" s="15" t="s">
        <v>59</v>
      </c>
      <c r="L2328" s="62"/>
      <c r="M2328" s="14"/>
      <c r="N2328" s="14" t="s">
        <v>33</v>
      </c>
      <c r="O2328" s="14"/>
      <c r="P2328" s="15" t="s">
        <v>2267</v>
      </c>
      <c r="Q2328" s="16">
        <v>6599</v>
      </c>
      <c r="R2328" s="17">
        <v>40</v>
      </c>
      <c r="S2328" s="18">
        <v>4553.3099999999995</v>
      </c>
      <c r="T2328" s="19" t="s">
        <v>36</v>
      </c>
      <c r="U2328" s="20" t="s">
        <v>747</v>
      </c>
      <c r="V2328" s="34">
        <v>37.5</v>
      </c>
      <c r="W2328" s="22">
        <v>21</v>
      </c>
      <c r="X2328" s="23"/>
    </row>
    <row r="2329" spans="1:24" s="1" customFormat="1" ht="14" customHeight="1" x14ac:dyDescent="0.3">
      <c r="A2329" s="24" t="s">
        <v>23</v>
      </c>
      <c r="B2329" s="24" t="s">
        <v>2274</v>
      </c>
      <c r="C2329" s="12" t="s">
        <v>2275</v>
      </c>
      <c r="D2329" s="60"/>
      <c r="E2329" s="41" t="str">
        <f t="shared" si="93"/>
        <v>Еще фото</v>
      </c>
      <c r="F2329" s="13" t="s">
        <v>103</v>
      </c>
      <c r="G2329" s="24" t="s">
        <v>1184</v>
      </c>
      <c r="H2329" s="24" t="s">
        <v>741</v>
      </c>
      <c r="I2329" s="24" t="s">
        <v>1185</v>
      </c>
      <c r="J2329" s="14" t="s">
        <v>29</v>
      </c>
      <c r="K2329" s="15" t="s">
        <v>59</v>
      </c>
      <c r="L2329" s="62"/>
      <c r="M2329" s="14"/>
      <c r="N2329" s="14" t="s">
        <v>33</v>
      </c>
      <c r="O2329" s="14"/>
      <c r="P2329" s="15" t="s">
        <v>2267</v>
      </c>
      <c r="Q2329" s="16">
        <v>6599</v>
      </c>
      <c r="R2329" s="17">
        <v>40</v>
      </c>
      <c r="S2329" s="18">
        <v>4553.3099999999995</v>
      </c>
      <c r="T2329" s="19" t="s">
        <v>36</v>
      </c>
      <c r="U2329" s="20" t="s">
        <v>748</v>
      </c>
      <c r="V2329" s="22">
        <v>38</v>
      </c>
      <c r="W2329" s="22">
        <v>5</v>
      </c>
      <c r="X2329" s="23"/>
    </row>
    <row r="2330" spans="1:24" s="1" customFormat="1" ht="14" customHeight="1" x14ac:dyDescent="0.3">
      <c r="A2330" s="24" t="s">
        <v>23</v>
      </c>
      <c r="B2330" s="24" t="s">
        <v>2274</v>
      </c>
      <c r="C2330" s="12" t="s">
        <v>2275</v>
      </c>
      <c r="D2330" s="60"/>
      <c r="E2330" s="41" t="str">
        <f t="shared" si="93"/>
        <v>Еще фото</v>
      </c>
      <c r="F2330" s="13" t="s">
        <v>103</v>
      </c>
      <c r="G2330" s="24" t="s">
        <v>1184</v>
      </c>
      <c r="H2330" s="24" t="s">
        <v>741</v>
      </c>
      <c r="I2330" s="24" t="s">
        <v>1185</v>
      </c>
      <c r="J2330" s="14" t="s">
        <v>29</v>
      </c>
      <c r="K2330" s="15" t="s">
        <v>59</v>
      </c>
      <c r="L2330" s="62"/>
      <c r="M2330" s="14"/>
      <c r="N2330" s="14" t="s">
        <v>33</v>
      </c>
      <c r="O2330" s="14"/>
      <c r="P2330" s="15" t="s">
        <v>2267</v>
      </c>
      <c r="Q2330" s="16">
        <v>6599</v>
      </c>
      <c r="R2330" s="17">
        <v>40</v>
      </c>
      <c r="S2330" s="18">
        <v>4553.3099999999995</v>
      </c>
      <c r="T2330" s="19" t="s">
        <v>36</v>
      </c>
      <c r="U2330" s="20" t="s">
        <v>749</v>
      </c>
      <c r="V2330" s="22">
        <v>39</v>
      </c>
      <c r="W2330" s="22">
        <v>1</v>
      </c>
      <c r="X2330" s="23"/>
    </row>
    <row r="2331" spans="1:24" s="1" customFormat="1" ht="17" customHeight="1" x14ac:dyDescent="0.3">
      <c r="A2331" s="24" t="s">
        <v>23</v>
      </c>
      <c r="B2331" s="24" t="s">
        <v>2274</v>
      </c>
      <c r="C2331" s="12" t="s">
        <v>2275</v>
      </c>
      <c r="D2331" s="61"/>
      <c r="E2331" s="41" t="str">
        <f t="shared" si="93"/>
        <v>Еще фото</v>
      </c>
      <c r="F2331" s="13" t="s">
        <v>103</v>
      </c>
      <c r="G2331" s="24" t="s">
        <v>1184</v>
      </c>
      <c r="H2331" s="24" t="s">
        <v>741</v>
      </c>
      <c r="I2331" s="24" t="s">
        <v>1185</v>
      </c>
      <c r="J2331" s="14" t="s">
        <v>29</v>
      </c>
      <c r="K2331" s="15" t="s">
        <v>59</v>
      </c>
      <c r="L2331" s="58"/>
      <c r="M2331" s="14"/>
      <c r="N2331" s="14" t="s">
        <v>33</v>
      </c>
      <c r="O2331" s="14"/>
      <c r="P2331" s="15" t="s">
        <v>2267</v>
      </c>
      <c r="Q2331" s="16">
        <v>6599</v>
      </c>
      <c r="R2331" s="17">
        <v>40</v>
      </c>
      <c r="S2331" s="18">
        <v>4553.3099999999995</v>
      </c>
      <c r="T2331" s="19" t="s">
        <v>36</v>
      </c>
      <c r="U2331" s="20" t="s">
        <v>750</v>
      </c>
      <c r="V2331" s="34">
        <v>39.5</v>
      </c>
      <c r="W2331" s="22">
        <v>7</v>
      </c>
      <c r="X2331" s="23"/>
    </row>
    <row r="2332" spans="1:24" s="1" customFormat="1" ht="35" customHeight="1" x14ac:dyDescent="0.3">
      <c r="A2332" s="11" t="s">
        <v>23</v>
      </c>
      <c r="B2332" s="11" t="s">
        <v>2274</v>
      </c>
      <c r="C2332" s="12" t="s">
        <v>2277</v>
      </c>
      <c r="D2332" s="59"/>
      <c r="E2332" s="41" t="str">
        <f>HYPERLINK("https://www.google.ru/search?q=3028259-002&amp;newwindow=1&amp;tbm=isch","Еще фото")</f>
        <v>Еще фото</v>
      </c>
      <c r="F2332" s="13"/>
      <c r="G2332" s="11" t="s">
        <v>1184</v>
      </c>
      <c r="H2332" s="11" t="s">
        <v>741</v>
      </c>
      <c r="I2332" s="14" t="s">
        <v>1185</v>
      </c>
      <c r="J2332" s="14" t="s">
        <v>29</v>
      </c>
      <c r="K2332" s="15" t="s">
        <v>59</v>
      </c>
      <c r="L2332" s="57" t="s">
        <v>2276</v>
      </c>
      <c r="M2332" s="14"/>
      <c r="N2332" s="14" t="s">
        <v>33</v>
      </c>
      <c r="O2332" s="14"/>
      <c r="P2332" s="15" t="s">
        <v>2267</v>
      </c>
      <c r="Q2332" s="16">
        <v>6599</v>
      </c>
      <c r="R2332" s="17">
        <v>40</v>
      </c>
      <c r="S2332" s="18">
        <v>4553.3099999999995</v>
      </c>
      <c r="T2332" s="19" t="s">
        <v>36</v>
      </c>
      <c r="U2332" s="20" t="s">
        <v>1196</v>
      </c>
      <c r="V2332" s="34">
        <v>36.5</v>
      </c>
      <c r="W2332" s="22">
        <v>3</v>
      </c>
      <c r="X2332" s="23"/>
    </row>
    <row r="2333" spans="1:24" s="1" customFormat="1" ht="35" customHeight="1" x14ac:dyDescent="0.3">
      <c r="A2333" s="24" t="s">
        <v>23</v>
      </c>
      <c r="B2333" s="24" t="s">
        <v>2274</v>
      </c>
      <c r="C2333" s="12" t="s">
        <v>2277</v>
      </c>
      <c r="D2333" s="60"/>
      <c r="E2333" s="41" t="str">
        <f>HYPERLINK("https://www.google.ru/search?q=3028259-002&amp;newwindow=1&amp;tbm=isch","Еще фото")</f>
        <v>Еще фото</v>
      </c>
      <c r="F2333" s="13"/>
      <c r="G2333" s="24" t="s">
        <v>1184</v>
      </c>
      <c r="H2333" s="24" t="s">
        <v>741</v>
      </c>
      <c r="I2333" s="24" t="s">
        <v>1185</v>
      </c>
      <c r="J2333" s="14" t="s">
        <v>29</v>
      </c>
      <c r="K2333" s="15" t="s">
        <v>59</v>
      </c>
      <c r="L2333" s="62"/>
      <c r="M2333" s="14"/>
      <c r="N2333" s="14" t="s">
        <v>33</v>
      </c>
      <c r="O2333" s="14"/>
      <c r="P2333" s="15" t="s">
        <v>2267</v>
      </c>
      <c r="Q2333" s="16">
        <v>6599</v>
      </c>
      <c r="R2333" s="17">
        <v>40</v>
      </c>
      <c r="S2333" s="18">
        <v>4553.3099999999995</v>
      </c>
      <c r="T2333" s="19" t="s">
        <v>36</v>
      </c>
      <c r="U2333" s="20" t="s">
        <v>746</v>
      </c>
      <c r="V2333" s="22">
        <v>37</v>
      </c>
      <c r="W2333" s="22">
        <v>5</v>
      </c>
      <c r="X2333" s="23"/>
    </row>
    <row r="2334" spans="1:24" s="1" customFormat="1" ht="37.049999999999997" customHeight="1" x14ac:dyDescent="0.3">
      <c r="A2334" s="24" t="s">
        <v>23</v>
      </c>
      <c r="B2334" s="24" t="s">
        <v>2274</v>
      </c>
      <c r="C2334" s="12" t="s">
        <v>2277</v>
      </c>
      <c r="D2334" s="61"/>
      <c r="E2334" s="41" t="str">
        <f>HYPERLINK("https://www.google.ru/search?q=3028259-002&amp;newwindow=1&amp;tbm=isch","Еще фото")</f>
        <v>Еще фото</v>
      </c>
      <c r="F2334" s="13"/>
      <c r="G2334" s="24" t="s">
        <v>1184</v>
      </c>
      <c r="H2334" s="24" t="s">
        <v>741</v>
      </c>
      <c r="I2334" s="24" t="s">
        <v>1185</v>
      </c>
      <c r="J2334" s="14" t="s">
        <v>29</v>
      </c>
      <c r="K2334" s="15" t="s">
        <v>59</v>
      </c>
      <c r="L2334" s="58"/>
      <c r="M2334" s="14"/>
      <c r="N2334" s="14" t="s">
        <v>33</v>
      </c>
      <c r="O2334" s="14"/>
      <c r="P2334" s="15" t="s">
        <v>2267</v>
      </c>
      <c r="Q2334" s="16">
        <v>6599</v>
      </c>
      <c r="R2334" s="17">
        <v>40</v>
      </c>
      <c r="S2334" s="18">
        <v>4553.3099999999995</v>
      </c>
      <c r="T2334" s="19" t="s">
        <v>36</v>
      </c>
      <c r="U2334" s="20" t="s">
        <v>747</v>
      </c>
      <c r="V2334" s="34">
        <v>37.5</v>
      </c>
      <c r="W2334" s="22">
        <v>2</v>
      </c>
      <c r="X2334" s="23"/>
    </row>
    <row r="2335" spans="1:24" s="1" customFormat="1" ht="35" customHeight="1" x14ac:dyDescent="0.3">
      <c r="A2335" s="11" t="s">
        <v>23</v>
      </c>
      <c r="B2335" s="11" t="s">
        <v>2274</v>
      </c>
      <c r="C2335" s="12" t="s">
        <v>2278</v>
      </c>
      <c r="D2335" s="59"/>
      <c r="E2335" s="41" t="str">
        <f>HYPERLINK("https://www.google.ru/search?q=3028259-647&amp;newwindow=1&amp;tbm=isch","Еще фото")</f>
        <v>Еще фото</v>
      </c>
      <c r="F2335" s="13"/>
      <c r="G2335" s="11" t="s">
        <v>1184</v>
      </c>
      <c r="H2335" s="11" t="s">
        <v>741</v>
      </c>
      <c r="I2335" s="14" t="s">
        <v>1185</v>
      </c>
      <c r="J2335" s="14" t="s">
        <v>29</v>
      </c>
      <c r="K2335" s="15" t="s">
        <v>59</v>
      </c>
      <c r="L2335" s="57" t="s">
        <v>2276</v>
      </c>
      <c r="M2335" s="14"/>
      <c r="N2335" s="14" t="s">
        <v>69</v>
      </c>
      <c r="O2335" s="14"/>
      <c r="P2335" s="15" t="s">
        <v>2279</v>
      </c>
      <c r="Q2335" s="16">
        <v>7299</v>
      </c>
      <c r="R2335" s="17">
        <v>40</v>
      </c>
      <c r="S2335" s="18">
        <v>5036.3099999999995</v>
      </c>
      <c r="T2335" s="19" t="s">
        <v>36</v>
      </c>
      <c r="U2335" s="20" t="s">
        <v>1190</v>
      </c>
      <c r="V2335" s="34">
        <v>35.5</v>
      </c>
      <c r="W2335" s="22">
        <v>1</v>
      </c>
      <c r="X2335" s="23"/>
    </row>
    <row r="2336" spans="1:24" s="1" customFormat="1" ht="35" customHeight="1" x14ac:dyDescent="0.3">
      <c r="A2336" s="24" t="s">
        <v>23</v>
      </c>
      <c r="B2336" s="24" t="s">
        <v>2274</v>
      </c>
      <c r="C2336" s="12" t="s">
        <v>2278</v>
      </c>
      <c r="D2336" s="60"/>
      <c r="E2336" s="41" t="str">
        <f>HYPERLINK("https://www.google.ru/search?q=3028259-647&amp;newwindow=1&amp;tbm=isch","Еще фото")</f>
        <v>Еще фото</v>
      </c>
      <c r="F2336" s="13"/>
      <c r="G2336" s="24" t="s">
        <v>1184</v>
      </c>
      <c r="H2336" s="24" t="s">
        <v>741</v>
      </c>
      <c r="I2336" s="24" t="s">
        <v>1185</v>
      </c>
      <c r="J2336" s="14" t="s">
        <v>29</v>
      </c>
      <c r="K2336" s="15" t="s">
        <v>59</v>
      </c>
      <c r="L2336" s="62"/>
      <c r="M2336" s="14"/>
      <c r="N2336" s="14" t="s">
        <v>69</v>
      </c>
      <c r="O2336" s="14"/>
      <c r="P2336" s="15" t="s">
        <v>2279</v>
      </c>
      <c r="Q2336" s="16">
        <v>7299</v>
      </c>
      <c r="R2336" s="17">
        <v>40</v>
      </c>
      <c r="S2336" s="18">
        <v>5036.3099999999995</v>
      </c>
      <c r="T2336" s="19" t="s">
        <v>36</v>
      </c>
      <c r="U2336" s="20" t="s">
        <v>746</v>
      </c>
      <c r="V2336" s="22">
        <v>37</v>
      </c>
      <c r="W2336" s="22">
        <v>1</v>
      </c>
      <c r="X2336" s="23"/>
    </row>
    <row r="2337" spans="1:24" s="1" customFormat="1" ht="37.049999999999997" customHeight="1" x14ac:dyDescent="0.3">
      <c r="A2337" s="24" t="s">
        <v>23</v>
      </c>
      <c r="B2337" s="24" t="s">
        <v>2274</v>
      </c>
      <c r="C2337" s="12" t="s">
        <v>2278</v>
      </c>
      <c r="D2337" s="61"/>
      <c r="E2337" s="41" t="str">
        <f>HYPERLINK("https://www.google.ru/search?q=3028259-647&amp;newwindow=1&amp;tbm=isch","Еще фото")</f>
        <v>Еще фото</v>
      </c>
      <c r="F2337" s="13"/>
      <c r="G2337" s="24" t="s">
        <v>1184</v>
      </c>
      <c r="H2337" s="24" t="s">
        <v>741</v>
      </c>
      <c r="I2337" s="24" t="s">
        <v>1185</v>
      </c>
      <c r="J2337" s="14" t="s">
        <v>29</v>
      </c>
      <c r="K2337" s="15" t="s">
        <v>59</v>
      </c>
      <c r="L2337" s="58"/>
      <c r="M2337" s="14"/>
      <c r="N2337" s="14" t="s">
        <v>69</v>
      </c>
      <c r="O2337" s="14"/>
      <c r="P2337" s="15" t="s">
        <v>2279</v>
      </c>
      <c r="Q2337" s="16">
        <v>7299</v>
      </c>
      <c r="R2337" s="17">
        <v>40</v>
      </c>
      <c r="S2337" s="18">
        <v>5036.3099999999995</v>
      </c>
      <c r="T2337" s="19" t="s">
        <v>36</v>
      </c>
      <c r="U2337" s="20" t="s">
        <v>749</v>
      </c>
      <c r="V2337" s="22">
        <v>39</v>
      </c>
      <c r="W2337" s="22">
        <v>1</v>
      </c>
      <c r="X2337" s="23"/>
    </row>
    <row r="2338" spans="1:24" s="1" customFormat="1" ht="14" customHeight="1" x14ac:dyDescent="0.3">
      <c r="A2338" s="11" t="s">
        <v>23</v>
      </c>
      <c r="B2338" s="11" t="s">
        <v>1487</v>
      </c>
      <c r="C2338" s="12" t="s">
        <v>2280</v>
      </c>
      <c r="D2338" s="59"/>
      <c r="E2338" s="41" t="str">
        <f t="shared" ref="E2338:E2344" si="94">HYPERLINK("https://www.google.ru/search?q=3028261-001&amp;newwindow=1&amp;tbm=isch","Еще фото")</f>
        <v>Еще фото</v>
      </c>
      <c r="F2338" s="28" t="s">
        <v>138</v>
      </c>
      <c r="G2338" s="11" t="s">
        <v>1184</v>
      </c>
      <c r="H2338" s="11" t="s">
        <v>741</v>
      </c>
      <c r="I2338" s="14" t="s">
        <v>1185</v>
      </c>
      <c r="J2338" s="14" t="s">
        <v>29</v>
      </c>
      <c r="K2338" s="15" t="s">
        <v>59</v>
      </c>
      <c r="L2338" s="57" t="s">
        <v>1489</v>
      </c>
      <c r="M2338" s="14"/>
      <c r="N2338" s="14" t="s">
        <v>33</v>
      </c>
      <c r="O2338" s="14"/>
      <c r="P2338" s="15" t="s">
        <v>1254</v>
      </c>
      <c r="Q2338" s="16">
        <v>8899</v>
      </c>
      <c r="R2338" s="17">
        <v>40</v>
      </c>
      <c r="S2338" s="18">
        <v>6140.3099999999995</v>
      </c>
      <c r="T2338" s="19" t="s">
        <v>36</v>
      </c>
      <c r="U2338" s="20" t="s">
        <v>1190</v>
      </c>
      <c r="V2338" s="34">
        <v>35.5</v>
      </c>
      <c r="W2338" s="22">
        <v>7</v>
      </c>
      <c r="X2338" s="23"/>
    </row>
    <row r="2339" spans="1:24" s="1" customFormat="1" ht="14" customHeight="1" x14ac:dyDescent="0.3">
      <c r="A2339" s="24" t="s">
        <v>23</v>
      </c>
      <c r="B2339" s="24" t="s">
        <v>1487</v>
      </c>
      <c r="C2339" s="12" t="s">
        <v>2280</v>
      </c>
      <c r="D2339" s="60"/>
      <c r="E2339" s="41" t="str">
        <f t="shared" si="94"/>
        <v>Еще фото</v>
      </c>
      <c r="F2339" s="28" t="s">
        <v>138</v>
      </c>
      <c r="G2339" s="24" t="s">
        <v>1184</v>
      </c>
      <c r="H2339" s="24" t="s">
        <v>741</v>
      </c>
      <c r="I2339" s="24" t="s">
        <v>1185</v>
      </c>
      <c r="J2339" s="14" t="s">
        <v>29</v>
      </c>
      <c r="K2339" s="15" t="s">
        <v>59</v>
      </c>
      <c r="L2339" s="62"/>
      <c r="M2339" s="14"/>
      <c r="N2339" s="14" t="s">
        <v>33</v>
      </c>
      <c r="O2339" s="14"/>
      <c r="P2339" s="15" t="s">
        <v>1254</v>
      </c>
      <c r="Q2339" s="16">
        <v>8899</v>
      </c>
      <c r="R2339" s="17">
        <v>40</v>
      </c>
      <c r="S2339" s="18">
        <v>6140.3099999999995</v>
      </c>
      <c r="T2339" s="19" t="s">
        <v>36</v>
      </c>
      <c r="U2339" s="20" t="s">
        <v>1203</v>
      </c>
      <c r="V2339" s="22">
        <v>36</v>
      </c>
      <c r="W2339" s="22">
        <v>3</v>
      </c>
      <c r="X2339" s="23"/>
    </row>
    <row r="2340" spans="1:24" s="1" customFormat="1" ht="14" customHeight="1" x14ac:dyDescent="0.3">
      <c r="A2340" s="24" t="s">
        <v>23</v>
      </c>
      <c r="B2340" s="24" t="s">
        <v>1487</v>
      </c>
      <c r="C2340" s="12" t="s">
        <v>2280</v>
      </c>
      <c r="D2340" s="60"/>
      <c r="E2340" s="41" t="str">
        <f t="shared" si="94"/>
        <v>Еще фото</v>
      </c>
      <c r="F2340" s="28" t="s">
        <v>138</v>
      </c>
      <c r="G2340" s="24" t="s">
        <v>1184</v>
      </c>
      <c r="H2340" s="24" t="s">
        <v>741</v>
      </c>
      <c r="I2340" s="24" t="s">
        <v>1185</v>
      </c>
      <c r="J2340" s="14" t="s">
        <v>29</v>
      </c>
      <c r="K2340" s="15" t="s">
        <v>59</v>
      </c>
      <c r="L2340" s="62"/>
      <c r="M2340" s="14"/>
      <c r="N2340" s="14" t="s">
        <v>33</v>
      </c>
      <c r="O2340" s="14"/>
      <c r="P2340" s="15" t="s">
        <v>1254</v>
      </c>
      <c r="Q2340" s="16">
        <v>8899</v>
      </c>
      <c r="R2340" s="17">
        <v>40</v>
      </c>
      <c r="S2340" s="18">
        <v>6140.3099999999995</v>
      </c>
      <c r="T2340" s="19" t="s">
        <v>36</v>
      </c>
      <c r="U2340" s="20" t="s">
        <v>1196</v>
      </c>
      <c r="V2340" s="34">
        <v>36.5</v>
      </c>
      <c r="W2340" s="22">
        <v>4</v>
      </c>
      <c r="X2340" s="23"/>
    </row>
    <row r="2341" spans="1:24" s="1" customFormat="1" ht="14" customHeight="1" x14ac:dyDescent="0.3">
      <c r="A2341" s="24" t="s">
        <v>23</v>
      </c>
      <c r="B2341" s="24" t="s">
        <v>1487</v>
      </c>
      <c r="C2341" s="12" t="s">
        <v>2280</v>
      </c>
      <c r="D2341" s="60"/>
      <c r="E2341" s="41" t="str">
        <f t="shared" si="94"/>
        <v>Еще фото</v>
      </c>
      <c r="F2341" s="28" t="s">
        <v>138</v>
      </c>
      <c r="G2341" s="24" t="s">
        <v>1184</v>
      </c>
      <c r="H2341" s="24" t="s">
        <v>741</v>
      </c>
      <c r="I2341" s="24" t="s">
        <v>1185</v>
      </c>
      <c r="J2341" s="14" t="s">
        <v>29</v>
      </c>
      <c r="K2341" s="15" t="s">
        <v>59</v>
      </c>
      <c r="L2341" s="62"/>
      <c r="M2341" s="14"/>
      <c r="N2341" s="14" t="s">
        <v>33</v>
      </c>
      <c r="O2341" s="14"/>
      <c r="P2341" s="15" t="s">
        <v>1254</v>
      </c>
      <c r="Q2341" s="16">
        <v>8899</v>
      </c>
      <c r="R2341" s="17">
        <v>40</v>
      </c>
      <c r="S2341" s="18">
        <v>6140.3099999999995</v>
      </c>
      <c r="T2341" s="19" t="s">
        <v>36</v>
      </c>
      <c r="U2341" s="20" t="s">
        <v>746</v>
      </c>
      <c r="V2341" s="22">
        <v>37</v>
      </c>
      <c r="W2341" s="22">
        <v>8</v>
      </c>
      <c r="X2341" s="23"/>
    </row>
    <row r="2342" spans="1:24" s="1" customFormat="1" ht="14" customHeight="1" x14ac:dyDescent="0.3">
      <c r="A2342" s="24" t="s">
        <v>23</v>
      </c>
      <c r="B2342" s="24" t="s">
        <v>1487</v>
      </c>
      <c r="C2342" s="12" t="s">
        <v>2280</v>
      </c>
      <c r="D2342" s="60"/>
      <c r="E2342" s="41" t="str">
        <f t="shared" si="94"/>
        <v>Еще фото</v>
      </c>
      <c r="F2342" s="28" t="s">
        <v>138</v>
      </c>
      <c r="G2342" s="24" t="s">
        <v>1184</v>
      </c>
      <c r="H2342" s="24" t="s">
        <v>741</v>
      </c>
      <c r="I2342" s="24" t="s">
        <v>1185</v>
      </c>
      <c r="J2342" s="14" t="s">
        <v>29</v>
      </c>
      <c r="K2342" s="15" t="s">
        <v>59</v>
      </c>
      <c r="L2342" s="62"/>
      <c r="M2342" s="14"/>
      <c r="N2342" s="14" t="s">
        <v>33</v>
      </c>
      <c r="O2342" s="14"/>
      <c r="P2342" s="15" t="s">
        <v>1254</v>
      </c>
      <c r="Q2342" s="16">
        <v>8899</v>
      </c>
      <c r="R2342" s="17">
        <v>40</v>
      </c>
      <c r="S2342" s="18">
        <v>6140.3099999999995</v>
      </c>
      <c r="T2342" s="19" t="s">
        <v>36</v>
      </c>
      <c r="U2342" s="20" t="s">
        <v>747</v>
      </c>
      <c r="V2342" s="34">
        <v>37.5</v>
      </c>
      <c r="W2342" s="22">
        <v>10</v>
      </c>
      <c r="X2342" s="23"/>
    </row>
    <row r="2343" spans="1:24" s="1" customFormat="1" ht="14" customHeight="1" x14ac:dyDescent="0.3">
      <c r="A2343" s="24" t="s">
        <v>23</v>
      </c>
      <c r="B2343" s="24" t="s">
        <v>1487</v>
      </c>
      <c r="C2343" s="12" t="s">
        <v>2280</v>
      </c>
      <c r="D2343" s="60"/>
      <c r="E2343" s="41" t="str">
        <f t="shared" si="94"/>
        <v>Еще фото</v>
      </c>
      <c r="F2343" s="28" t="s">
        <v>138</v>
      </c>
      <c r="G2343" s="24" t="s">
        <v>1184</v>
      </c>
      <c r="H2343" s="24" t="s">
        <v>741</v>
      </c>
      <c r="I2343" s="24" t="s">
        <v>1185</v>
      </c>
      <c r="J2343" s="14" t="s">
        <v>29</v>
      </c>
      <c r="K2343" s="15" t="s">
        <v>59</v>
      </c>
      <c r="L2343" s="62"/>
      <c r="M2343" s="14"/>
      <c r="N2343" s="14" t="s">
        <v>33</v>
      </c>
      <c r="O2343" s="14"/>
      <c r="P2343" s="15" t="s">
        <v>1254</v>
      </c>
      <c r="Q2343" s="16">
        <v>8899</v>
      </c>
      <c r="R2343" s="17">
        <v>40</v>
      </c>
      <c r="S2343" s="18">
        <v>6140.3099999999995</v>
      </c>
      <c r="T2343" s="19" t="s">
        <v>36</v>
      </c>
      <c r="U2343" s="20" t="s">
        <v>748</v>
      </c>
      <c r="V2343" s="22">
        <v>38</v>
      </c>
      <c r="W2343" s="22">
        <v>9</v>
      </c>
      <c r="X2343" s="23"/>
    </row>
    <row r="2344" spans="1:24" s="1" customFormat="1" ht="17" customHeight="1" x14ac:dyDescent="0.3">
      <c r="A2344" s="24" t="s">
        <v>23</v>
      </c>
      <c r="B2344" s="24" t="s">
        <v>1487</v>
      </c>
      <c r="C2344" s="12" t="s">
        <v>2280</v>
      </c>
      <c r="D2344" s="61"/>
      <c r="E2344" s="41" t="str">
        <f t="shared" si="94"/>
        <v>Еще фото</v>
      </c>
      <c r="F2344" s="28" t="s">
        <v>138</v>
      </c>
      <c r="G2344" s="24" t="s">
        <v>1184</v>
      </c>
      <c r="H2344" s="24" t="s">
        <v>741</v>
      </c>
      <c r="I2344" s="24" t="s">
        <v>1185</v>
      </c>
      <c r="J2344" s="14" t="s">
        <v>29</v>
      </c>
      <c r="K2344" s="15" t="s">
        <v>59</v>
      </c>
      <c r="L2344" s="58"/>
      <c r="M2344" s="14"/>
      <c r="N2344" s="14" t="s">
        <v>33</v>
      </c>
      <c r="O2344" s="14"/>
      <c r="P2344" s="15" t="s">
        <v>1254</v>
      </c>
      <c r="Q2344" s="16">
        <v>8899</v>
      </c>
      <c r="R2344" s="17">
        <v>40</v>
      </c>
      <c r="S2344" s="18">
        <v>6140.3099999999995</v>
      </c>
      <c r="T2344" s="19" t="s">
        <v>36</v>
      </c>
      <c r="U2344" s="20" t="s">
        <v>750</v>
      </c>
      <c r="V2344" s="34">
        <v>39.5</v>
      </c>
      <c r="W2344" s="22">
        <v>5</v>
      </c>
      <c r="X2344" s="23"/>
    </row>
    <row r="2345" spans="1:24" s="1" customFormat="1" ht="35" customHeight="1" x14ac:dyDescent="0.3">
      <c r="A2345" s="11" t="s">
        <v>23</v>
      </c>
      <c r="B2345" s="11" t="s">
        <v>1487</v>
      </c>
      <c r="C2345" s="12" t="s">
        <v>2281</v>
      </c>
      <c r="D2345" s="59"/>
      <c r="E2345" s="41" t="str">
        <f>HYPERLINK("https://www.google.ru/search?q=3028261-101&amp;newwindow=1&amp;tbm=isch","Еще фото")</f>
        <v>Еще фото</v>
      </c>
      <c r="F2345" s="13" t="s">
        <v>103</v>
      </c>
      <c r="G2345" s="11" t="s">
        <v>1184</v>
      </c>
      <c r="H2345" s="11" t="s">
        <v>741</v>
      </c>
      <c r="I2345" s="14" t="s">
        <v>1185</v>
      </c>
      <c r="J2345" s="14" t="s">
        <v>29</v>
      </c>
      <c r="K2345" s="15" t="s">
        <v>59</v>
      </c>
      <c r="L2345" s="57" t="s">
        <v>1489</v>
      </c>
      <c r="M2345" s="14"/>
      <c r="N2345" s="14" t="s">
        <v>84</v>
      </c>
      <c r="O2345" s="14"/>
      <c r="P2345" s="15" t="s">
        <v>745</v>
      </c>
      <c r="Q2345" s="16">
        <v>8899</v>
      </c>
      <c r="R2345" s="17">
        <v>40</v>
      </c>
      <c r="S2345" s="18">
        <v>6140.3099999999995</v>
      </c>
      <c r="T2345" s="19" t="s">
        <v>36</v>
      </c>
      <c r="U2345" s="20" t="s">
        <v>748</v>
      </c>
      <c r="V2345" s="22">
        <v>38</v>
      </c>
      <c r="W2345" s="22">
        <v>1</v>
      </c>
      <c r="X2345" s="23"/>
    </row>
    <row r="2346" spans="1:24" s="1" customFormat="1" ht="35" customHeight="1" x14ac:dyDescent="0.3">
      <c r="A2346" s="24" t="s">
        <v>23</v>
      </c>
      <c r="B2346" s="24" t="s">
        <v>1487</v>
      </c>
      <c r="C2346" s="12" t="s">
        <v>2281</v>
      </c>
      <c r="D2346" s="60"/>
      <c r="E2346" s="41" t="str">
        <f>HYPERLINK("https://www.google.ru/search?q=3028261-101&amp;newwindow=1&amp;tbm=isch","Еще фото")</f>
        <v>Еще фото</v>
      </c>
      <c r="F2346" s="13" t="s">
        <v>103</v>
      </c>
      <c r="G2346" s="24" t="s">
        <v>1184</v>
      </c>
      <c r="H2346" s="24" t="s">
        <v>741</v>
      </c>
      <c r="I2346" s="24" t="s">
        <v>1185</v>
      </c>
      <c r="J2346" s="14" t="s">
        <v>29</v>
      </c>
      <c r="K2346" s="15" t="s">
        <v>59</v>
      </c>
      <c r="L2346" s="62"/>
      <c r="M2346" s="14"/>
      <c r="N2346" s="14" t="s">
        <v>84</v>
      </c>
      <c r="O2346" s="14"/>
      <c r="P2346" s="15" t="s">
        <v>745</v>
      </c>
      <c r="Q2346" s="16">
        <v>8899</v>
      </c>
      <c r="R2346" s="17">
        <v>40</v>
      </c>
      <c r="S2346" s="18">
        <v>6140.3099999999995</v>
      </c>
      <c r="T2346" s="19" t="s">
        <v>36</v>
      </c>
      <c r="U2346" s="20" t="s">
        <v>750</v>
      </c>
      <c r="V2346" s="34">
        <v>39.5</v>
      </c>
      <c r="W2346" s="22">
        <v>1</v>
      </c>
      <c r="X2346" s="23"/>
    </row>
    <row r="2347" spans="1:24" s="1" customFormat="1" ht="37.049999999999997" customHeight="1" x14ac:dyDescent="0.3">
      <c r="A2347" s="24" t="s">
        <v>23</v>
      </c>
      <c r="B2347" s="24" t="s">
        <v>1487</v>
      </c>
      <c r="C2347" s="12" t="s">
        <v>2281</v>
      </c>
      <c r="D2347" s="61"/>
      <c r="E2347" s="41" t="str">
        <f>HYPERLINK("https://www.google.ru/search?q=3028261-101&amp;newwindow=1&amp;tbm=isch","Еще фото")</f>
        <v>Еще фото</v>
      </c>
      <c r="F2347" s="13" t="s">
        <v>103</v>
      </c>
      <c r="G2347" s="24" t="s">
        <v>1184</v>
      </c>
      <c r="H2347" s="24" t="s">
        <v>741</v>
      </c>
      <c r="I2347" s="24" t="s">
        <v>1185</v>
      </c>
      <c r="J2347" s="14" t="s">
        <v>29</v>
      </c>
      <c r="K2347" s="15" t="s">
        <v>59</v>
      </c>
      <c r="L2347" s="58"/>
      <c r="M2347" s="14"/>
      <c r="N2347" s="14" t="s">
        <v>84</v>
      </c>
      <c r="O2347" s="14"/>
      <c r="P2347" s="15" t="s">
        <v>745</v>
      </c>
      <c r="Q2347" s="16">
        <v>8899</v>
      </c>
      <c r="R2347" s="17">
        <v>40</v>
      </c>
      <c r="S2347" s="18">
        <v>6140.3099999999995</v>
      </c>
      <c r="T2347" s="19" t="s">
        <v>36</v>
      </c>
      <c r="U2347" s="20" t="s">
        <v>751</v>
      </c>
      <c r="V2347" s="22">
        <v>40</v>
      </c>
      <c r="W2347" s="22">
        <v>1</v>
      </c>
      <c r="X2347" s="23"/>
    </row>
    <row r="2348" spans="1:24" s="1" customFormat="1" ht="52.05" customHeight="1" x14ac:dyDescent="0.3">
      <c r="A2348" s="11" t="s">
        <v>23</v>
      </c>
      <c r="B2348" s="11" t="s">
        <v>1365</v>
      </c>
      <c r="C2348" s="12" t="s">
        <v>2282</v>
      </c>
      <c r="D2348" s="55"/>
      <c r="E2348" s="41" t="str">
        <f>HYPERLINK("https://www.google.ru/search?q=3028262-001&amp;newwindow=1&amp;tbm=isch","Еще фото")</f>
        <v>Еще фото</v>
      </c>
      <c r="F2348" s="13" t="s">
        <v>103</v>
      </c>
      <c r="G2348" s="11" t="s">
        <v>1184</v>
      </c>
      <c r="H2348" s="11" t="s">
        <v>741</v>
      </c>
      <c r="I2348" s="14" t="s">
        <v>1185</v>
      </c>
      <c r="J2348" s="14" t="s">
        <v>29</v>
      </c>
      <c r="K2348" s="15" t="s">
        <v>59</v>
      </c>
      <c r="L2348" s="57" t="s">
        <v>2283</v>
      </c>
      <c r="M2348" s="14"/>
      <c r="N2348" s="14" t="s">
        <v>33</v>
      </c>
      <c r="O2348" s="14"/>
      <c r="P2348" s="15" t="s">
        <v>745</v>
      </c>
      <c r="Q2348" s="16">
        <v>10999</v>
      </c>
      <c r="R2348" s="17">
        <v>40</v>
      </c>
      <c r="S2348" s="18">
        <v>7589.3099999999986</v>
      </c>
      <c r="T2348" s="19" t="s">
        <v>36</v>
      </c>
      <c r="U2348" s="20" t="s">
        <v>1190</v>
      </c>
      <c r="V2348" s="34">
        <v>35.5</v>
      </c>
      <c r="W2348" s="22">
        <v>3</v>
      </c>
      <c r="X2348" s="23"/>
    </row>
    <row r="2349" spans="1:24" s="1" customFormat="1" ht="61.05" customHeight="1" x14ac:dyDescent="0.3">
      <c r="A2349" s="24" t="s">
        <v>23</v>
      </c>
      <c r="B2349" s="24" t="s">
        <v>1365</v>
      </c>
      <c r="C2349" s="12" t="s">
        <v>2282</v>
      </c>
      <c r="D2349" s="56"/>
      <c r="E2349" s="41" t="str">
        <f>HYPERLINK("https://www.google.ru/search?q=3028262-001&amp;newwindow=1&amp;tbm=isch","Еще фото")</f>
        <v>Еще фото</v>
      </c>
      <c r="F2349" s="13" t="s">
        <v>103</v>
      </c>
      <c r="G2349" s="24" t="s">
        <v>1184</v>
      </c>
      <c r="H2349" s="24" t="s">
        <v>741</v>
      </c>
      <c r="I2349" s="24" t="s">
        <v>1185</v>
      </c>
      <c r="J2349" s="14" t="s">
        <v>29</v>
      </c>
      <c r="K2349" s="15" t="s">
        <v>59</v>
      </c>
      <c r="L2349" s="58"/>
      <c r="M2349" s="14"/>
      <c r="N2349" s="14" t="s">
        <v>33</v>
      </c>
      <c r="O2349" s="14"/>
      <c r="P2349" s="15" t="s">
        <v>745</v>
      </c>
      <c r="Q2349" s="16">
        <v>10999</v>
      </c>
      <c r="R2349" s="17">
        <v>40</v>
      </c>
      <c r="S2349" s="18">
        <v>7589.3099999999986</v>
      </c>
      <c r="T2349" s="19" t="s">
        <v>36</v>
      </c>
      <c r="U2349" s="20" t="s">
        <v>748</v>
      </c>
      <c r="V2349" s="22">
        <v>38</v>
      </c>
      <c r="W2349" s="22">
        <v>7</v>
      </c>
      <c r="X2349" s="23"/>
    </row>
    <row r="2350" spans="1:24" s="1" customFormat="1" ht="52.05" customHeight="1" x14ac:dyDescent="0.3">
      <c r="A2350" s="11" t="s">
        <v>23</v>
      </c>
      <c r="B2350" s="11" t="s">
        <v>1365</v>
      </c>
      <c r="C2350" s="12" t="s">
        <v>2284</v>
      </c>
      <c r="D2350" s="55"/>
      <c r="E2350" s="41" t="str">
        <f>HYPERLINK("https://www.google.ru/search?q=3028262-002&amp;newwindow=1&amp;tbm=isch","Еще фото")</f>
        <v>Еще фото</v>
      </c>
      <c r="F2350" s="13" t="s">
        <v>103</v>
      </c>
      <c r="G2350" s="11" t="s">
        <v>1184</v>
      </c>
      <c r="H2350" s="11" t="s">
        <v>741</v>
      </c>
      <c r="I2350" s="14" t="s">
        <v>1185</v>
      </c>
      <c r="J2350" s="14" t="s">
        <v>29</v>
      </c>
      <c r="K2350" s="15" t="s">
        <v>59</v>
      </c>
      <c r="L2350" s="57" t="s">
        <v>1367</v>
      </c>
      <c r="M2350" s="14"/>
      <c r="N2350" s="14" t="s">
        <v>33</v>
      </c>
      <c r="O2350" s="14"/>
      <c r="P2350" s="15" t="s">
        <v>745</v>
      </c>
      <c r="Q2350" s="16">
        <v>10999</v>
      </c>
      <c r="R2350" s="17">
        <v>40</v>
      </c>
      <c r="S2350" s="18">
        <v>7589.3099999999986</v>
      </c>
      <c r="T2350" s="19" t="s">
        <v>36</v>
      </c>
      <c r="U2350" s="20" t="s">
        <v>1190</v>
      </c>
      <c r="V2350" s="34">
        <v>35.5</v>
      </c>
      <c r="W2350" s="22">
        <v>1</v>
      </c>
      <c r="X2350" s="23"/>
    </row>
    <row r="2351" spans="1:24" s="1" customFormat="1" ht="61.05" customHeight="1" x14ac:dyDescent="0.3">
      <c r="A2351" s="24" t="s">
        <v>23</v>
      </c>
      <c r="B2351" s="24" t="s">
        <v>1365</v>
      </c>
      <c r="C2351" s="12" t="s">
        <v>2284</v>
      </c>
      <c r="D2351" s="56"/>
      <c r="E2351" s="41" t="str">
        <f>HYPERLINK("https://www.google.ru/search?q=3028262-002&amp;newwindow=1&amp;tbm=isch","Еще фото")</f>
        <v>Еще фото</v>
      </c>
      <c r="F2351" s="13" t="s">
        <v>103</v>
      </c>
      <c r="G2351" s="24" t="s">
        <v>1184</v>
      </c>
      <c r="H2351" s="24" t="s">
        <v>741</v>
      </c>
      <c r="I2351" s="24" t="s">
        <v>1185</v>
      </c>
      <c r="J2351" s="14" t="s">
        <v>29</v>
      </c>
      <c r="K2351" s="15" t="s">
        <v>59</v>
      </c>
      <c r="L2351" s="58"/>
      <c r="M2351" s="14"/>
      <c r="N2351" s="14" t="s">
        <v>33</v>
      </c>
      <c r="O2351" s="14"/>
      <c r="P2351" s="15" t="s">
        <v>745</v>
      </c>
      <c r="Q2351" s="16">
        <v>10999</v>
      </c>
      <c r="R2351" s="17">
        <v>40</v>
      </c>
      <c r="S2351" s="18">
        <v>7589.3099999999986</v>
      </c>
      <c r="T2351" s="19" t="s">
        <v>36</v>
      </c>
      <c r="U2351" s="20" t="s">
        <v>749</v>
      </c>
      <c r="V2351" s="22">
        <v>39</v>
      </c>
      <c r="W2351" s="22">
        <v>1</v>
      </c>
      <c r="X2351" s="23"/>
    </row>
    <row r="2352" spans="1:24" s="1" customFormat="1" ht="35" customHeight="1" x14ac:dyDescent="0.3">
      <c r="A2352" s="11" t="s">
        <v>23</v>
      </c>
      <c r="B2352" s="11" t="s">
        <v>1365</v>
      </c>
      <c r="C2352" s="12" t="s">
        <v>2285</v>
      </c>
      <c r="D2352" s="59"/>
      <c r="E2352" s="41" t="str">
        <f>HYPERLINK("https://www.google.ru/search?q=3028262-100&amp;newwindow=1&amp;tbm=isch","Еще фото")</f>
        <v>Еще фото</v>
      </c>
      <c r="F2352" s="13" t="s">
        <v>103</v>
      </c>
      <c r="G2352" s="11" t="s">
        <v>1184</v>
      </c>
      <c r="H2352" s="11" t="s">
        <v>741</v>
      </c>
      <c r="I2352" s="14" t="s">
        <v>1185</v>
      </c>
      <c r="J2352" s="14" t="s">
        <v>29</v>
      </c>
      <c r="K2352" s="15" t="s">
        <v>59</v>
      </c>
      <c r="L2352" s="57" t="s">
        <v>1367</v>
      </c>
      <c r="M2352" s="14"/>
      <c r="N2352" s="14" t="s">
        <v>84</v>
      </c>
      <c r="O2352" s="14"/>
      <c r="P2352" s="15" t="s">
        <v>745</v>
      </c>
      <c r="Q2352" s="16">
        <v>10999</v>
      </c>
      <c r="R2352" s="17">
        <v>40</v>
      </c>
      <c r="S2352" s="18">
        <v>7589.3099999999986</v>
      </c>
      <c r="T2352" s="19" t="s">
        <v>36</v>
      </c>
      <c r="U2352" s="20" t="s">
        <v>1203</v>
      </c>
      <c r="V2352" s="22">
        <v>36</v>
      </c>
      <c r="W2352" s="22">
        <v>1</v>
      </c>
      <c r="X2352" s="23"/>
    </row>
    <row r="2353" spans="1:24" s="1" customFormat="1" ht="35" customHeight="1" x14ac:dyDescent="0.3">
      <c r="A2353" s="24" t="s">
        <v>23</v>
      </c>
      <c r="B2353" s="24" t="s">
        <v>1365</v>
      </c>
      <c r="C2353" s="12" t="s">
        <v>2285</v>
      </c>
      <c r="D2353" s="60"/>
      <c r="E2353" s="41" t="str">
        <f>HYPERLINK("https://www.google.ru/search?q=3028262-100&amp;newwindow=1&amp;tbm=isch","Еще фото")</f>
        <v>Еще фото</v>
      </c>
      <c r="F2353" s="13" t="s">
        <v>103</v>
      </c>
      <c r="G2353" s="24" t="s">
        <v>1184</v>
      </c>
      <c r="H2353" s="24" t="s">
        <v>741</v>
      </c>
      <c r="I2353" s="24" t="s">
        <v>1185</v>
      </c>
      <c r="J2353" s="14" t="s">
        <v>29</v>
      </c>
      <c r="K2353" s="15" t="s">
        <v>59</v>
      </c>
      <c r="L2353" s="62"/>
      <c r="M2353" s="14"/>
      <c r="N2353" s="14" t="s">
        <v>84</v>
      </c>
      <c r="O2353" s="14"/>
      <c r="P2353" s="15" t="s">
        <v>745</v>
      </c>
      <c r="Q2353" s="16">
        <v>10999</v>
      </c>
      <c r="R2353" s="17">
        <v>40</v>
      </c>
      <c r="S2353" s="18">
        <v>7589.3099999999986</v>
      </c>
      <c r="T2353" s="19" t="s">
        <v>36</v>
      </c>
      <c r="U2353" s="20" t="s">
        <v>1196</v>
      </c>
      <c r="V2353" s="34">
        <v>36.5</v>
      </c>
      <c r="W2353" s="22">
        <v>3</v>
      </c>
      <c r="X2353" s="23"/>
    </row>
    <row r="2354" spans="1:24" s="1" customFormat="1" ht="37.049999999999997" customHeight="1" x14ac:dyDescent="0.3">
      <c r="A2354" s="24" t="s">
        <v>23</v>
      </c>
      <c r="B2354" s="24" t="s">
        <v>1365</v>
      </c>
      <c r="C2354" s="12" t="s">
        <v>2285</v>
      </c>
      <c r="D2354" s="61"/>
      <c r="E2354" s="41" t="str">
        <f>HYPERLINK("https://www.google.ru/search?q=3028262-100&amp;newwindow=1&amp;tbm=isch","Еще фото")</f>
        <v>Еще фото</v>
      </c>
      <c r="F2354" s="13" t="s">
        <v>103</v>
      </c>
      <c r="G2354" s="24" t="s">
        <v>1184</v>
      </c>
      <c r="H2354" s="24" t="s">
        <v>741</v>
      </c>
      <c r="I2354" s="24" t="s">
        <v>1185</v>
      </c>
      <c r="J2354" s="14" t="s">
        <v>29</v>
      </c>
      <c r="K2354" s="15" t="s">
        <v>59</v>
      </c>
      <c r="L2354" s="58"/>
      <c r="M2354" s="14"/>
      <c r="N2354" s="14" t="s">
        <v>84</v>
      </c>
      <c r="O2354" s="14"/>
      <c r="P2354" s="15" t="s">
        <v>745</v>
      </c>
      <c r="Q2354" s="16">
        <v>10999</v>
      </c>
      <c r="R2354" s="17">
        <v>40</v>
      </c>
      <c r="S2354" s="18">
        <v>7589.3099999999986</v>
      </c>
      <c r="T2354" s="19" t="s">
        <v>36</v>
      </c>
      <c r="U2354" s="20" t="s">
        <v>750</v>
      </c>
      <c r="V2354" s="34">
        <v>39.5</v>
      </c>
      <c r="W2354" s="22">
        <v>1</v>
      </c>
      <c r="X2354" s="23"/>
    </row>
    <row r="2355" spans="1:24" s="1" customFormat="1" ht="108" customHeight="1" x14ac:dyDescent="0.3">
      <c r="A2355" s="11" t="s">
        <v>23</v>
      </c>
      <c r="B2355" s="11" t="s">
        <v>1715</v>
      </c>
      <c r="C2355" s="12" t="s">
        <v>2286</v>
      </c>
      <c r="D2355" s="25"/>
      <c r="E2355" s="41" t="str">
        <f>HYPERLINK("https://www.google.ru/search?q=3028371-001&amp;newwindow=1&amp;tbm=isch","Еще фото")</f>
        <v>Еще фото</v>
      </c>
      <c r="F2355" s="13" t="s">
        <v>152</v>
      </c>
      <c r="G2355" s="11" t="s">
        <v>1184</v>
      </c>
      <c r="H2355" s="11" t="s">
        <v>741</v>
      </c>
      <c r="I2355" s="14" t="s">
        <v>1185</v>
      </c>
      <c r="J2355" s="14" t="s">
        <v>29</v>
      </c>
      <c r="K2355" s="15" t="s">
        <v>30</v>
      </c>
      <c r="L2355" s="14" t="s">
        <v>2287</v>
      </c>
      <c r="M2355" s="14"/>
      <c r="N2355" s="14" t="s">
        <v>33</v>
      </c>
      <c r="O2355" s="14"/>
      <c r="P2355" s="15" t="s">
        <v>1718</v>
      </c>
      <c r="Q2355" s="16">
        <v>10799</v>
      </c>
      <c r="R2355" s="17">
        <v>40</v>
      </c>
      <c r="S2355" s="18">
        <v>7451.3099999999986</v>
      </c>
      <c r="T2355" s="19" t="s">
        <v>36</v>
      </c>
      <c r="U2355" s="20" t="s">
        <v>748</v>
      </c>
      <c r="V2355" s="22">
        <v>40</v>
      </c>
      <c r="W2355" s="22">
        <v>1</v>
      </c>
      <c r="X2355" s="23"/>
    </row>
    <row r="2356" spans="1:24" s="1" customFormat="1" ht="52.05" customHeight="1" x14ac:dyDescent="0.3">
      <c r="A2356" s="11" t="s">
        <v>23</v>
      </c>
      <c r="B2356" s="11" t="s">
        <v>1715</v>
      </c>
      <c r="C2356" s="12" t="s">
        <v>2288</v>
      </c>
      <c r="D2356" s="55"/>
      <c r="E2356" s="41" t="str">
        <f>HYPERLINK("https://www.google.ru/search?q=3028371-016&amp;newwindow=1&amp;tbm=isch","Еще фото")</f>
        <v>Еще фото</v>
      </c>
      <c r="F2356" s="13" t="s">
        <v>103</v>
      </c>
      <c r="G2356" s="11" t="s">
        <v>1184</v>
      </c>
      <c r="H2356" s="11" t="s">
        <v>741</v>
      </c>
      <c r="I2356" s="14" t="s">
        <v>1185</v>
      </c>
      <c r="J2356" s="14" t="s">
        <v>29</v>
      </c>
      <c r="K2356" s="15" t="s">
        <v>30</v>
      </c>
      <c r="L2356" s="57" t="s">
        <v>1717</v>
      </c>
      <c r="M2356" s="14"/>
      <c r="N2356" s="14" t="s">
        <v>62</v>
      </c>
      <c r="O2356" s="14"/>
      <c r="P2356" s="15" t="s">
        <v>2289</v>
      </c>
      <c r="Q2356" s="16">
        <v>10899</v>
      </c>
      <c r="R2356" s="17">
        <v>40</v>
      </c>
      <c r="S2356" s="18">
        <v>7520.3099999999986</v>
      </c>
      <c r="T2356" s="19" t="s">
        <v>36</v>
      </c>
      <c r="U2356" s="20" t="s">
        <v>751</v>
      </c>
      <c r="V2356" s="22">
        <v>42</v>
      </c>
      <c r="W2356" s="22">
        <v>1</v>
      </c>
      <c r="X2356" s="23"/>
    </row>
    <row r="2357" spans="1:24" s="1" customFormat="1" ht="61.05" customHeight="1" x14ac:dyDescent="0.3">
      <c r="A2357" s="24" t="s">
        <v>23</v>
      </c>
      <c r="B2357" s="24" t="s">
        <v>1715</v>
      </c>
      <c r="C2357" s="12" t="s">
        <v>2288</v>
      </c>
      <c r="D2357" s="56"/>
      <c r="E2357" s="41" t="str">
        <f>HYPERLINK("https://www.google.ru/search?q=3028371-016&amp;newwindow=1&amp;tbm=isch","Еще фото")</f>
        <v>Еще фото</v>
      </c>
      <c r="F2357" s="13" t="s">
        <v>103</v>
      </c>
      <c r="G2357" s="24" t="s">
        <v>1184</v>
      </c>
      <c r="H2357" s="24" t="s">
        <v>741</v>
      </c>
      <c r="I2357" s="24" t="s">
        <v>1185</v>
      </c>
      <c r="J2357" s="14" t="s">
        <v>29</v>
      </c>
      <c r="K2357" s="15" t="s">
        <v>30</v>
      </c>
      <c r="L2357" s="58"/>
      <c r="M2357" s="14"/>
      <c r="N2357" s="14" t="s">
        <v>62</v>
      </c>
      <c r="O2357" s="14"/>
      <c r="P2357" s="15" t="s">
        <v>2289</v>
      </c>
      <c r="Q2357" s="16">
        <v>10899</v>
      </c>
      <c r="R2357" s="17">
        <v>40</v>
      </c>
      <c r="S2357" s="18">
        <v>7520.3099999999986</v>
      </c>
      <c r="T2357" s="19" t="s">
        <v>36</v>
      </c>
      <c r="U2357" s="20" t="s">
        <v>752</v>
      </c>
      <c r="V2357" s="22">
        <v>43</v>
      </c>
      <c r="W2357" s="22">
        <v>1</v>
      </c>
      <c r="X2357" s="23"/>
    </row>
    <row r="2358" spans="1:24" s="1" customFormat="1" ht="35" customHeight="1" x14ac:dyDescent="0.3">
      <c r="A2358" s="11" t="s">
        <v>23</v>
      </c>
      <c r="B2358" s="11" t="s">
        <v>1715</v>
      </c>
      <c r="C2358" s="12" t="s">
        <v>2290</v>
      </c>
      <c r="D2358" s="59"/>
      <c r="E2358" s="41" t="str">
        <f>HYPERLINK("https://www.google.ru/search?q=3028371-390&amp;newwindow=1&amp;tbm=isch","Еще фото")</f>
        <v>Еще фото</v>
      </c>
      <c r="F2358" s="13" t="s">
        <v>103</v>
      </c>
      <c r="G2358" s="11" t="s">
        <v>1184</v>
      </c>
      <c r="H2358" s="11" t="s">
        <v>741</v>
      </c>
      <c r="I2358" s="14" t="s">
        <v>1185</v>
      </c>
      <c r="J2358" s="14" t="s">
        <v>29</v>
      </c>
      <c r="K2358" s="15" t="s">
        <v>30</v>
      </c>
      <c r="L2358" s="57" t="s">
        <v>1717</v>
      </c>
      <c r="M2358" s="14"/>
      <c r="N2358" s="14" t="s">
        <v>127</v>
      </c>
      <c r="O2358" s="14"/>
      <c r="P2358" s="15" t="s">
        <v>2291</v>
      </c>
      <c r="Q2358" s="16">
        <v>11099</v>
      </c>
      <c r="R2358" s="17">
        <v>40</v>
      </c>
      <c r="S2358" s="18">
        <v>7658.3099999999986</v>
      </c>
      <c r="T2358" s="19" t="s">
        <v>36</v>
      </c>
      <c r="U2358" s="20" t="s">
        <v>748</v>
      </c>
      <c r="V2358" s="22">
        <v>40</v>
      </c>
      <c r="W2358" s="22">
        <v>1</v>
      </c>
      <c r="X2358" s="23"/>
    </row>
    <row r="2359" spans="1:24" s="1" customFormat="1" ht="35" customHeight="1" x14ac:dyDescent="0.3">
      <c r="A2359" s="24" t="s">
        <v>23</v>
      </c>
      <c r="B2359" s="24" t="s">
        <v>1715</v>
      </c>
      <c r="C2359" s="12" t="s">
        <v>2290</v>
      </c>
      <c r="D2359" s="60"/>
      <c r="E2359" s="41" t="str">
        <f>HYPERLINK("https://www.google.ru/search?q=3028371-390&amp;newwindow=1&amp;tbm=isch","Еще фото")</f>
        <v>Еще фото</v>
      </c>
      <c r="F2359" s="13" t="s">
        <v>103</v>
      </c>
      <c r="G2359" s="24" t="s">
        <v>1184</v>
      </c>
      <c r="H2359" s="24" t="s">
        <v>741</v>
      </c>
      <c r="I2359" s="24" t="s">
        <v>1185</v>
      </c>
      <c r="J2359" s="14" t="s">
        <v>29</v>
      </c>
      <c r="K2359" s="15" t="s">
        <v>30</v>
      </c>
      <c r="L2359" s="62"/>
      <c r="M2359" s="14"/>
      <c r="N2359" s="14" t="s">
        <v>127</v>
      </c>
      <c r="O2359" s="14"/>
      <c r="P2359" s="15" t="s">
        <v>2291</v>
      </c>
      <c r="Q2359" s="16">
        <v>11099</v>
      </c>
      <c r="R2359" s="17">
        <v>40</v>
      </c>
      <c r="S2359" s="18">
        <v>7658.3099999999986</v>
      </c>
      <c r="T2359" s="19" t="s">
        <v>36</v>
      </c>
      <c r="U2359" s="20" t="s">
        <v>749</v>
      </c>
      <c r="V2359" s="22">
        <v>41</v>
      </c>
      <c r="W2359" s="22">
        <v>2</v>
      </c>
      <c r="X2359" s="23"/>
    </row>
    <row r="2360" spans="1:24" s="1" customFormat="1" ht="37.049999999999997" customHeight="1" x14ac:dyDescent="0.3">
      <c r="A2360" s="24" t="s">
        <v>23</v>
      </c>
      <c r="B2360" s="24" t="s">
        <v>1715</v>
      </c>
      <c r="C2360" s="12" t="s">
        <v>2290</v>
      </c>
      <c r="D2360" s="61"/>
      <c r="E2360" s="41" t="str">
        <f>HYPERLINK("https://www.google.ru/search?q=3028371-390&amp;newwindow=1&amp;tbm=isch","Еще фото")</f>
        <v>Еще фото</v>
      </c>
      <c r="F2360" s="13" t="s">
        <v>103</v>
      </c>
      <c r="G2360" s="24" t="s">
        <v>1184</v>
      </c>
      <c r="H2360" s="24" t="s">
        <v>741</v>
      </c>
      <c r="I2360" s="24" t="s">
        <v>1185</v>
      </c>
      <c r="J2360" s="14" t="s">
        <v>29</v>
      </c>
      <c r="K2360" s="15" t="s">
        <v>30</v>
      </c>
      <c r="L2360" s="58"/>
      <c r="M2360" s="14"/>
      <c r="N2360" s="14" t="s">
        <v>127</v>
      </c>
      <c r="O2360" s="14"/>
      <c r="P2360" s="15" t="s">
        <v>2291</v>
      </c>
      <c r="Q2360" s="16">
        <v>11099</v>
      </c>
      <c r="R2360" s="17">
        <v>40</v>
      </c>
      <c r="S2360" s="18">
        <v>7658.3099999999986</v>
      </c>
      <c r="T2360" s="19" t="s">
        <v>36</v>
      </c>
      <c r="U2360" s="20" t="s">
        <v>751</v>
      </c>
      <c r="V2360" s="22">
        <v>42</v>
      </c>
      <c r="W2360" s="22">
        <v>1</v>
      </c>
      <c r="X2360" s="23"/>
    </row>
    <row r="2361" spans="1:24" s="1" customFormat="1" ht="11" customHeight="1" x14ac:dyDescent="0.3">
      <c r="A2361" s="11" t="s">
        <v>23</v>
      </c>
      <c r="B2361" s="11" t="s">
        <v>2292</v>
      </c>
      <c r="C2361" s="12" t="s">
        <v>2293</v>
      </c>
      <c r="D2361" s="59"/>
      <c r="E2361" s="41" t="str">
        <f t="shared" ref="E2361:E2369" si="95">HYPERLINK("https://www.google.ru/search?q=3028375-001&amp;newwindow=1&amp;tbm=isch","Еще фото")</f>
        <v>Еще фото</v>
      </c>
      <c r="F2361" s="13" t="s">
        <v>103</v>
      </c>
      <c r="G2361" s="11" t="s">
        <v>1184</v>
      </c>
      <c r="H2361" s="11" t="s">
        <v>741</v>
      </c>
      <c r="I2361" s="14" t="s">
        <v>1185</v>
      </c>
      <c r="J2361" s="14" t="s">
        <v>29</v>
      </c>
      <c r="K2361" s="15" t="s">
        <v>30</v>
      </c>
      <c r="L2361" s="57" t="s">
        <v>2294</v>
      </c>
      <c r="M2361" s="14"/>
      <c r="N2361" s="14" t="s">
        <v>33</v>
      </c>
      <c r="O2361" s="14"/>
      <c r="P2361" s="15" t="s">
        <v>2295</v>
      </c>
      <c r="Q2361" s="16">
        <v>9199</v>
      </c>
      <c r="R2361" s="17">
        <v>40</v>
      </c>
      <c r="S2361" s="18">
        <v>6347.3099999999995</v>
      </c>
      <c r="T2361" s="19" t="s">
        <v>36</v>
      </c>
      <c r="U2361" s="20" t="s">
        <v>747</v>
      </c>
      <c r="V2361" s="34">
        <v>39.5</v>
      </c>
      <c r="W2361" s="22">
        <v>3</v>
      </c>
      <c r="X2361" s="23"/>
    </row>
    <row r="2362" spans="1:24" s="1" customFormat="1" ht="11" customHeight="1" x14ac:dyDescent="0.3">
      <c r="A2362" s="24" t="s">
        <v>23</v>
      </c>
      <c r="B2362" s="24" t="s">
        <v>2292</v>
      </c>
      <c r="C2362" s="12" t="s">
        <v>2293</v>
      </c>
      <c r="D2362" s="60"/>
      <c r="E2362" s="41" t="str">
        <f t="shared" si="95"/>
        <v>Еще фото</v>
      </c>
      <c r="F2362" s="13" t="s">
        <v>103</v>
      </c>
      <c r="G2362" s="24" t="s">
        <v>1184</v>
      </c>
      <c r="H2362" s="24" t="s">
        <v>741</v>
      </c>
      <c r="I2362" s="24" t="s">
        <v>1185</v>
      </c>
      <c r="J2362" s="14" t="s">
        <v>29</v>
      </c>
      <c r="K2362" s="15" t="s">
        <v>30</v>
      </c>
      <c r="L2362" s="62"/>
      <c r="M2362" s="14"/>
      <c r="N2362" s="14" t="s">
        <v>33</v>
      </c>
      <c r="O2362" s="14"/>
      <c r="P2362" s="15" t="s">
        <v>2295</v>
      </c>
      <c r="Q2362" s="16">
        <v>9199</v>
      </c>
      <c r="R2362" s="17">
        <v>40</v>
      </c>
      <c r="S2362" s="18">
        <v>6347.3099999999995</v>
      </c>
      <c r="T2362" s="19" t="s">
        <v>36</v>
      </c>
      <c r="U2362" s="20" t="s">
        <v>748</v>
      </c>
      <c r="V2362" s="22">
        <v>40</v>
      </c>
      <c r="W2362" s="22">
        <v>5</v>
      </c>
      <c r="X2362" s="23"/>
    </row>
    <row r="2363" spans="1:24" s="1" customFormat="1" ht="11" customHeight="1" x14ac:dyDescent="0.3">
      <c r="A2363" s="24" t="s">
        <v>23</v>
      </c>
      <c r="B2363" s="24" t="s">
        <v>2292</v>
      </c>
      <c r="C2363" s="12" t="s">
        <v>2293</v>
      </c>
      <c r="D2363" s="60"/>
      <c r="E2363" s="41" t="str">
        <f t="shared" si="95"/>
        <v>Еще фото</v>
      </c>
      <c r="F2363" s="13" t="s">
        <v>103</v>
      </c>
      <c r="G2363" s="24" t="s">
        <v>1184</v>
      </c>
      <c r="H2363" s="24" t="s">
        <v>741</v>
      </c>
      <c r="I2363" s="24" t="s">
        <v>1185</v>
      </c>
      <c r="J2363" s="14" t="s">
        <v>29</v>
      </c>
      <c r="K2363" s="15" t="s">
        <v>30</v>
      </c>
      <c r="L2363" s="62"/>
      <c r="M2363" s="14"/>
      <c r="N2363" s="14" t="s">
        <v>33</v>
      </c>
      <c r="O2363" s="14"/>
      <c r="P2363" s="15" t="s">
        <v>2295</v>
      </c>
      <c r="Q2363" s="16">
        <v>9199</v>
      </c>
      <c r="R2363" s="17">
        <v>40</v>
      </c>
      <c r="S2363" s="18">
        <v>6347.3099999999995</v>
      </c>
      <c r="T2363" s="19" t="s">
        <v>36</v>
      </c>
      <c r="U2363" s="20" t="s">
        <v>749</v>
      </c>
      <c r="V2363" s="22">
        <v>41</v>
      </c>
      <c r="W2363" s="22">
        <v>4</v>
      </c>
      <c r="X2363" s="23"/>
    </row>
    <row r="2364" spans="1:24" s="1" customFormat="1" ht="11" customHeight="1" x14ac:dyDescent="0.3">
      <c r="A2364" s="24" t="s">
        <v>23</v>
      </c>
      <c r="B2364" s="24" t="s">
        <v>2292</v>
      </c>
      <c r="C2364" s="12" t="s">
        <v>2293</v>
      </c>
      <c r="D2364" s="60"/>
      <c r="E2364" s="41" t="str">
        <f t="shared" si="95"/>
        <v>Еще фото</v>
      </c>
      <c r="F2364" s="13" t="s">
        <v>103</v>
      </c>
      <c r="G2364" s="24" t="s">
        <v>1184</v>
      </c>
      <c r="H2364" s="24" t="s">
        <v>741</v>
      </c>
      <c r="I2364" s="24" t="s">
        <v>1185</v>
      </c>
      <c r="J2364" s="14" t="s">
        <v>29</v>
      </c>
      <c r="K2364" s="15" t="s">
        <v>30</v>
      </c>
      <c r="L2364" s="62"/>
      <c r="M2364" s="14"/>
      <c r="N2364" s="14" t="s">
        <v>33</v>
      </c>
      <c r="O2364" s="14"/>
      <c r="P2364" s="15" t="s">
        <v>2295</v>
      </c>
      <c r="Q2364" s="16">
        <v>9199</v>
      </c>
      <c r="R2364" s="17">
        <v>40</v>
      </c>
      <c r="S2364" s="18">
        <v>6347.3099999999995</v>
      </c>
      <c r="T2364" s="19" t="s">
        <v>36</v>
      </c>
      <c r="U2364" s="20" t="s">
        <v>750</v>
      </c>
      <c r="V2364" s="34">
        <v>41.5</v>
      </c>
      <c r="W2364" s="22">
        <v>9</v>
      </c>
      <c r="X2364" s="23"/>
    </row>
    <row r="2365" spans="1:24" s="1" customFormat="1" ht="11" customHeight="1" x14ac:dyDescent="0.3">
      <c r="A2365" s="24" t="s">
        <v>23</v>
      </c>
      <c r="B2365" s="24" t="s">
        <v>2292</v>
      </c>
      <c r="C2365" s="12" t="s">
        <v>2293</v>
      </c>
      <c r="D2365" s="60"/>
      <c r="E2365" s="41" t="str">
        <f t="shared" si="95"/>
        <v>Еще фото</v>
      </c>
      <c r="F2365" s="13" t="s">
        <v>103</v>
      </c>
      <c r="G2365" s="24" t="s">
        <v>1184</v>
      </c>
      <c r="H2365" s="24" t="s">
        <v>741</v>
      </c>
      <c r="I2365" s="24" t="s">
        <v>1185</v>
      </c>
      <c r="J2365" s="14" t="s">
        <v>29</v>
      </c>
      <c r="K2365" s="15" t="s">
        <v>30</v>
      </c>
      <c r="L2365" s="62"/>
      <c r="M2365" s="14"/>
      <c r="N2365" s="14" t="s">
        <v>33</v>
      </c>
      <c r="O2365" s="14"/>
      <c r="P2365" s="15" t="s">
        <v>2295</v>
      </c>
      <c r="Q2365" s="16">
        <v>9199</v>
      </c>
      <c r="R2365" s="17">
        <v>40</v>
      </c>
      <c r="S2365" s="18">
        <v>6347.3099999999995</v>
      </c>
      <c r="T2365" s="19" t="s">
        <v>36</v>
      </c>
      <c r="U2365" s="20" t="s">
        <v>751</v>
      </c>
      <c r="V2365" s="22">
        <v>42</v>
      </c>
      <c r="W2365" s="22">
        <v>20</v>
      </c>
      <c r="X2365" s="23"/>
    </row>
    <row r="2366" spans="1:24" s="1" customFormat="1" ht="11" customHeight="1" x14ac:dyDescent="0.3">
      <c r="A2366" s="24" t="s">
        <v>23</v>
      </c>
      <c r="B2366" s="24" t="s">
        <v>2292</v>
      </c>
      <c r="C2366" s="12" t="s">
        <v>2293</v>
      </c>
      <c r="D2366" s="60"/>
      <c r="E2366" s="41" t="str">
        <f t="shared" si="95"/>
        <v>Еще фото</v>
      </c>
      <c r="F2366" s="13" t="s">
        <v>103</v>
      </c>
      <c r="G2366" s="24" t="s">
        <v>1184</v>
      </c>
      <c r="H2366" s="24" t="s">
        <v>741</v>
      </c>
      <c r="I2366" s="24" t="s">
        <v>1185</v>
      </c>
      <c r="J2366" s="14" t="s">
        <v>29</v>
      </c>
      <c r="K2366" s="15" t="s">
        <v>30</v>
      </c>
      <c r="L2366" s="62"/>
      <c r="M2366" s="14"/>
      <c r="N2366" s="14" t="s">
        <v>33</v>
      </c>
      <c r="O2366" s="14"/>
      <c r="P2366" s="15" t="s">
        <v>2295</v>
      </c>
      <c r="Q2366" s="16">
        <v>9199</v>
      </c>
      <c r="R2366" s="17">
        <v>40</v>
      </c>
      <c r="S2366" s="18">
        <v>6347.3099999999995</v>
      </c>
      <c r="T2366" s="19" t="s">
        <v>36</v>
      </c>
      <c r="U2366" s="20" t="s">
        <v>752</v>
      </c>
      <c r="V2366" s="22">
        <v>43</v>
      </c>
      <c r="W2366" s="22">
        <v>21</v>
      </c>
      <c r="X2366" s="23"/>
    </row>
    <row r="2367" spans="1:24" s="1" customFormat="1" ht="11" customHeight="1" x14ac:dyDescent="0.3">
      <c r="A2367" s="24" t="s">
        <v>23</v>
      </c>
      <c r="B2367" s="24" t="s">
        <v>2292</v>
      </c>
      <c r="C2367" s="12" t="s">
        <v>2293</v>
      </c>
      <c r="D2367" s="60"/>
      <c r="E2367" s="41" t="str">
        <f t="shared" si="95"/>
        <v>Еще фото</v>
      </c>
      <c r="F2367" s="13" t="s">
        <v>103</v>
      </c>
      <c r="G2367" s="24" t="s">
        <v>1184</v>
      </c>
      <c r="H2367" s="24" t="s">
        <v>741</v>
      </c>
      <c r="I2367" s="24" t="s">
        <v>1185</v>
      </c>
      <c r="J2367" s="14" t="s">
        <v>29</v>
      </c>
      <c r="K2367" s="15" t="s">
        <v>30</v>
      </c>
      <c r="L2367" s="62"/>
      <c r="M2367" s="14"/>
      <c r="N2367" s="14" t="s">
        <v>33</v>
      </c>
      <c r="O2367" s="14"/>
      <c r="P2367" s="15" t="s">
        <v>2295</v>
      </c>
      <c r="Q2367" s="16">
        <v>9199</v>
      </c>
      <c r="R2367" s="17">
        <v>40</v>
      </c>
      <c r="S2367" s="18">
        <v>6347.3099999999995</v>
      </c>
      <c r="T2367" s="19" t="s">
        <v>36</v>
      </c>
      <c r="U2367" s="20" t="s">
        <v>753</v>
      </c>
      <c r="V2367" s="34">
        <v>43.5</v>
      </c>
      <c r="W2367" s="22">
        <v>15</v>
      </c>
      <c r="X2367" s="23"/>
    </row>
    <row r="2368" spans="1:24" s="1" customFormat="1" ht="11" customHeight="1" x14ac:dyDescent="0.3">
      <c r="A2368" s="24" t="s">
        <v>23</v>
      </c>
      <c r="B2368" s="24" t="s">
        <v>2292</v>
      </c>
      <c r="C2368" s="12" t="s">
        <v>2293</v>
      </c>
      <c r="D2368" s="60"/>
      <c r="E2368" s="41" t="str">
        <f t="shared" si="95"/>
        <v>Еще фото</v>
      </c>
      <c r="F2368" s="13" t="s">
        <v>103</v>
      </c>
      <c r="G2368" s="24" t="s">
        <v>1184</v>
      </c>
      <c r="H2368" s="24" t="s">
        <v>741</v>
      </c>
      <c r="I2368" s="24" t="s">
        <v>1185</v>
      </c>
      <c r="J2368" s="14" t="s">
        <v>29</v>
      </c>
      <c r="K2368" s="15" t="s">
        <v>30</v>
      </c>
      <c r="L2368" s="62"/>
      <c r="M2368" s="14"/>
      <c r="N2368" s="14" t="s">
        <v>33</v>
      </c>
      <c r="O2368" s="14"/>
      <c r="P2368" s="15" t="s">
        <v>2295</v>
      </c>
      <c r="Q2368" s="16">
        <v>9199</v>
      </c>
      <c r="R2368" s="17">
        <v>40</v>
      </c>
      <c r="S2368" s="18">
        <v>6347.3099999999995</v>
      </c>
      <c r="T2368" s="19" t="s">
        <v>36</v>
      </c>
      <c r="U2368" s="20" t="s">
        <v>754</v>
      </c>
      <c r="V2368" s="22">
        <v>44</v>
      </c>
      <c r="W2368" s="22">
        <v>13</v>
      </c>
      <c r="X2368" s="23"/>
    </row>
    <row r="2369" spans="1:24" s="1" customFormat="1" ht="11" customHeight="1" x14ac:dyDescent="0.3">
      <c r="A2369" s="24" t="s">
        <v>23</v>
      </c>
      <c r="B2369" s="24" t="s">
        <v>2292</v>
      </c>
      <c r="C2369" s="12" t="s">
        <v>2293</v>
      </c>
      <c r="D2369" s="61"/>
      <c r="E2369" s="41" t="str">
        <f t="shared" si="95"/>
        <v>Еще фото</v>
      </c>
      <c r="F2369" s="13" t="s">
        <v>103</v>
      </c>
      <c r="G2369" s="24" t="s">
        <v>1184</v>
      </c>
      <c r="H2369" s="24" t="s">
        <v>741</v>
      </c>
      <c r="I2369" s="24" t="s">
        <v>1185</v>
      </c>
      <c r="J2369" s="14" t="s">
        <v>29</v>
      </c>
      <c r="K2369" s="15" t="s">
        <v>30</v>
      </c>
      <c r="L2369" s="58"/>
      <c r="M2369" s="14"/>
      <c r="N2369" s="14" t="s">
        <v>33</v>
      </c>
      <c r="O2369" s="14"/>
      <c r="P2369" s="15" t="s">
        <v>2295</v>
      </c>
      <c r="Q2369" s="16">
        <v>9199</v>
      </c>
      <c r="R2369" s="17">
        <v>40</v>
      </c>
      <c r="S2369" s="18">
        <v>6347.3099999999995</v>
      </c>
      <c r="T2369" s="19" t="s">
        <v>36</v>
      </c>
      <c r="U2369" s="20" t="s">
        <v>755</v>
      </c>
      <c r="V2369" s="34">
        <v>44.5</v>
      </c>
      <c r="W2369" s="22">
        <v>3</v>
      </c>
      <c r="X2369" s="23"/>
    </row>
    <row r="2370" spans="1:24" s="1" customFormat="1" ht="11" customHeight="1" x14ac:dyDescent="0.3">
      <c r="A2370" s="11" t="s">
        <v>23</v>
      </c>
      <c r="B2370" s="11" t="s">
        <v>2292</v>
      </c>
      <c r="C2370" s="12" t="s">
        <v>2296</v>
      </c>
      <c r="D2370" s="59"/>
      <c r="E2370" s="41" t="str">
        <f t="shared" ref="E2370:E2379" si="96">HYPERLINK("https://www.google.ru/search?q=3028375-100&amp;newwindow=1&amp;tbm=isch","Еще фото")</f>
        <v>Еще фото</v>
      </c>
      <c r="F2370" s="13" t="s">
        <v>103</v>
      </c>
      <c r="G2370" s="11" t="s">
        <v>1184</v>
      </c>
      <c r="H2370" s="11" t="s">
        <v>741</v>
      </c>
      <c r="I2370" s="14" t="s">
        <v>1185</v>
      </c>
      <c r="J2370" s="14" t="s">
        <v>29</v>
      </c>
      <c r="K2370" s="15" t="s">
        <v>30</v>
      </c>
      <c r="L2370" s="57" t="s">
        <v>2294</v>
      </c>
      <c r="M2370" s="14"/>
      <c r="N2370" s="14" t="s">
        <v>84</v>
      </c>
      <c r="O2370" s="14"/>
      <c r="P2370" s="15" t="s">
        <v>2295</v>
      </c>
      <c r="Q2370" s="16">
        <v>9199</v>
      </c>
      <c r="R2370" s="17">
        <v>40</v>
      </c>
      <c r="S2370" s="18">
        <v>6347.3099999999995</v>
      </c>
      <c r="T2370" s="19" t="s">
        <v>36</v>
      </c>
      <c r="U2370" s="20" t="s">
        <v>747</v>
      </c>
      <c r="V2370" s="34">
        <v>39.5</v>
      </c>
      <c r="W2370" s="22">
        <v>6</v>
      </c>
      <c r="X2370" s="23"/>
    </row>
    <row r="2371" spans="1:24" s="1" customFormat="1" ht="11" customHeight="1" x14ac:dyDescent="0.3">
      <c r="A2371" s="24" t="s">
        <v>23</v>
      </c>
      <c r="B2371" s="24" t="s">
        <v>2292</v>
      </c>
      <c r="C2371" s="12" t="s">
        <v>2296</v>
      </c>
      <c r="D2371" s="60"/>
      <c r="E2371" s="41" t="str">
        <f t="shared" si="96"/>
        <v>Еще фото</v>
      </c>
      <c r="F2371" s="13" t="s">
        <v>103</v>
      </c>
      <c r="G2371" s="24" t="s">
        <v>1184</v>
      </c>
      <c r="H2371" s="24" t="s">
        <v>741</v>
      </c>
      <c r="I2371" s="24" t="s">
        <v>1185</v>
      </c>
      <c r="J2371" s="14" t="s">
        <v>29</v>
      </c>
      <c r="K2371" s="15" t="s">
        <v>30</v>
      </c>
      <c r="L2371" s="62"/>
      <c r="M2371" s="14"/>
      <c r="N2371" s="14" t="s">
        <v>84</v>
      </c>
      <c r="O2371" s="14"/>
      <c r="P2371" s="15" t="s">
        <v>2295</v>
      </c>
      <c r="Q2371" s="16">
        <v>9199</v>
      </c>
      <c r="R2371" s="17">
        <v>40</v>
      </c>
      <c r="S2371" s="18">
        <v>6347.3099999999995</v>
      </c>
      <c r="T2371" s="19" t="s">
        <v>36</v>
      </c>
      <c r="U2371" s="20" t="s">
        <v>748</v>
      </c>
      <c r="V2371" s="22">
        <v>40</v>
      </c>
      <c r="W2371" s="22">
        <v>6</v>
      </c>
      <c r="X2371" s="23"/>
    </row>
    <row r="2372" spans="1:24" s="1" customFormat="1" ht="11" customHeight="1" x14ac:dyDescent="0.3">
      <c r="A2372" s="24" t="s">
        <v>23</v>
      </c>
      <c r="B2372" s="24" t="s">
        <v>2292</v>
      </c>
      <c r="C2372" s="12" t="s">
        <v>2296</v>
      </c>
      <c r="D2372" s="60"/>
      <c r="E2372" s="41" t="str">
        <f t="shared" si="96"/>
        <v>Еще фото</v>
      </c>
      <c r="F2372" s="13" t="s">
        <v>103</v>
      </c>
      <c r="G2372" s="24" t="s">
        <v>1184</v>
      </c>
      <c r="H2372" s="24" t="s">
        <v>741</v>
      </c>
      <c r="I2372" s="24" t="s">
        <v>1185</v>
      </c>
      <c r="J2372" s="14" t="s">
        <v>29</v>
      </c>
      <c r="K2372" s="15" t="s">
        <v>30</v>
      </c>
      <c r="L2372" s="62"/>
      <c r="M2372" s="14"/>
      <c r="N2372" s="14" t="s">
        <v>84</v>
      </c>
      <c r="O2372" s="14"/>
      <c r="P2372" s="15" t="s">
        <v>2295</v>
      </c>
      <c r="Q2372" s="16">
        <v>9199</v>
      </c>
      <c r="R2372" s="17">
        <v>40</v>
      </c>
      <c r="S2372" s="18">
        <v>6347.3099999999995</v>
      </c>
      <c r="T2372" s="19" t="s">
        <v>36</v>
      </c>
      <c r="U2372" s="20" t="s">
        <v>749</v>
      </c>
      <c r="V2372" s="22">
        <v>41</v>
      </c>
      <c r="W2372" s="22">
        <v>5</v>
      </c>
      <c r="X2372" s="23"/>
    </row>
    <row r="2373" spans="1:24" s="1" customFormat="1" ht="11" customHeight="1" x14ac:dyDescent="0.3">
      <c r="A2373" s="24" t="s">
        <v>23</v>
      </c>
      <c r="B2373" s="24" t="s">
        <v>2292</v>
      </c>
      <c r="C2373" s="12" t="s">
        <v>2296</v>
      </c>
      <c r="D2373" s="60"/>
      <c r="E2373" s="41" t="str">
        <f t="shared" si="96"/>
        <v>Еще фото</v>
      </c>
      <c r="F2373" s="13" t="s">
        <v>103</v>
      </c>
      <c r="G2373" s="24" t="s">
        <v>1184</v>
      </c>
      <c r="H2373" s="24" t="s">
        <v>741</v>
      </c>
      <c r="I2373" s="24" t="s">
        <v>1185</v>
      </c>
      <c r="J2373" s="14" t="s">
        <v>29</v>
      </c>
      <c r="K2373" s="15" t="s">
        <v>30</v>
      </c>
      <c r="L2373" s="62"/>
      <c r="M2373" s="14"/>
      <c r="N2373" s="14" t="s">
        <v>84</v>
      </c>
      <c r="O2373" s="14"/>
      <c r="P2373" s="15" t="s">
        <v>2295</v>
      </c>
      <c r="Q2373" s="16">
        <v>9199</v>
      </c>
      <c r="R2373" s="17">
        <v>40</v>
      </c>
      <c r="S2373" s="18">
        <v>6347.3099999999995</v>
      </c>
      <c r="T2373" s="19" t="s">
        <v>36</v>
      </c>
      <c r="U2373" s="20" t="s">
        <v>750</v>
      </c>
      <c r="V2373" s="34">
        <v>41.5</v>
      </c>
      <c r="W2373" s="22">
        <v>9</v>
      </c>
      <c r="X2373" s="23"/>
    </row>
    <row r="2374" spans="1:24" s="1" customFormat="1" ht="11" customHeight="1" x14ac:dyDescent="0.3">
      <c r="A2374" s="24" t="s">
        <v>23</v>
      </c>
      <c r="B2374" s="24" t="s">
        <v>2292</v>
      </c>
      <c r="C2374" s="12" t="s">
        <v>2296</v>
      </c>
      <c r="D2374" s="60"/>
      <c r="E2374" s="41" t="str">
        <f t="shared" si="96"/>
        <v>Еще фото</v>
      </c>
      <c r="F2374" s="13" t="s">
        <v>103</v>
      </c>
      <c r="G2374" s="24" t="s">
        <v>1184</v>
      </c>
      <c r="H2374" s="24" t="s">
        <v>741</v>
      </c>
      <c r="I2374" s="24" t="s">
        <v>1185</v>
      </c>
      <c r="J2374" s="14" t="s">
        <v>29</v>
      </c>
      <c r="K2374" s="15" t="s">
        <v>30</v>
      </c>
      <c r="L2374" s="62"/>
      <c r="M2374" s="14"/>
      <c r="N2374" s="14" t="s">
        <v>84</v>
      </c>
      <c r="O2374" s="14"/>
      <c r="P2374" s="15" t="s">
        <v>2295</v>
      </c>
      <c r="Q2374" s="16">
        <v>9199</v>
      </c>
      <c r="R2374" s="17">
        <v>40</v>
      </c>
      <c r="S2374" s="18">
        <v>6347.3099999999995</v>
      </c>
      <c r="T2374" s="19" t="s">
        <v>36</v>
      </c>
      <c r="U2374" s="20" t="s">
        <v>751</v>
      </c>
      <c r="V2374" s="22">
        <v>42</v>
      </c>
      <c r="W2374" s="22">
        <v>15</v>
      </c>
      <c r="X2374" s="23"/>
    </row>
    <row r="2375" spans="1:24" s="1" customFormat="1" ht="11" customHeight="1" x14ac:dyDescent="0.3">
      <c r="A2375" s="24" t="s">
        <v>23</v>
      </c>
      <c r="B2375" s="24" t="s">
        <v>2292</v>
      </c>
      <c r="C2375" s="12" t="s">
        <v>2296</v>
      </c>
      <c r="D2375" s="60"/>
      <c r="E2375" s="41" t="str">
        <f t="shared" si="96"/>
        <v>Еще фото</v>
      </c>
      <c r="F2375" s="13" t="s">
        <v>103</v>
      </c>
      <c r="G2375" s="24" t="s">
        <v>1184</v>
      </c>
      <c r="H2375" s="24" t="s">
        <v>741</v>
      </c>
      <c r="I2375" s="24" t="s">
        <v>1185</v>
      </c>
      <c r="J2375" s="14" t="s">
        <v>29</v>
      </c>
      <c r="K2375" s="15" t="s">
        <v>30</v>
      </c>
      <c r="L2375" s="62"/>
      <c r="M2375" s="14"/>
      <c r="N2375" s="14" t="s">
        <v>84</v>
      </c>
      <c r="O2375" s="14"/>
      <c r="P2375" s="15" t="s">
        <v>2295</v>
      </c>
      <c r="Q2375" s="16">
        <v>9199</v>
      </c>
      <c r="R2375" s="17">
        <v>40</v>
      </c>
      <c r="S2375" s="18">
        <v>6347.3099999999995</v>
      </c>
      <c r="T2375" s="19" t="s">
        <v>36</v>
      </c>
      <c r="U2375" s="20" t="s">
        <v>752</v>
      </c>
      <c r="V2375" s="22">
        <v>43</v>
      </c>
      <c r="W2375" s="22">
        <v>14</v>
      </c>
      <c r="X2375" s="23"/>
    </row>
    <row r="2376" spans="1:24" s="1" customFormat="1" ht="11" customHeight="1" x14ac:dyDescent="0.3">
      <c r="A2376" s="24" t="s">
        <v>23</v>
      </c>
      <c r="B2376" s="24" t="s">
        <v>2292</v>
      </c>
      <c r="C2376" s="12" t="s">
        <v>2296</v>
      </c>
      <c r="D2376" s="60"/>
      <c r="E2376" s="41" t="str">
        <f t="shared" si="96"/>
        <v>Еще фото</v>
      </c>
      <c r="F2376" s="13" t="s">
        <v>103</v>
      </c>
      <c r="G2376" s="24" t="s">
        <v>1184</v>
      </c>
      <c r="H2376" s="24" t="s">
        <v>741</v>
      </c>
      <c r="I2376" s="24" t="s">
        <v>1185</v>
      </c>
      <c r="J2376" s="14" t="s">
        <v>29</v>
      </c>
      <c r="K2376" s="15" t="s">
        <v>30</v>
      </c>
      <c r="L2376" s="62"/>
      <c r="M2376" s="14"/>
      <c r="N2376" s="14" t="s">
        <v>84</v>
      </c>
      <c r="O2376" s="14"/>
      <c r="P2376" s="15" t="s">
        <v>2295</v>
      </c>
      <c r="Q2376" s="16">
        <v>9199</v>
      </c>
      <c r="R2376" s="17">
        <v>40</v>
      </c>
      <c r="S2376" s="18">
        <v>6347.3099999999995</v>
      </c>
      <c r="T2376" s="19" t="s">
        <v>36</v>
      </c>
      <c r="U2376" s="20" t="s">
        <v>753</v>
      </c>
      <c r="V2376" s="34">
        <v>43.5</v>
      </c>
      <c r="W2376" s="22">
        <v>11</v>
      </c>
      <c r="X2376" s="23"/>
    </row>
    <row r="2377" spans="1:24" s="1" customFormat="1" ht="11" customHeight="1" x14ac:dyDescent="0.3">
      <c r="A2377" s="24" t="s">
        <v>23</v>
      </c>
      <c r="B2377" s="24" t="s">
        <v>2292</v>
      </c>
      <c r="C2377" s="12" t="s">
        <v>2296</v>
      </c>
      <c r="D2377" s="60"/>
      <c r="E2377" s="41" t="str">
        <f t="shared" si="96"/>
        <v>Еще фото</v>
      </c>
      <c r="F2377" s="13" t="s">
        <v>103</v>
      </c>
      <c r="G2377" s="24" t="s">
        <v>1184</v>
      </c>
      <c r="H2377" s="24" t="s">
        <v>741</v>
      </c>
      <c r="I2377" s="24" t="s">
        <v>1185</v>
      </c>
      <c r="J2377" s="14" t="s">
        <v>29</v>
      </c>
      <c r="K2377" s="15" t="s">
        <v>30</v>
      </c>
      <c r="L2377" s="62"/>
      <c r="M2377" s="14"/>
      <c r="N2377" s="14" t="s">
        <v>84</v>
      </c>
      <c r="O2377" s="14"/>
      <c r="P2377" s="15" t="s">
        <v>2295</v>
      </c>
      <c r="Q2377" s="16">
        <v>9199</v>
      </c>
      <c r="R2377" s="17">
        <v>40</v>
      </c>
      <c r="S2377" s="18">
        <v>6347.3099999999995</v>
      </c>
      <c r="T2377" s="19" t="s">
        <v>36</v>
      </c>
      <c r="U2377" s="20" t="s">
        <v>754</v>
      </c>
      <c r="V2377" s="22">
        <v>44</v>
      </c>
      <c r="W2377" s="22">
        <v>10</v>
      </c>
      <c r="X2377" s="23"/>
    </row>
    <row r="2378" spans="1:24" s="1" customFormat="1" ht="11" customHeight="1" x14ac:dyDescent="0.3">
      <c r="A2378" s="24" t="s">
        <v>23</v>
      </c>
      <c r="B2378" s="24" t="s">
        <v>2292</v>
      </c>
      <c r="C2378" s="12" t="s">
        <v>2296</v>
      </c>
      <c r="D2378" s="60"/>
      <c r="E2378" s="41" t="str">
        <f t="shared" si="96"/>
        <v>Еще фото</v>
      </c>
      <c r="F2378" s="13" t="s">
        <v>103</v>
      </c>
      <c r="G2378" s="24" t="s">
        <v>1184</v>
      </c>
      <c r="H2378" s="24" t="s">
        <v>741</v>
      </c>
      <c r="I2378" s="24" t="s">
        <v>1185</v>
      </c>
      <c r="J2378" s="14" t="s">
        <v>29</v>
      </c>
      <c r="K2378" s="15" t="s">
        <v>30</v>
      </c>
      <c r="L2378" s="62"/>
      <c r="M2378" s="14"/>
      <c r="N2378" s="14" t="s">
        <v>84</v>
      </c>
      <c r="O2378" s="14"/>
      <c r="P2378" s="15" t="s">
        <v>2295</v>
      </c>
      <c r="Q2378" s="16">
        <v>9199</v>
      </c>
      <c r="R2378" s="17">
        <v>40</v>
      </c>
      <c r="S2378" s="18">
        <v>6347.3099999999995</v>
      </c>
      <c r="T2378" s="19" t="s">
        <v>36</v>
      </c>
      <c r="U2378" s="20" t="s">
        <v>755</v>
      </c>
      <c r="V2378" s="34">
        <v>44.5</v>
      </c>
      <c r="W2378" s="22">
        <v>4</v>
      </c>
      <c r="X2378" s="23"/>
    </row>
    <row r="2379" spans="1:24" s="1" customFormat="1" ht="11" customHeight="1" x14ac:dyDescent="0.3">
      <c r="A2379" s="14" t="s">
        <v>23</v>
      </c>
      <c r="B2379" s="14" t="s">
        <v>2292</v>
      </c>
      <c r="C2379" s="12" t="s">
        <v>2296</v>
      </c>
      <c r="D2379" s="61"/>
      <c r="E2379" s="41" t="str">
        <f t="shared" si="96"/>
        <v>Еще фото</v>
      </c>
      <c r="F2379" s="29" t="s">
        <v>103</v>
      </c>
      <c r="G2379" s="14" t="s">
        <v>1184</v>
      </c>
      <c r="H2379" s="14" t="s">
        <v>741</v>
      </c>
      <c r="I2379" s="14" t="s">
        <v>1185</v>
      </c>
      <c r="J2379" s="14" t="s">
        <v>29</v>
      </c>
      <c r="K2379" s="14" t="s">
        <v>30</v>
      </c>
      <c r="L2379" s="58"/>
      <c r="M2379" s="14"/>
      <c r="N2379" s="14" t="s">
        <v>84</v>
      </c>
      <c r="O2379" s="14"/>
      <c r="P2379" s="14" t="s">
        <v>2295</v>
      </c>
      <c r="Q2379" s="30">
        <v>9199</v>
      </c>
      <c r="R2379" s="31">
        <v>40</v>
      </c>
      <c r="S2379" s="32">
        <v>6347.3099999999995</v>
      </c>
      <c r="T2379" s="19" t="s">
        <v>36</v>
      </c>
      <c r="U2379" s="20" t="s">
        <v>1337</v>
      </c>
      <c r="V2379" s="22">
        <v>45</v>
      </c>
      <c r="W2379" s="22">
        <v>5</v>
      </c>
      <c r="X2379" s="23"/>
    </row>
    <row r="2380" spans="1:24" s="1" customFormat="1" ht="108" customHeight="1" x14ac:dyDescent="0.3">
      <c r="A2380" s="11" t="s">
        <v>23</v>
      </c>
      <c r="B2380" s="11" t="s">
        <v>2292</v>
      </c>
      <c r="C2380" s="12" t="s">
        <v>2297</v>
      </c>
      <c r="D2380" s="25"/>
      <c r="E2380" s="41" t="str">
        <f>HYPERLINK("https://www.google.ru/search?q=3028375-378&amp;newwindow=1&amp;tbm=isch","Еще фото")</f>
        <v>Еще фото</v>
      </c>
      <c r="F2380" s="13" t="s">
        <v>103</v>
      </c>
      <c r="G2380" s="11" t="s">
        <v>1184</v>
      </c>
      <c r="H2380" s="11" t="s">
        <v>741</v>
      </c>
      <c r="I2380" s="14" t="s">
        <v>1185</v>
      </c>
      <c r="J2380" s="14" t="s">
        <v>29</v>
      </c>
      <c r="K2380" s="15" t="s">
        <v>30</v>
      </c>
      <c r="L2380" s="14" t="s">
        <v>2298</v>
      </c>
      <c r="M2380" s="14"/>
      <c r="N2380" s="14" t="s">
        <v>127</v>
      </c>
      <c r="O2380" s="14"/>
      <c r="P2380" s="15" t="s">
        <v>2011</v>
      </c>
      <c r="Q2380" s="16">
        <v>9399</v>
      </c>
      <c r="R2380" s="17">
        <v>40</v>
      </c>
      <c r="S2380" s="18">
        <v>6485.3099999999995</v>
      </c>
      <c r="T2380" s="19" t="s">
        <v>36</v>
      </c>
      <c r="U2380" s="20" t="s">
        <v>747</v>
      </c>
      <c r="V2380" s="34">
        <v>39.5</v>
      </c>
      <c r="W2380" s="22">
        <v>1</v>
      </c>
      <c r="X2380" s="23"/>
    </row>
    <row r="2381" spans="1:24" s="1" customFormat="1" ht="35" customHeight="1" x14ac:dyDescent="0.3">
      <c r="A2381" s="11" t="s">
        <v>23</v>
      </c>
      <c r="B2381" s="11" t="s">
        <v>2299</v>
      </c>
      <c r="C2381" s="12" t="s">
        <v>2300</v>
      </c>
      <c r="D2381" s="59"/>
      <c r="E2381" s="41" t="str">
        <f>HYPERLINK("https://www.google.ru/search?q=3028405-014&amp;newwindow=1&amp;tbm=isch","Еще фото")</f>
        <v>Еще фото</v>
      </c>
      <c r="F2381" s="28" t="s">
        <v>138</v>
      </c>
      <c r="G2381" s="11" t="s">
        <v>1184</v>
      </c>
      <c r="H2381" s="11" t="s">
        <v>741</v>
      </c>
      <c r="I2381" s="14" t="s">
        <v>1185</v>
      </c>
      <c r="J2381" s="14" t="s">
        <v>29</v>
      </c>
      <c r="K2381" s="15" t="s">
        <v>59</v>
      </c>
      <c r="L2381" s="57" t="s">
        <v>2301</v>
      </c>
      <c r="M2381" s="14"/>
      <c r="N2381" s="14" t="s">
        <v>62</v>
      </c>
      <c r="O2381" s="14"/>
      <c r="P2381" s="15" t="s">
        <v>1718</v>
      </c>
      <c r="Q2381" s="16">
        <v>10599</v>
      </c>
      <c r="R2381" s="17">
        <v>40</v>
      </c>
      <c r="S2381" s="18">
        <v>7313.3099999999986</v>
      </c>
      <c r="T2381" s="19" t="s">
        <v>36</v>
      </c>
      <c r="U2381" s="20" t="s">
        <v>1196</v>
      </c>
      <c r="V2381" s="34">
        <v>36.5</v>
      </c>
      <c r="W2381" s="22">
        <v>10</v>
      </c>
      <c r="X2381" s="23"/>
    </row>
    <row r="2382" spans="1:24" s="1" customFormat="1" ht="35" customHeight="1" x14ac:dyDescent="0.3">
      <c r="A2382" s="24" t="s">
        <v>23</v>
      </c>
      <c r="B2382" s="24" t="s">
        <v>2299</v>
      </c>
      <c r="C2382" s="12" t="s">
        <v>2300</v>
      </c>
      <c r="D2382" s="60"/>
      <c r="E2382" s="41" t="str">
        <f>HYPERLINK("https://www.google.ru/search?q=3028405-014&amp;newwindow=1&amp;tbm=isch","Еще фото")</f>
        <v>Еще фото</v>
      </c>
      <c r="F2382" s="28" t="s">
        <v>138</v>
      </c>
      <c r="G2382" s="24" t="s">
        <v>1184</v>
      </c>
      <c r="H2382" s="24" t="s">
        <v>741</v>
      </c>
      <c r="I2382" s="24" t="s">
        <v>1185</v>
      </c>
      <c r="J2382" s="14" t="s">
        <v>29</v>
      </c>
      <c r="K2382" s="15" t="s">
        <v>59</v>
      </c>
      <c r="L2382" s="62"/>
      <c r="M2382" s="14"/>
      <c r="N2382" s="14" t="s">
        <v>62</v>
      </c>
      <c r="O2382" s="14"/>
      <c r="P2382" s="15" t="s">
        <v>1718</v>
      </c>
      <c r="Q2382" s="16">
        <v>10599</v>
      </c>
      <c r="R2382" s="17">
        <v>40</v>
      </c>
      <c r="S2382" s="18">
        <v>7313.3099999999986</v>
      </c>
      <c r="T2382" s="19" t="s">
        <v>36</v>
      </c>
      <c r="U2382" s="20" t="s">
        <v>746</v>
      </c>
      <c r="V2382" s="22">
        <v>37</v>
      </c>
      <c r="W2382" s="22">
        <v>11</v>
      </c>
      <c r="X2382" s="23"/>
    </row>
    <row r="2383" spans="1:24" s="1" customFormat="1" ht="37.049999999999997" customHeight="1" x14ac:dyDescent="0.3">
      <c r="A2383" s="24" t="s">
        <v>23</v>
      </c>
      <c r="B2383" s="24" t="s">
        <v>2299</v>
      </c>
      <c r="C2383" s="12" t="s">
        <v>2300</v>
      </c>
      <c r="D2383" s="61"/>
      <c r="E2383" s="41" t="str">
        <f>HYPERLINK("https://www.google.ru/search?q=3028405-014&amp;newwindow=1&amp;tbm=isch","Еще фото")</f>
        <v>Еще фото</v>
      </c>
      <c r="F2383" s="28" t="s">
        <v>138</v>
      </c>
      <c r="G2383" s="24" t="s">
        <v>1184</v>
      </c>
      <c r="H2383" s="24" t="s">
        <v>741</v>
      </c>
      <c r="I2383" s="24" t="s">
        <v>1185</v>
      </c>
      <c r="J2383" s="14" t="s">
        <v>29</v>
      </c>
      <c r="K2383" s="15" t="s">
        <v>59</v>
      </c>
      <c r="L2383" s="58"/>
      <c r="M2383" s="14"/>
      <c r="N2383" s="14" t="s">
        <v>62</v>
      </c>
      <c r="O2383" s="14"/>
      <c r="P2383" s="15" t="s">
        <v>1718</v>
      </c>
      <c r="Q2383" s="16">
        <v>10599</v>
      </c>
      <c r="R2383" s="17">
        <v>40</v>
      </c>
      <c r="S2383" s="18">
        <v>7313.3099999999986</v>
      </c>
      <c r="T2383" s="19" t="s">
        <v>36</v>
      </c>
      <c r="U2383" s="20" t="s">
        <v>747</v>
      </c>
      <c r="V2383" s="34">
        <v>37.5</v>
      </c>
      <c r="W2383" s="22">
        <v>10</v>
      </c>
      <c r="X2383" s="23"/>
    </row>
    <row r="2384" spans="1:24" s="1" customFormat="1" ht="52.05" customHeight="1" x14ac:dyDescent="0.3">
      <c r="A2384" s="11" t="s">
        <v>23</v>
      </c>
      <c r="B2384" s="11" t="s">
        <v>2299</v>
      </c>
      <c r="C2384" s="12" t="s">
        <v>2302</v>
      </c>
      <c r="D2384" s="55"/>
      <c r="E2384" s="41" t="str">
        <f>HYPERLINK("https://www.google.ru/search?q=3028405-102&amp;newwindow=1&amp;tbm=isch","Еще фото")</f>
        <v>Еще фото</v>
      </c>
      <c r="F2384" s="13"/>
      <c r="G2384" s="11" t="s">
        <v>1184</v>
      </c>
      <c r="H2384" s="11" t="s">
        <v>741</v>
      </c>
      <c r="I2384" s="14" t="s">
        <v>1185</v>
      </c>
      <c r="J2384" s="14" t="s">
        <v>29</v>
      </c>
      <c r="K2384" s="15" t="s">
        <v>59</v>
      </c>
      <c r="L2384" s="57" t="s">
        <v>2303</v>
      </c>
      <c r="M2384" s="14"/>
      <c r="N2384" s="14" t="s">
        <v>229</v>
      </c>
      <c r="O2384" s="14"/>
      <c r="P2384" s="15" t="s">
        <v>2304</v>
      </c>
      <c r="Q2384" s="16">
        <v>11599</v>
      </c>
      <c r="R2384" s="17">
        <v>40</v>
      </c>
      <c r="S2384" s="18">
        <v>8003.3099999999986</v>
      </c>
      <c r="T2384" s="19" t="s">
        <v>36</v>
      </c>
      <c r="U2384" s="20" t="s">
        <v>1196</v>
      </c>
      <c r="V2384" s="34">
        <v>36.5</v>
      </c>
      <c r="W2384" s="22">
        <v>1</v>
      </c>
      <c r="X2384" s="23"/>
    </row>
    <row r="2385" spans="1:24" s="1" customFormat="1" ht="61.05" customHeight="1" x14ac:dyDescent="0.3">
      <c r="A2385" s="24" t="s">
        <v>23</v>
      </c>
      <c r="B2385" s="24" t="s">
        <v>2299</v>
      </c>
      <c r="C2385" s="12" t="s">
        <v>2302</v>
      </c>
      <c r="D2385" s="56"/>
      <c r="E2385" s="41" t="str">
        <f>HYPERLINK("https://www.google.ru/search?q=3028405-102&amp;newwindow=1&amp;tbm=isch","Еще фото")</f>
        <v>Еще фото</v>
      </c>
      <c r="F2385" s="13"/>
      <c r="G2385" s="24" t="s">
        <v>1184</v>
      </c>
      <c r="H2385" s="24" t="s">
        <v>741</v>
      </c>
      <c r="I2385" s="24" t="s">
        <v>1185</v>
      </c>
      <c r="J2385" s="14" t="s">
        <v>29</v>
      </c>
      <c r="K2385" s="15" t="s">
        <v>59</v>
      </c>
      <c r="L2385" s="58"/>
      <c r="M2385" s="14"/>
      <c r="N2385" s="14" t="s">
        <v>229</v>
      </c>
      <c r="O2385" s="14"/>
      <c r="P2385" s="15" t="s">
        <v>2304</v>
      </c>
      <c r="Q2385" s="16">
        <v>11599</v>
      </c>
      <c r="R2385" s="17">
        <v>40</v>
      </c>
      <c r="S2385" s="18">
        <v>8003.3099999999986</v>
      </c>
      <c r="T2385" s="19" t="s">
        <v>36</v>
      </c>
      <c r="U2385" s="20" t="s">
        <v>746</v>
      </c>
      <c r="V2385" s="22">
        <v>37</v>
      </c>
      <c r="W2385" s="22">
        <v>1</v>
      </c>
      <c r="X2385" s="23"/>
    </row>
    <row r="2386" spans="1:24" s="1" customFormat="1" ht="35" customHeight="1" x14ac:dyDescent="0.3">
      <c r="A2386" s="11" t="s">
        <v>23</v>
      </c>
      <c r="B2386" s="11" t="s">
        <v>2299</v>
      </c>
      <c r="C2386" s="12" t="s">
        <v>2305</v>
      </c>
      <c r="D2386" s="59"/>
      <c r="E2386" s="41" t="str">
        <f>HYPERLINK("https://www.google.ru/search?q=3028405-104&amp;newwindow=1&amp;tbm=isch","Еще фото")</f>
        <v>Еще фото</v>
      </c>
      <c r="F2386" s="13" t="s">
        <v>103</v>
      </c>
      <c r="G2386" s="11" t="s">
        <v>1184</v>
      </c>
      <c r="H2386" s="11" t="s">
        <v>741</v>
      </c>
      <c r="I2386" s="14" t="s">
        <v>1185</v>
      </c>
      <c r="J2386" s="14" t="s">
        <v>29</v>
      </c>
      <c r="K2386" s="15" t="s">
        <v>59</v>
      </c>
      <c r="L2386" s="57" t="s">
        <v>2301</v>
      </c>
      <c r="M2386" s="14"/>
      <c r="N2386" s="14" t="s">
        <v>33</v>
      </c>
      <c r="O2386" s="14"/>
      <c r="P2386" s="15" t="s">
        <v>2291</v>
      </c>
      <c r="Q2386" s="16">
        <v>13999</v>
      </c>
      <c r="R2386" s="17">
        <v>40</v>
      </c>
      <c r="S2386" s="18">
        <v>9659.31</v>
      </c>
      <c r="T2386" s="19" t="s">
        <v>36</v>
      </c>
      <c r="U2386" s="20" t="s">
        <v>1190</v>
      </c>
      <c r="V2386" s="34">
        <v>35.5</v>
      </c>
      <c r="W2386" s="22">
        <v>1</v>
      </c>
      <c r="X2386" s="23"/>
    </row>
    <row r="2387" spans="1:24" s="1" customFormat="1" ht="35" customHeight="1" x14ac:dyDescent="0.3">
      <c r="A2387" s="24" t="s">
        <v>23</v>
      </c>
      <c r="B2387" s="24" t="s">
        <v>2299</v>
      </c>
      <c r="C2387" s="12" t="s">
        <v>2305</v>
      </c>
      <c r="D2387" s="60"/>
      <c r="E2387" s="41" t="str">
        <f>HYPERLINK("https://www.google.ru/search?q=3028405-104&amp;newwindow=1&amp;tbm=isch","Еще фото")</f>
        <v>Еще фото</v>
      </c>
      <c r="F2387" s="13" t="s">
        <v>103</v>
      </c>
      <c r="G2387" s="24" t="s">
        <v>1184</v>
      </c>
      <c r="H2387" s="24" t="s">
        <v>741</v>
      </c>
      <c r="I2387" s="24" t="s">
        <v>1185</v>
      </c>
      <c r="J2387" s="14" t="s">
        <v>29</v>
      </c>
      <c r="K2387" s="15" t="s">
        <v>59</v>
      </c>
      <c r="L2387" s="62"/>
      <c r="M2387" s="14"/>
      <c r="N2387" s="14" t="s">
        <v>33</v>
      </c>
      <c r="O2387" s="14"/>
      <c r="P2387" s="15" t="s">
        <v>2291</v>
      </c>
      <c r="Q2387" s="16">
        <v>13999</v>
      </c>
      <c r="R2387" s="17">
        <v>40</v>
      </c>
      <c r="S2387" s="18">
        <v>9659.31</v>
      </c>
      <c r="T2387" s="19" t="s">
        <v>36</v>
      </c>
      <c r="U2387" s="20" t="s">
        <v>746</v>
      </c>
      <c r="V2387" s="22">
        <v>37</v>
      </c>
      <c r="W2387" s="22">
        <v>1</v>
      </c>
      <c r="X2387" s="23"/>
    </row>
    <row r="2388" spans="1:24" s="1" customFormat="1" ht="37.049999999999997" customHeight="1" x14ac:dyDescent="0.3">
      <c r="A2388" s="24" t="s">
        <v>23</v>
      </c>
      <c r="B2388" s="24" t="s">
        <v>2299</v>
      </c>
      <c r="C2388" s="12" t="s">
        <v>2305</v>
      </c>
      <c r="D2388" s="61"/>
      <c r="E2388" s="41" t="str">
        <f>HYPERLINK("https://www.google.ru/search?q=3028405-104&amp;newwindow=1&amp;tbm=isch","Еще фото")</f>
        <v>Еще фото</v>
      </c>
      <c r="F2388" s="13" t="s">
        <v>103</v>
      </c>
      <c r="G2388" s="24" t="s">
        <v>1184</v>
      </c>
      <c r="H2388" s="24" t="s">
        <v>741</v>
      </c>
      <c r="I2388" s="24" t="s">
        <v>1185</v>
      </c>
      <c r="J2388" s="14" t="s">
        <v>29</v>
      </c>
      <c r="K2388" s="15" t="s">
        <v>59</v>
      </c>
      <c r="L2388" s="58"/>
      <c r="M2388" s="14"/>
      <c r="N2388" s="14" t="s">
        <v>33</v>
      </c>
      <c r="O2388" s="14"/>
      <c r="P2388" s="15" t="s">
        <v>2291</v>
      </c>
      <c r="Q2388" s="16">
        <v>13999</v>
      </c>
      <c r="R2388" s="17">
        <v>40</v>
      </c>
      <c r="S2388" s="18">
        <v>9659.31</v>
      </c>
      <c r="T2388" s="19" t="s">
        <v>36</v>
      </c>
      <c r="U2388" s="20" t="s">
        <v>748</v>
      </c>
      <c r="V2388" s="22">
        <v>38</v>
      </c>
      <c r="W2388" s="22">
        <v>1</v>
      </c>
      <c r="X2388" s="23"/>
    </row>
    <row r="2389" spans="1:24" s="1" customFormat="1" ht="35" customHeight="1" x14ac:dyDescent="0.3">
      <c r="A2389" s="11" t="s">
        <v>23</v>
      </c>
      <c r="B2389" s="11" t="s">
        <v>2306</v>
      </c>
      <c r="C2389" s="12" t="s">
        <v>2307</v>
      </c>
      <c r="D2389" s="59"/>
      <c r="E2389" s="41" t="str">
        <f>HYPERLINK("https://www.google.ru/search?q=3028459-419&amp;newwindow=1&amp;tbm=isch","Еще фото")</f>
        <v>Еще фото</v>
      </c>
      <c r="F2389" s="13"/>
      <c r="G2389" s="11" t="s">
        <v>1184</v>
      </c>
      <c r="H2389" s="11" t="s">
        <v>741</v>
      </c>
      <c r="I2389" s="14" t="s">
        <v>1185</v>
      </c>
      <c r="J2389" s="14" t="s">
        <v>260</v>
      </c>
      <c r="K2389" s="15" t="s">
        <v>30</v>
      </c>
      <c r="L2389" s="57" t="s">
        <v>2308</v>
      </c>
      <c r="M2389" s="14"/>
      <c r="N2389" s="14" t="s">
        <v>115</v>
      </c>
      <c r="O2389" s="14"/>
      <c r="P2389" s="15" t="s">
        <v>2103</v>
      </c>
      <c r="Q2389" s="16">
        <v>16599</v>
      </c>
      <c r="R2389" s="17">
        <v>40</v>
      </c>
      <c r="S2389" s="18">
        <v>11453.31</v>
      </c>
      <c r="T2389" s="19" t="s">
        <v>36</v>
      </c>
      <c r="U2389" s="20" t="s">
        <v>750</v>
      </c>
      <c r="V2389" s="34">
        <v>41.5</v>
      </c>
      <c r="W2389" s="22">
        <v>2</v>
      </c>
      <c r="X2389" s="23"/>
    </row>
    <row r="2390" spans="1:24" s="1" customFormat="1" ht="35" customHeight="1" x14ac:dyDescent="0.3">
      <c r="A2390" s="24" t="s">
        <v>23</v>
      </c>
      <c r="B2390" s="24" t="s">
        <v>2306</v>
      </c>
      <c r="C2390" s="12" t="s">
        <v>2307</v>
      </c>
      <c r="D2390" s="60"/>
      <c r="E2390" s="41" t="str">
        <f>HYPERLINK("https://www.google.ru/search?q=3028459-419&amp;newwindow=1&amp;tbm=isch","Еще фото")</f>
        <v>Еще фото</v>
      </c>
      <c r="F2390" s="13"/>
      <c r="G2390" s="24" t="s">
        <v>1184</v>
      </c>
      <c r="H2390" s="24" t="s">
        <v>741</v>
      </c>
      <c r="I2390" s="24" t="s">
        <v>1185</v>
      </c>
      <c r="J2390" s="14" t="s">
        <v>260</v>
      </c>
      <c r="K2390" s="15" t="s">
        <v>30</v>
      </c>
      <c r="L2390" s="62"/>
      <c r="M2390" s="14"/>
      <c r="N2390" s="14" t="s">
        <v>115</v>
      </c>
      <c r="O2390" s="14"/>
      <c r="P2390" s="15" t="s">
        <v>2103</v>
      </c>
      <c r="Q2390" s="16">
        <v>16599</v>
      </c>
      <c r="R2390" s="17">
        <v>40</v>
      </c>
      <c r="S2390" s="18">
        <v>11453.31</v>
      </c>
      <c r="T2390" s="19" t="s">
        <v>36</v>
      </c>
      <c r="U2390" s="20" t="s">
        <v>751</v>
      </c>
      <c r="V2390" s="22">
        <v>42</v>
      </c>
      <c r="W2390" s="22">
        <v>1</v>
      </c>
      <c r="X2390" s="23"/>
    </row>
    <row r="2391" spans="1:24" s="1" customFormat="1" ht="37.049999999999997" customHeight="1" x14ac:dyDescent="0.3">
      <c r="A2391" s="24" t="s">
        <v>23</v>
      </c>
      <c r="B2391" s="24" t="s">
        <v>2306</v>
      </c>
      <c r="C2391" s="12" t="s">
        <v>2307</v>
      </c>
      <c r="D2391" s="61"/>
      <c r="E2391" s="41" t="str">
        <f>HYPERLINK("https://www.google.ru/search?q=3028459-419&amp;newwindow=1&amp;tbm=isch","Еще фото")</f>
        <v>Еще фото</v>
      </c>
      <c r="F2391" s="13"/>
      <c r="G2391" s="24" t="s">
        <v>1184</v>
      </c>
      <c r="H2391" s="24" t="s">
        <v>741</v>
      </c>
      <c r="I2391" s="24" t="s">
        <v>1185</v>
      </c>
      <c r="J2391" s="14" t="s">
        <v>260</v>
      </c>
      <c r="K2391" s="15" t="s">
        <v>30</v>
      </c>
      <c r="L2391" s="58"/>
      <c r="M2391" s="14"/>
      <c r="N2391" s="14" t="s">
        <v>115</v>
      </c>
      <c r="O2391" s="14"/>
      <c r="P2391" s="15" t="s">
        <v>2103</v>
      </c>
      <c r="Q2391" s="16">
        <v>16599</v>
      </c>
      <c r="R2391" s="17">
        <v>40</v>
      </c>
      <c r="S2391" s="18">
        <v>11453.31</v>
      </c>
      <c r="T2391" s="19" t="s">
        <v>36</v>
      </c>
      <c r="U2391" s="20" t="s">
        <v>752</v>
      </c>
      <c r="V2391" s="22">
        <v>43</v>
      </c>
      <c r="W2391" s="22">
        <v>1</v>
      </c>
      <c r="X2391" s="23"/>
    </row>
    <row r="2392" spans="1:24" s="1" customFormat="1" ht="21" customHeight="1" x14ac:dyDescent="0.3">
      <c r="A2392" s="11" t="s">
        <v>23</v>
      </c>
      <c r="B2392" s="11" t="s">
        <v>2309</v>
      </c>
      <c r="C2392" s="26" t="s">
        <v>2310</v>
      </c>
      <c r="D2392" s="59"/>
      <c r="E2392" s="41" t="str">
        <f>HYPERLINK("https://www.google.ru/search?q=3028461-002&amp;newwindow=1&amp;tbm=isch","Еще фото")</f>
        <v>Еще фото</v>
      </c>
      <c r="F2392" s="13"/>
      <c r="G2392" s="11" t="s">
        <v>1184</v>
      </c>
      <c r="H2392" s="11" t="s">
        <v>741</v>
      </c>
      <c r="I2392" s="14" t="s">
        <v>1185</v>
      </c>
      <c r="J2392" s="14" t="s">
        <v>260</v>
      </c>
      <c r="K2392" s="15" t="s">
        <v>723</v>
      </c>
      <c r="L2392" s="57" t="s">
        <v>2311</v>
      </c>
      <c r="M2392" s="14"/>
      <c r="N2392" s="14" t="s">
        <v>33</v>
      </c>
      <c r="O2392" s="14"/>
      <c r="P2392" s="15" t="s">
        <v>2312</v>
      </c>
      <c r="Q2392" s="16">
        <v>17699</v>
      </c>
      <c r="R2392" s="17">
        <v>40</v>
      </c>
      <c r="S2392" s="18">
        <v>12212.31</v>
      </c>
      <c r="T2392" s="19" t="s">
        <v>36</v>
      </c>
      <c r="U2392" s="20" t="s">
        <v>1446</v>
      </c>
      <c r="V2392" s="22">
        <v>40</v>
      </c>
      <c r="W2392" s="22">
        <v>1</v>
      </c>
      <c r="X2392" s="23"/>
    </row>
    <row r="2393" spans="1:24" s="1" customFormat="1" ht="21" customHeight="1" x14ac:dyDescent="0.3">
      <c r="A2393" s="24" t="s">
        <v>23</v>
      </c>
      <c r="B2393" s="24" t="s">
        <v>2309</v>
      </c>
      <c r="C2393" s="27" t="s">
        <v>2310</v>
      </c>
      <c r="D2393" s="60"/>
      <c r="E2393" s="41" t="str">
        <f>HYPERLINK("https://www.google.ru/search?q=3028461-002&amp;newwindow=1&amp;tbm=isch","Еще фото")</f>
        <v>Еще фото</v>
      </c>
      <c r="F2393" s="13"/>
      <c r="G2393" s="24" t="s">
        <v>1184</v>
      </c>
      <c r="H2393" s="24" t="s">
        <v>741</v>
      </c>
      <c r="I2393" s="24" t="s">
        <v>1185</v>
      </c>
      <c r="J2393" s="14" t="s">
        <v>260</v>
      </c>
      <c r="K2393" s="15" t="s">
        <v>723</v>
      </c>
      <c r="L2393" s="62"/>
      <c r="M2393" s="14"/>
      <c r="N2393" s="14" t="s">
        <v>33</v>
      </c>
      <c r="O2393" s="14"/>
      <c r="P2393" s="15" t="s">
        <v>2312</v>
      </c>
      <c r="Q2393" s="16">
        <v>17699</v>
      </c>
      <c r="R2393" s="17">
        <v>40</v>
      </c>
      <c r="S2393" s="18">
        <v>12212.31</v>
      </c>
      <c r="T2393" s="19" t="s">
        <v>36</v>
      </c>
      <c r="U2393" s="20" t="s">
        <v>1346</v>
      </c>
      <c r="V2393" s="34">
        <v>41.5</v>
      </c>
      <c r="W2393" s="22">
        <v>2</v>
      </c>
      <c r="X2393" s="23"/>
    </row>
    <row r="2394" spans="1:24" s="1" customFormat="1" ht="21" customHeight="1" x14ac:dyDescent="0.3">
      <c r="A2394" s="24" t="s">
        <v>23</v>
      </c>
      <c r="B2394" s="24" t="s">
        <v>2309</v>
      </c>
      <c r="C2394" s="27" t="s">
        <v>2310</v>
      </c>
      <c r="D2394" s="60"/>
      <c r="E2394" s="41" t="str">
        <f>HYPERLINK("https://www.google.ru/search?q=3028461-002&amp;newwindow=1&amp;tbm=isch","Еще фото")</f>
        <v>Еще фото</v>
      </c>
      <c r="F2394" s="13"/>
      <c r="G2394" s="24" t="s">
        <v>1184</v>
      </c>
      <c r="H2394" s="24" t="s">
        <v>741</v>
      </c>
      <c r="I2394" s="24" t="s">
        <v>1185</v>
      </c>
      <c r="J2394" s="14" t="s">
        <v>260</v>
      </c>
      <c r="K2394" s="15" t="s">
        <v>723</v>
      </c>
      <c r="L2394" s="62"/>
      <c r="M2394" s="14"/>
      <c r="N2394" s="14" t="s">
        <v>33</v>
      </c>
      <c r="O2394" s="14"/>
      <c r="P2394" s="15" t="s">
        <v>2312</v>
      </c>
      <c r="Q2394" s="16">
        <v>17699</v>
      </c>
      <c r="R2394" s="17">
        <v>40</v>
      </c>
      <c r="S2394" s="18">
        <v>12212.31</v>
      </c>
      <c r="T2394" s="19" t="s">
        <v>36</v>
      </c>
      <c r="U2394" s="20" t="s">
        <v>1326</v>
      </c>
      <c r="V2394" s="22">
        <v>42</v>
      </c>
      <c r="W2394" s="22">
        <v>2</v>
      </c>
      <c r="X2394" s="23"/>
    </row>
    <row r="2395" spans="1:24" s="1" customFormat="1" ht="21" customHeight="1" x14ac:dyDescent="0.3">
      <c r="A2395" s="24" t="s">
        <v>23</v>
      </c>
      <c r="B2395" s="24" t="s">
        <v>2309</v>
      </c>
      <c r="C2395" s="27" t="s">
        <v>2310</v>
      </c>
      <c r="D2395" s="60"/>
      <c r="E2395" s="41" t="str">
        <f>HYPERLINK("https://www.google.ru/search?q=3028461-002&amp;newwindow=1&amp;tbm=isch","Еще фото")</f>
        <v>Еще фото</v>
      </c>
      <c r="F2395" s="13"/>
      <c r="G2395" s="24" t="s">
        <v>1184</v>
      </c>
      <c r="H2395" s="24" t="s">
        <v>741</v>
      </c>
      <c r="I2395" s="24" t="s">
        <v>1185</v>
      </c>
      <c r="J2395" s="14" t="s">
        <v>260</v>
      </c>
      <c r="K2395" s="15" t="s">
        <v>723</v>
      </c>
      <c r="L2395" s="62"/>
      <c r="M2395" s="14"/>
      <c r="N2395" s="14" t="s">
        <v>33</v>
      </c>
      <c r="O2395" s="14"/>
      <c r="P2395" s="15" t="s">
        <v>2312</v>
      </c>
      <c r="Q2395" s="16">
        <v>17699</v>
      </c>
      <c r="R2395" s="17">
        <v>40</v>
      </c>
      <c r="S2395" s="18">
        <v>12212.31</v>
      </c>
      <c r="T2395" s="19" t="s">
        <v>36</v>
      </c>
      <c r="U2395" s="20" t="s">
        <v>1347</v>
      </c>
      <c r="V2395" s="22">
        <v>43</v>
      </c>
      <c r="W2395" s="22">
        <v>2</v>
      </c>
      <c r="X2395" s="23"/>
    </row>
    <row r="2396" spans="1:24" s="1" customFormat="1" ht="32" customHeight="1" x14ac:dyDescent="0.3">
      <c r="A2396" s="24" t="s">
        <v>23</v>
      </c>
      <c r="B2396" s="24" t="s">
        <v>2309</v>
      </c>
      <c r="C2396" s="27" t="s">
        <v>2310</v>
      </c>
      <c r="D2396" s="61"/>
      <c r="E2396" s="41" t="str">
        <f>HYPERLINK("https://www.google.ru/search?q=3028461-002&amp;newwindow=1&amp;tbm=isch","Еще фото")</f>
        <v>Еще фото</v>
      </c>
      <c r="F2396" s="13"/>
      <c r="G2396" s="24" t="s">
        <v>1184</v>
      </c>
      <c r="H2396" s="24" t="s">
        <v>741</v>
      </c>
      <c r="I2396" s="24" t="s">
        <v>1185</v>
      </c>
      <c r="J2396" s="14" t="s">
        <v>260</v>
      </c>
      <c r="K2396" s="15" t="s">
        <v>723</v>
      </c>
      <c r="L2396" s="58"/>
      <c r="M2396" s="14"/>
      <c r="N2396" s="14" t="s">
        <v>33</v>
      </c>
      <c r="O2396" s="14"/>
      <c r="P2396" s="15" t="s">
        <v>2312</v>
      </c>
      <c r="Q2396" s="16">
        <v>17699</v>
      </c>
      <c r="R2396" s="17">
        <v>40</v>
      </c>
      <c r="S2396" s="18">
        <v>12212.31</v>
      </c>
      <c r="T2396" s="19" t="s">
        <v>36</v>
      </c>
      <c r="U2396" s="20" t="s">
        <v>1348</v>
      </c>
      <c r="V2396" s="34">
        <v>43.5</v>
      </c>
      <c r="W2396" s="22">
        <v>1</v>
      </c>
      <c r="X2396" s="23"/>
    </row>
    <row r="2397" spans="1:24" s="1" customFormat="1" ht="14" customHeight="1" x14ac:dyDescent="0.3">
      <c r="A2397" s="11" t="s">
        <v>23</v>
      </c>
      <c r="B2397" s="11" t="s">
        <v>1523</v>
      </c>
      <c r="C2397" s="12" t="s">
        <v>2313</v>
      </c>
      <c r="D2397" s="59"/>
      <c r="E2397" s="41" t="str">
        <f t="shared" ref="E2397:E2403" si="97">HYPERLINK("https://www.google.ru/search?q=3028512-001&amp;newwindow=1&amp;tbm=isch","Еще фото")</f>
        <v>Еще фото</v>
      </c>
      <c r="F2397" s="13" t="s">
        <v>103</v>
      </c>
      <c r="G2397" s="11" t="s">
        <v>1184</v>
      </c>
      <c r="H2397" s="11" t="s">
        <v>741</v>
      </c>
      <c r="I2397" s="14" t="s">
        <v>1185</v>
      </c>
      <c r="J2397" s="14" t="s">
        <v>260</v>
      </c>
      <c r="K2397" s="15" t="s">
        <v>723</v>
      </c>
      <c r="L2397" s="57" t="s">
        <v>1525</v>
      </c>
      <c r="M2397" s="14"/>
      <c r="N2397" s="14" t="s">
        <v>33</v>
      </c>
      <c r="O2397" s="14"/>
      <c r="P2397" s="15" t="s">
        <v>1457</v>
      </c>
      <c r="Q2397" s="16">
        <v>9599</v>
      </c>
      <c r="R2397" s="17">
        <v>40</v>
      </c>
      <c r="S2397" s="18">
        <v>6623.3099999999995</v>
      </c>
      <c r="T2397" s="19" t="s">
        <v>36</v>
      </c>
      <c r="U2397" s="20" t="s">
        <v>1345</v>
      </c>
      <c r="V2397" s="22">
        <v>41</v>
      </c>
      <c r="W2397" s="22">
        <v>25</v>
      </c>
      <c r="X2397" s="23"/>
    </row>
    <row r="2398" spans="1:24" s="1" customFormat="1" ht="14" customHeight="1" x14ac:dyDescent="0.3">
      <c r="A2398" s="24" t="s">
        <v>23</v>
      </c>
      <c r="B2398" s="24" t="s">
        <v>1523</v>
      </c>
      <c r="C2398" s="12" t="s">
        <v>2313</v>
      </c>
      <c r="D2398" s="60"/>
      <c r="E2398" s="41" t="str">
        <f t="shared" si="97"/>
        <v>Еще фото</v>
      </c>
      <c r="F2398" s="13" t="s">
        <v>103</v>
      </c>
      <c r="G2398" s="24" t="s">
        <v>1184</v>
      </c>
      <c r="H2398" s="24" t="s">
        <v>741</v>
      </c>
      <c r="I2398" s="24" t="s">
        <v>1185</v>
      </c>
      <c r="J2398" s="14" t="s">
        <v>260</v>
      </c>
      <c r="K2398" s="15" t="s">
        <v>723</v>
      </c>
      <c r="L2398" s="62"/>
      <c r="M2398" s="14"/>
      <c r="N2398" s="14" t="s">
        <v>33</v>
      </c>
      <c r="O2398" s="14"/>
      <c r="P2398" s="15" t="s">
        <v>1457</v>
      </c>
      <c r="Q2398" s="16">
        <v>9599</v>
      </c>
      <c r="R2398" s="17">
        <v>40</v>
      </c>
      <c r="S2398" s="18">
        <v>6623.3099999999995</v>
      </c>
      <c r="T2398" s="19" t="s">
        <v>36</v>
      </c>
      <c r="U2398" s="20" t="s">
        <v>1346</v>
      </c>
      <c r="V2398" s="34">
        <v>41.5</v>
      </c>
      <c r="W2398" s="22">
        <v>17</v>
      </c>
      <c r="X2398" s="23"/>
    </row>
    <row r="2399" spans="1:24" s="1" customFormat="1" ht="14" customHeight="1" x14ac:dyDescent="0.3">
      <c r="A2399" s="24" t="s">
        <v>23</v>
      </c>
      <c r="B2399" s="24" t="s">
        <v>1523</v>
      </c>
      <c r="C2399" s="12" t="s">
        <v>2313</v>
      </c>
      <c r="D2399" s="60"/>
      <c r="E2399" s="41" t="str">
        <f t="shared" si="97"/>
        <v>Еще фото</v>
      </c>
      <c r="F2399" s="13" t="s">
        <v>103</v>
      </c>
      <c r="G2399" s="24" t="s">
        <v>1184</v>
      </c>
      <c r="H2399" s="24" t="s">
        <v>741</v>
      </c>
      <c r="I2399" s="24" t="s">
        <v>1185</v>
      </c>
      <c r="J2399" s="14" t="s">
        <v>260</v>
      </c>
      <c r="K2399" s="15" t="s">
        <v>723</v>
      </c>
      <c r="L2399" s="62"/>
      <c r="M2399" s="14"/>
      <c r="N2399" s="14" t="s">
        <v>33</v>
      </c>
      <c r="O2399" s="14"/>
      <c r="P2399" s="15" t="s">
        <v>1457</v>
      </c>
      <c r="Q2399" s="16">
        <v>9599</v>
      </c>
      <c r="R2399" s="17">
        <v>40</v>
      </c>
      <c r="S2399" s="18">
        <v>6623.3099999999995</v>
      </c>
      <c r="T2399" s="19" t="s">
        <v>36</v>
      </c>
      <c r="U2399" s="20" t="s">
        <v>1326</v>
      </c>
      <c r="V2399" s="22">
        <v>42</v>
      </c>
      <c r="W2399" s="22">
        <v>40</v>
      </c>
      <c r="X2399" s="23"/>
    </row>
    <row r="2400" spans="1:24" s="1" customFormat="1" ht="14" customHeight="1" x14ac:dyDescent="0.3">
      <c r="A2400" s="24" t="s">
        <v>23</v>
      </c>
      <c r="B2400" s="24" t="s">
        <v>1523</v>
      </c>
      <c r="C2400" s="12" t="s">
        <v>2313</v>
      </c>
      <c r="D2400" s="60"/>
      <c r="E2400" s="41" t="str">
        <f t="shared" si="97"/>
        <v>Еще фото</v>
      </c>
      <c r="F2400" s="13" t="s">
        <v>103</v>
      </c>
      <c r="G2400" s="24" t="s">
        <v>1184</v>
      </c>
      <c r="H2400" s="24" t="s">
        <v>741</v>
      </c>
      <c r="I2400" s="24" t="s">
        <v>1185</v>
      </c>
      <c r="J2400" s="14" t="s">
        <v>260</v>
      </c>
      <c r="K2400" s="15" t="s">
        <v>723</v>
      </c>
      <c r="L2400" s="62"/>
      <c r="M2400" s="14"/>
      <c r="N2400" s="14" t="s">
        <v>33</v>
      </c>
      <c r="O2400" s="14"/>
      <c r="P2400" s="15" t="s">
        <v>1457</v>
      </c>
      <c r="Q2400" s="16">
        <v>9599</v>
      </c>
      <c r="R2400" s="17">
        <v>40</v>
      </c>
      <c r="S2400" s="18">
        <v>6623.3099999999995</v>
      </c>
      <c r="T2400" s="19" t="s">
        <v>36</v>
      </c>
      <c r="U2400" s="20" t="s">
        <v>1347</v>
      </c>
      <c r="V2400" s="22">
        <v>43</v>
      </c>
      <c r="W2400" s="22">
        <v>40</v>
      </c>
      <c r="X2400" s="23"/>
    </row>
    <row r="2401" spans="1:24" s="1" customFormat="1" ht="14" customHeight="1" x14ac:dyDescent="0.3">
      <c r="A2401" s="24" t="s">
        <v>23</v>
      </c>
      <c r="B2401" s="24" t="s">
        <v>1523</v>
      </c>
      <c r="C2401" s="12" t="s">
        <v>2313</v>
      </c>
      <c r="D2401" s="60"/>
      <c r="E2401" s="41" t="str">
        <f t="shared" si="97"/>
        <v>Еще фото</v>
      </c>
      <c r="F2401" s="13" t="s">
        <v>103</v>
      </c>
      <c r="G2401" s="24" t="s">
        <v>1184</v>
      </c>
      <c r="H2401" s="24" t="s">
        <v>741</v>
      </c>
      <c r="I2401" s="24" t="s">
        <v>1185</v>
      </c>
      <c r="J2401" s="14" t="s">
        <v>260</v>
      </c>
      <c r="K2401" s="15" t="s">
        <v>723</v>
      </c>
      <c r="L2401" s="62"/>
      <c r="M2401" s="14"/>
      <c r="N2401" s="14" t="s">
        <v>33</v>
      </c>
      <c r="O2401" s="14"/>
      <c r="P2401" s="15" t="s">
        <v>1457</v>
      </c>
      <c r="Q2401" s="16">
        <v>9599</v>
      </c>
      <c r="R2401" s="17">
        <v>40</v>
      </c>
      <c r="S2401" s="18">
        <v>6623.3099999999995</v>
      </c>
      <c r="T2401" s="19" t="s">
        <v>36</v>
      </c>
      <c r="U2401" s="20" t="s">
        <v>1348</v>
      </c>
      <c r="V2401" s="34">
        <v>43.5</v>
      </c>
      <c r="W2401" s="22">
        <v>44</v>
      </c>
      <c r="X2401" s="23"/>
    </row>
    <row r="2402" spans="1:24" s="1" customFormat="1" ht="14" customHeight="1" x14ac:dyDescent="0.3">
      <c r="A2402" s="24" t="s">
        <v>23</v>
      </c>
      <c r="B2402" s="24" t="s">
        <v>1523</v>
      </c>
      <c r="C2402" s="12" t="s">
        <v>2313</v>
      </c>
      <c r="D2402" s="60"/>
      <c r="E2402" s="41" t="str">
        <f t="shared" si="97"/>
        <v>Еще фото</v>
      </c>
      <c r="F2402" s="13" t="s">
        <v>103</v>
      </c>
      <c r="G2402" s="24" t="s">
        <v>1184</v>
      </c>
      <c r="H2402" s="24" t="s">
        <v>741</v>
      </c>
      <c r="I2402" s="24" t="s">
        <v>1185</v>
      </c>
      <c r="J2402" s="14" t="s">
        <v>260</v>
      </c>
      <c r="K2402" s="15" t="s">
        <v>723</v>
      </c>
      <c r="L2402" s="62"/>
      <c r="M2402" s="14"/>
      <c r="N2402" s="14" t="s">
        <v>33</v>
      </c>
      <c r="O2402" s="14"/>
      <c r="P2402" s="15" t="s">
        <v>1457</v>
      </c>
      <c r="Q2402" s="16">
        <v>9599</v>
      </c>
      <c r="R2402" s="17">
        <v>40</v>
      </c>
      <c r="S2402" s="18">
        <v>6623.3099999999995</v>
      </c>
      <c r="T2402" s="19" t="s">
        <v>36</v>
      </c>
      <c r="U2402" s="20" t="s">
        <v>1327</v>
      </c>
      <c r="V2402" s="22">
        <v>44</v>
      </c>
      <c r="W2402" s="22">
        <v>26</v>
      </c>
      <c r="X2402" s="23"/>
    </row>
    <row r="2403" spans="1:24" s="1" customFormat="1" ht="17" customHeight="1" x14ac:dyDescent="0.3">
      <c r="A2403" s="24" t="s">
        <v>23</v>
      </c>
      <c r="B2403" s="24" t="s">
        <v>1523</v>
      </c>
      <c r="C2403" s="12" t="s">
        <v>2313</v>
      </c>
      <c r="D2403" s="61"/>
      <c r="E2403" s="41" t="str">
        <f t="shared" si="97"/>
        <v>Еще фото</v>
      </c>
      <c r="F2403" s="13" t="s">
        <v>103</v>
      </c>
      <c r="G2403" s="24" t="s">
        <v>1184</v>
      </c>
      <c r="H2403" s="24" t="s">
        <v>741</v>
      </c>
      <c r="I2403" s="24" t="s">
        <v>1185</v>
      </c>
      <c r="J2403" s="14" t="s">
        <v>260</v>
      </c>
      <c r="K2403" s="15" t="s">
        <v>723</v>
      </c>
      <c r="L2403" s="58"/>
      <c r="M2403" s="14"/>
      <c r="N2403" s="14" t="s">
        <v>33</v>
      </c>
      <c r="O2403" s="14"/>
      <c r="P2403" s="15" t="s">
        <v>1457</v>
      </c>
      <c r="Q2403" s="16">
        <v>9599</v>
      </c>
      <c r="R2403" s="17">
        <v>40</v>
      </c>
      <c r="S2403" s="18">
        <v>6623.3099999999995</v>
      </c>
      <c r="T2403" s="19" t="s">
        <v>36</v>
      </c>
      <c r="U2403" s="20" t="s">
        <v>1349</v>
      </c>
      <c r="V2403" s="34">
        <v>44.5</v>
      </c>
      <c r="W2403" s="22">
        <v>16</v>
      </c>
      <c r="X2403" s="23"/>
    </row>
    <row r="2404" spans="1:24" s="1" customFormat="1" ht="108" customHeight="1" x14ac:dyDescent="0.3">
      <c r="A2404" s="11" t="s">
        <v>23</v>
      </c>
      <c r="B2404" s="11" t="s">
        <v>1523</v>
      </c>
      <c r="C2404" s="12" t="s">
        <v>2314</v>
      </c>
      <c r="D2404" s="25"/>
      <c r="E2404" s="41" t="str">
        <f>HYPERLINK("https://www.google.ru/search?q=3028512-300&amp;newwindow=1&amp;tbm=isch","Еще фото")</f>
        <v>Еще фото</v>
      </c>
      <c r="F2404" s="13"/>
      <c r="G2404" s="11" t="s">
        <v>1184</v>
      </c>
      <c r="H2404" s="11" t="s">
        <v>741</v>
      </c>
      <c r="I2404" s="14" t="s">
        <v>1185</v>
      </c>
      <c r="J2404" s="14" t="s">
        <v>260</v>
      </c>
      <c r="K2404" s="15" t="s">
        <v>723</v>
      </c>
      <c r="L2404" s="14" t="s">
        <v>1525</v>
      </c>
      <c r="M2404" s="14"/>
      <c r="N2404" s="14" t="s">
        <v>127</v>
      </c>
      <c r="O2404" s="14"/>
      <c r="P2404" s="15" t="s">
        <v>2315</v>
      </c>
      <c r="Q2404" s="16">
        <v>12199</v>
      </c>
      <c r="R2404" s="17">
        <v>40</v>
      </c>
      <c r="S2404" s="18">
        <v>8417.31</v>
      </c>
      <c r="T2404" s="19" t="s">
        <v>36</v>
      </c>
      <c r="U2404" s="20" t="s">
        <v>1446</v>
      </c>
      <c r="V2404" s="22">
        <v>40</v>
      </c>
      <c r="W2404" s="22">
        <v>1</v>
      </c>
      <c r="X2404" s="23"/>
    </row>
    <row r="2405" spans="1:24" s="1" customFormat="1" ht="21" customHeight="1" x14ac:dyDescent="0.3">
      <c r="A2405" s="11" t="s">
        <v>23</v>
      </c>
      <c r="B2405" s="11" t="s">
        <v>1523</v>
      </c>
      <c r="C2405" s="26" t="s">
        <v>2316</v>
      </c>
      <c r="D2405" s="59"/>
      <c r="E2405" s="41" t="str">
        <f>HYPERLINK("https://www.google.ru/search?q=3028512-426&amp;newwindow=1&amp;tbm=isch","Еще фото")</f>
        <v>Еще фото</v>
      </c>
      <c r="F2405" s="13" t="s">
        <v>103</v>
      </c>
      <c r="G2405" s="11" t="s">
        <v>1184</v>
      </c>
      <c r="H2405" s="11" t="s">
        <v>741</v>
      </c>
      <c r="I2405" s="14" t="s">
        <v>1185</v>
      </c>
      <c r="J2405" s="14" t="s">
        <v>260</v>
      </c>
      <c r="K2405" s="15" t="s">
        <v>723</v>
      </c>
      <c r="L2405" s="57" t="s">
        <v>1525</v>
      </c>
      <c r="M2405" s="14"/>
      <c r="N2405" s="14" t="s">
        <v>115</v>
      </c>
      <c r="O2405" s="14"/>
      <c r="P2405" s="15" t="s">
        <v>2317</v>
      </c>
      <c r="Q2405" s="16">
        <v>9599</v>
      </c>
      <c r="R2405" s="17">
        <v>40</v>
      </c>
      <c r="S2405" s="18">
        <v>6623.3099999999995</v>
      </c>
      <c r="T2405" s="19" t="s">
        <v>36</v>
      </c>
      <c r="U2405" s="20" t="s">
        <v>1346</v>
      </c>
      <c r="V2405" s="34">
        <v>41.5</v>
      </c>
      <c r="W2405" s="22">
        <v>2</v>
      </c>
      <c r="X2405" s="23"/>
    </row>
    <row r="2406" spans="1:24" s="1" customFormat="1" ht="21" customHeight="1" x14ac:dyDescent="0.3">
      <c r="A2406" s="24" t="s">
        <v>23</v>
      </c>
      <c r="B2406" s="24" t="s">
        <v>1523</v>
      </c>
      <c r="C2406" s="27" t="s">
        <v>2316</v>
      </c>
      <c r="D2406" s="60"/>
      <c r="E2406" s="41" t="str">
        <f>HYPERLINK("https://www.google.ru/search?q=3028512-426&amp;newwindow=1&amp;tbm=isch","Еще фото")</f>
        <v>Еще фото</v>
      </c>
      <c r="F2406" s="13" t="s">
        <v>103</v>
      </c>
      <c r="G2406" s="24" t="s">
        <v>1184</v>
      </c>
      <c r="H2406" s="24" t="s">
        <v>741</v>
      </c>
      <c r="I2406" s="24" t="s">
        <v>1185</v>
      </c>
      <c r="J2406" s="14" t="s">
        <v>260</v>
      </c>
      <c r="K2406" s="15" t="s">
        <v>723</v>
      </c>
      <c r="L2406" s="62"/>
      <c r="M2406" s="14"/>
      <c r="N2406" s="14" t="s">
        <v>115</v>
      </c>
      <c r="O2406" s="14"/>
      <c r="P2406" s="15" t="s">
        <v>2317</v>
      </c>
      <c r="Q2406" s="16">
        <v>9599</v>
      </c>
      <c r="R2406" s="17">
        <v>40</v>
      </c>
      <c r="S2406" s="18">
        <v>6623.3099999999995</v>
      </c>
      <c r="T2406" s="19" t="s">
        <v>36</v>
      </c>
      <c r="U2406" s="20" t="s">
        <v>1326</v>
      </c>
      <c r="V2406" s="22">
        <v>42</v>
      </c>
      <c r="W2406" s="22">
        <v>4</v>
      </c>
      <c r="X2406" s="23"/>
    </row>
    <row r="2407" spans="1:24" s="1" customFormat="1" ht="21" customHeight="1" x14ac:dyDescent="0.3">
      <c r="A2407" s="24" t="s">
        <v>23</v>
      </c>
      <c r="B2407" s="24" t="s">
        <v>1523</v>
      </c>
      <c r="C2407" s="27" t="s">
        <v>2316</v>
      </c>
      <c r="D2407" s="60"/>
      <c r="E2407" s="41" t="str">
        <f>HYPERLINK("https://www.google.ru/search?q=3028512-426&amp;newwindow=1&amp;tbm=isch","Еще фото")</f>
        <v>Еще фото</v>
      </c>
      <c r="F2407" s="13" t="s">
        <v>103</v>
      </c>
      <c r="G2407" s="24" t="s">
        <v>1184</v>
      </c>
      <c r="H2407" s="24" t="s">
        <v>741</v>
      </c>
      <c r="I2407" s="24" t="s">
        <v>1185</v>
      </c>
      <c r="J2407" s="14" t="s">
        <v>260</v>
      </c>
      <c r="K2407" s="15" t="s">
        <v>723</v>
      </c>
      <c r="L2407" s="62"/>
      <c r="M2407" s="14"/>
      <c r="N2407" s="14" t="s">
        <v>115</v>
      </c>
      <c r="O2407" s="14"/>
      <c r="P2407" s="15" t="s">
        <v>2317</v>
      </c>
      <c r="Q2407" s="16">
        <v>9599</v>
      </c>
      <c r="R2407" s="17">
        <v>40</v>
      </c>
      <c r="S2407" s="18">
        <v>6623.3099999999995</v>
      </c>
      <c r="T2407" s="19" t="s">
        <v>36</v>
      </c>
      <c r="U2407" s="20" t="s">
        <v>1348</v>
      </c>
      <c r="V2407" s="34">
        <v>43.5</v>
      </c>
      <c r="W2407" s="22">
        <v>2</v>
      </c>
      <c r="X2407" s="23"/>
    </row>
    <row r="2408" spans="1:24" s="1" customFormat="1" ht="21" customHeight="1" x14ac:dyDescent="0.3">
      <c r="A2408" s="24" t="s">
        <v>23</v>
      </c>
      <c r="B2408" s="24" t="s">
        <v>1523</v>
      </c>
      <c r="C2408" s="27" t="s">
        <v>2316</v>
      </c>
      <c r="D2408" s="60"/>
      <c r="E2408" s="41" t="str">
        <f>HYPERLINK("https://www.google.ru/search?q=3028512-426&amp;newwindow=1&amp;tbm=isch","Еще фото")</f>
        <v>Еще фото</v>
      </c>
      <c r="F2408" s="13" t="s">
        <v>103</v>
      </c>
      <c r="G2408" s="24" t="s">
        <v>1184</v>
      </c>
      <c r="H2408" s="24" t="s">
        <v>741</v>
      </c>
      <c r="I2408" s="24" t="s">
        <v>1185</v>
      </c>
      <c r="J2408" s="14" t="s">
        <v>260</v>
      </c>
      <c r="K2408" s="15" t="s">
        <v>723</v>
      </c>
      <c r="L2408" s="62"/>
      <c r="M2408" s="14"/>
      <c r="N2408" s="14" t="s">
        <v>115</v>
      </c>
      <c r="O2408" s="14"/>
      <c r="P2408" s="15" t="s">
        <v>2317</v>
      </c>
      <c r="Q2408" s="16">
        <v>9599</v>
      </c>
      <c r="R2408" s="17">
        <v>40</v>
      </c>
      <c r="S2408" s="18">
        <v>6623.3099999999995</v>
      </c>
      <c r="T2408" s="19" t="s">
        <v>36</v>
      </c>
      <c r="U2408" s="20" t="s">
        <v>1327</v>
      </c>
      <c r="V2408" s="22">
        <v>44</v>
      </c>
      <c r="W2408" s="22">
        <v>1</v>
      </c>
      <c r="X2408" s="23"/>
    </row>
    <row r="2409" spans="1:24" s="1" customFormat="1" ht="32" customHeight="1" x14ac:dyDescent="0.3">
      <c r="A2409" s="24" t="s">
        <v>23</v>
      </c>
      <c r="B2409" s="24" t="s">
        <v>1523</v>
      </c>
      <c r="C2409" s="27" t="s">
        <v>2316</v>
      </c>
      <c r="D2409" s="61"/>
      <c r="E2409" s="41" t="str">
        <f>HYPERLINK("https://www.google.ru/search?q=3028512-426&amp;newwindow=1&amp;tbm=isch","Еще фото")</f>
        <v>Еще фото</v>
      </c>
      <c r="F2409" s="13" t="s">
        <v>103</v>
      </c>
      <c r="G2409" s="24" t="s">
        <v>1184</v>
      </c>
      <c r="H2409" s="24" t="s">
        <v>741</v>
      </c>
      <c r="I2409" s="24" t="s">
        <v>1185</v>
      </c>
      <c r="J2409" s="14" t="s">
        <v>260</v>
      </c>
      <c r="K2409" s="15" t="s">
        <v>723</v>
      </c>
      <c r="L2409" s="58"/>
      <c r="M2409" s="14"/>
      <c r="N2409" s="14" t="s">
        <v>115</v>
      </c>
      <c r="O2409" s="14"/>
      <c r="P2409" s="15" t="s">
        <v>2317</v>
      </c>
      <c r="Q2409" s="16">
        <v>9599</v>
      </c>
      <c r="R2409" s="17">
        <v>40</v>
      </c>
      <c r="S2409" s="18">
        <v>6623.3099999999995</v>
      </c>
      <c r="T2409" s="19" t="s">
        <v>36</v>
      </c>
      <c r="U2409" s="20" t="s">
        <v>1349</v>
      </c>
      <c r="V2409" s="34">
        <v>44.5</v>
      </c>
      <c r="W2409" s="22">
        <v>4</v>
      </c>
      <c r="X2409" s="23"/>
    </row>
    <row r="2410" spans="1:24" s="1" customFormat="1" ht="14" customHeight="1" x14ac:dyDescent="0.3">
      <c r="A2410" s="11" t="s">
        <v>23</v>
      </c>
      <c r="B2410" s="11" t="s">
        <v>1523</v>
      </c>
      <c r="C2410" s="12" t="s">
        <v>2318</v>
      </c>
      <c r="D2410" s="59"/>
      <c r="E2410" s="41" t="str">
        <f t="shared" ref="E2410:E2416" si="98">HYPERLINK("https://www.google.ru/search?q=3028512-600&amp;newwindow=1&amp;tbm=isch","Еще фото")</f>
        <v>Еще фото</v>
      </c>
      <c r="F2410" s="13" t="s">
        <v>103</v>
      </c>
      <c r="G2410" s="11" t="s">
        <v>1184</v>
      </c>
      <c r="H2410" s="11" t="s">
        <v>741</v>
      </c>
      <c r="I2410" s="14" t="s">
        <v>1185</v>
      </c>
      <c r="J2410" s="14" t="s">
        <v>260</v>
      </c>
      <c r="K2410" s="15" t="s">
        <v>723</v>
      </c>
      <c r="L2410" s="57" t="s">
        <v>1525</v>
      </c>
      <c r="M2410" s="14"/>
      <c r="N2410" s="14" t="s">
        <v>198</v>
      </c>
      <c r="O2410" s="14"/>
      <c r="P2410" s="15" t="s">
        <v>1457</v>
      </c>
      <c r="Q2410" s="16">
        <v>9599</v>
      </c>
      <c r="R2410" s="17">
        <v>40</v>
      </c>
      <c r="S2410" s="18">
        <v>6623.3099999999995</v>
      </c>
      <c r="T2410" s="19" t="s">
        <v>36</v>
      </c>
      <c r="U2410" s="20" t="s">
        <v>1345</v>
      </c>
      <c r="V2410" s="22">
        <v>41</v>
      </c>
      <c r="W2410" s="22">
        <v>30</v>
      </c>
      <c r="X2410" s="23"/>
    </row>
    <row r="2411" spans="1:24" s="1" customFormat="1" ht="14" customHeight="1" x14ac:dyDescent="0.3">
      <c r="A2411" s="24" t="s">
        <v>23</v>
      </c>
      <c r="B2411" s="24" t="s">
        <v>1523</v>
      </c>
      <c r="C2411" s="12" t="s">
        <v>2318</v>
      </c>
      <c r="D2411" s="60"/>
      <c r="E2411" s="41" t="str">
        <f t="shared" si="98"/>
        <v>Еще фото</v>
      </c>
      <c r="F2411" s="13" t="s">
        <v>103</v>
      </c>
      <c r="G2411" s="24" t="s">
        <v>1184</v>
      </c>
      <c r="H2411" s="24" t="s">
        <v>741</v>
      </c>
      <c r="I2411" s="24" t="s">
        <v>1185</v>
      </c>
      <c r="J2411" s="14" t="s">
        <v>260</v>
      </c>
      <c r="K2411" s="15" t="s">
        <v>723</v>
      </c>
      <c r="L2411" s="62"/>
      <c r="M2411" s="14"/>
      <c r="N2411" s="14" t="s">
        <v>198</v>
      </c>
      <c r="O2411" s="14"/>
      <c r="P2411" s="15" t="s">
        <v>1457</v>
      </c>
      <c r="Q2411" s="16">
        <v>9599</v>
      </c>
      <c r="R2411" s="17">
        <v>40</v>
      </c>
      <c r="S2411" s="18">
        <v>6623.3099999999995</v>
      </c>
      <c r="T2411" s="19" t="s">
        <v>36</v>
      </c>
      <c r="U2411" s="20" t="s">
        <v>1346</v>
      </c>
      <c r="V2411" s="34">
        <v>41.5</v>
      </c>
      <c r="W2411" s="22">
        <v>14</v>
      </c>
      <c r="X2411" s="23"/>
    </row>
    <row r="2412" spans="1:24" s="1" customFormat="1" ht="14" customHeight="1" x14ac:dyDescent="0.3">
      <c r="A2412" s="24" t="s">
        <v>23</v>
      </c>
      <c r="B2412" s="24" t="s">
        <v>1523</v>
      </c>
      <c r="C2412" s="12" t="s">
        <v>2318</v>
      </c>
      <c r="D2412" s="60"/>
      <c r="E2412" s="41" t="str">
        <f t="shared" si="98"/>
        <v>Еще фото</v>
      </c>
      <c r="F2412" s="13" t="s">
        <v>103</v>
      </c>
      <c r="G2412" s="24" t="s">
        <v>1184</v>
      </c>
      <c r="H2412" s="24" t="s">
        <v>741</v>
      </c>
      <c r="I2412" s="24" t="s">
        <v>1185</v>
      </c>
      <c r="J2412" s="14" t="s">
        <v>260</v>
      </c>
      <c r="K2412" s="15" t="s">
        <v>723</v>
      </c>
      <c r="L2412" s="62"/>
      <c r="M2412" s="14"/>
      <c r="N2412" s="14" t="s">
        <v>198</v>
      </c>
      <c r="O2412" s="14"/>
      <c r="P2412" s="15" t="s">
        <v>1457</v>
      </c>
      <c r="Q2412" s="16">
        <v>9599</v>
      </c>
      <c r="R2412" s="17">
        <v>40</v>
      </c>
      <c r="S2412" s="18">
        <v>6623.3099999999995</v>
      </c>
      <c r="T2412" s="19" t="s">
        <v>36</v>
      </c>
      <c r="U2412" s="20" t="s">
        <v>1326</v>
      </c>
      <c r="V2412" s="22">
        <v>42</v>
      </c>
      <c r="W2412" s="22">
        <v>23</v>
      </c>
      <c r="X2412" s="23"/>
    </row>
    <row r="2413" spans="1:24" s="1" customFormat="1" ht="14" customHeight="1" x14ac:dyDescent="0.3">
      <c r="A2413" s="24" t="s">
        <v>23</v>
      </c>
      <c r="B2413" s="24" t="s">
        <v>1523</v>
      </c>
      <c r="C2413" s="12" t="s">
        <v>2318</v>
      </c>
      <c r="D2413" s="60"/>
      <c r="E2413" s="41" t="str">
        <f t="shared" si="98"/>
        <v>Еще фото</v>
      </c>
      <c r="F2413" s="13" t="s">
        <v>103</v>
      </c>
      <c r="G2413" s="24" t="s">
        <v>1184</v>
      </c>
      <c r="H2413" s="24" t="s">
        <v>741</v>
      </c>
      <c r="I2413" s="24" t="s">
        <v>1185</v>
      </c>
      <c r="J2413" s="14" t="s">
        <v>260</v>
      </c>
      <c r="K2413" s="15" t="s">
        <v>723</v>
      </c>
      <c r="L2413" s="62"/>
      <c r="M2413" s="14"/>
      <c r="N2413" s="14" t="s">
        <v>198</v>
      </c>
      <c r="O2413" s="14"/>
      <c r="P2413" s="15" t="s">
        <v>1457</v>
      </c>
      <c r="Q2413" s="16">
        <v>9599</v>
      </c>
      <c r="R2413" s="17">
        <v>40</v>
      </c>
      <c r="S2413" s="18">
        <v>6623.3099999999995</v>
      </c>
      <c r="T2413" s="19" t="s">
        <v>36</v>
      </c>
      <c r="U2413" s="20" t="s">
        <v>1347</v>
      </c>
      <c r="V2413" s="22">
        <v>43</v>
      </c>
      <c r="W2413" s="22">
        <v>5</v>
      </c>
      <c r="X2413" s="23"/>
    </row>
    <row r="2414" spans="1:24" s="1" customFormat="1" ht="14" customHeight="1" x14ac:dyDescent="0.3">
      <c r="A2414" s="24" t="s">
        <v>23</v>
      </c>
      <c r="B2414" s="24" t="s">
        <v>1523</v>
      </c>
      <c r="C2414" s="12" t="s">
        <v>2318</v>
      </c>
      <c r="D2414" s="60"/>
      <c r="E2414" s="41" t="str">
        <f t="shared" si="98"/>
        <v>Еще фото</v>
      </c>
      <c r="F2414" s="13" t="s">
        <v>103</v>
      </c>
      <c r="G2414" s="24" t="s">
        <v>1184</v>
      </c>
      <c r="H2414" s="24" t="s">
        <v>741</v>
      </c>
      <c r="I2414" s="24" t="s">
        <v>1185</v>
      </c>
      <c r="J2414" s="14" t="s">
        <v>260</v>
      </c>
      <c r="K2414" s="15" t="s">
        <v>723</v>
      </c>
      <c r="L2414" s="62"/>
      <c r="M2414" s="14"/>
      <c r="N2414" s="14" t="s">
        <v>198</v>
      </c>
      <c r="O2414" s="14"/>
      <c r="P2414" s="15" t="s">
        <v>1457</v>
      </c>
      <c r="Q2414" s="16">
        <v>9599</v>
      </c>
      <c r="R2414" s="17">
        <v>40</v>
      </c>
      <c r="S2414" s="18">
        <v>6623.3099999999995</v>
      </c>
      <c r="T2414" s="19" t="s">
        <v>36</v>
      </c>
      <c r="U2414" s="20" t="s">
        <v>1348</v>
      </c>
      <c r="V2414" s="34">
        <v>43.5</v>
      </c>
      <c r="W2414" s="22">
        <v>24</v>
      </c>
      <c r="X2414" s="23"/>
    </row>
    <row r="2415" spans="1:24" s="1" customFormat="1" ht="14" customHeight="1" x14ac:dyDescent="0.3">
      <c r="A2415" s="24" t="s">
        <v>23</v>
      </c>
      <c r="B2415" s="24" t="s">
        <v>1523</v>
      </c>
      <c r="C2415" s="12" t="s">
        <v>2318</v>
      </c>
      <c r="D2415" s="60"/>
      <c r="E2415" s="41" t="str">
        <f t="shared" si="98"/>
        <v>Еще фото</v>
      </c>
      <c r="F2415" s="13" t="s">
        <v>103</v>
      </c>
      <c r="G2415" s="24" t="s">
        <v>1184</v>
      </c>
      <c r="H2415" s="24" t="s">
        <v>741</v>
      </c>
      <c r="I2415" s="24" t="s">
        <v>1185</v>
      </c>
      <c r="J2415" s="14" t="s">
        <v>260</v>
      </c>
      <c r="K2415" s="15" t="s">
        <v>723</v>
      </c>
      <c r="L2415" s="62"/>
      <c r="M2415" s="14"/>
      <c r="N2415" s="14" t="s">
        <v>198</v>
      </c>
      <c r="O2415" s="14"/>
      <c r="P2415" s="15" t="s">
        <v>1457</v>
      </c>
      <c r="Q2415" s="16">
        <v>9599</v>
      </c>
      <c r="R2415" s="17">
        <v>40</v>
      </c>
      <c r="S2415" s="18">
        <v>6623.3099999999995</v>
      </c>
      <c r="T2415" s="19" t="s">
        <v>36</v>
      </c>
      <c r="U2415" s="20" t="s">
        <v>1327</v>
      </c>
      <c r="V2415" s="22">
        <v>44</v>
      </c>
      <c r="W2415" s="22">
        <v>12</v>
      </c>
      <c r="X2415" s="23"/>
    </row>
    <row r="2416" spans="1:24" s="1" customFormat="1" ht="17" customHeight="1" x14ac:dyDescent="0.3">
      <c r="A2416" s="24" t="s">
        <v>23</v>
      </c>
      <c r="B2416" s="24" t="s">
        <v>1523</v>
      </c>
      <c r="C2416" s="12" t="s">
        <v>2318</v>
      </c>
      <c r="D2416" s="61"/>
      <c r="E2416" s="41" t="str">
        <f t="shared" si="98"/>
        <v>Еще фото</v>
      </c>
      <c r="F2416" s="13" t="s">
        <v>103</v>
      </c>
      <c r="G2416" s="24" t="s">
        <v>1184</v>
      </c>
      <c r="H2416" s="24" t="s">
        <v>741</v>
      </c>
      <c r="I2416" s="24" t="s">
        <v>1185</v>
      </c>
      <c r="J2416" s="14" t="s">
        <v>260</v>
      </c>
      <c r="K2416" s="15" t="s">
        <v>723</v>
      </c>
      <c r="L2416" s="58"/>
      <c r="M2416" s="14"/>
      <c r="N2416" s="14" t="s">
        <v>198</v>
      </c>
      <c r="O2416" s="14"/>
      <c r="P2416" s="15" t="s">
        <v>1457</v>
      </c>
      <c r="Q2416" s="16">
        <v>9599</v>
      </c>
      <c r="R2416" s="17">
        <v>40</v>
      </c>
      <c r="S2416" s="18">
        <v>6623.3099999999995</v>
      </c>
      <c r="T2416" s="19" t="s">
        <v>36</v>
      </c>
      <c r="U2416" s="20" t="s">
        <v>1349</v>
      </c>
      <c r="V2416" s="34">
        <v>44.5</v>
      </c>
      <c r="W2416" s="22">
        <v>21</v>
      </c>
      <c r="X2416" s="23"/>
    </row>
    <row r="2417" spans="1:24" s="1" customFormat="1" ht="14" customHeight="1" x14ac:dyDescent="0.3">
      <c r="A2417" s="11" t="s">
        <v>23</v>
      </c>
      <c r="B2417" s="11" t="s">
        <v>2319</v>
      </c>
      <c r="C2417" s="12" t="s">
        <v>2320</v>
      </c>
      <c r="D2417" s="59"/>
      <c r="E2417" s="41" t="str">
        <f t="shared" ref="E2417:E2423" si="99">HYPERLINK("https://www.google.ru/search?q=3028569-100&amp;newwindow=1&amp;tbm=isch","Еще фото")</f>
        <v>Еще фото</v>
      </c>
      <c r="F2417" s="13" t="s">
        <v>103</v>
      </c>
      <c r="G2417" s="11" t="s">
        <v>1184</v>
      </c>
      <c r="H2417" s="11" t="s">
        <v>741</v>
      </c>
      <c r="I2417" s="14" t="s">
        <v>1185</v>
      </c>
      <c r="J2417" s="14" t="s">
        <v>29</v>
      </c>
      <c r="K2417" s="15" t="s">
        <v>59</v>
      </c>
      <c r="L2417" s="57" t="s">
        <v>2321</v>
      </c>
      <c r="M2417" s="14"/>
      <c r="N2417" s="14" t="s">
        <v>84</v>
      </c>
      <c r="O2417" s="14"/>
      <c r="P2417" s="15" t="s">
        <v>2295</v>
      </c>
      <c r="Q2417" s="16">
        <v>8899</v>
      </c>
      <c r="R2417" s="17">
        <v>40</v>
      </c>
      <c r="S2417" s="18">
        <v>6140.3099999999995</v>
      </c>
      <c r="T2417" s="19" t="s">
        <v>36</v>
      </c>
      <c r="U2417" s="20" t="s">
        <v>1203</v>
      </c>
      <c r="V2417" s="22">
        <v>36</v>
      </c>
      <c r="W2417" s="22">
        <v>9</v>
      </c>
      <c r="X2417" s="23"/>
    </row>
    <row r="2418" spans="1:24" s="1" customFormat="1" ht="14" customHeight="1" x14ac:dyDescent="0.3">
      <c r="A2418" s="24" t="s">
        <v>23</v>
      </c>
      <c r="B2418" s="24" t="s">
        <v>2319</v>
      </c>
      <c r="C2418" s="12" t="s">
        <v>2320</v>
      </c>
      <c r="D2418" s="60"/>
      <c r="E2418" s="41" t="str">
        <f t="shared" si="99"/>
        <v>Еще фото</v>
      </c>
      <c r="F2418" s="13" t="s">
        <v>103</v>
      </c>
      <c r="G2418" s="24" t="s">
        <v>1184</v>
      </c>
      <c r="H2418" s="24" t="s">
        <v>741</v>
      </c>
      <c r="I2418" s="24" t="s">
        <v>1185</v>
      </c>
      <c r="J2418" s="14" t="s">
        <v>29</v>
      </c>
      <c r="K2418" s="15" t="s">
        <v>59</v>
      </c>
      <c r="L2418" s="62"/>
      <c r="M2418" s="14"/>
      <c r="N2418" s="14" t="s">
        <v>84</v>
      </c>
      <c r="O2418" s="14"/>
      <c r="P2418" s="15" t="s">
        <v>2295</v>
      </c>
      <c r="Q2418" s="16">
        <v>8899</v>
      </c>
      <c r="R2418" s="17">
        <v>40</v>
      </c>
      <c r="S2418" s="18">
        <v>6140.3099999999995</v>
      </c>
      <c r="T2418" s="19" t="s">
        <v>36</v>
      </c>
      <c r="U2418" s="20" t="s">
        <v>1196</v>
      </c>
      <c r="V2418" s="34">
        <v>36.5</v>
      </c>
      <c r="W2418" s="22">
        <v>12</v>
      </c>
      <c r="X2418" s="23"/>
    </row>
    <row r="2419" spans="1:24" s="1" customFormat="1" ht="14" customHeight="1" x14ac:dyDescent="0.3">
      <c r="A2419" s="24" t="s">
        <v>23</v>
      </c>
      <c r="B2419" s="24" t="s">
        <v>2319</v>
      </c>
      <c r="C2419" s="12" t="s">
        <v>2320</v>
      </c>
      <c r="D2419" s="60"/>
      <c r="E2419" s="41" t="str">
        <f t="shared" si="99"/>
        <v>Еще фото</v>
      </c>
      <c r="F2419" s="13" t="s">
        <v>103</v>
      </c>
      <c r="G2419" s="24" t="s">
        <v>1184</v>
      </c>
      <c r="H2419" s="24" t="s">
        <v>741</v>
      </c>
      <c r="I2419" s="24" t="s">
        <v>1185</v>
      </c>
      <c r="J2419" s="14" t="s">
        <v>29</v>
      </c>
      <c r="K2419" s="15" t="s">
        <v>59</v>
      </c>
      <c r="L2419" s="62"/>
      <c r="M2419" s="14"/>
      <c r="N2419" s="14" t="s">
        <v>84</v>
      </c>
      <c r="O2419" s="14"/>
      <c r="P2419" s="15" t="s">
        <v>2295</v>
      </c>
      <c r="Q2419" s="16">
        <v>8899</v>
      </c>
      <c r="R2419" s="17">
        <v>40</v>
      </c>
      <c r="S2419" s="18">
        <v>6140.3099999999995</v>
      </c>
      <c r="T2419" s="19" t="s">
        <v>36</v>
      </c>
      <c r="U2419" s="20" t="s">
        <v>746</v>
      </c>
      <c r="V2419" s="22">
        <v>37</v>
      </c>
      <c r="W2419" s="22">
        <v>18</v>
      </c>
      <c r="X2419" s="23"/>
    </row>
    <row r="2420" spans="1:24" s="1" customFormat="1" ht="14" customHeight="1" x14ac:dyDescent="0.3">
      <c r="A2420" s="24" t="s">
        <v>23</v>
      </c>
      <c r="B2420" s="24" t="s">
        <v>2319</v>
      </c>
      <c r="C2420" s="12" t="s">
        <v>2320</v>
      </c>
      <c r="D2420" s="60"/>
      <c r="E2420" s="41" t="str">
        <f t="shared" si="99"/>
        <v>Еще фото</v>
      </c>
      <c r="F2420" s="13" t="s">
        <v>103</v>
      </c>
      <c r="G2420" s="24" t="s">
        <v>1184</v>
      </c>
      <c r="H2420" s="24" t="s">
        <v>741</v>
      </c>
      <c r="I2420" s="24" t="s">
        <v>1185</v>
      </c>
      <c r="J2420" s="14" t="s">
        <v>29</v>
      </c>
      <c r="K2420" s="15" t="s">
        <v>59</v>
      </c>
      <c r="L2420" s="62"/>
      <c r="M2420" s="14"/>
      <c r="N2420" s="14" t="s">
        <v>84</v>
      </c>
      <c r="O2420" s="14"/>
      <c r="P2420" s="15" t="s">
        <v>2295</v>
      </c>
      <c r="Q2420" s="16">
        <v>8899</v>
      </c>
      <c r="R2420" s="17">
        <v>40</v>
      </c>
      <c r="S2420" s="18">
        <v>6140.3099999999995</v>
      </c>
      <c r="T2420" s="19" t="s">
        <v>36</v>
      </c>
      <c r="U2420" s="20" t="s">
        <v>747</v>
      </c>
      <c r="V2420" s="34">
        <v>37.5</v>
      </c>
      <c r="W2420" s="22">
        <v>18</v>
      </c>
      <c r="X2420" s="23"/>
    </row>
    <row r="2421" spans="1:24" s="1" customFormat="1" ht="14" customHeight="1" x14ac:dyDescent="0.3">
      <c r="A2421" s="24" t="s">
        <v>23</v>
      </c>
      <c r="B2421" s="24" t="s">
        <v>2319</v>
      </c>
      <c r="C2421" s="12" t="s">
        <v>2320</v>
      </c>
      <c r="D2421" s="60"/>
      <c r="E2421" s="41" t="str">
        <f t="shared" si="99"/>
        <v>Еще фото</v>
      </c>
      <c r="F2421" s="13" t="s">
        <v>103</v>
      </c>
      <c r="G2421" s="24" t="s">
        <v>1184</v>
      </c>
      <c r="H2421" s="24" t="s">
        <v>741</v>
      </c>
      <c r="I2421" s="24" t="s">
        <v>1185</v>
      </c>
      <c r="J2421" s="14" t="s">
        <v>29</v>
      </c>
      <c r="K2421" s="15" t="s">
        <v>59</v>
      </c>
      <c r="L2421" s="62"/>
      <c r="M2421" s="14"/>
      <c r="N2421" s="14" t="s">
        <v>84</v>
      </c>
      <c r="O2421" s="14"/>
      <c r="P2421" s="15" t="s">
        <v>2295</v>
      </c>
      <c r="Q2421" s="16">
        <v>8899</v>
      </c>
      <c r="R2421" s="17">
        <v>40</v>
      </c>
      <c r="S2421" s="18">
        <v>6140.3099999999995</v>
      </c>
      <c r="T2421" s="19" t="s">
        <v>36</v>
      </c>
      <c r="U2421" s="20" t="s">
        <v>748</v>
      </c>
      <c r="V2421" s="22">
        <v>38</v>
      </c>
      <c r="W2421" s="22">
        <v>16</v>
      </c>
      <c r="X2421" s="23"/>
    </row>
    <row r="2422" spans="1:24" s="1" customFormat="1" ht="14" customHeight="1" x14ac:dyDescent="0.3">
      <c r="A2422" s="24" t="s">
        <v>23</v>
      </c>
      <c r="B2422" s="24" t="s">
        <v>2319</v>
      </c>
      <c r="C2422" s="12" t="s">
        <v>2320</v>
      </c>
      <c r="D2422" s="60"/>
      <c r="E2422" s="41" t="str">
        <f t="shared" si="99"/>
        <v>Еще фото</v>
      </c>
      <c r="F2422" s="13" t="s">
        <v>103</v>
      </c>
      <c r="G2422" s="24" t="s">
        <v>1184</v>
      </c>
      <c r="H2422" s="24" t="s">
        <v>741</v>
      </c>
      <c r="I2422" s="24" t="s">
        <v>1185</v>
      </c>
      <c r="J2422" s="14" t="s">
        <v>29</v>
      </c>
      <c r="K2422" s="15" t="s">
        <v>59</v>
      </c>
      <c r="L2422" s="62"/>
      <c r="M2422" s="14"/>
      <c r="N2422" s="14" t="s">
        <v>84</v>
      </c>
      <c r="O2422" s="14"/>
      <c r="P2422" s="15" t="s">
        <v>2295</v>
      </c>
      <c r="Q2422" s="16">
        <v>8899</v>
      </c>
      <c r="R2422" s="17">
        <v>40</v>
      </c>
      <c r="S2422" s="18">
        <v>6140.3099999999995</v>
      </c>
      <c r="T2422" s="19" t="s">
        <v>36</v>
      </c>
      <c r="U2422" s="20" t="s">
        <v>749</v>
      </c>
      <c r="V2422" s="22">
        <v>39</v>
      </c>
      <c r="W2422" s="22">
        <v>12</v>
      </c>
      <c r="X2422" s="23"/>
    </row>
    <row r="2423" spans="1:24" s="1" customFormat="1" ht="17" customHeight="1" x14ac:dyDescent="0.3">
      <c r="A2423" s="24" t="s">
        <v>23</v>
      </c>
      <c r="B2423" s="24" t="s">
        <v>2319</v>
      </c>
      <c r="C2423" s="12" t="s">
        <v>2320</v>
      </c>
      <c r="D2423" s="61"/>
      <c r="E2423" s="41" t="str">
        <f t="shared" si="99"/>
        <v>Еще фото</v>
      </c>
      <c r="F2423" s="13" t="s">
        <v>103</v>
      </c>
      <c r="G2423" s="24" t="s">
        <v>1184</v>
      </c>
      <c r="H2423" s="24" t="s">
        <v>741</v>
      </c>
      <c r="I2423" s="24" t="s">
        <v>1185</v>
      </c>
      <c r="J2423" s="14" t="s">
        <v>29</v>
      </c>
      <c r="K2423" s="15" t="s">
        <v>59</v>
      </c>
      <c r="L2423" s="58"/>
      <c r="M2423" s="14"/>
      <c r="N2423" s="14" t="s">
        <v>84</v>
      </c>
      <c r="O2423" s="14"/>
      <c r="P2423" s="15" t="s">
        <v>2295</v>
      </c>
      <c r="Q2423" s="16">
        <v>8899</v>
      </c>
      <c r="R2423" s="17">
        <v>40</v>
      </c>
      <c r="S2423" s="18">
        <v>6140.3099999999995</v>
      </c>
      <c r="T2423" s="19" t="s">
        <v>36</v>
      </c>
      <c r="U2423" s="20" t="s">
        <v>750</v>
      </c>
      <c r="V2423" s="34">
        <v>39.5</v>
      </c>
      <c r="W2423" s="22">
        <v>13</v>
      </c>
      <c r="X2423" s="23"/>
    </row>
    <row r="2424" spans="1:24" s="1" customFormat="1" ht="14" customHeight="1" x14ac:dyDescent="0.3">
      <c r="A2424" s="11" t="s">
        <v>23</v>
      </c>
      <c r="B2424" s="11" t="s">
        <v>2322</v>
      </c>
      <c r="C2424" s="12" t="s">
        <v>2323</v>
      </c>
      <c r="D2424" s="59"/>
      <c r="E2424" s="41" t="str">
        <f t="shared" ref="E2424:E2430" si="100">HYPERLINK("https://www.google.ru/search?q=3028657-001&amp;newwindow=1&amp;tbm=isch","Еще фото")</f>
        <v>Еще фото</v>
      </c>
      <c r="F2424" s="13" t="s">
        <v>152</v>
      </c>
      <c r="G2424" s="11" t="s">
        <v>1184</v>
      </c>
      <c r="H2424" s="11" t="s">
        <v>741</v>
      </c>
      <c r="I2424" s="14" t="s">
        <v>1185</v>
      </c>
      <c r="J2424" s="14" t="s">
        <v>29</v>
      </c>
      <c r="K2424" s="15" t="s">
        <v>30</v>
      </c>
      <c r="L2424" s="57" t="s">
        <v>2324</v>
      </c>
      <c r="M2424" s="14"/>
      <c r="N2424" s="14" t="s">
        <v>33</v>
      </c>
      <c r="O2424" s="14"/>
      <c r="P2424" s="15" t="s">
        <v>1718</v>
      </c>
      <c r="Q2424" s="16">
        <v>13899</v>
      </c>
      <c r="R2424" s="17">
        <v>40</v>
      </c>
      <c r="S2424" s="18">
        <v>9590.31</v>
      </c>
      <c r="T2424" s="19" t="s">
        <v>36</v>
      </c>
      <c r="U2424" s="20" t="s">
        <v>746</v>
      </c>
      <c r="V2424" s="22">
        <v>39</v>
      </c>
      <c r="W2424" s="22">
        <v>7</v>
      </c>
      <c r="X2424" s="23"/>
    </row>
    <row r="2425" spans="1:24" s="1" customFormat="1" ht="14" customHeight="1" x14ac:dyDescent="0.3">
      <c r="A2425" s="24" t="s">
        <v>23</v>
      </c>
      <c r="B2425" s="24" t="s">
        <v>2322</v>
      </c>
      <c r="C2425" s="12" t="s">
        <v>2323</v>
      </c>
      <c r="D2425" s="60"/>
      <c r="E2425" s="41" t="str">
        <f t="shared" si="100"/>
        <v>Еще фото</v>
      </c>
      <c r="F2425" s="13" t="s">
        <v>152</v>
      </c>
      <c r="G2425" s="24" t="s">
        <v>1184</v>
      </c>
      <c r="H2425" s="24" t="s">
        <v>741</v>
      </c>
      <c r="I2425" s="24" t="s">
        <v>1185</v>
      </c>
      <c r="J2425" s="14" t="s">
        <v>29</v>
      </c>
      <c r="K2425" s="15" t="s">
        <v>30</v>
      </c>
      <c r="L2425" s="62"/>
      <c r="M2425" s="14"/>
      <c r="N2425" s="14" t="s">
        <v>33</v>
      </c>
      <c r="O2425" s="14"/>
      <c r="P2425" s="15" t="s">
        <v>1718</v>
      </c>
      <c r="Q2425" s="16">
        <v>13899</v>
      </c>
      <c r="R2425" s="17">
        <v>40</v>
      </c>
      <c r="S2425" s="18">
        <v>9590.31</v>
      </c>
      <c r="T2425" s="19" t="s">
        <v>36</v>
      </c>
      <c r="U2425" s="20" t="s">
        <v>747</v>
      </c>
      <c r="V2425" s="34">
        <v>39.5</v>
      </c>
      <c r="W2425" s="22">
        <v>14</v>
      </c>
      <c r="X2425" s="23"/>
    </row>
    <row r="2426" spans="1:24" s="1" customFormat="1" ht="14" customHeight="1" x14ac:dyDescent="0.3">
      <c r="A2426" s="24" t="s">
        <v>23</v>
      </c>
      <c r="B2426" s="24" t="s">
        <v>2322</v>
      </c>
      <c r="C2426" s="12" t="s">
        <v>2323</v>
      </c>
      <c r="D2426" s="60"/>
      <c r="E2426" s="41" t="str">
        <f t="shared" si="100"/>
        <v>Еще фото</v>
      </c>
      <c r="F2426" s="13" t="s">
        <v>152</v>
      </c>
      <c r="G2426" s="24" t="s">
        <v>1184</v>
      </c>
      <c r="H2426" s="24" t="s">
        <v>741</v>
      </c>
      <c r="I2426" s="24" t="s">
        <v>1185</v>
      </c>
      <c r="J2426" s="14" t="s">
        <v>29</v>
      </c>
      <c r="K2426" s="15" t="s">
        <v>30</v>
      </c>
      <c r="L2426" s="62"/>
      <c r="M2426" s="14"/>
      <c r="N2426" s="14" t="s">
        <v>33</v>
      </c>
      <c r="O2426" s="14"/>
      <c r="P2426" s="15" t="s">
        <v>1718</v>
      </c>
      <c r="Q2426" s="16">
        <v>13899</v>
      </c>
      <c r="R2426" s="17">
        <v>40</v>
      </c>
      <c r="S2426" s="18">
        <v>9590.31</v>
      </c>
      <c r="T2426" s="19" t="s">
        <v>36</v>
      </c>
      <c r="U2426" s="20" t="s">
        <v>749</v>
      </c>
      <c r="V2426" s="22">
        <v>41</v>
      </c>
      <c r="W2426" s="22">
        <v>33</v>
      </c>
      <c r="X2426" s="23"/>
    </row>
    <row r="2427" spans="1:24" s="1" customFormat="1" ht="14" customHeight="1" x14ac:dyDescent="0.3">
      <c r="A2427" s="24" t="s">
        <v>23</v>
      </c>
      <c r="B2427" s="24" t="s">
        <v>2322</v>
      </c>
      <c r="C2427" s="12" t="s">
        <v>2323</v>
      </c>
      <c r="D2427" s="60"/>
      <c r="E2427" s="41" t="str">
        <f t="shared" si="100"/>
        <v>Еще фото</v>
      </c>
      <c r="F2427" s="13" t="s">
        <v>152</v>
      </c>
      <c r="G2427" s="24" t="s">
        <v>1184</v>
      </c>
      <c r="H2427" s="24" t="s">
        <v>741</v>
      </c>
      <c r="I2427" s="24" t="s">
        <v>1185</v>
      </c>
      <c r="J2427" s="14" t="s">
        <v>29</v>
      </c>
      <c r="K2427" s="15" t="s">
        <v>30</v>
      </c>
      <c r="L2427" s="62"/>
      <c r="M2427" s="14"/>
      <c r="N2427" s="14" t="s">
        <v>33</v>
      </c>
      <c r="O2427" s="14"/>
      <c r="P2427" s="15" t="s">
        <v>1718</v>
      </c>
      <c r="Q2427" s="16">
        <v>13899</v>
      </c>
      <c r="R2427" s="17">
        <v>40</v>
      </c>
      <c r="S2427" s="18">
        <v>9590.31</v>
      </c>
      <c r="T2427" s="19" t="s">
        <v>36</v>
      </c>
      <c r="U2427" s="20" t="s">
        <v>750</v>
      </c>
      <c r="V2427" s="34">
        <v>41.5</v>
      </c>
      <c r="W2427" s="22">
        <v>11</v>
      </c>
      <c r="X2427" s="23"/>
    </row>
    <row r="2428" spans="1:24" s="1" customFormat="1" ht="14" customHeight="1" x14ac:dyDescent="0.3">
      <c r="A2428" s="24" t="s">
        <v>23</v>
      </c>
      <c r="B2428" s="24" t="s">
        <v>2322</v>
      </c>
      <c r="C2428" s="12" t="s">
        <v>2323</v>
      </c>
      <c r="D2428" s="60"/>
      <c r="E2428" s="41" t="str">
        <f t="shared" si="100"/>
        <v>Еще фото</v>
      </c>
      <c r="F2428" s="13" t="s">
        <v>152</v>
      </c>
      <c r="G2428" s="24" t="s">
        <v>1184</v>
      </c>
      <c r="H2428" s="24" t="s">
        <v>741</v>
      </c>
      <c r="I2428" s="24" t="s">
        <v>1185</v>
      </c>
      <c r="J2428" s="14" t="s">
        <v>29</v>
      </c>
      <c r="K2428" s="15" t="s">
        <v>30</v>
      </c>
      <c r="L2428" s="62"/>
      <c r="M2428" s="14"/>
      <c r="N2428" s="14" t="s">
        <v>33</v>
      </c>
      <c r="O2428" s="14"/>
      <c r="P2428" s="15" t="s">
        <v>1718</v>
      </c>
      <c r="Q2428" s="16">
        <v>13899</v>
      </c>
      <c r="R2428" s="17">
        <v>40</v>
      </c>
      <c r="S2428" s="18">
        <v>9590.31</v>
      </c>
      <c r="T2428" s="19" t="s">
        <v>36</v>
      </c>
      <c r="U2428" s="20" t="s">
        <v>752</v>
      </c>
      <c r="V2428" s="22">
        <v>43</v>
      </c>
      <c r="W2428" s="22">
        <v>24</v>
      </c>
      <c r="X2428" s="23"/>
    </row>
    <row r="2429" spans="1:24" s="1" customFormat="1" ht="14" customHeight="1" x14ac:dyDescent="0.3">
      <c r="A2429" s="24" t="s">
        <v>23</v>
      </c>
      <c r="B2429" s="24" t="s">
        <v>2322</v>
      </c>
      <c r="C2429" s="12" t="s">
        <v>2323</v>
      </c>
      <c r="D2429" s="60"/>
      <c r="E2429" s="41" t="str">
        <f t="shared" si="100"/>
        <v>Еще фото</v>
      </c>
      <c r="F2429" s="13" t="s">
        <v>152</v>
      </c>
      <c r="G2429" s="24" t="s">
        <v>1184</v>
      </c>
      <c r="H2429" s="24" t="s">
        <v>741</v>
      </c>
      <c r="I2429" s="24" t="s">
        <v>1185</v>
      </c>
      <c r="J2429" s="14" t="s">
        <v>29</v>
      </c>
      <c r="K2429" s="15" t="s">
        <v>30</v>
      </c>
      <c r="L2429" s="62"/>
      <c r="M2429" s="14"/>
      <c r="N2429" s="14" t="s">
        <v>33</v>
      </c>
      <c r="O2429" s="14"/>
      <c r="P2429" s="15" t="s">
        <v>1718</v>
      </c>
      <c r="Q2429" s="16">
        <v>13899</v>
      </c>
      <c r="R2429" s="17">
        <v>40</v>
      </c>
      <c r="S2429" s="18">
        <v>9590.31</v>
      </c>
      <c r="T2429" s="19" t="s">
        <v>36</v>
      </c>
      <c r="U2429" s="20" t="s">
        <v>753</v>
      </c>
      <c r="V2429" s="34">
        <v>43.5</v>
      </c>
      <c r="W2429" s="22">
        <v>1</v>
      </c>
      <c r="X2429" s="23"/>
    </row>
    <row r="2430" spans="1:24" s="1" customFormat="1" ht="17" customHeight="1" x14ac:dyDescent="0.3">
      <c r="A2430" s="24" t="s">
        <v>23</v>
      </c>
      <c r="B2430" s="24" t="s">
        <v>2322</v>
      </c>
      <c r="C2430" s="12" t="s">
        <v>2323</v>
      </c>
      <c r="D2430" s="61"/>
      <c r="E2430" s="41" t="str">
        <f t="shared" si="100"/>
        <v>Еще фото</v>
      </c>
      <c r="F2430" s="13" t="s">
        <v>152</v>
      </c>
      <c r="G2430" s="24" t="s">
        <v>1184</v>
      </c>
      <c r="H2430" s="24" t="s">
        <v>741</v>
      </c>
      <c r="I2430" s="24" t="s">
        <v>1185</v>
      </c>
      <c r="J2430" s="14" t="s">
        <v>29</v>
      </c>
      <c r="K2430" s="15" t="s">
        <v>30</v>
      </c>
      <c r="L2430" s="58"/>
      <c r="M2430" s="14"/>
      <c r="N2430" s="14" t="s">
        <v>33</v>
      </c>
      <c r="O2430" s="14"/>
      <c r="P2430" s="15" t="s">
        <v>1718</v>
      </c>
      <c r="Q2430" s="16">
        <v>13899</v>
      </c>
      <c r="R2430" s="17">
        <v>40</v>
      </c>
      <c r="S2430" s="18">
        <v>9590.31</v>
      </c>
      <c r="T2430" s="19" t="s">
        <v>36</v>
      </c>
      <c r="U2430" s="20" t="s">
        <v>755</v>
      </c>
      <c r="V2430" s="34">
        <v>44.5</v>
      </c>
      <c r="W2430" s="22">
        <v>21</v>
      </c>
      <c r="X2430" s="23"/>
    </row>
    <row r="2431" spans="1:24" s="1" customFormat="1" ht="26" customHeight="1" x14ac:dyDescent="0.3">
      <c r="A2431" s="11" t="s">
        <v>23</v>
      </c>
      <c r="B2431" s="11" t="s">
        <v>2322</v>
      </c>
      <c r="C2431" s="12" t="s">
        <v>2325</v>
      </c>
      <c r="D2431" s="59"/>
      <c r="E2431" s="41" t="str">
        <f>HYPERLINK("https://www.google.ru/search?q=3028657-002&amp;newwindow=1&amp;tbm=isch","Еще фото")</f>
        <v>Еще фото</v>
      </c>
      <c r="F2431" s="13" t="s">
        <v>103</v>
      </c>
      <c r="G2431" s="11" t="s">
        <v>1184</v>
      </c>
      <c r="H2431" s="11" t="s">
        <v>741</v>
      </c>
      <c r="I2431" s="14" t="s">
        <v>1185</v>
      </c>
      <c r="J2431" s="14" t="s">
        <v>29</v>
      </c>
      <c r="K2431" s="15" t="s">
        <v>30</v>
      </c>
      <c r="L2431" s="57" t="s">
        <v>2326</v>
      </c>
      <c r="M2431" s="14"/>
      <c r="N2431" s="14" t="s">
        <v>33</v>
      </c>
      <c r="O2431" s="14"/>
      <c r="P2431" s="15" t="s">
        <v>2304</v>
      </c>
      <c r="Q2431" s="16">
        <v>12099</v>
      </c>
      <c r="R2431" s="17">
        <v>40</v>
      </c>
      <c r="S2431" s="18">
        <v>8348.31</v>
      </c>
      <c r="T2431" s="19" t="s">
        <v>36</v>
      </c>
      <c r="U2431" s="20" t="s">
        <v>747</v>
      </c>
      <c r="V2431" s="34">
        <v>39.5</v>
      </c>
      <c r="W2431" s="22">
        <v>1</v>
      </c>
      <c r="X2431" s="23"/>
    </row>
    <row r="2432" spans="1:24" s="1" customFormat="1" ht="26" customHeight="1" x14ac:dyDescent="0.3">
      <c r="A2432" s="24" t="s">
        <v>23</v>
      </c>
      <c r="B2432" s="24" t="s">
        <v>2322</v>
      </c>
      <c r="C2432" s="12" t="s">
        <v>2325</v>
      </c>
      <c r="D2432" s="60"/>
      <c r="E2432" s="41" t="str">
        <f>HYPERLINK("https://www.google.ru/search?q=3028657-002&amp;newwindow=1&amp;tbm=isch","Еще фото")</f>
        <v>Еще фото</v>
      </c>
      <c r="F2432" s="13" t="s">
        <v>103</v>
      </c>
      <c r="G2432" s="24" t="s">
        <v>1184</v>
      </c>
      <c r="H2432" s="24" t="s">
        <v>741</v>
      </c>
      <c r="I2432" s="24" t="s">
        <v>1185</v>
      </c>
      <c r="J2432" s="14" t="s">
        <v>29</v>
      </c>
      <c r="K2432" s="15" t="s">
        <v>30</v>
      </c>
      <c r="L2432" s="62"/>
      <c r="M2432" s="14"/>
      <c r="N2432" s="14" t="s">
        <v>33</v>
      </c>
      <c r="O2432" s="14"/>
      <c r="P2432" s="15" t="s">
        <v>2304</v>
      </c>
      <c r="Q2432" s="16">
        <v>12099</v>
      </c>
      <c r="R2432" s="17">
        <v>40</v>
      </c>
      <c r="S2432" s="18">
        <v>8348.31</v>
      </c>
      <c r="T2432" s="19" t="s">
        <v>36</v>
      </c>
      <c r="U2432" s="20" t="s">
        <v>749</v>
      </c>
      <c r="V2432" s="22">
        <v>41</v>
      </c>
      <c r="W2432" s="22">
        <v>6</v>
      </c>
      <c r="X2432" s="23"/>
    </row>
    <row r="2433" spans="1:24" s="1" customFormat="1" ht="26" customHeight="1" x14ac:dyDescent="0.3">
      <c r="A2433" s="24" t="s">
        <v>23</v>
      </c>
      <c r="B2433" s="24" t="s">
        <v>2322</v>
      </c>
      <c r="C2433" s="12" t="s">
        <v>2325</v>
      </c>
      <c r="D2433" s="60"/>
      <c r="E2433" s="41" t="str">
        <f>HYPERLINK("https://www.google.ru/search?q=3028657-002&amp;newwindow=1&amp;tbm=isch","Еще фото")</f>
        <v>Еще фото</v>
      </c>
      <c r="F2433" s="13" t="s">
        <v>103</v>
      </c>
      <c r="G2433" s="24" t="s">
        <v>1184</v>
      </c>
      <c r="H2433" s="24" t="s">
        <v>741</v>
      </c>
      <c r="I2433" s="24" t="s">
        <v>1185</v>
      </c>
      <c r="J2433" s="14" t="s">
        <v>29</v>
      </c>
      <c r="K2433" s="15" t="s">
        <v>30</v>
      </c>
      <c r="L2433" s="62"/>
      <c r="M2433" s="14"/>
      <c r="N2433" s="14" t="s">
        <v>33</v>
      </c>
      <c r="O2433" s="14"/>
      <c r="P2433" s="15" t="s">
        <v>2304</v>
      </c>
      <c r="Q2433" s="16">
        <v>12099</v>
      </c>
      <c r="R2433" s="17">
        <v>40</v>
      </c>
      <c r="S2433" s="18">
        <v>8348.31</v>
      </c>
      <c r="T2433" s="19" t="s">
        <v>36</v>
      </c>
      <c r="U2433" s="20" t="s">
        <v>750</v>
      </c>
      <c r="V2433" s="34">
        <v>41.5</v>
      </c>
      <c r="W2433" s="22">
        <v>3</v>
      </c>
      <c r="X2433" s="23"/>
    </row>
    <row r="2434" spans="1:24" s="1" customFormat="1" ht="26" customHeight="1" x14ac:dyDescent="0.3">
      <c r="A2434" s="24" t="s">
        <v>23</v>
      </c>
      <c r="B2434" s="24" t="s">
        <v>2322</v>
      </c>
      <c r="C2434" s="12" t="s">
        <v>2325</v>
      </c>
      <c r="D2434" s="61"/>
      <c r="E2434" s="41" t="str">
        <f>HYPERLINK("https://www.google.ru/search?q=3028657-002&amp;newwindow=1&amp;tbm=isch","Еще фото")</f>
        <v>Еще фото</v>
      </c>
      <c r="F2434" s="13" t="s">
        <v>103</v>
      </c>
      <c r="G2434" s="24" t="s">
        <v>1184</v>
      </c>
      <c r="H2434" s="24" t="s">
        <v>741</v>
      </c>
      <c r="I2434" s="24" t="s">
        <v>1185</v>
      </c>
      <c r="J2434" s="14" t="s">
        <v>29</v>
      </c>
      <c r="K2434" s="15" t="s">
        <v>30</v>
      </c>
      <c r="L2434" s="58"/>
      <c r="M2434" s="14"/>
      <c r="N2434" s="14" t="s">
        <v>33</v>
      </c>
      <c r="O2434" s="14"/>
      <c r="P2434" s="15" t="s">
        <v>2304</v>
      </c>
      <c r="Q2434" s="16">
        <v>12099</v>
      </c>
      <c r="R2434" s="17">
        <v>40</v>
      </c>
      <c r="S2434" s="18">
        <v>8348.31</v>
      </c>
      <c r="T2434" s="19" t="s">
        <v>36</v>
      </c>
      <c r="U2434" s="20" t="s">
        <v>751</v>
      </c>
      <c r="V2434" s="22">
        <v>42</v>
      </c>
      <c r="W2434" s="22">
        <v>2</v>
      </c>
      <c r="X2434" s="23"/>
    </row>
    <row r="2435" spans="1:24" s="1" customFormat="1" ht="26" customHeight="1" x14ac:dyDescent="0.3">
      <c r="A2435" s="11" t="s">
        <v>23</v>
      </c>
      <c r="B2435" s="11" t="s">
        <v>2322</v>
      </c>
      <c r="C2435" s="12" t="s">
        <v>2327</v>
      </c>
      <c r="D2435" s="59"/>
      <c r="E2435" s="41" t="str">
        <f>HYPERLINK("https://www.google.ru/search?q=3028657-003&amp;newwindow=1&amp;tbm=isch","Еще фото")</f>
        <v>Еще фото</v>
      </c>
      <c r="F2435" s="13" t="s">
        <v>103</v>
      </c>
      <c r="G2435" s="11" t="s">
        <v>1184</v>
      </c>
      <c r="H2435" s="11" t="s">
        <v>741</v>
      </c>
      <c r="I2435" s="14" t="s">
        <v>1185</v>
      </c>
      <c r="J2435" s="14" t="s">
        <v>29</v>
      </c>
      <c r="K2435" s="15" t="s">
        <v>30</v>
      </c>
      <c r="L2435" s="57" t="s">
        <v>2328</v>
      </c>
      <c r="M2435" s="14" t="s">
        <v>32</v>
      </c>
      <c r="N2435" s="14" t="s">
        <v>33</v>
      </c>
      <c r="O2435" s="14"/>
      <c r="P2435" s="15" t="s">
        <v>1718</v>
      </c>
      <c r="Q2435" s="16">
        <v>14799</v>
      </c>
      <c r="R2435" s="17">
        <v>40</v>
      </c>
      <c r="S2435" s="18">
        <v>10211.31</v>
      </c>
      <c r="T2435" s="19" t="s">
        <v>36</v>
      </c>
      <c r="U2435" s="20" t="s">
        <v>748</v>
      </c>
      <c r="V2435" s="22">
        <v>40</v>
      </c>
      <c r="W2435" s="22">
        <v>1</v>
      </c>
      <c r="X2435" s="23"/>
    </row>
    <row r="2436" spans="1:24" s="1" customFormat="1" ht="26" customHeight="1" x14ac:dyDescent="0.3">
      <c r="A2436" s="24" t="s">
        <v>23</v>
      </c>
      <c r="B2436" s="24" t="s">
        <v>2322</v>
      </c>
      <c r="C2436" s="12" t="s">
        <v>2327</v>
      </c>
      <c r="D2436" s="60"/>
      <c r="E2436" s="41" t="str">
        <f>HYPERLINK("https://www.google.ru/search?q=3028657-003&amp;newwindow=1&amp;tbm=isch","Еще фото")</f>
        <v>Еще фото</v>
      </c>
      <c r="F2436" s="13" t="s">
        <v>103</v>
      </c>
      <c r="G2436" s="24" t="s">
        <v>1184</v>
      </c>
      <c r="H2436" s="24" t="s">
        <v>741</v>
      </c>
      <c r="I2436" s="24" t="s">
        <v>1185</v>
      </c>
      <c r="J2436" s="14" t="s">
        <v>29</v>
      </c>
      <c r="K2436" s="15" t="s">
        <v>30</v>
      </c>
      <c r="L2436" s="62"/>
      <c r="M2436" s="14" t="s">
        <v>32</v>
      </c>
      <c r="N2436" s="14" t="s">
        <v>33</v>
      </c>
      <c r="O2436" s="14"/>
      <c r="P2436" s="15" t="s">
        <v>1718</v>
      </c>
      <c r="Q2436" s="16">
        <v>14799</v>
      </c>
      <c r="R2436" s="17">
        <v>40</v>
      </c>
      <c r="S2436" s="18">
        <v>10211.31</v>
      </c>
      <c r="T2436" s="19" t="s">
        <v>36</v>
      </c>
      <c r="U2436" s="20" t="s">
        <v>749</v>
      </c>
      <c r="V2436" s="22">
        <v>41</v>
      </c>
      <c r="W2436" s="22">
        <v>1</v>
      </c>
      <c r="X2436" s="23"/>
    </row>
    <row r="2437" spans="1:24" s="1" customFormat="1" ht="26" customHeight="1" x14ac:dyDescent="0.3">
      <c r="A2437" s="24" t="s">
        <v>23</v>
      </c>
      <c r="B2437" s="24" t="s">
        <v>2322</v>
      </c>
      <c r="C2437" s="12" t="s">
        <v>2327</v>
      </c>
      <c r="D2437" s="60"/>
      <c r="E2437" s="41" t="str">
        <f>HYPERLINK("https://www.google.ru/search?q=3028657-003&amp;newwindow=1&amp;tbm=isch","Еще фото")</f>
        <v>Еще фото</v>
      </c>
      <c r="F2437" s="13" t="s">
        <v>103</v>
      </c>
      <c r="G2437" s="24" t="s">
        <v>1184</v>
      </c>
      <c r="H2437" s="24" t="s">
        <v>741</v>
      </c>
      <c r="I2437" s="24" t="s">
        <v>1185</v>
      </c>
      <c r="J2437" s="14" t="s">
        <v>29</v>
      </c>
      <c r="K2437" s="15" t="s">
        <v>30</v>
      </c>
      <c r="L2437" s="62"/>
      <c r="M2437" s="14" t="s">
        <v>32</v>
      </c>
      <c r="N2437" s="14" t="s">
        <v>33</v>
      </c>
      <c r="O2437" s="14"/>
      <c r="P2437" s="15" t="s">
        <v>1718</v>
      </c>
      <c r="Q2437" s="16">
        <v>14799</v>
      </c>
      <c r="R2437" s="17">
        <v>40</v>
      </c>
      <c r="S2437" s="18">
        <v>10211.31</v>
      </c>
      <c r="T2437" s="19" t="s">
        <v>36</v>
      </c>
      <c r="U2437" s="20" t="s">
        <v>752</v>
      </c>
      <c r="V2437" s="22">
        <v>43</v>
      </c>
      <c r="W2437" s="22">
        <v>1</v>
      </c>
      <c r="X2437" s="23"/>
    </row>
    <row r="2438" spans="1:24" s="1" customFormat="1" ht="26" customHeight="1" x14ac:dyDescent="0.3">
      <c r="A2438" s="24" t="s">
        <v>23</v>
      </c>
      <c r="B2438" s="24" t="s">
        <v>2322</v>
      </c>
      <c r="C2438" s="12" t="s">
        <v>2327</v>
      </c>
      <c r="D2438" s="61"/>
      <c r="E2438" s="41" t="str">
        <f>HYPERLINK("https://www.google.ru/search?q=3028657-003&amp;newwindow=1&amp;tbm=isch","Еще фото")</f>
        <v>Еще фото</v>
      </c>
      <c r="F2438" s="13" t="s">
        <v>103</v>
      </c>
      <c r="G2438" s="24" t="s">
        <v>1184</v>
      </c>
      <c r="H2438" s="24" t="s">
        <v>741</v>
      </c>
      <c r="I2438" s="24" t="s">
        <v>1185</v>
      </c>
      <c r="J2438" s="14" t="s">
        <v>29</v>
      </c>
      <c r="K2438" s="15" t="s">
        <v>30</v>
      </c>
      <c r="L2438" s="58"/>
      <c r="M2438" s="14" t="s">
        <v>32</v>
      </c>
      <c r="N2438" s="14" t="s">
        <v>33</v>
      </c>
      <c r="O2438" s="14"/>
      <c r="P2438" s="15" t="s">
        <v>1718</v>
      </c>
      <c r="Q2438" s="16">
        <v>14799</v>
      </c>
      <c r="R2438" s="17">
        <v>40</v>
      </c>
      <c r="S2438" s="18">
        <v>10211.31</v>
      </c>
      <c r="T2438" s="19" t="s">
        <v>36</v>
      </c>
      <c r="U2438" s="20" t="s">
        <v>753</v>
      </c>
      <c r="V2438" s="34">
        <v>43.5</v>
      </c>
      <c r="W2438" s="22">
        <v>1</v>
      </c>
      <c r="X2438" s="23"/>
    </row>
    <row r="2439" spans="1:24" s="1" customFormat="1" ht="52.05" customHeight="1" x14ac:dyDescent="0.3">
      <c r="A2439" s="11" t="s">
        <v>23</v>
      </c>
      <c r="B2439" s="11" t="s">
        <v>2322</v>
      </c>
      <c r="C2439" s="12" t="s">
        <v>2329</v>
      </c>
      <c r="D2439" s="55"/>
      <c r="E2439" s="41" t="str">
        <f>HYPERLINK("https://www.google.ru/search?q=3028657-011&amp;newwindow=1&amp;tbm=isch","Еще фото")</f>
        <v>Еще фото</v>
      </c>
      <c r="F2439" s="13"/>
      <c r="G2439" s="11" t="s">
        <v>1184</v>
      </c>
      <c r="H2439" s="11" t="s">
        <v>741</v>
      </c>
      <c r="I2439" s="14" t="s">
        <v>1185</v>
      </c>
      <c r="J2439" s="14" t="s">
        <v>674</v>
      </c>
      <c r="K2439" s="15" t="s">
        <v>30</v>
      </c>
      <c r="L2439" s="57" t="s">
        <v>2328</v>
      </c>
      <c r="M2439" s="14"/>
      <c r="N2439" s="14" t="s">
        <v>62</v>
      </c>
      <c r="O2439" s="14"/>
      <c r="P2439" s="15" t="s">
        <v>1718</v>
      </c>
      <c r="Q2439" s="16">
        <v>13899</v>
      </c>
      <c r="R2439" s="17">
        <v>40</v>
      </c>
      <c r="S2439" s="18">
        <v>9590.31</v>
      </c>
      <c r="T2439" s="19" t="s">
        <v>36</v>
      </c>
      <c r="U2439" s="20" t="s">
        <v>748</v>
      </c>
      <c r="V2439" s="22">
        <v>40</v>
      </c>
      <c r="W2439" s="22">
        <v>1</v>
      </c>
      <c r="X2439" s="23"/>
    </row>
    <row r="2440" spans="1:24" s="1" customFormat="1" ht="61.05" customHeight="1" x14ac:dyDescent="0.3">
      <c r="A2440" s="24" t="s">
        <v>23</v>
      </c>
      <c r="B2440" s="24" t="s">
        <v>2322</v>
      </c>
      <c r="C2440" s="12" t="s">
        <v>2329</v>
      </c>
      <c r="D2440" s="56"/>
      <c r="E2440" s="41" t="str">
        <f>HYPERLINK("https://www.google.ru/search?q=3028657-011&amp;newwindow=1&amp;tbm=isch","Еще фото")</f>
        <v>Еще фото</v>
      </c>
      <c r="F2440" s="13"/>
      <c r="G2440" s="24" t="s">
        <v>1184</v>
      </c>
      <c r="H2440" s="24" t="s">
        <v>741</v>
      </c>
      <c r="I2440" s="24" t="s">
        <v>1185</v>
      </c>
      <c r="J2440" s="14" t="s">
        <v>674</v>
      </c>
      <c r="K2440" s="15" t="s">
        <v>30</v>
      </c>
      <c r="L2440" s="58"/>
      <c r="M2440" s="14"/>
      <c r="N2440" s="14" t="s">
        <v>62</v>
      </c>
      <c r="O2440" s="14"/>
      <c r="P2440" s="15" t="s">
        <v>1718</v>
      </c>
      <c r="Q2440" s="16">
        <v>13899</v>
      </c>
      <c r="R2440" s="17">
        <v>40</v>
      </c>
      <c r="S2440" s="18">
        <v>9590.31</v>
      </c>
      <c r="T2440" s="19" t="s">
        <v>36</v>
      </c>
      <c r="U2440" s="20" t="s">
        <v>751</v>
      </c>
      <c r="V2440" s="22">
        <v>42</v>
      </c>
      <c r="W2440" s="22">
        <v>1</v>
      </c>
      <c r="X2440" s="23"/>
    </row>
    <row r="2441" spans="1:24" s="1" customFormat="1" ht="26" customHeight="1" x14ac:dyDescent="0.3">
      <c r="A2441" s="11" t="s">
        <v>23</v>
      </c>
      <c r="B2441" s="11" t="s">
        <v>2322</v>
      </c>
      <c r="C2441" s="12" t="s">
        <v>2330</v>
      </c>
      <c r="D2441" s="59"/>
      <c r="E2441" s="41" t="str">
        <f>HYPERLINK("https://www.google.ru/search?q=3028657-100&amp;newwindow=1&amp;tbm=isch","Еще фото")</f>
        <v>Еще фото</v>
      </c>
      <c r="F2441" s="13"/>
      <c r="G2441" s="11" t="s">
        <v>1184</v>
      </c>
      <c r="H2441" s="11" t="s">
        <v>741</v>
      </c>
      <c r="I2441" s="14" t="s">
        <v>1185</v>
      </c>
      <c r="J2441" s="14" t="s">
        <v>29</v>
      </c>
      <c r="K2441" s="15" t="s">
        <v>30</v>
      </c>
      <c r="L2441" s="57" t="s">
        <v>2326</v>
      </c>
      <c r="M2441" s="14"/>
      <c r="N2441" s="14" t="s">
        <v>62</v>
      </c>
      <c r="O2441" s="14"/>
      <c r="P2441" s="15" t="s">
        <v>2304</v>
      </c>
      <c r="Q2441" s="16">
        <v>12099</v>
      </c>
      <c r="R2441" s="17">
        <v>40</v>
      </c>
      <c r="S2441" s="18">
        <v>8348.31</v>
      </c>
      <c r="T2441" s="19" t="s">
        <v>36</v>
      </c>
      <c r="U2441" s="20" t="s">
        <v>746</v>
      </c>
      <c r="V2441" s="22">
        <v>39</v>
      </c>
      <c r="W2441" s="22">
        <v>2</v>
      </c>
      <c r="X2441" s="23"/>
    </row>
    <row r="2442" spans="1:24" s="1" customFormat="1" ht="26" customHeight="1" x14ac:dyDescent="0.3">
      <c r="A2442" s="24" t="s">
        <v>23</v>
      </c>
      <c r="B2442" s="24" t="s">
        <v>2322</v>
      </c>
      <c r="C2442" s="12" t="s">
        <v>2330</v>
      </c>
      <c r="D2442" s="60"/>
      <c r="E2442" s="41" t="str">
        <f>HYPERLINK("https://www.google.ru/search?q=3028657-100&amp;newwindow=1&amp;tbm=isch","Еще фото")</f>
        <v>Еще фото</v>
      </c>
      <c r="F2442" s="13"/>
      <c r="G2442" s="24" t="s">
        <v>1184</v>
      </c>
      <c r="H2442" s="24" t="s">
        <v>741</v>
      </c>
      <c r="I2442" s="24" t="s">
        <v>1185</v>
      </c>
      <c r="J2442" s="14" t="s">
        <v>29</v>
      </c>
      <c r="K2442" s="15" t="s">
        <v>30</v>
      </c>
      <c r="L2442" s="62"/>
      <c r="M2442" s="14"/>
      <c r="N2442" s="14" t="s">
        <v>62</v>
      </c>
      <c r="O2442" s="14"/>
      <c r="P2442" s="15" t="s">
        <v>2304</v>
      </c>
      <c r="Q2442" s="16">
        <v>12099</v>
      </c>
      <c r="R2442" s="17">
        <v>40</v>
      </c>
      <c r="S2442" s="18">
        <v>8348.31</v>
      </c>
      <c r="T2442" s="19" t="s">
        <v>36</v>
      </c>
      <c r="U2442" s="20" t="s">
        <v>748</v>
      </c>
      <c r="V2442" s="22">
        <v>40</v>
      </c>
      <c r="W2442" s="22">
        <v>4</v>
      </c>
      <c r="X2442" s="23"/>
    </row>
    <row r="2443" spans="1:24" s="1" customFormat="1" ht="26" customHeight="1" x14ac:dyDescent="0.3">
      <c r="A2443" s="24" t="s">
        <v>23</v>
      </c>
      <c r="B2443" s="24" t="s">
        <v>2322</v>
      </c>
      <c r="C2443" s="12" t="s">
        <v>2330</v>
      </c>
      <c r="D2443" s="60"/>
      <c r="E2443" s="41" t="str">
        <f>HYPERLINK("https://www.google.ru/search?q=3028657-100&amp;newwindow=1&amp;tbm=isch","Еще фото")</f>
        <v>Еще фото</v>
      </c>
      <c r="F2443" s="13"/>
      <c r="G2443" s="24" t="s">
        <v>1184</v>
      </c>
      <c r="H2443" s="24" t="s">
        <v>741</v>
      </c>
      <c r="I2443" s="24" t="s">
        <v>1185</v>
      </c>
      <c r="J2443" s="14" t="s">
        <v>29</v>
      </c>
      <c r="K2443" s="15" t="s">
        <v>30</v>
      </c>
      <c r="L2443" s="62"/>
      <c r="M2443" s="14"/>
      <c r="N2443" s="14" t="s">
        <v>62</v>
      </c>
      <c r="O2443" s="14"/>
      <c r="P2443" s="15" t="s">
        <v>2304</v>
      </c>
      <c r="Q2443" s="16">
        <v>12099</v>
      </c>
      <c r="R2443" s="17">
        <v>40</v>
      </c>
      <c r="S2443" s="18">
        <v>8348.31</v>
      </c>
      <c r="T2443" s="19" t="s">
        <v>36</v>
      </c>
      <c r="U2443" s="20" t="s">
        <v>750</v>
      </c>
      <c r="V2443" s="34">
        <v>41.5</v>
      </c>
      <c r="W2443" s="22">
        <v>5</v>
      </c>
      <c r="X2443" s="23"/>
    </row>
    <row r="2444" spans="1:24" s="1" customFormat="1" ht="26" customHeight="1" x14ac:dyDescent="0.3">
      <c r="A2444" s="24" t="s">
        <v>23</v>
      </c>
      <c r="B2444" s="24" t="s">
        <v>2322</v>
      </c>
      <c r="C2444" s="12" t="s">
        <v>2330</v>
      </c>
      <c r="D2444" s="61"/>
      <c r="E2444" s="41" t="str">
        <f>HYPERLINK("https://www.google.ru/search?q=3028657-100&amp;newwindow=1&amp;tbm=isch","Еще фото")</f>
        <v>Еще фото</v>
      </c>
      <c r="F2444" s="13"/>
      <c r="G2444" s="24" t="s">
        <v>1184</v>
      </c>
      <c r="H2444" s="24" t="s">
        <v>741</v>
      </c>
      <c r="I2444" s="24" t="s">
        <v>1185</v>
      </c>
      <c r="J2444" s="14" t="s">
        <v>29</v>
      </c>
      <c r="K2444" s="15" t="s">
        <v>30</v>
      </c>
      <c r="L2444" s="58"/>
      <c r="M2444" s="14"/>
      <c r="N2444" s="14" t="s">
        <v>62</v>
      </c>
      <c r="O2444" s="14"/>
      <c r="P2444" s="15" t="s">
        <v>2304</v>
      </c>
      <c r="Q2444" s="16">
        <v>12099</v>
      </c>
      <c r="R2444" s="17">
        <v>40</v>
      </c>
      <c r="S2444" s="18">
        <v>8348.31</v>
      </c>
      <c r="T2444" s="19" t="s">
        <v>36</v>
      </c>
      <c r="U2444" s="20" t="s">
        <v>751</v>
      </c>
      <c r="V2444" s="22">
        <v>42</v>
      </c>
      <c r="W2444" s="22">
        <v>1</v>
      </c>
      <c r="X2444" s="23"/>
    </row>
    <row r="2445" spans="1:24" s="1" customFormat="1" ht="35" customHeight="1" x14ac:dyDescent="0.3">
      <c r="A2445" s="11" t="s">
        <v>23</v>
      </c>
      <c r="B2445" s="11" t="s">
        <v>2331</v>
      </c>
      <c r="C2445" s="12" t="s">
        <v>2332</v>
      </c>
      <c r="D2445" s="59"/>
      <c r="E2445" s="41" t="str">
        <f>HYPERLINK("https://www.google.ru/search?q=3028751-001&amp;newwindow=1&amp;tbm=isch","Еще фото")</f>
        <v>Еще фото</v>
      </c>
      <c r="F2445" s="13"/>
      <c r="G2445" s="11" t="s">
        <v>1184</v>
      </c>
      <c r="H2445" s="11" t="s">
        <v>741</v>
      </c>
      <c r="I2445" s="14" t="s">
        <v>1185</v>
      </c>
      <c r="J2445" s="14" t="s">
        <v>29</v>
      </c>
      <c r="K2445" s="15" t="s">
        <v>30</v>
      </c>
      <c r="L2445" s="57" t="s">
        <v>2333</v>
      </c>
      <c r="M2445" s="14" t="s">
        <v>1211</v>
      </c>
      <c r="N2445" s="14" t="s">
        <v>33</v>
      </c>
      <c r="O2445" s="14"/>
      <c r="P2445" s="15" t="s">
        <v>2334</v>
      </c>
      <c r="Q2445" s="16">
        <v>17099</v>
      </c>
      <c r="R2445" s="17">
        <v>40</v>
      </c>
      <c r="S2445" s="18">
        <v>11798.31</v>
      </c>
      <c r="T2445" s="19" t="s">
        <v>36</v>
      </c>
      <c r="U2445" s="20" t="s">
        <v>747</v>
      </c>
      <c r="V2445" s="34">
        <v>39.5</v>
      </c>
      <c r="W2445" s="22">
        <v>2</v>
      </c>
      <c r="X2445" s="23"/>
    </row>
    <row r="2446" spans="1:24" s="1" customFormat="1" ht="35" customHeight="1" x14ac:dyDescent="0.3">
      <c r="A2446" s="24" t="s">
        <v>23</v>
      </c>
      <c r="B2446" s="24" t="s">
        <v>2331</v>
      </c>
      <c r="C2446" s="12" t="s">
        <v>2332</v>
      </c>
      <c r="D2446" s="60"/>
      <c r="E2446" s="41" t="str">
        <f>HYPERLINK("https://www.google.ru/search?q=3028751-001&amp;newwindow=1&amp;tbm=isch","Еще фото")</f>
        <v>Еще фото</v>
      </c>
      <c r="F2446" s="13"/>
      <c r="G2446" s="24" t="s">
        <v>1184</v>
      </c>
      <c r="H2446" s="24" t="s">
        <v>741</v>
      </c>
      <c r="I2446" s="24" t="s">
        <v>1185</v>
      </c>
      <c r="J2446" s="14" t="s">
        <v>29</v>
      </c>
      <c r="K2446" s="15" t="s">
        <v>30</v>
      </c>
      <c r="L2446" s="62"/>
      <c r="M2446" s="14" t="s">
        <v>1211</v>
      </c>
      <c r="N2446" s="14" t="s">
        <v>33</v>
      </c>
      <c r="O2446" s="14"/>
      <c r="P2446" s="15" t="s">
        <v>2334</v>
      </c>
      <c r="Q2446" s="16">
        <v>17099</v>
      </c>
      <c r="R2446" s="17">
        <v>40</v>
      </c>
      <c r="S2446" s="18">
        <v>11798.31</v>
      </c>
      <c r="T2446" s="19" t="s">
        <v>36</v>
      </c>
      <c r="U2446" s="20" t="s">
        <v>748</v>
      </c>
      <c r="V2446" s="22">
        <v>40</v>
      </c>
      <c r="W2446" s="22">
        <v>1</v>
      </c>
      <c r="X2446" s="23"/>
    </row>
    <row r="2447" spans="1:24" s="1" customFormat="1" ht="37.049999999999997" customHeight="1" x14ac:dyDescent="0.3">
      <c r="A2447" s="24" t="s">
        <v>23</v>
      </c>
      <c r="B2447" s="24" t="s">
        <v>2331</v>
      </c>
      <c r="C2447" s="12" t="s">
        <v>2332</v>
      </c>
      <c r="D2447" s="61"/>
      <c r="E2447" s="41" t="str">
        <f>HYPERLINK("https://www.google.ru/search?q=3028751-001&amp;newwindow=1&amp;tbm=isch","Еще фото")</f>
        <v>Еще фото</v>
      </c>
      <c r="F2447" s="13"/>
      <c r="G2447" s="24" t="s">
        <v>1184</v>
      </c>
      <c r="H2447" s="24" t="s">
        <v>741</v>
      </c>
      <c r="I2447" s="24" t="s">
        <v>1185</v>
      </c>
      <c r="J2447" s="14" t="s">
        <v>29</v>
      </c>
      <c r="K2447" s="15" t="s">
        <v>30</v>
      </c>
      <c r="L2447" s="58"/>
      <c r="M2447" s="14" t="s">
        <v>1211</v>
      </c>
      <c r="N2447" s="14" t="s">
        <v>33</v>
      </c>
      <c r="O2447" s="14"/>
      <c r="P2447" s="15" t="s">
        <v>2334</v>
      </c>
      <c r="Q2447" s="16">
        <v>17099</v>
      </c>
      <c r="R2447" s="17">
        <v>40</v>
      </c>
      <c r="S2447" s="18">
        <v>11798.31</v>
      </c>
      <c r="T2447" s="19" t="s">
        <v>36</v>
      </c>
      <c r="U2447" s="20" t="s">
        <v>750</v>
      </c>
      <c r="V2447" s="34">
        <v>41.5</v>
      </c>
      <c r="W2447" s="22">
        <v>9</v>
      </c>
      <c r="X2447" s="23"/>
    </row>
    <row r="2448" spans="1:24" s="1" customFormat="1" ht="52.05" customHeight="1" x14ac:dyDescent="0.3">
      <c r="A2448" s="11" t="s">
        <v>23</v>
      </c>
      <c r="B2448" s="11" t="s">
        <v>2335</v>
      </c>
      <c r="C2448" s="12" t="s">
        <v>2336</v>
      </c>
      <c r="D2448" s="55"/>
      <c r="E2448" s="41" t="str">
        <f>HYPERLINK("https://www.google.ru/search?q=3028751-026&amp;newwindow=1&amp;tbm=isch","Еще фото")</f>
        <v>Еще фото</v>
      </c>
      <c r="F2448" s="28" t="s">
        <v>138</v>
      </c>
      <c r="G2448" s="11" t="s">
        <v>1184</v>
      </c>
      <c r="H2448" s="11" t="s">
        <v>741</v>
      </c>
      <c r="I2448" s="14" t="s">
        <v>1185</v>
      </c>
      <c r="J2448" s="14" t="s">
        <v>29</v>
      </c>
      <c r="K2448" s="15" t="s">
        <v>30</v>
      </c>
      <c r="L2448" s="57" t="s">
        <v>2337</v>
      </c>
      <c r="M2448" s="14" t="s">
        <v>1211</v>
      </c>
      <c r="N2448" s="14" t="s">
        <v>62</v>
      </c>
      <c r="O2448" s="14"/>
      <c r="P2448" s="15" t="s">
        <v>2334</v>
      </c>
      <c r="Q2448" s="16">
        <v>13299</v>
      </c>
      <c r="R2448" s="17">
        <v>40</v>
      </c>
      <c r="S2448" s="18">
        <v>9176.31</v>
      </c>
      <c r="T2448" s="19" t="s">
        <v>36</v>
      </c>
      <c r="U2448" s="20" t="s">
        <v>751</v>
      </c>
      <c r="V2448" s="22">
        <v>42</v>
      </c>
      <c r="W2448" s="22">
        <v>2</v>
      </c>
      <c r="X2448" s="23"/>
    </row>
    <row r="2449" spans="1:24" s="1" customFormat="1" ht="61.05" customHeight="1" x14ac:dyDescent="0.3">
      <c r="A2449" s="24" t="s">
        <v>23</v>
      </c>
      <c r="B2449" s="24" t="s">
        <v>2335</v>
      </c>
      <c r="C2449" s="12" t="s">
        <v>2336</v>
      </c>
      <c r="D2449" s="56"/>
      <c r="E2449" s="41" t="str">
        <f>HYPERLINK("https://www.google.ru/search?q=3028751-026&amp;newwindow=1&amp;tbm=isch","Еще фото")</f>
        <v>Еще фото</v>
      </c>
      <c r="F2449" s="28" t="s">
        <v>138</v>
      </c>
      <c r="G2449" s="24" t="s">
        <v>1184</v>
      </c>
      <c r="H2449" s="24" t="s">
        <v>741</v>
      </c>
      <c r="I2449" s="24" t="s">
        <v>1185</v>
      </c>
      <c r="J2449" s="14" t="s">
        <v>29</v>
      </c>
      <c r="K2449" s="15" t="s">
        <v>30</v>
      </c>
      <c r="L2449" s="58"/>
      <c r="M2449" s="14" t="s">
        <v>1211</v>
      </c>
      <c r="N2449" s="14" t="s">
        <v>62</v>
      </c>
      <c r="O2449" s="14"/>
      <c r="P2449" s="15" t="s">
        <v>2334</v>
      </c>
      <c r="Q2449" s="16">
        <v>13299</v>
      </c>
      <c r="R2449" s="17">
        <v>40</v>
      </c>
      <c r="S2449" s="18">
        <v>9176.31</v>
      </c>
      <c r="T2449" s="19" t="s">
        <v>36</v>
      </c>
      <c r="U2449" s="20" t="s">
        <v>753</v>
      </c>
      <c r="V2449" s="34">
        <v>43.5</v>
      </c>
      <c r="W2449" s="22">
        <v>2</v>
      </c>
      <c r="X2449" s="23"/>
    </row>
    <row r="2450" spans="1:24" s="1" customFormat="1" ht="108" customHeight="1" x14ac:dyDescent="0.3">
      <c r="A2450" s="11" t="s">
        <v>23</v>
      </c>
      <c r="B2450" s="11" t="s">
        <v>2331</v>
      </c>
      <c r="C2450" s="12" t="s">
        <v>2338</v>
      </c>
      <c r="D2450" s="25"/>
      <c r="E2450" s="41" t="str">
        <f>HYPERLINK("https://www.google.ru/search?q=3028751-100&amp;newwindow=1&amp;tbm=isch","Еще фото")</f>
        <v>Еще фото</v>
      </c>
      <c r="F2450" s="13" t="s">
        <v>152</v>
      </c>
      <c r="G2450" s="11" t="s">
        <v>1184</v>
      </c>
      <c r="H2450" s="11" t="s">
        <v>741</v>
      </c>
      <c r="I2450" s="14" t="s">
        <v>1185</v>
      </c>
      <c r="J2450" s="14" t="s">
        <v>29</v>
      </c>
      <c r="K2450" s="15" t="s">
        <v>30</v>
      </c>
      <c r="L2450" s="14" t="s">
        <v>2333</v>
      </c>
      <c r="M2450" s="14" t="s">
        <v>1211</v>
      </c>
      <c r="N2450" s="14" t="s">
        <v>62</v>
      </c>
      <c r="O2450" s="14"/>
      <c r="P2450" s="15" t="s">
        <v>2334</v>
      </c>
      <c r="Q2450" s="16">
        <v>17099</v>
      </c>
      <c r="R2450" s="17">
        <v>40</v>
      </c>
      <c r="S2450" s="18">
        <v>11798.31</v>
      </c>
      <c r="T2450" s="19" t="s">
        <v>36</v>
      </c>
      <c r="U2450" s="20" t="s">
        <v>747</v>
      </c>
      <c r="V2450" s="34">
        <v>39.5</v>
      </c>
      <c r="W2450" s="22">
        <v>1</v>
      </c>
      <c r="X2450" s="23"/>
    </row>
    <row r="2451" spans="1:24" s="1" customFormat="1" ht="14" customHeight="1" x14ac:dyDescent="0.3">
      <c r="A2451" s="11" t="s">
        <v>23</v>
      </c>
      <c r="B2451" s="11" t="s">
        <v>2335</v>
      </c>
      <c r="C2451" s="12" t="s">
        <v>2339</v>
      </c>
      <c r="D2451" s="59"/>
      <c r="E2451" s="41" t="str">
        <f t="shared" ref="E2451:E2457" si="101">HYPERLINK("https://www.google.ru/search?q=3028751-452&amp;newwindow=1&amp;tbm=isch","Еще фото")</f>
        <v>Еще фото</v>
      </c>
      <c r="F2451" s="28" t="s">
        <v>138</v>
      </c>
      <c r="G2451" s="11" t="s">
        <v>1184</v>
      </c>
      <c r="H2451" s="11" t="s">
        <v>741</v>
      </c>
      <c r="I2451" s="14" t="s">
        <v>1185</v>
      </c>
      <c r="J2451" s="14" t="s">
        <v>29</v>
      </c>
      <c r="K2451" s="15" t="s">
        <v>30</v>
      </c>
      <c r="L2451" s="57" t="s">
        <v>2333</v>
      </c>
      <c r="M2451" s="14" t="s">
        <v>1211</v>
      </c>
      <c r="N2451" s="14" t="s">
        <v>115</v>
      </c>
      <c r="O2451" s="14"/>
      <c r="P2451" s="15" t="s">
        <v>2334</v>
      </c>
      <c r="Q2451" s="16">
        <v>13299</v>
      </c>
      <c r="R2451" s="17">
        <v>40</v>
      </c>
      <c r="S2451" s="18">
        <v>9176.31</v>
      </c>
      <c r="T2451" s="19" t="s">
        <v>36</v>
      </c>
      <c r="U2451" s="20" t="s">
        <v>748</v>
      </c>
      <c r="V2451" s="22">
        <v>40</v>
      </c>
      <c r="W2451" s="22">
        <v>1</v>
      </c>
      <c r="X2451" s="23"/>
    </row>
    <row r="2452" spans="1:24" s="1" customFormat="1" ht="14" customHeight="1" x14ac:dyDescent="0.3">
      <c r="A2452" s="24" t="s">
        <v>23</v>
      </c>
      <c r="B2452" s="24" t="s">
        <v>2335</v>
      </c>
      <c r="C2452" s="12" t="s">
        <v>2339</v>
      </c>
      <c r="D2452" s="60"/>
      <c r="E2452" s="41" t="str">
        <f t="shared" si="101"/>
        <v>Еще фото</v>
      </c>
      <c r="F2452" s="28" t="s">
        <v>138</v>
      </c>
      <c r="G2452" s="24" t="s">
        <v>1184</v>
      </c>
      <c r="H2452" s="24" t="s">
        <v>741</v>
      </c>
      <c r="I2452" s="24" t="s">
        <v>1185</v>
      </c>
      <c r="J2452" s="14" t="s">
        <v>29</v>
      </c>
      <c r="K2452" s="15" t="s">
        <v>30</v>
      </c>
      <c r="L2452" s="62"/>
      <c r="M2452" s="14" t="s">
        <v>1211</v>
      </c>
      <c r="N2452" s="14" t="s">
        <v>115</v>
      </c>
      <c r="O2452" s="14"/>
      <c r="P2452" s="15" t="s">
        <v>2334</v>
      </c>
      <c r="Q2452" s="16">
        <v>13299</v>
      </c>
      <c r="R2452" s="17">
        <v>40</v>
      </c>
      <c r="S2452" s="18">
        <v>9176.31</v>
      </c>
      <c r="T2452" s="19" t="s">
        <v>36</v>
      </c>
      <c r="U2452" s="20" t="s">
        <v>749</v>
      </c>
      <c r="V2452" s="22">
        <v>41</v>
      </c>
      <c r="W2452" s="22">
        <v>1</v>
      </c>
      <c r="X2452" s="23"/>
    </row>
    <row r="2453" spans="1:24" s="1" customFormat="1" ht="14" customHeight="1" x14ac:dyDescent="0.3">
      <c r="A2453" s="24" t="s">
        <v>23</v>
      </c>
      <c r="B2453" s="24" t="s">
        <v>2335</v>
      </c>
      <c r="C2453" s="12" t="s">
        <v>2339</v>
      </c>
      <c r="D2453" s="60"/>
      <c r="E2453" s="41" t="str">
        <f t="shared" si="101"/>
        <v>Еще фото</v>
      </c>
      <c r="F2453" s="28" t="s">
        <v>138</v>
      </c>
      <c r="G2453" s="24" t="s">
        <v>1184</v>
      </c>
      <c r="H2453" s="24" t="s">
        <v>741</v>
      </c>
      <c r="I2453" s="24" t="s">
        <v>1185</v>
      </c>
      <c r="J2453" s="14" t="s">
        <v>29</v>
      </c>
      <c r="K2453" s="15" t="s">
        <v>30</v>
      </c>
      <c r="L2453" s="62"/>
      <c r="M2453" s="14" t="s">
        <v>1211</v>
      </c>
      <c r="N2453" s="14" t="s">
        <v>115</v>
      </c>
      <c r="O2453" s="14"/>
      <c r="P2453" s="15" t="s">
        <v>2334</v>
      </c>
      <c r="Q2453" s="16">
        <v>13299</v>
      </c>
      <c r="R2453" s="17">
        <v>40</v>
      </c>
      <c r="S2453" s="18">
        <v>9176.31</v>
      </c>
      <c r="T2453" s="19" t="s">
        <v>36</v>
      </c>
      <c r="U2453" s="20" t="s">
        <v>750</v>
      </c>
      <c r="V2453" s="34">
        <v>41.5</v>
      </c>
      <c r="W2453" s="22">
        <v>2</v>
      </c>
      <c r="X2453" s="23"/>
    </row>
    <row r="2454" spans="1:24" s="1" customFormat="1" ht="14" customHeight="1" x14ac:dyDescent="0.3">
      <c r="A2454" s="24" t="s">
        <v>23</v>
      </c>
      <c r="B2454" s="24" t="s">
        <v>2335</v>
      </c>
      <c r="C2454" s="12" t="s">
        <v>2339</v>
      </c>
      <c r="D2454" s="60"/>
      <c r="E2454" s="41" t="str">
        <f t="shared" si="101"/>
        <v>Еще фото</v>
      </c>
      <c r="F2454" s="28" t="s">
        <v>138</v>
      </c>
      <c r="G2454" s="24" t="s">
        <v>1184</v>
      </c>
      <c r="H2454" s="24" t="s">
        <v>741</v>
      </c>
      <c r="I2454" s="24" t="s">
        <v>1185</v>
      </c>
      <c r="J2454" s="14" t="s">
        <v>29</v>
      </c>
      <c r="K2454" s="15" t="s">
        <v>30</v>
      </c>
      <c r="L2454" s="62"/>
      <c r="M2454" s="14" t="s">
        <v>1211</v>
      </c>
      <c r="N2454" s="14" t="s">
        <v>115</v>
      </c>
      <c r="O2454" s="14"/>
      <c r="P2454" s="15" t="s">
        <v>2334</v>
      </c>
      <c r="Q2454" s="16">
        <v>13299</v>
      </c>
      <c r="R2454" s="17">
        <v>40</v>
      </c>
      <c r="S2454" s="18">
        <v>9176.31</v>
      </c>
      <c r="T2454" s="19" t="s">
        <v>36</v>
      </c>
      <c r="U2454" s="20" t="s">
        <v>751</v>
      </c>
      <c r="V2454" s="22">
        <v>42</v>
      </c>
      <c r="W2454" s="22">
        <v>2</v>
      </c>
      <c r="X2454" s="23"/>
    </row>
    <row r="2455" spans="1:24" s="1" customFormat="1" ht="14" customHeight="1" x14ac:dyDescent="0.3">
      <c r="A2455" s="24" t="s">
        <v>23</v>
      </c>
      <c r="B2455" s="24" t="s">
        <v>2335</v>
      </c>
      <c r="C2455" s="12" t="s">
        <v>2339</v>
      </c>
      <c r="D2455" s="60"/>
      <c r="E2455" s="41" t="str">
        <f t="shared" si="101"/>
        <v>Еще фото</v>
      </c>
      <c r="F2455" s="28" t="s">
        <v>138</v>
      </c>
      <c r="G2455" s="24" t="s">
        <v>1184</v>
      </c>
      <c r="H2455" s="24" t="s">
        <v>741</v>
      </c>
      <c r="I2455" s="24" t="s">
        <v>1185</v>
      </c>
      <c r="J2455" s="14" t="s">
        <v>29</v>
      </c>
      <c r="K2455" s="15" t="s">
        <v>30</v>
      </c>
      <c r="L2455" s="62"/>
      <c r="M2455" s="14" t="s">
        <v>1211</v>
      </c>
      <c r="N2455" s="14" t="s">
        <v>115</v>
      </c>
      <c r="O2455" s="14"/>
      <c r="P2455" s="15" t="s">
        <v>2334</v>
      </c>
      <c r="Q2455" s="16">
        <v>13299</v>
      </c>
      <c r="R2455" s="17">
        <v>40</v>
      </c>
      <c r="S2455" s="18">
        <v>9176.31</v>
      </c>
      <c r="T2455" s="19" t="s">
        <v>36</v>
      </c>
      <c r="U2455" s="20" t="s">
        <v>752</v>
      </c>
      <c r="V2455" s="22">
        <v>43</v>
      </c>
      <c r="W2455" s="22">
        <v>2</v>
      </c>
      <c r="X2455" s="23"/>
    </row>
    <row r="2456" spans="1:24" s="1" customFormat="1" ht="14" customHeight="1" x14ac:dyDescent="0.3">
      <c r="A2456" s="24" t="s">
        <v>23</v>
      </c>
      <c r="B2456" s="24" t="s">
        <v>2335</v>
      </c>
      <c r="C2456" s="12" t="s">
        <v>2339</v>
      </c>
      <c r="D2456" s="60"/>
      <c r="E2456" s="41" t="str">
        <f t="shared" si="101"/>
        <v>Еще фото</v>
      </c>
      <c r="F2456" s="28" t="s">
        <v>138</v>
      </c>
      <c r="G2456" s="24" t="s">
        <v>1184</v>
      </c>
      <c r="H2456" s="24" t="s">
        <v>741</v>
      </c>
      <c r="I2456" s="24" t="s">
        <v>1185</v>
      </c>
      <c r="J2456" s="14" t="s">
        <v>29</v>
      </c>
      <c r="K2456" s="15" t="s">
        <v>30</v>
      </c>
      <c r="L2456" s="62"/>
      <c r="M2456" s="14" t="s">
        <v>1211</v>
      </c>
      <c r="N2456" s="14" t="s">
        <v>115</v>
      </c>
      <c r="O2456" s="14"/>
      <c r="P2456" s="15" t="s">
        <v>2334</v>
      </c>
      <c r="Q2456" s="16">
        <v>13299</v>
      </c>
      <c r="R2456" s="17">
        <v>40</v>
      </c>
      <c r="S2456" s="18">
        <v>9176.31</v>
      </c>
      <c r="T2456" s="19" t="s">
        <v>36</v>
      </c>
      <c r="U2456" s="20" t="s">
        <v>753</v>
      </c>
      <c r="V2456" s="34">
        <v>43.5</v>
      </c>
      <c r="W2456" s="22">
        <v>2</v>
      </c>
      <c r="X2456" s="23"/>
    </row>
    <row r="2457" spans="1:24" s="1" customFormat="1" ht="17" customHeight="1" x14ac:dyDescent="0.3">
      <c r="A2457" s="24" t="s">
        <v>23</v>
      </c>
      <c r="B2457" s="24" t="s">
        <v>2335</v>
      </c>
      <c r="C2457" s="12" t="s">
        <v>2339</v>
      </c>
      <c r="D2457" s="61"/>
      <c r="E2457" s="41" t="str">
        <f t="shared" si="101"/>
        <v>Еще фото</v>
      </c>
      <c r="F2457" s="28" t="s">
        <v>138</v>
      </c>
      <c r="G2457" s="24" t="s">
        <v>1184</v>
      </c>
      <c r="H2457" s="24" t="s">
        <v>741</v>
      </c>
      <c r="I2457" s="24" t="s">
        <v>1185</v>
      </c>
      <c r="J2457" s="14" t="s">
        <v>29</v>
      </c>
      <c r="K2457" s="15" t="s">
        <v>30</v>
      </c>
      <c r="L2457" s="58"/>
      <c r="M2457" s="14" t="s">
        <v>1211</v>
      </c>
      <c r="N2457" s="14" t="s">
        <v>115</v>
      </c>
      <c r="O2457" s="14"/>
      <c r="P2457" s="15" t="s">
        <v>2334</v>
      </c>
      <c r="Q2457" s="16">
        <v>13299</v>
      </c>
      <c r="R2457" s="17">
        <v>40</v>
      </c>
      <c r="S2457" s="18">
        <v>9176.31</v>
      </c>
      <c r="T2457" s="19" t="s">
        <v>36</v>
      </c>
      <c r="U2457" s="20" t="s">
        <v>755</v>
      </c>
      <c r="V2457" s="34">
        <v>44.5</v>
      </c>
      <c r="W2457" s="22">
        <v>1</v>
      </c>
      <c r="X2457" s="23"/>
    </row>
    <row r="2458" spans="1:24" s="1" customFormat="1" ht="11" customHeight="1" x14ac:dyDescent="0.3">
      <c r="A2458" s="11" t="s">
        <v>23</v>
      </c>
      <c r="B2458" s="11" t="s">
        <v>2340</v>
      </c>
      <c r="C2458" s="12" t="s">
        <v>2341</v>
      </c>
      <c r="D2458" s="59"/>
      <c r="E2458" s="41" t="str">
        <f t="shared" ref="E2458:E2469" si="102">HYPERLINK("https://www.google.ru/search?q=6000007-003&amp;newwindow=1&amp;tbm=isch","Еще фото")</f>
        <v>Еще фото</v>
      </c>
      <c r="F2458" s="13" t="s">
        <v>103</v>
      </c>
      <c r="G2458" s="11" t="s">
        <v>1184</v>
      </c>
      <c r="H2458" s="11" t="s">
        <v>741</v>
      </c>
      <c r="I2458" s="14" t="s">
        <v>1185</v>
      </c>
      <c r="J2458" s="14" t="s">
        <v>29</v>
      </c>
      <c r="K2458" s="15" t="s">
        <v>30</v>
      </c>
      <c r="L2458" s="57" t="s">
        <v>2342</v>
      </c>
      <c r="M2458" s="14"/>
      <c r="N2458" s="14" t="s">
        <v>33</v>
      </c>
      <c r="O2458" s="14"/>
      <c r="P2458" s="15" t="s">
        <v>745</v>
      </c>
      <c r="Q2458" s="16">
        <v>17099</v>
      </c>
      <c r="R2458" s="17">
        <v>40</v>
      </c>
      <c r="S2458" s="18">
        <v>11798.31</v>
      </c>
      <c r="T2458" s="19" t="s">
        <v>36</v>
      </c>
      <c r="U2458" s="20" t="s">
        <v>747</v>
      </c>
      <c r="V2458" s="34">
        <v>39.5</v>
      </c>
      <c r="W2458" s="22">
        <v>5</v>
      </c>
      <c r="X2458" s="23"/>
    </row>
    <row r="2459" spans="1:24" s="1" customFormat="1" ht="11" customHeight="1" x14ac:dyDescent="0.3">
      <c r="A2459" s="24" t="s">
        <v>23</v>
      </c>
      <c r="B2459" s="24" t="s">
        <v>2340</v>
      </c>
      <c r="C2459" s="12" t="s">
        <v>2341</v>
      </c>
      <c r="D2459" s="60"/>
      <c r="E2459" s="41" t="str">
        <f t="shared" si="102"/>
        <v>Еще фото</v>
      </c>
      <c r="F2459" s="13" t="s">
        <v>103</v>
      </c>
      <c r="G2459" s="24" t="s">
        <v>1184</v>
      </c>
      <c r="H2459" s="24" t="s">
        <v>741</v>
      </c>
      <c r="I2459" s="24" t="s">
        <v>1185</v>
      </c>
      <c r="J2459" s="14" t="s">
        <v>29</v>
      </c>
      <c r="K2459" s="15" t="s">
        <v>30</v>
      </c>
      <c r="L2459" s="62"/>
      <c r="M2459" s="14"/>
      <c r="N2459" s="14" t="s">
        <v>33</v>
      </c>
      <c r="O2459" s="14"/>
      <c r="P2459" s="15" t="s">
        <v>745</v>
      </c>
      <c r="Q2459" s="16">
        <v>17099</v>
      </c>
      <c r="R2459" s="17">
        <v>40</v>
      </c>
      <c r="S2459" s="18">
        <v>11798.31</v>
      </c>
      <c r="T2459" s="19" t="s">
        <v>36</v>
      </c>
      <c r="U2459" s="20" t="s">
        <v>748</v>
      </c>
      <c r="V2459" s="22">
        <v>40</v>
      </c>
      <c r="W2459" s="22">
        <v>10</v>
      </c>
      <c r="X2459" s="23"/>
    </row>
    <row r="2460" spans="1:24" s="1" customFormat="1" ht="11" customHeight="1" x14ac:dyDescent="0.3">
      <c r="A2460" s="24" t="s">
        <v>23</v>
      </c>
      <c r="B2460" s="24" t="s">
        <v>2340</v>
      </c>
      <c r="C2460" s="12" t="s">
        <v>2341</v>
      </c>
      <c r="D2460" s="60"/>
      <c r="E2460" s="41" t="str">
        <f t="shared" si="102"/>
        <v>Еще фото</v>
      </c>
      <c r="F2460" s="13" t="s">
        <v>103</v>
      </c>
      <c r="G2460" s="24" t="s">
        <v>1184</v>
      </c>
      <c r="H2460" s="24" t="s">
        <v>741</v>
      </c>
      <c r="I2460" s="24" t="s">
        <v>1185</v>
      </c>
      <c r="J2460" s="14" t="s">
        <v>29</v>
      </c>
      <c r="K2460" s="15" t="s">
        <v>30</v>
      </c>
      <c r="L2460" s="62"/>
      <c r="M2460" s="14"/>
      <c r="N2460" s="14" t="s">
        <v>33</v>
      </c>
      <c r="O2460" s="14"/>
      <c r="P2460" s="15" t="s">
        <v>745</v>
      </c>
      <c r="Q2460" s="16">
        <v>17099</v>
      </c>
      <c r="R2460" s="17">
        <v>40</v>
      </c>
      <c r="S2460" s="18">
        <v>11798.31</v>
      </c>
      <c r="T2460" s="19" t="s">
        <v>36</v>
      </c>
      <c r="U2460" s="20" t="s">
        <v>749</v>
      </c>
      <c r="V2460" s="22">
        <v>41</v>
      </c>
      <c r="W2460" s="22">
        <v>9</v>
      </c>
      <c r="X2460" s="23"/>
    </row>
    <row r="2461" spans="1:24" s="1" customFormat="1" ht="11" customHeight="1" x14ac:dyDescent="0.3">
      <c r="A2461" s="24" t="s">
        <v>23</v>
      </c>
      <c r="B2461" s="24" t="s">
        <v>2340</v>
      </c>
      <c r="C2461" s="12" t="s">
        <v>2341</v>
      </c>
      <c r="D2461" s="60"/>
      <c r="E2461" s="41" t="str">
        <f t="shared" si="102"/>
        <v>Еще фото</v>
      </c>
      <c r="F2461" s="13" t="s">
        <v>103</v>
      </c>
      <c r="G2461" s="24" t="s">
        <v>1184</v>
      </c>
      <c r="H2461" s="24" t="s">
        <v>741</v>
      </c>
      <c r="I2461" s="24" t="s">
        <v>1185</v>
      </c>
      <c r="J2461" s="14" t="s">
        <v>29</v>
      </c>
      <c r="K2461" s="15" t="s">
        <v>30</v>
      </c>
      <c r="L2461" s="62"/>
      <c r="M2461" s="14"/>
      <c r="N2461" s="14" t="s">
        <v>33</v>
      </c>
      <c r="O2461" s="14"/>
      <c r="P2461" s="15" t="s">
        <v>745</v>
      </c>
      <c r="Q2461" s="16">
        <v>17099</v>
      </c>
      <c r="R2461" s="17">
        <v>40</v>
      </c>
      <c r="S2461" s="18">
        <v>11798.31</v>
      </c>
      <c r="T2461" s="19" t="s">
        <v>36</v>
      </c>
      <c r="U2461" s="20" t="s">
        <v>750</v>
      </c>
      <c r="V2461" s="34">
        <v>41.5</v>
      </c>
      <c r="W2461" s="22">
        <v>14</v>
      </c>
      <c r="X2461" s="23"/>
    </row>
    <row r="2462" spans="1:24" s="1" customFormat="1" ht="11" customHeight="1" x14ac:dyDescent="0.3">
      <c r="A2462" s="24" t="s">
        <v>23</v>
      </c>
      <c r="B2462" s="24" t="s">
        <v>2340</v>
      </c>
      <c r="C2462" s="12" t="s">
        <v>2341</v>
      </c>
      <c r="D2462" s="60"/>
      <c r="E2462" s="41" t="str">
        <f t="shared" si="102"/>
        <v>Еще фото</v>
      </c>
      <c r="F2462" s="13" t="s">
        <v>103</v>
      </c>
      <c r="G2462" s="24" t="s">
        <v>1184</v>
      </c>
      <c r="H2462" s="24" t="s">
        <v>741</v>
      </c>
      <c r="I2462" s="24" t="s">
        <v>1185</v>
      </c>
      <c r="J2462" s="14" t="s">
        <v>29</v>
      </c>
      <c r="K2462" s="15" t="s">
        <v>30</v>
      </c>
      <c r="L2462" s="62"/>
      <c r="M2462" s="14"/>
      <c r="N2462" s="14" t="s">
        <v>33</v>
      </c>
      <c r="O2462" s="14"/>
      <c r="P2462" s="15" t="s">
        <v>745</v>
      </c>
      <c r="Q2462" s="16">
        <v>17099</v>
      </c>
      <c r="R2462" s="17">
        <v>40</v>
      </c>
      <c r="S2462" s="18">
        <v>11798.31</v>
      </c>
      <c r="T2462" s="19" t="s">
        <v>36</v>
      </c>
      <c r="U2462" s="20" t="s">
        <v>751</v>
      </c>
      <c r="V2462" s="22">
        <v>42</v>
      </c>
      <c r="W2462" s="22">
        <v>13</v>
      </c>
      <c r="X2462" s="23"/>
    </row>
    <row r="2463" spans="1:24" s="1" customFormat="1" ht="11" customHeight="1" x14ac:dyDescent="0.3">
      <c r="A2463" s="24" t="s">
        <v>23</v>
      </c>
      <c r="B2463" s="24" t="s">
        <v>2340</v>
      </c>
      <c r="C2463" s="12" t="s">
        <v>2341</v>
      </c>
      <c r="D2463" s="60"/>
      <c r="E2463" s="41" t="str">
        <f t="shared" si="102"/>
        <v>Еще фото</v>
      </c>
      <c r="F2463" s="13" t="s">
        <v>103</v>
      </c>
      <c r="G2463" s="24" t="s">
        <v>1184</v>
      </c>
      <c r="H2463" s="24" t="s">
        <v>741</v>
      </c>
      <c r="I2463" s="24" t="s">
        <v>1185</v>
      </c>
      <c r="J2463" s="14" t="s">
        <v>29</v>
      </c>
      <c r="K2463" s="15" t="s">
        <v>30</v>
      </c>
      <c r="L2463" s="62"/>
      <c r="M2463" s="14"/>
      <c r="N2463" s="14" t="s">
        <v>33</v>
      </c>
      <c r="O2463" s="14"/>
      <c r="P2463" s="15" t="s">
        <v>745</v>
      </c>
      <c r="Q2463" s="16">
        <v>17099</v>
      </c>
      <c r="R2463" s="17">
        <v>40</v>
      </c>
      <c r="S2463" s="18">
        <v>11798.31</v>
      </c>
      <c r="T2463" s="19" t="s">
        <v>36</v>
      </c>
      <c r="U2463" s="20" t="s">
        <v>752</v>
      </c>
      <c r="V2463" s="22">
        <v>43</v>
      </c>
      <c r="W2463" s="22">
        <v>13</v>
      </c>
      <c r="X2463" s="23"/>
    </row>
    <row r="2464" spans="1:24" s="1" customFormat="1" ht="11" customHeight="1" x14ac:dyDescent="0.3">
      <c r="A2464" s="24" t="s">
        <v>23</v>
      </c>
      <c r="B2464" s="24" t="s">
        <v>2340</v>
      </c>
      <c r="C2464" s="12" t="s">
        <v>2341</v>
      </c>
      <c r="D2464" s="60"/>
      <c r="E2464" s="41" t="str">
        <f t="shared" si="102"/>
        <v>Еще фото</v>
      </c>
      <c r="F2464" s="13" t="s">
        <v>103</v>
      </c>
      <c r="G2464" s="24" t="s">
        <v>1184</v>
      </c>
      <c r="H2464" s="24" t="s">
        <v>741</v>
      </c>
      <c r="I2464" s="24" t="s">
        <v>1185</v>
      </c>
      <c r="J2464" s="14" t="s">
        <v>29</v>
      </c>
      <c r="K2464" s="15" t="s">
        <v>30</v>
      </c>
      <c r="L2464" s="62"/>
      <c r="M2464" s="14"/>
      <c r="N2464" s="14" t="s">
        <v>33</v>
      </c>
      <c r="O2464" s="14"/>
      <c r="P2464" s="15" t="s">
        <v>745</v>
      </c>
      <c r="Q2464" s="16">
        <v>17099</v>
      </c>
      <c r="R2464" s="17">
        <v>40</v>
      </c>
      <c r="S2464" s="18">
        <v>11798.31</v>
      </c>
      <c r="T2464" s="19" t="s">
        <v>36</v>
      </c>
      <c r="U2464" s="20" t="s">
        <v>753</v>
      </c>
      <c r="V2464" s="34">
        <v>43.5</v>
      </c>
      <c r="W2464" s="22">
        <v>15</v>
      </c>
      <c r="X2464" s="23"/>
    </row>
    <row r="2465" spans="1:24" s="1" customFormat="1" ht="11" customHeight="1" x14ac:dyDescent="0.3">
      <c r="A2465" s="24" t="s">
        <v>23</v>
      </c>
      <c r="B2465" s="24" t="s">
        <v>2340</v>
      </c>
      <c r="C2465" s="12" t="s">
        <v>2341</v>
      </c>
      <c r="D2465" s="60"/>
      <c r="E2465" s="41" t="str">
        <f t="shared" si="102"/>
        <v>Еще фото</v>
      </c>
      <c r="F2465" s="13" t="s">
        <v>103</v>
      </c>
      <c r="G2465" s="24" t="s">
        <v>1184</v>
      </c>
      <c r="H2465" s="24" t="s">
        <v>741</v>
      </c>
      <c r="I2465" s="24" t="s">
        <v>1185</v>
      </c>
      <c r="J2465" s="14" t="s">
        <v>29</v>
      </c>
      <c r="K2465" s="15" t="s">
        <v>30</v>
      </c>
      <c r="L2465" s="62"/>
      <c r="M2465" s="14"/>
      <c r="N2465" s="14" t="s">
        <v>33</v>
      </c>
      <c r="O2465" s="14"/>
      <c r="P2465" s="15" t="s">
        <v>745</v>
      </c>
      <c r="Q2465" s="16">
        <v>17099</v>
      </c>
      <c r="R2465" s="17">
        <v>40</v>
      </c>
      <c r="S2465" s="18">
        <v>11798.31</v>
      </c>
      <c r="T2465" s="19" t="s">
        <v>36</v>
      </c>
      <c r="U2465" s="20" t="s">
        <v>754</v>
      </c>
      <c r="V2465" s="22">
        <v>44</v>
      </c>
      <c r="W2465" s="22">
        <v>9</v>
      </c>
      <c r="X2465" s="23"/>
    </row>
    <row r="2466" spans="1:24" s="1" customFormat="1" ht="11" customHeight="1" x14ac:dyDescent="0.3">
      <c r="A2466" s="24" t="s">
        <v>23</v>
      </c>
      <c r="B2466" s="24" t="s">
        <v>2340</v>
      </c>
      <c r="C2466" s="12" t="s">
        <v>2341</v>
      </c>
      <c r="D2466" s="60"/>
      <c r="E2466" s="41" t="str">
        <f t="shared" si="102"/>
        <v>Еще фото</v>
      </c>
      <c r="F2466" s="13" t="s">
        <v>103</v>
      </c>
      <c r="G2466" s="24" t="s">
        <v>1184</v>
      </c>
      <c r="H2466" s="24" t="s">
        <v>741</v>
      </c>
      <c r="I2466" s="24" t="s">
        <v>1185</v>
      </c>
      <c r="J2466" s="14" t="s">
        <v>29</v>
      </c>
      <c r="K2466" s="15" t="s">
        <v>30</v>
      </c>
      <c r="L2466" s="62"/>
      <c r="M2466" s="14"/>
      <c r="N2466" s="14" t="s">
        <v>33</v>
      </c>
      <c r="O2466" s="14"/>
      <c r="P2466" s="15" t="s">
        <v>745</v>
      </c>
      <c r="Q2466" s="16">
        <v>17099</v>
      </c>
      <c r="R2466" s="17">
        <v>40</v>
      </c>
      <c r="S2466" s="18">
        <v>11798.31</v>
      </c>
      <c r="T2466" s="19" t="s">
        <v>36</v>
      </c>
      <c r="U2466" s="20" t="s">
        <v>755</v>
      </c>
      <c r="V2466" s="34">
        <v>44.5</v>
      </c>
      <c r="W2466" s="22">
        <v>10</v>
      </c>
      <c r="X2466" s="23"/>
    </row>
    <row r="2467" spans="1:24" s="1" customFormat="1" ht="11" customHeight="1" x14ac:dyDescent="0.3">
      <c r="A2467" s="14" t="s">
        <v>23</v>
      </c>
      <c r="B2467" s="14" t="s">
        <v>2340</v>
      </c>
      <c r="C2467" s="12" t="s">
        <v>2341</v>
      </c>
      <c r="D2467" s="60"/>
      <c r="E2467" s="41" t="str">
        <f t="shared" si="102"/>
        <v>Еще фото</v>
      </c>
      <c r="F2467" s="29" t="s">
        <v>103</v>
      </c>
      <c r="G2467" s="14" t="s">
        <v>1184</v>
      </c>
      <c r="H2467" s="14" t="s">
        <v>741</v>
      </c>
      <c r="I2467" s="14" t="s">
        <v>1185</v>
      </c>
      <c r="J2467" s="14" t="s">
        <v>29</v>
      </c>
      <c r="K2467" s="14" t="s">
        <v>30</v>
      </c>
      <c r="L2467" s="62"/>
      <c r="M2467" s="14"/>
      <c r="N2467" s="14" t="s">
        <v>33</v>
      </c>
      <c r="O2467" s="14"/>
      <c r="P2467" s="14" t="s">
        <v>745</v>
      </c>
      <c r="Q2467" s="30">
        <v>17099</v>
      </c>
      <c r="R2467" s="31">
        <v>40</v>
      </c>
      <c r="S2467" s="32">
        <v>11798.31</v>
      </c>
      <c r="T2467" s="19" t="s">
        <v>36</v>
      </c>
      <c r="U2467" s="20" t="s">
        <v>1337</v>
      </c>
      <c r="V2467" s="22">
        <v>45</v>
      </c>
      <c r="W2467" s="22">
        <v>3</v>
      </c>
      <c r="X2467" s="23"/>
    </row>
    <row r="2468" spans="1:24" s="1" customFormat="1" ht="11" customHeight="1" x14ac:dyDescent="0.3">
      <c r="A2468" s="14" t="s">
        <v>23</v>
      </c>
      <c r="B2468" s="14" t="s">
        <v>2340</v>
      </c>
      <c r="C2468" s="12" t="s">
        <v>2341</v>
      </c>
      <c r="D2468" s="60"/>
      <c r="E2468" s="41" t="str">
        <f t="shared" si="102"/>
        <v>Еще фото</v>
      </c>
      <c r="F2468" s="29" t="s">
        <v>103</v>
      </c>
      <c r="G2468" s="14" t="s">
        <v>1184</v>
      </c>
      <c r="H2468" s="14" t="s">
        <v>741</v>
      </c>
      <c r="I2468" s="14" t="s">
        <v>1185</v>
      </c>
      <c r="J2468" s="14" t="s">
        <v>29</v>
      </c>
      <c r="K2468" s="14" t="s">
        <v>30</v>
      </c>
      <c r="L2468" s="62"/>
      <c r="M2468" s="14"/>
      <c r="N2468" s="14" t="s">
        <v>33</v>
      </c>
      <c r="O2468" s="14"/>
      <c r="P2468" s="14" t="s">
        <v>745</v>
      </c>
      <c r="Q2468" s="30">
        <v>17099</v>
      </c>
      <c r="R2468" s="31">
        <v>40</v>
      </c>
      <c r="S2468" s="32">
        <v>11798.31</v>
      </c>
      <c r="T2468" s="19" t="s">
        <v>36</v>
      </c>
      <c r="U2468" s="20" t="s">
        <v>1907</v>
      </c>
      <c r="V2468" s="22">
        <v>46</v>
      </c>
      <c r="W2468" s="22">
        <v>2</v>
      </c>
      <c r="X2468" s="23"/>
    </row>
    <row r="2469" spans="1:24" s="1" customFormat="1" ht="11" customHeight="1" x14ac:dyDescent="0.3">
      <c r="A2469" s="14" t="s">
        <v>23</v>
      </c>
      <c r="B2469" s="14" t="s">
        <v>2340</v>
      </c>
      <c r="C2469" s="12" t="s">
        <v>2341</v>
      </c>
      <c r="D2469" s="61"/>
      <c r="E2469" s="41" t="str">
        <f t="shared" si="102"/>
        <v>Еще фото</v>
      </c>
      <c r="F2469" s="29" t="s">
        <v>103</v>
      </c>
      <c r="G2469" s="14" t="s">
        <v>1184</v>
      </c>
      <c r="H2469" s="14" t="s">
        <v>741</v>
      </c>
      <c r="I2469" s="14" t="s">
        <v>1185</v>
      </c>
      <c r="J2469" s="14" t="s">
        <v>29</v>
      </c>
      <c r="K2469" s="14" t="s">
        <v>30</v>
      </c>
      <c r="L2469" s="58"/>
      <c r="M2469" s="14"/>
      <c r="N2469" s="14" t="s">
        <v>33</v>
      </c>
      <c r="O2469" s="14"/>
      <c r="P2469" s="14" t="s">
        <v>745</v>
      </c>
      <c r="Q2469" s="30">
        <v>17099</v>
      </c>
      <c r="R2469" s="31">
        <v>40</v>
      </c>
      <c r="S2469" s="32">
        <v>11798.31</v>
      </c>
      <c r="T2469" s="19" t="s">
        <v>36</v>
      </c>
      <c r="U2469" s="20" t="s">
        <v>1908</v>
      </c>
      <c r="V2469" s="34">
        <v>46.5</v>
      </c>
      <c r="W2469" s="22">
        <v>2</v>
      </c>
      <c r="X2469" s="23"/>
    </row>
    <row r="2470" spans="1:24" s="1" customFormat="1" ht="108" customHeight="1" x14ac:dyDescent="0.3">
      <c r="A2470" s="11" t="s">
        <v>23</v>
      </c>
      <c r="B2470" s="11" t="s">
        <v>1341</v>
      </c>
      <c r="C2470" s="12" t="s">
        <v>2343</v>
      </c>
      <c r="D2470" s="25"/>
      <c r="E2470" s="41" t="str">
        <f>HYPERLINK("https://www.google.ru/search?q=6000018-001&amp;newwindow=1&amp;tbm=isch","Еще фото")</f>
        <v>Еще фото</v>
      </c>
      <c r="F2470" s="13" t="s">
        <v>152</v>
      </c>
      <c r="G2470" s="11" t="s">
        <v>1184</v>
      </c>
      <c r="H2470" s="11" t="s">
        <v>741</v>
      </c>
      <c r="I2470" s="14" t="s">
        <v>1185</v>
      </c>
      <c r="J2470" s="14" t="s">
        <v>29</v>
      </c>
      <c r="K2470" s="15" t="s">
        <v>723</v>
      </c>
      <c r="L2470" s="14" t="s">
        <v>1343</v>
      </c>
      <c r="M2470" s="14"/>
      <c r="N2470" s="14" t="s">
        <v>33</v>
      </c>
      <c r="O2470" s="14"/>
      <c r="P2470" s="15" t="s">
        <v>745</v>
      </c>
      <c r="Q2470" s="16">
        <v>21999</v>
      </c>
      <c r="R2470" s="17">
        <v>40</v>
      </c>
      <c r="S2470" s="18">
        <v>15179.309999999998</v>
      </c>
      <c r="T2470" s="19" t="s">
        <v>36</v>
      </c>
      <c r="U2470" s="20" t="s">
        <v>1345</v>
      </c>
      <c r="V2470" s="22">
        <v>41</v>
      </c>
      <c r="W2470" s="22">
        <v>1</v>
      </c>
      <c r="X2470" s="23"/>
    </row>
    <row r="2471" spans="1:24" s="1" customFormat="1" ht="35" customHeight="1" x14ac:dyDescent="0.3">
      <c r="A2471" s="11" t="s">
        <v>23</v>
      </c>
      <c r="B2471" s="11" t="s">
        <v>2344</v>
      </c>
      <c r="C2471" s="12" t="s">
        <v>2345</v>
      </c>
      <c r="D2471" s="59"/>
      <c r="E2471" s="41" t="str">
        <f>HYPERLINK("https://www.google.ru/search?q=6000597-103&amp;newwindow=1&amp;tbm=isch","Еще фото")</f>
        <v>Еще фото</v>
      </c>
      <c r="F2471" s="13" t="s">
        <v>103</v>
      </c>
      <c r="G2471" s="11" t="s">
        <v>1184</v>
      </c>
      <c r="H2471" s="11" t="s">
        <v>741</v>
      </c>
      <c r="I2471" s="14" t="s">
        <v>1185</v>
      </c>
      <c r="J2471" s="14" t="s">
        <v>29</v>
      </c>
      <c r="K2471" s="15" t="s">
        <v>30</v>
      </c>
      <c r="L2471" s="57" t="s">
        <v>2346</v>
      </c>
      <c r="M2471" s="14"/>
      <c r="N2471" s="14" t="s">
        <v>84</v>
      </c>
      <c r="O2471" s="14"/>
      <c r="P2471" s="15" t="s">
        <v>2347</v>
      </c>
      <c r="Q2471" s="16">
        <v>9499</v>
      </c>
      <c r="R2471" s="17">
        <v>40</v>
      </c>
      <c r="S2471" s="18">
        <v>6554.3099999999995</v>
      </c>
      <c r="T2471" s="19" t="s">
        <v>36</v>
      </c>
      <c r="U2471" s="20" t="s">
        <v>750</v>
      </c>
      <c r="V2471" s="34">
        <v>41.5</v>
      </c>
      <c r="W2471" s="22">
        <v>1</v>
      </c>
      <c r="X2471" s="23"/>
    </row>
    <row r="2472" spans="1:24" s="1" customFormat="1" ht="35" customHeight="1" x14ac:dyDescent="0.3">
      <c r="A2472" s="24" t="s">
        <v>23</v>
      </c>
      <c r="B2472" s="24" t="s">
        <v>2344</v>
      </c>
      <c r="C2472" s="12" t="s">
        <v>2345</v>
      </c>
      <c r="D2472" s="60"/>
      <c r="E2472" s="41" t="str">
        <f>HYPERLINK("https://www.google.ru/search?q=6000597-103&amp;newwindow=1&amp;tbm=isch","Еще фото")</f>
        <v>Еще фото</v>
      </c>
      <c r="F2472" s="13" t="s">
        <v>103</v>
      </c>
      <c r="G2472" s="24" t="s">
        <v>1184</v>
      </c>
      <c r="H2472" s="24" t="s">
        <v>741</v>
      </c>
      <c r="I2472" s="24" t="s">
        <v>1185</v>
      </c>
      <c r="J2472" s="14" t="s">
        <v>29</v>
      </c>
      <c r="K2472" s="15" t="s">
        <v>30</v>
      </c>
      <c r="L2472" s="62"/>
      <c r="M2472" s="14"/>
      <c r="N2472" s="14" t="s">
        <v>84</v>
      </c>
      <c r="O2472" s="14"/>
      <c r="P2472" s="15" t="s">
        <v>2347</v>
      </c>
      <c r="Q2472" s="16">
        <v>9499</v>
      </c>
      <c r="R2472" s="17">
        <v>40</v>
      </c>
      <c r="S2472" s="18">
        <v>6554.3099999999995</v>
      </c>
      <c r="T2472" s="19" t="s">
        <v>36</v>
      </c>
      <c r="U2472" s="20" t="s">
        <v>751</v>
      </c>
      <c r="V2472" s="22">
        <v>42</v>
      </c>
      <c r="W2472" s="22">
        <v>3</v>
      </c>
      <c r="X2472" s="23"/>
    </row>
    <row r="2473" spans="1:24" s="1" customFormat="1" ht="37.049999999999997" customHeight="1" x14ac:dyDescent="0.3">
      <c r="A2473" s="24" t="s">
        <v>23</v>
      </c>
      <c r="B2473" s="24" t="s">
        <v>2344</v>
      </c>
      <c r="C2473" s="12" t="s">
        <v>2345</v>
      </c>
      <c r="D2473" s="61"/>
      <c r="E2473" s="41" t="str">
        <f>HYPERLINK("https://www.google.ru/search?q=6000597-103&amp;newwindow=1&amp;tbm=isch","Еще фото")</f>
        <v>Еще фото</v>
      </c>
      <c r="F2473" s="13" t="s">
        <v>103</v>
      </c>
      <c r="G2473" s="24" t="s">
        <v>1184</v>
      </c>
      <c r="H2473" s="24" t="s">
        <v>741</v>
      </c>
      <c r="I2473" s="24" t="s">
        <v>1185</v>
      </c>
      <c r="J2473" s="14" t="s">
        <v>29</v>
      </c>
      <c r="K2473" s="15" t="s">
        <v>30</v>
      </c>
      <c r="L2473" s="58"/>
      <c r="M2473" s="14"/>
      <c r="N2473" s="14" t="s">
        <v>84</v>
      </c>
      <c r="O2473" s="14"/>
      <c r="P2473" s="15" t="s">
        <v>2347</v>
      </c>
      <c r="Q2473" s="16">
        <v>9499</v>
      </c>
      <c r="R2473" s="17">
        <v>40</v>
      </c>
      <c r="S2473" s="18">
        <v>6554.3099999999995</v>
      </c>
      <c r="T2473" s="19" t="s">
        <v>36</v>
      </c>
      <c r="U2473" s="20" t="s">
        <v>754</v>
      </c>
      <c r="V2473" s="22">
        <v>44</v>
      </c>
      <c r="W2473" s="22">
        <v>1</v>
      </c>
      <c r="X2473" s="23"/>
    </row>
    <row r="2474" spans="1:24" s="1" customFormat="1" ht="17" customHeight="1" x14ac:dyDescent="0.3">
      <c r="A2474" s="11" t="s">
        <v>23</v>
      </c>
      <c r="B2474" s="11" t="s">
        <v>2344</v>
      </c>
      <c r="C2474" s="12" t="s">
        <v>2348</v>
      </c>
      <c r="D2474" s="59"/>
      <c r="E2474" s="41" t="str">
        <f t="shared" ref="E2474:E2479" si="103">HYPERLINK("https://www.google.ru/search?q=6000597-410&amp;newwindow=1&amp;tbm=isch","Еще фото")</f>
        <v>Еще фото</v>
      </c>
      <c r="F2474" s="13" t="s">
        <v>103</v>
      </c>
      <c r="G2474" s="11" t="s">
        <v>1184</v>
      </c>
      <c r="H2474" s="11" t="s">
        <v>741</v>
      </c>
      <c r="I2474" s="14" t="s">
        <v>1185</v>
      </c>
      <c r="J2474" s="14" t="s">
        <v>29</v>
      </c>
      <c r="K2474" s="15" t="s">
        <v>30</v>
      </c>
      <c r="L2474" s="57" t="s">
        <v>2346</v>
      </c>
      <c r="M2474" s="14"/>
      <c r="N2474" s="14" t="s">
        <v>115</v>
      </c>
      <c r="O2474" s="14"/>
      <c r="P2474" s="15" t="s">
        <v>745</v>
      </c>
      <c r="Q2474" s="16">
        <v>9499</v>
      </c>
      <c r="R2474" s="17">
        <v>40</v>
      </c>
      <c r="S2474" s="18">
        <v>6554.3099999999995</v>
      </c>
      <c r="T2474" s="19" t="s">
        <v>36</v>
      </c>
      <c r="U2474" s="20" t="s">
        <v>747</v>
      </c>
      <c r="V2474" s="34">
        <v>39.5</v>
      </c>
      <c r="W2474" s="22">
        <v>2</v>
      </c>
      <c r="X2474" s="23"/>
    </row>
    <row r="2475" spans="1:24" s="1" customFormat="1" ht="17" customHeight="1" x14ac:dyDescent="0.3">
      <c r="A2475" s="24" t="s">
        <v>23</v>
      </c>
      <c r="B2475" s="24" t="s">
        <v>2344</v>
      </c>
      <c r="C2475" s="12" t="s">
        <v>2348</v>
      </c>
      <c r="D2475" s="60"/>
      <c r="E2475" s="41" t="str">
        <f t="shared" si="103"/>
        <v>Еще фото</v>
      </c>
      <c r="F2475" s="13" t="s">
        <v>103</v>
      </c>
      <c r="G2475" s="24" t="s">
        <v>1184</v>
      </c>
      <c r="H2475" s="24" t="s">
        <v>741</v>
      </c>
      <c r="I2475" s="24" t="s">
        <v>1185</v>
      </c>
      <c r="J2475" s="14" t="s">
        <v>29</v>
      </c>
      <c r="K2475" s="15" t="s">
        <v>30</v>
      </c>
      <c r="L2475" s="62"/>
      <c r="M2475" s="14"/>
      <c r="N2475" s="14" t="s">
        <v>115</v>
      </c>
      <c r="O2475" s="14"/>
      <c r="P2475" s="15" t="s">
        <v>745</v>
      </c>
      <c r="Q2475" s="16">
        <v>9499</v>
      </c>
      <c r="R2475" s="17">
        <v>40</v>
      </c>
      <c r="S2475" s="18">
        <v>6554.3099999999995</v>
      </c>
      <c r="T2475" s="19" t="s">
        <v>36</v>
      </c>
      <c r="U2475" s="20" t="s">
        <v>748</v>
      </c>
      <c r="V2475" s="22">
        <v>40</v>
      </c>
      <c r="W2475" s="22">
        <v>2</v>
      </c>
      <c r="X2475" s="23"/>
    </row>
    <row r="2476" spans="1:24" s="1" customFormat="1" ht="17" customHeight="1" x14ac:dyDescent="0.3">
      <c r="A2476" s="24" t="s">
        <v>23</v>
      </c>
      <c r="B2476" s="24" t="s">
        <v>2344</v>
      </c>
      <c r="C2476" s="12" t="s">
        <v>2348</v>
      </c>
      <c r="D2476" s="60"/>
      <c r="E2476" s="41" t="str">
        <f t="shared" si="103"/>
        <v>Еще фото</v>
      </c>
      <c r="F2476" s="13" t="s">
        <v>103</v>
      </c>
      <c r="G2476" s="24" t="s">
        <v>1184</v>
      </c>
      <c r="H2476" s="24" t="s">
        <v>741</v>
      </c>
      <c r="I2476" s="24" t="s">
        <v>1185</v>
      </c>
      <c r="J2476" s="14" t="s">
        <v>29</v>
      </c>
      <c r="K2476" s="15" t="s">
        <v>30</v>
      </c>
      <c r="L2476" s="62"/>
      <c r="M2476" s="14"/>
      <c r="N2476" s="14" t="s">
        <v>115</v>
      </c>
      <c r="O2476" s="14"/>
      <c r="P2476" s="15" t="s">
        <v>745</v>
      </c>
      <c r="Q2476" s="16">
        <v>9499</v>
      </c>
      <c r="R2476" s="17">
        <v>40</v>
      </c>
      <c r="S2476" s="18">
        <v>6554.3099999999995</v>
      </c>
      <c r="T2476" s="19" t="s">
        <v>36</v>
      </c>
      <c r="U2476" s="20" t="s">
        <v>750</v>
      </c>
      <c r="V2476" s="34">
        <v>41.5</v>
      </c>
      <c r="W2476" s="22">
        <v>5</v>
      </c>
      <c r="X2476" s="23"/>
    </row>
    <row r="2477" spans="1:24" s="1" customFormat="1" ht="17" customHeight="1" x14ac:dyDescent="0.3">
      <c r="A2477" s="24" t="s">
        <v>23</v>
      </c>
      <c r="B2477" s="24" t="s">
        <v>2344</v>
      </c>
      <c r="C2477" s="12" t="s">
        <v>2348</v>
      </c>
      <c r="D2477" s="60"/>
      <c r="E2477" s="41" t="str">
        <f t="shared" si="103"/>
        <v>Еще фото</v>
      </c>
      <c r="F2477" s="13" t="s">
        <v>103</v>
      </c>
      <c r="G2477" s="24" t="s">
        <v>1184</v>
      </c>
      <c r="H2477" s="24" t="s">
        <v>741</v>
      </c>
      <c r="I2477" s="24" t="s">
        <v>1185</v>
      </c>
      <c r="J2477" s="14" t="s">
        <v>29</v>
      </c>
      <c r="K2477" s="15" t="s">
        <v>30</v>
      </c>
      <c r="L2477" s="62"/>
      <c r="M2477" s="14"/>
      <c r="N2477" s="14" t="s">
        <v>115</v>
      </c>
      <c r="O2477" s="14"/>
      <c r="P2477" s="15" t="s">
        <v>745</v>
      </c>
      <c r="Q2477" s="16">
        <v>9499</v>
      </c>
      <c r="R2477" s="17">
        <v>40</v>
      </c>
      <c r="S2477" s="18">
        <v>6554.3099999999995</v>
      </c>
      <c r="T2477" s="19" t="s">
        <v>36</v>
      </c>
      <c r="U2477" s="20" t="s">
        <v>751</v>
      </c>
      <c r="V2477" s="22">
        <v>42</v>
      </c>
      <c r="W2477" s="22">
        <v>9</v>
      </c>
      <c r="X2477" s="23"/>
    </row>
    <row r="2478" spans="1:24" s="1" customFormat="1" ht="17" customHeight="1" x14ac:dyDescent="0.3">
      <c r="A2478" s="24" t="s">
        <v>23</v>
      </c>
      <c r="B2478" s="24" t="s">
        <v>2344</v>
      </c>
      <c r="C2478" s="12" t="s">
        <v>2348</v>
      </c>
      <c r="D2478" s="60"/>
      <c r="E2478" s="41" t="str">
        <f t="shared" si="103"/>
        <v>Еще фото</v>
      </c>
      <c r="F2478" s="13" t="s">
        <v>103</v>
      </c>
      <c r="G2478" s="24" t="s">
        <v>1184</v>
      </c>
      <c r="H2478" s="24" t="s">
        <v>741</v>
      </c>
      <c r="I2478" s="24" t="s">
        <v>1185</v>
      </c>
      <c r="J2478" s="14" t="s">
        <v>29</v>
      </c>
      <c r="K2478" s="15" t="s">
        <v>30</v>
      </c>
      <c r="L2478" s="62"/>
      <c r="M2478" s="14"/>
      <c r="N2478" s="14" t="s">
        <v>115</v>
      </c>
      <c r="O2478" s="14"/>
      <c r="P2478" s="15" t="s">
        <v>745</v>
      </c>
      <c r="Q2478" s="16">
        <v>9499</v>
      </c>
      <c r="R2478" s="17">
        <v>40</v>
      </c>
      <c r="S2478" s="18">
        <v>6554.3099999999995</v>
      </c>
      <c r="T2478" s="19" t="s">
        <v>36</v>
      </c>
      <c r="U2478" s="20" t="s">
        <v>752</v>
      </c>
      <c r="V2478" s="22">
        <v>43</v>
      </c>
      <c r="W2478" s="22">
        <v>6</v>
      </c>
      <c r="X2478" s="23"/>
    </row>
    <row r="2479" spans="1:24" s="1" customFormat="1" ht="22.05" customHeight="1" x14ac:dyDescent="0.3">
      <c r="A2479" s="24" t="s">
        <v>23</v>
      </c>
      <c r="B2479" s="24" t="s">
        <v>2344</v>
      </c>
      <c r="C2479" s="12" t="s">
        <v>2348</v>
      </c>
      <c r="D2479" s="61"/>
      <c r="E2479" s="41" t="str">
        <f t="shared" si="103"/>
        <v>Еще фото</v>
      </c>
      <c r="F2479" s="13" t="s">
        <v>103</v>
      </c>
      <c r="G2479" s="24" t="s">
        <v>1184</v>
      </c>
      <c r="H2479" s="24" t="s">
        <v>741</v>
      </c>
      <c r="I2479" s="24" t="s">
        <v>1185</v>
      </c>
      <c r="J2479" s="14" t="s">
        <v>29</v>
      </c>
      <c r="K2479" s="15" t="s">
        <v>30</v>
      </c>
      <c r="L2479" s="58"/>
      <c r="M2479" s="14"/>
      <c r="N2479" s="14" t="s">
        <v>115</v>
      </c>
      <c r="O2479" s="14"/>
      <c r="P2479" s="15" t="s">
        <v>745</v>
      </c>
      <c r="Q2479" s="16">
        <v>9499</v>
      </c>
      <c r="R2479" s="17">
        <v>40</v>
      </c>
      <c r="S2479" s="18">
        <v>6554.3099999999995</v>
      </c>
      <c r="T2479" s="19" t="s">
        <v>36</v>
      </c>
      <c r="U2479" s="20" t="s">
        <v>753</v>
      </c>
      <c r="V2479" s="34">
        <v>43.5</v>
      </c>
      <c r="W2479" s="22">
        <v>4</v>
      </c>
      <c r="X2479" s="23"/>
    </row>
    <row r="2480" spans="1:24" s="1" customFormat="1" ht="14" customHeight="1" x14ac:dyDescent="0.3">
      <c r="A2480" s="11" t="s">
        <v>23</v>
      </c>
      <c r="B2480" s="11" t="s">
        <v>2349</v>
      </c>
      <c r="C2480" s="12" t="s">
        <v>2350</v>
      </c>
      <c r="D2480" s="59"/>
      <c r="E2480" s="41" t="str">
        <f t="shared" ref="E2480:E2486" si="104">HYPERLINK("https://www.google.ru/search?q=6000598-102&amp;newwindow=1&amp;tbm=isch","Еще фото")</f>
        <v>Еще фото</v>
      </c>
      <c r="F2480" s="13" t="s">
        <v>103</v>
      </c>
      <c r="G2480" s="11" t="s">
        <v>1184</v>
      </c>
      <c r="H2480" s="11" t="s">
        <v>741</v>
      </c>
      <c r="I2480" s="14" t="s">
        <v>1185</v>
      </c>
      <c r="J2480" s="14" t="s">
        <v>29</v>
      </c>
      <c r="K2480" s="15" t="s">
        <v>59</v>
      </c>
      <c r="L2480" s="57" t="s">
        <v>2351</v>
      </c>
      <c r="M2480" s="14"/>
      <c r="N2480" s="14" t="s">
        <v>84</v>
      </c>
      <c r="O2480" s="14"/>
      <c r="P2480" s="15" t="s">
        <v>2347</v>
      </c>
      <c r="Q2480" s="16">
        <v>9099</v>
      </c>
      <c r="R2480" s="17">
        <v>40</v>
      </c>
      <c r="S2480" s="18">
        <v>6278.3099999999995</v>
      </c>
      <c r="T2480" s="19" t="s">
        <v>36</v>
      </c>
      <c r="U2480" s="20" t="s">
        <v>1203</v>
      </c>
      <c r="V2480" s="22">
        <v>36</v>
      </c>
      <c r="W2480" s="22">
        <v>4</v>
      </c>
      <c r="X2480" s="23"/>
    </row>
    <row r="2481" spans="1:24" s="1" customFormat="1" ht="14" customHeight="1" x14ac:dyDescent="0.3">
      <c r="A2481" s="24" t="s">
        <v>23</v>
      </c>
      <c r="B2481" s="24" t="s">
        <v>2349</v>
      </c>
      <c r="C2481" s="12" t="s">
        <v>2350</v>
      </c>
      <c r="D2481" s="60"/>
      <c r="E2481" s="41" t="str">
        <f t="shared" si="104"/>
        <v>Еще фото</v>
      </c>
      <c r="F2481" s="13" t="s">
        <v>103</v>
      </c>
      <c r="G2481" s="24" t="s">
        <v>1184</v>
      </c>
      <c r="H2481" s="24" t="s">
        <v>741</v>
      </c>
      <c r="I2481" s="24" t="s">
        <v>1185</v>
      </c>
      <c r="J2481" s="14" t="s">
        <v>29</v>
      </c>
      <c r="K2481" s="15" t="s">
        <v>59</v>
      </c>
      <c r="L2481" s="62"/>
      <c r="M2481" s="14"/>
      <c r="N2481" s="14" t="s">
        <v>84</v>
      </c>
      <c r="O2481" s="14"/>
      <c r="P2481" s="15" t="s">
        <v>2347</v>
      </c>
      <c r="Q2481" s="16">
        <v>9099</v>
      </c>
      <c r="R2481" s="17">
        <v>40</v>
      </c>
      <c r="S2481" s="18">
        <v>6278.3099999999995</v>
      </c>
      <c r="T2481" s="19" t="s">
        <v>36</v>
      </c>
      <c r="U2481" s="20" t="s">
        <v>1196</v>
      </c>
      <c r="V2481" s="34">
        <v>36.5</v>
      </c>
      <c r="W2481" s="22">
        <v>15</v>
      </c>
      <c r="X2481" s="23"/>
    </row>
    <row r="2482" spans="1:24" s="1" customFormat="1" ht="14" customHeight="1" x14ac:dyDescent="0.3">
      <c r="A2482" s="24" t="s">
        <v>23</v>
      </c>
      <c r="B2482" s="24" t="s">
        <v>2349</v>
      </c>
      <c r="C2482" s="12" t="s">
        <v>2350</v>
      </c>
      <c r="D2482" s="60"/>
      <c r="E2482" s="41" t="str">
        <f t="shared" si="104"/>
        <v>Еще фото</v>
      </c>
      <c r="F2482" s="13" t="s">
        <v>103</v>
      </c>
      <c r="G2482" s="24" t="s">
        <v>1184</v>
      </c>
      <c r="H2482" s="24" t="s">
        <v>741</v>
      </c>
      <c r="I2482" s="24" t="s">
        <v>1185</v>
      </c>
      <c r="J2482" s="14" t="s">
        <v>29</v>
      </c>
      <c r="K2482" s="15" t="s">
        <v>59</v>
      </c>
      <c r="L2482" s="62"/>
      <c r="M2482" s="14"/>
      <c r="N2482" s="14" t="s">
        <v>84</v>
      </c>
      <c r="O2482" s="14"/>
      <c r="P2482" s="15" t="s">
        <v>2347</v>
      </c>
      <c r="Q2482" s="16">
        <v>9099</v>
      </c>
      <c r="R2482" s="17">
        <v>40</v>
      </c>
      <c r="S2482" s="18">
        <v>6278.3099999999995</v>
      </c>
      <c r="T2482" s="19" t="s">
        <v>36</v>
      </c>
      <c r="U2482" s="20" t="s">
        <v>746</v>
      </c>
      <c r="V2482" s="22">
        <v>37</v>
      </c>
      <c r="W2482" s="22">
        <v>17</v>
      </c>
      <c r="X2482" s="23"/>
    </row>
    <row r="2483" spans="1:24" s="1" customFormat="1" ht="14" customHeight="1" x14ac:dyDescent="0.3">
      <c r="A2483" s="24" t="s">
        <v>23</v>
      </c>
      <c r="B2483" s="24" t="s">
        <v>2349</v>
      </c>
      <c r="C2483" s="12" t="s">
        <v>2350</v>
      </c>
      <c r="D2483" s="60"/>
      <c r="E2483" s="41" t="str">
        <f t="shared" si="104"/>
        <v>Еще фото</v>
      </c>
      <c r="F2483" s="13" t="s">
        <v>103</v>
      </c>
      <c r="G2483" s="24" t="s">
        <v>1184</v>
      </c>
      <c r="H2483" s="24" t="s">
        <v>741</v>
      </c>
      <c r="I2483" s="24" t="s">
        <v>1185</v>
      </c>
      <c r="J2483" s="14" t="s">
        <v>29</v>
      </c>
      <c r="K2483" s="15" t="s">
        <v>59</v>
      </c>
      <c r="L2483" s="62"/>
      <c r="M2483" s="14"/>
      <c r="N2483" s="14" t="s">
        <v>84</v>
      </c>
      <c r="O2483" s="14"/>
      <c r="P2483" s="15" t="s">
        <v>2347</v>
      </c>
      <c r="Q2483" s="16">
        <v>9099</v>
      </c>
      <c r="R2483" s="17">
        <v>40</v>
      </c>
      <c r="S2483" s="18">
        <v>6278.3099999999995</v>
      </c>
      <c r="T2483" s="19" t="s">
        <v>36</v>
      </c>
      <c r="U2483" s="20" t="s">
        <v>747</v>
      </c>
      <c r="V2483" s="34">
        <v>37.5</v>
      </c>
      <c r="W2483" s="22">
        <v>15</v>
      </c>
      <c r="X2483" s="23"/>
    </row>
    <row r="2484" spans="1:24" s="1" customFormat="1" ht="14" customHeight="1" x14ac:dyDescent="0.3">
      <c r="A2484" s="24" t="s">
        <v>23</v>
      </c>
      <c r="B2484" s="24" t="s">
        <v>2349</v>
      </c>
      <c r="C2484" s="12" t="s">
        <v>2350</v>
      </c>
      <c r="D2484" s="60"/>
      <c r="E2484" s="41" t="str">
        <f t="shared" si="104"/>
        <v>Еще фото</v>
      </c>
      <c r="F2484" s="13" t="s">
        <v>103</v>
      </c>
      <c r="G2484" s="24" t="s">
        <v>1184</v>
      </c>
      <c r="H2484" s="24" t="s">
        <v>741</v>
      </c>
      <c r="I2484" s="24" t="s">
        <v>1185</v>
      </c>
      <c r="J2484" s="14" t="s">
        <v>29</v>
      </c>
      <c r="K2484" s="15" t="s">
        <v>59</v>
      </c>
      <c r="L2484" s="62"/>
      <c r="M2484" s="14"/>
      <c r="N2484" s="14" t="s">
        <v>84</v>
      </c>
      <c r="O2484" s="14"/>
      <c r="P2484" s="15" t="s">
        <v>2347</v>
      </c>
      <c r="Q2484" s="16">
        <v>9099</v>
      </c>
      <c r="R2484" s="17">
        <v>40</v>
      </c>
      <c r="S2484" s="18">
        <v>6278.3099999999995</v>
      </c>
      <c r="T2484" s="19" t="s">
        <v>36</v>
      </c>
      <c r="U2484" s="20" t="s">
        <v>748</v>
      </c>
      <c r="V2484" s="22">
        <v>38</v>
      </c>
      <c r="W2484" s="22">
        <v>10</v>
      </c>
      <c r="X2484" s="23"/>
    </row>
    <row r="2485" spans="1:24" s="1" customFormat="1" ht="14" customHeight="1" x14ac:dyDescent="0.3">
      <c r="A2485" s="24" t="s">
        <v>23</v>
      </c>
      <c r="B2485" s="24" t="s">
        <v>2349</v>
      </c>
      <c r="C2485" s="12" t="s">
        <v>2350</v>
      </c>
      <c r="D2485" s="60"/>
      <c r="E2485" s="41" t="str">
        <f t="shared" si="104"/>
        <v>Еще фото</v>
      </c>
      <c r="F2485" s="13" t="s">
        <v>103</v>
      </c>
      <c r="G2485" s="24" t="s">
        <v>1184</v>
      </c>
      <c r="H2485" s="24" t="s">
        <v>741</v>
      </c>
      <c r="I2485" s="24" t="s">
        <v>1185</v>
      </c>
      <c r="J2485" s="14" t="s">
        <v>29</v>
      </c>
      <c r="K2485" s="15" t="s">
        <v>59</v>
      </c>
      <c r="L2485" s="62"/>
      <c r="M2485" s="14"/>
      <c r="N2485" s="14" t="s">
        <v>84</v>
      </c>
      <c r="O2485" s="14"/>
      <c r="P2485" s="15" t="s">
        <v>2347</v>
      </c>
      <c r="Q2485" s="16">
        <v>9099</v>
      </c>
      <c r="R2485" s="17">
        <v>40</v>
      </c>
      <c r="S2485" s="18">
        <v>6278.3099999999995</v>
      </c>
      <c r="T2485" s="19" t="s">
        <v>36</v>
      </c>
      <c r="U2485" s="20" t="s">
        <v>749</v>
      </c>
      <c r="V2485" s="22">
        <v>39</v>
      </c>
      <c r="W2485" s="22">
        <v>6</v>
      </c>
      <c r="X2485" s="23"/>
    </row>
    <row r="2486" spans="1:24" s="1" customFormat="1" ht="17" customHeight="1" x14ac:dyDescent="0.3">
      <c r="A2486" s="24" t="s">
        <v>23</v>
      </c>
      <c r="B2486" s="24" t="s">
        <v>2349</v>
      </c>
      <c r="C2486" s="12" t="s">
        <v>2350</v>
      </c>
      <c r="D2486" s="61"/>
      <c r="E2486" s="41" t="str">
        <f t="shared" si="104"/>
        <v>Еще фото</v>
      </c>
      <c r="F2486" s="13" t="s">
        <v>103</v>
      </c>
      <c r="G2486" s="24" t="s">
        <v>1184</v>
      </c>
      <c r="H2486" s="24" t="s">
        <v>741</v>
      </c>
      <c r="I2486" s="24" t="s">
        <v>1185</v>
      </c>
      <c r="J2486" s="14" t="s">
        <v>29</v>
      </c>
      <c r="K2486" s="15" t="s">
        <v>59</v>
      </c>
      <c r="L2486" s="58"/>
      <c r="M2486" s="14"/>
      <c r="N2486" s="14" t="s">
        <v>84</v>
      </c>
      <c r="O2486" s="14"/>
      <c r="P2486" s="15" t="s">
        <v>2347</v>
      </c>
      <c r="Q2486" s="16">
        <v>9099</v>
      </c>
      <c r="R2486" s="17">
        <v>40</v>
      </c>
      <c r="S2486" s="18">
        <v>6278.3099999999995</v>
      </c>
      <c r="T2486" s="19" t="s">
        <v>36</v>
      </c>
      <c r="U2486" s="20" t="s">
        <v>750</v>
      </c>
      <c r="V2486" s="34">
        <v>39.5</v>
      </c>
      <c r="W2486" s="22">
        <v>4</v>
      </c>
      <c r="X2486" s="23"/>
    </row>
    <row r="2487" spans="1:24" s="1" customFormat="1" ht="13.05" customHeight="1" x14ac:dyDescent="0.3">
      <c r="A2487" s="11" t="s">
        <v>23</v>
      </c>
      <c r="B2487" s="11" t="s">
        <v>1355</v>
      </c>
      <c r="C2487" s="12" t="s">
        <v>2352</v>
      </c>
      <c r="D2487" s="59"/>
      <c r="E2487" s="41" t="str">
        <f t="shared" ref="E2487:E2494" si="105">HYPERLINK("https://www.google.ru/search?q=6000760-001&amp;newwindow=1&amp;tbm=isch","Еще фото")</f>
        <v>Еще фото</v>
      </c>
      <c r="F2487" s="13" t="s">
        <v>103</v>
      </c>
      <c r="G2487" s="11" t="s">
        <v>1184</v>
      </c>
      <c r="H2487" s="11" t="s">
        <v>741</v>
      </c>
      <c r="I2487" s="14" t="s">
        <v>1185</v>
      </c>
      <c r="J2487" s="14" t="s">
        <v>29</v>
      </c>
      <c r="K2487" s="15" t="s">
        <v>59</v>
      </c>
      <c r="L2487" s="57" t="s">
        <v>2353</v>
      </c>
      <c r="M2487" s="14"/>
      <c r="N2487" s="14" t="s">
        <v>33</v>
      </c>
      <c r="O2487" s="14"/>
      <c r="P2487" s="15" t="s">
        <v>745</v>
      </c>
      <c r="Q2487" s="16">
        <v>8699</v>
      </c>
      <c r="R2487" s="17">
        <v>40</v>
      </c>
      <c r="S2487" s="18">
        <v>6002.3099999999995</v>
      </c>
      <c r="T2487" s="19" t="s">
        <v>36</v>
      </c>
      <c r="U2487" s="33" t="s">
        <v>1203</v>
      </c>
      <c r="V2487" s="22">
        <v>36</v>
      </c>
      <c r="W2487" s="22">
        <v>7</v>
      </c>
      <c r="X2487" s="23"/>
    </row>
    <row r="2488" spans="1:24" s="1" customFormat="1" ht="13.05" customHeight="1" x14ac:dyDescent="0.3">
      <c r="A2488" s="24" t="s">
        <v>23</v>
      </c>
      <c r="B2488" s="24" t="s">
        <v>1355</v>
      </c>
      <c r="C2488" s="12" t="s">
        <v>2352</v>
      </c>
      <c r="D2488" s="60"/>
      <c r="E2488" s="41" t="str">
        <f t="shared" si="105"/>
        <v>Еще фото</v>
      </c>
      <c r="F2488" s="13" t="s">
        <v>103</v>
      </c>
      <c r="G2488" s="24" t="s">
        <v>1184</v>
      </c>
      <c r="H2488" s="24" t="s">
        <v>741</v>
      </c>
      <c r="I2488" s="24" t="s">
        <v>1185</v>
      </c>
      <c r="J2488" s="14" t="s">
        <v>29</v>
      </c>
      <c r="K2488" s="15" t="s">
        <v>59</v>
      </c>
      <c r="L2488" s="62"/>
      <c r="M2488" s="14"/>
      <c r="N2488" s="14" t="s">
        <v>33</v>
      </c>
      <c r="O2488" s="14"/>
      <c r="P2488" s="15" t="s">
        <v>745</v>
      </c>
      <c r="Q2488" s="16">
        <v>8699</v>
      </c>
      <c r="R2488" s="17">
        <v>40</v>
      </c>
      <c r="S2488" s="18">
        <v>6002.3099999999995</v>
      </c>
      <c r="T2488" s="19" t="s">
        <v>36</v>
      </c>
      <c r="U2488" s="20" t="s">
        <v>1196</v>
      </c>
      <c r="V2488" s="34">
        <v>36.5</v>
      </c>
      <c r="W2488" s="22">
        <v>12</v>
      </c>
      <c r="X2488" s="23"/>
    </row>
    <row r="2489" spans="1:24" s="1" customFormat="1" ht="13.05" customHeight="1" x14ac:dyDescent="0.3">
      <c r="A2489" s="24" t="s">
        <v>23</v>
      </c>
      <c r="B2489" s="24" t="s">
        <v>1355</v>
      </c>
      <c r="C2489" s="12" t="s">
        <v>2352</v>
      </c>
      <c r="D2489" s="60"/>
      <c r="E2489" s="41" t="str">
        <f t="shared" si="105"/>
        <v>Еще фото</v>
      </c>
      <c r="F2489" s="13" t="s">
        <v>103</v>
      </c>
      <c r="G2489" s="24" t="s">
        <v>1184</v>
      </c>
      <c r="H2489" s="24" t="s">
        <v>741</v>
      </c>
      <c r="I2489" s="24" t="s">
        <v>1185</v>
      </c>
      <c r="J2489" s="14" t="s">
        <v>29</v>
      </c>
      <c r="K2489" s="15" t="s">
        <v>59</v>
      </c>
      <c r="L2489" s="62"/>
      <c r="M2489" s="14"/>
      <c r="N2489" s="14" t="s">
        <v>33</v>
      </c>
      <c r="O2489" s="14"/>
      <c r="P2489" s="15" t="s">
        <v>745</v>
      </c>
      <c r="Q2489" s="16">
        <v>8699</v>
      </c>
      <c r="R2489" s="17">
        <v>40</v>
      </c>
      <c r="S2489" s="18">
        <v>6002.3099999999995</v>
      </c>
      <c r="T2489" s="19" t="s">
        <v>36</v>
      </c>
      <c r="U2489" s="20" t="s">
        <v>746</v>
      </c>
      <c r="V2489" s="22">
        <v>37</v>
      </c>
      <c r="W2489" s="22">
        <v>13</v>
      </c>
      <c r="X2489" s="23"/>
    </row>
    <row r="2490" spans="1:24" s="1" customFormat="1" ht="13.05" customHeight="1" x14ac:dyDescent="0.3">
      <c r="A2490" s="24" t="s">
        <v>23</v>
      </c>
      <c r="B2490" s="24" t="s">
        <v>1355</v>
      </c>
      <c r="C2490" s="12" t="s">
        <v>2352</v>
      </c>
      <c r="D2490" s="60"/>
      <c r="E2490" s="41" t="str">
        <f t="shared" si="105"/>
        <v>Еще фото</v>
      </c>
      <c r="F2490" s="13" t="s">
        <v>103</v>
      </c>
      <c r="G2490" s="24" t="s">
        <v>1184</v>
      </c>
      <c r="H2490" s="24" t="s">
        <v>741</v>
      </c>
      <c r="I2490" s="24" t="s">
        <v>1185</v>
      </c>
      <c r="J2490" s="14" t="s">
        <v>29</v>
      </c>
      <c r="K2490" s="15" t="s">
        <v>59</v>
      </c>
      <c r="L2490" s="62"/>
      <c r="M2490" s="14"/>
      <c r="N2490" s="14" t="s">
        <v>33</v>
      </c>
      <c r="O2490" s="14"/>
      <c r="P2490" s="15" t="s">
        <v>745</v>
      </c>
      <c r="Q2490" s="16">
        <v>8699</v>
      </c>
      <c r="R2490" s="17">
        <v>40</v>
      </c>
      <c r="S2490" s="18">
        <v>6002.3099999999995</v>
      </c>
      <c r="T2490" s="19" t="s">
        <v>36</v>
      </c>
      <c r="U2490" s="20" t="s">
        <v>747</v>
      </c>
      <c r="V2490" s="34">
        <v>37.5</v>
      </c>
      <c r="W2490" s="22">
        <v>13</v>
      </c>
      <c r="X2490" s="23"/>
    </row>
    <row r="2491" spans="1:24" s="1" customFormat="1" ht="13.05" customHeight="1" x14ac:dyDescent="0.3">
      <c r="A2491" s="24" t="s">
        <v>23</v>
      </c>
      <c r="B2491" s="24" t="s">
        <v>1355</v>
      </c>
      <c r="C2491" s="12" t="s">
        <v>2352</v>
      </c>
      <c r="D2491" s="60"/>
      <c r="E2491" s="41" t="str">
        <f t="shared" si="105"/>
        <v>Еще фото</v>
      </c>
      <c r="F2491" s="13" t="s">
        <v>103</v>
      </c>
      <c r="G2491" s="24" t="s">
        <v>1184</v>
      </c>
      <c r="H2491" s="24" t="s">
        <v>741</v>
      </c>
      <c r="I2491" s="24" t="s">
        <v>1185</v>
      </c>
      <c r="J2491" s="14" t="s">
        <v>29</v>
      </c>
      <c r="K2491" s="15" t="s">
        <v>59</v>
      </c>
      <c r="L2491" s="62"/>
      <c r="M2491" s="14"/>
      <c r="N2491" s="14" t="s">
        <v>33</v>
      </c>
      <c r="O2491" s="14"/>
      <c r="P2491" s="15" t="s">
        <v>745</v>
      </c>
      <c r="Q2491" s="16">
        <v>8699</v>
      </c>
      <c r="R2491" s="17">
        <v>40</v>
      </c>
      <c r="S2491" s="18">
        <v>6002.3099999999995</v>
      </c>
      <c r="T2491" s="19" t="s">
        <v>36</v>
      </c>
      <c r="U2491" s="20" t="s">
        <v>748</v>
      </c>
      <c r="V2491" s="22">
        <v>38</v>
      </c>
      <c r="W2491" s="22">
        <v>14</v>
      </c>
      <c r="X2491" s="23"/>
    </row>
    <row r="2492" spans="1:24" s="1" customFormat="1" ht="13.05" customHeight="1" x14ac:dyDescent="0.3">
      <c r="A2492" s="24" t="s">
        <v>23</v>
      </c>
      <c r="B2492" s="24" t="s">
        <v>1355</v>
      </c>
      <c r="C2492" s="12" t="s">
        <v>2352</v>
      </c>
      <c r="D2492" s="60"/>
      <c r="E2492" s="41" t="str">
        <f t="shared" si="105"/>
        <v>Еще фото</v>
      </c>
      <c r="F2492" s="13" t="s">
        <v>103</v>
      </c>
      <c r="G2492" s="24" t="s">
        <v>1184</v>
      </c>
      <c r="H2492" s="24" t="s">
        <v>741</v>
      </c>
      <c r="I2492" s="24" t="s">
        <v>1185</v>
      </c>
      <c r="J2492" s="14" t="s">
        <v>29</v>
      </c>
      <c r="K2492" s="15" t="s">
        <v>59</v>
      </c>
      <c r="L2492" s="62"/>
      <c r="M2492" s="14"/>
      <c r="N2492" s="14" t="s">
        <v>33</v>
      </c>
      <c r="O2492" s="14"/>
      <c r="P2492" s="15" t="s">
        <v>745</v>
      </c>
      <c r="Q2492" s="16">
        <v>8699</v>
      </c>
      <c r="R2492" s="17">
        <v>40</v>
      </c>
      <c r="S2492" s="18">
        <v>6002.3099999999995</v>
      </c>
      <c r="T2492" s="19" t="s">
        <v>36</v>
      </c>
      <c r="U2492" s="20" t="s">
        <v>749</v>
      </c>
      <c r="V2492" s="22">
        <v>39</v>
      </c>
      <c r="W2492" s="22">
        <v>11</v>
      </c>
      <c r="X2492" s="23"/>
    </row>
    <row r="2493" spans="1:24" s="1" customFormat="1" ht="13.05" customHeight="1" x14ac:dyDescent="0.3">
      <c r="A2493" s="24" t="s">
        <v>23</v>
      </c>
      <c r="B2493" s="24" t="s">
        <v>1355</v>
      </c>
      <c r="C2493" s="12" t="s">
        <v>2352</v>
      </c>
      <c r="D2493" s="60"/>
      <c r="E2493" s="41" t="str">
        <f t="shared" si="105"/>
        <v>Еще фото</v>
      </c>
      <c r="F2493" s="13" t="s">
        <v>103</v>
      </c>
      <c r="G2493" s="24" t="s">
        <v>1184</v>
      </c>
      <c r="H2493" s="24" t="s">
        <v>741</v>
      </c>
      <c r="I2493" s="24" t="s">
        <v>1185</v>
      </c>
      <c r="J2493" s="14" t="s">
        <v>29</v>
      </c>
      <c r="K2493" s="15" t="s">
        <v>59</v>
      </c>
      <c r="L2493" s="62"/>
      <c r="M2493" s="14"/>
      <c r="N2493" s="14" t="s">
        <v>33</v>
      </c>
      <c r="O2493" s="14"/>
      <c r="P2493" s="15" t="s">
        <v>745</v>
      </c>
      <c r="Q2493" s="16">
        <v>8699</v>
      </c>
      <c r="R2493" s="17">
        <v>40</v>
      </c>
      <c r="S2493" s="18">
        <v>6002.3099999999995</v>
      </c>
      <c r="T2493" s="19" t="s">
        <v>36</v>
      </c>
      <c r="U2493" s="20" t="s">
        <v>750</v>
      </c>
      <c r="V2493" s="34">
        <v>39.5</v>
      </c>
      <c r="W2493" s="22">
        <v>10</v>
      </c>
      <c r="X2493" s="23"/>
    </row>
    <row r="2494" spans="1:24" s="1" customFormat="1" ht="18" customHeight="1" x14ac:dyDescent="0.3">
      <c r="A2494" s="24" t="s">
        <v>23</v>
      </c>
      <c r="B2494" s="24" t="s">
        <v>1355</v>
      </c>
      <c r="C2494" s="12" t="s">
        <v>2352</v>
      </c>
      <c r="D2494" s="61"/>
      <c r="E2494" s="41" t="str">
        <f t="shared" si="105"/>
        <v>Еще фото</v>
      </c>
      <c r="F2494" s="13" t="s">
        <v>103</v>
      </c>
      <c r="G2494" s="24" t="s">
        <v>1184</v>
      </c>
      <c r="H2494" s="24" t="s">
        <v>741</v>
      </c>
      <c r="I2494" s="24" t="s">
        <v>1185</v>
      </c>
      <c r="J2494" s="14" t="s">
        <v>29</v>
      </c>
      <c r="K2494" s="15" t="s">
        <v>59</v>
      </c>
      <c r="L2494" s="58"/>
      <c r="M2494" s="14"/>
      <c r="N2494" s="14" t="s">
        <v>33</v>
      </c>
      <c r="O2494" s="14"/>
      <c r="P2494" s="15" t="s">
        <v>745</v>
      </c>
      <c r="Q2494" s="16">
        <v>8699</v>
      </c>
      <c r="R2494" s="17">
        <v>40</v>
      </c>
      <c r="S2494" s="18">
        <v>6002.3099999999995</v>
      </c>
      <c r="T2494" s="19" t="s">
        <v>36</v>
      </c>
      <c r="U2494" s="20" t="s">
        <v>751</v>
      </c>
      <c r="V2494" s="22">
        <v>40</v>
      </c>
      <c r="W2494" s="22">
        <v>3</v>
      </c>
      <c r="X2494" s="23"/>
    </row>
    <row r="2495" spans="1:24" s="1" customFormat="1" ht="35" customHeight="1" x14ac:dyDescent="0.3">
      <c r="A2495" s="11" t="s">
        <v>23</v>
      </c>
      <c r="B2495" s="11" t="s">
        <v>1355</v>
      </c>
      <c r="C2495" s="12" t="s">
        <v>2354</v>
      </c>
      <c r="D2495" s="59"/>
      <c r="E2495" s="41" t="str">
        <f>HYPERLINK("https://www.google.ru/search?q=6000760-002&amp;newwindow=1&amp;tbm=isch","Еще фото")</f>
        <v>Еще фото</v>
      </c>
      <c r="F2495" s="13" t="s">
        <v>103</v>
      </c>
      <c r="G2495" s="11" t="s">
        <v>1184</v>
      </c>
      <c r="H2495" s="11" t="s">
        <v>741</v>
      </c>
      <c r="I2495" s="14" t="s">
        <v>1185</v>
      </c>
      <c r="J2495" s="14" t="s">
        <v>29</v>
      </c>
      <c r="K2495" s="15" t="s">
        <v>59</v>
      </c>
      <c r="L2495" s="57" t="s">
        <v>1357</v>
      </c>
      <c r="M2495" s="14"/>
      <c r="N2495" s="14" t="s">
        <v>33</v>
      </c>
      <c r="O2495" s="14"/>
      <c r="P2495" s="15" t="s">
        <v>745</v>
      </c>
      <c r="Q2495" s="16">
        <v>8499</v>
      </c>
      <c r="R2495" s="17">
        <v>40</v>
      </c>
      <c r="S2495" s="18">
        <v>5864.3099999999995</v>
      </c>
      <c r="T2495" s="19" t="s">
        <v>36</v>
      </c>
      <c r="U2495" s="20" t="s">
        <v>1196</v>
      </c>
      <c r="V2495" s="34">
        <v>36.5</v>
      </c>
      <c r="W2495" s="22">
        <v>3</v>
      </c>
      <c r="X2495" s="23"/>
    </row>
    <row r="2496" spans="1:24" s="1" customFormat="1" ht="35" customHeight="1" x14ac:dyDescent="0.3">
      <c r="A2496" s="24" t="s">
        <v>23</v>
      </c>
      <c r="B2496" s="24" t="s">
        <v>1355</v>
      </c>
      <c r="C2496" s="12" t="s">
        <v>2354</v>
      </c>
      <c r="D2496" s="60"/>
      <c r="E2496" s="41" t="str">
        <f>HYPERLINK("https://www.google.ru/search?q=6000760-002&amp;newwindow=1&amp;tbm=isch","Еще фото")</f>
        <v>Еще фото</v>
      </c>
      <c r="F2496" s="13" t="s">
        <v>103</v>
      </c>
      <c r="G2496" s="24" t="s">
        <v>1184</v>
      </c>
      <c r="H2496" s="24" t="s">
        <v>741</v>
      </c>
      <c r="I2496" s="24" t="s">
        <v>1185</v>
      </c>
      <c r="J2496" s="14" t="s">
        <v>29</v>
      </c>
      <c r="K2496" s="15" t="s">
        <v>59</v>
      </c>
      <c r="L2496" s="62"/>
      <c r="M2496" s="14"/>
      <c r="N2496" s="14" t="s">
        <v>33</v>
      </c>
      <c r="O2496" s="14"/>
      <c r="P2496" s="15" t="s">
        <v>745</v>
      </c>
      <c r="Q2496" s="16">
        <v>8499</v>
      </c>
      <c r="R2496" s="17">
        <v>40</v>
      </c>
      <c r="S2496" s="18">
        <v>5864.3099999999995</v>
      </c>
      <c r="T2496" s="19" t="s">
        <v>36</v>
      </c>
      <c r="U2496" s="20" t="s">
        <v>746</v>
      </c>
      <c r="V2496" s="22">
        <v>37</v>
      </c>
      <c r="W2496" s="22">
        <v>2</v>
      </c>
      <c r="X2496" s="23"/>
    </row>
    <row r="2497" spans="1:24" s="1" customFormat="1" ht="37.049999999999997" customHeight="1" x14ac:dyDescent="0.3">
      <c r="A2497" s="24" t="s">
        <v>23</v>
      </c>
      <c r="B2497" s="24" t="s">
        <v>1355</v>
      </c>
      <c r="C2497" s="12" t="s">
        <v>2354</v>
      </c>
      <c r="D2497" s="61"/>
      <c r="E2497" s="41" t="str">
        <f>HYPERLINK("https://www.google.ru/search?q=6000760-002&amp;newwindow=1&amp;tbm=isch","Еще фото")</f>
        <v>Еще фото</v>
      </c>
      <c r="F2497" s="13" t="s">
        <v>103</v>
      </c>
      <c r="G2497" s="24" t="s">
        <v>1184</v>
      </c>
      <c r="H2497" s="24" t="s">
        <v>741</v>
      </c>
      <c r="I2497" s="24" t="s">
        <v>1185</v>
      </c>
      <c r="J2497" s="14" t="s">
        <v>29</v>
      </c>
      <c r="K2497" s="15" t="s">
        <v>59</v>
      </c>
      <c r="L2497" s="58"/>
      <c r="M2497" s="14"/>
      <c r="N2497" s="14" t="s">
        <v>33</v>
      </c>
      <c r="O2497" s="14"/>
      <c r="P2497" s="15" t="s">
        <v>745</v>
      </c>
      <c r="Q2497" s="16">
        <v>8499</v>
      </c>
      <c r="R2497" s="17">
        <v>40</v>
      </c>
      <c r="S2497" s="18">
        <v>5864.3099999999995</v>
      </c>
      <c r="T2497" s="19" t="s">
        <v>36</v>
      </c>
      <c r="U2497" s="20" t="s">
        <v>747</v>
      </c>
      <c r="V2497" s="34">
        <v>37.5</v>
      </c>
      <c r="W2497" s="22">
        <v>1</v>
      </c>
      <c r="X2497" s="23"/>
    </row>
    <row r="2498" spans="1:24" s="1" customFormat="1" ht="14" customHeight="1" x14ac:dyDescent="0.3">
      <c r="A2498" s="11" t="s">
        <v>23</v>
      </c>
      <c r="B2498" s="11" t="s">
        <v>1355</v>
      </c>
      <c r="C2498" s="12" t="s">
        <v>2355</v>
      </c>
      <c r="D2498" s="59"/>
      <c r="E2498" s="41" t="str">
        <f t="shared" ref="E2498:E2504" si="106">HYPERLINK("https://www.google.ru/search?q=6000760-100&amp;newwindow=1&amp;tbm=isch","Еще фото")</f>
        <v>Еще фото</v>
      </c>
      <c r="F2498" s="13" t="s">
        <v>103</v>
      </c>
      <c r="G2498" s="11" t="s">
        <v>1184</v>
      </c>
      <c r="H2498" s="11" t="s">
        <v>741</v>
      </c>
      <c r="I2498" s="14" t="s">
        <v>1185</v>
      </c>
      <c r="J2498" s="14" t="s">
        <v>29</v>
      </c>
      <c r="K2498" s="15" t="s">
        <v>59</v>
      </c>
      <c r="L2498" s="57" t="s">
        <v>1357</v>
      </c>
      <c r="M2498" s="14"/>
      <c r="N2498" s="14" t="s">
        <v>84</v>
      </c>
      <c r="O2498" s="14"/>
      <c r="P2498" s="15" t="s">
        <v>745</v>
      </c>
      <c r="Q2498" s="16">
        <v>8499</v>
      </c>
      <c r="R2498" s="17">
        <v>40</v>
      </c>
      <c r="S2498" s="18">
        <v>5864.3099999999995</v>
      </c>
      <c r="T2498" s="19" t="s">
        <v>36</v>
      </c>
      <c r="U2498" s="20" t="s">
        <v>1203</v>
      </c>
      <c r="V2498" s="22">
        <v>36</v>
      </c>
      <c r="W2498" s="22">
        <v>5</v>
      </c>
      <c r="X2498" s="23"/>
    </row>
    <row r="2499" spans="1:24" s="1" customFormat="1" ht="14" customHeight="1" x14ac:dyDescent="0.3">
      <c r="A2499" s="24" t="s">
        <v>23</v>
      </c>
      <c r="B2499" s="24" t="s">
        <v>1355</v>
      </c>
      <c r="C2499" s="12" t="s">
        <v>2355</v>
      </c>
      <c r="D2499" s="60"/>
      <c r="E2499" s="41" t="str">
        <f t="shared" si="106"/>
        <v>Еще фото</v>
      </c>
      <c r="F2499" s="13" t="s">
        <v>103</v>
      </c>
      <c r="G2499" s="24" t="s">
        <v>1184</v>
      </c>
      <c r="H2499" s="24" t="s">
        <v>741</v>
      </c>
      <c r="I2499" s="24" t="s">
        <v>1185</v>
      </c>
      <c r="J2499" s="14" t="s">
        <v>29</v>
      </c>
      <c r="K2499" s="15" t="s">
        <v>59</v>
      </c>
      <c r="L2499" s="62"/>
      <c r="M2499" s="14"/>
      <c r="N2499" s="14" t="s">
        <v>84</v>
      </c>
      <c r="O2499" s="14"/>
      <c r="P2499" s="15" t="s">
        <v>745</v>
      </c>
      <c r="Q2499" s="16">
        <v>8499</v>
      </c>
      <c r="R2499" s="17">
        <v>40</v>
      </c>
      <c r="S2499" s="18">
        <v>5864.3099999999995</v>
      </c>
      <c r="T2499" s="19" t="s">
        <v>36</v>
      </c>
      <c r="U2499" s="20" t="s">
        <v>1196</v>
      </c>
      <c r="V2499" s="34">
        <v>36.5</v>
      </c>
      <c r="W2499" s="22">
        <v>13</v>
      </c>
      <c r="X2499" s="23"/>
    </row>
    <row r="2500" spans="1:24" s="1" customFormat="1" ht="14" customHeight="1" x14ac:dyDescent="0.3">
      <c r="A2500" s="24" t="s">
        <v>23</v>
      </c>
      <c r="B2500" s="24" t="s">
        <v>1355</v>
      </c>
      <c r="C2500" s="12" t="s">
        <v>2355</v>
      </c>
      <c r="D2500" s="60"/>
      <c r="E2500" s="41" t="str">
        <f t="shared" si="106"/>
        <v>Еще фото</v>
      </c>
      <c r="F2500" s="13" t="s">
        <v>103</v>
      </c>
      <c r="G2500" s="24" t="s">
        <v>1184</v>
      </c>
      <c r="H2500" s="24" t="s">
        <v>741</v>
      </c>
      <c r="I2500" s="24" t="s">
        <v>1185</v>
      </c>
      <c r="J2500" s="14" t="s">
        <v>29</v>
      </c>
      <c r="K2500" s="15" t="s">
        <v>59</v>
      </c>
      <c r="L2500" s="62"/>
      <c r="M2500" s="14"/>
      <c r="N2500" s="14" t="s">
        <v>84</v>
      </c>
      <c r="O2500" s="14"/>
      <c r="P2500" s="15" t="s">
        <v>745</v>
      </c>
      <c r="Q2500" s="16">
        <v>8499</v>
      </c>
      <c r="R2500" s="17">
        <v>40</v>
      </c>
      <c r="S2500" s="18">
        <v>5864.3099999999995</v>
      </c>
      <c r="T2500" s="19" t="s">
        <v>36</v>
      </c>
      <c r="U2500" s="20" t="s">
        <v>746</v>
      </c>
      <c r="V2500" s="22">
        <v>37</v>
      </c>
      <c r="W2500" s="22">
        <v>15</v>
      </c>
      <c r="X2500" s="23"/>
    </row>
    <row r="2501" spans="1:24" s="1" customFormat="1" ht="14" customHeight="1" x14ac:dyDescent="0.3">
      <c r="A2501" s="24" t="s">
        <v>23</v>
      </c>
      <c r="B2501" s="24" t="s">
        <v>1355</v>
      </c>
      <c r="C2501" s="12" t="s">
        <v>2355</v>
      </c>
      <c r="D2501" s="60"/>
      <c r="E2501" s="41" t="str">
        <f t="shared" si="106"/>
        <v>Еще фото</v>
      </c>
      <c r="F2501" s="13" t="s">
        <v>103</v>
      </c>
      <c r="G2501" s="24" t="s">
        <v>1184</v>
      </c>
      <c r="H2501" s="24" t="s">
        <v>741</v>
      </c>
      <c r="I2501" s="24" t="s">
        <v>1185</v>
      </c>
      <c r="J2501" s="14" t="s">
        <v>29</v>
      </c>
      <c r="K2501" s="15" t="s">
        <v>59</v>
      </c>
      <c r="L2501" s="62"/>
      <c r="M2501" s="14"/>
      <c r="N2501" s="14" t="s">
        <v>84</v>
      </c>
      <c r="O2501" s="14"/>
      <c r="P2501" s="15" t="s">
        <v>745</v>
      </c>
      <c r="Q2501" s="16">
        <v>8499</v>
      </c>
      <c r="R2501" s="17">
        <v>40</v>
      </c>
      <c r="S2501" s="18">
        <v>5864.3099999999995</v>
      </c>
      <c r="T2501" s="19" t="s">
        <v>36</v>
      </c>
      <c r="U2501" s="20" t="s">
        <v>747</v>
      </c>
      <c r="V2501" s="34">
        <v>37.5</v>
      </c>
      <c r="W2501" s="22">
        <v>10</v>
      </c>
      <c r="X2501" s="23"/>
    </row>
    <row r="2502" spans="1:24" s="1" customFormat="1" ht="14" customHeight="1" x14ac:dyDescent="0.3">
      <c r="A2502" s="24" t="s">
        <v>23</v>
      </c>
      <c r="B2502" s="24" t="s">
        <v>1355</v>
      </c>
      <c r="C2502" s="12" t="s">
        <v>2355</v>
      </c>
      <c r="D2502" s="60"/>
      <c r="E2502" s="41" t="str">
        <f t="shared" si="106"/>
        <v>Еще фото</v>
      </c>
      <c r="F2502" s="13" t="s">
        <v>103</v>
      </c>
      <c r="G2502" s="24" t="s">
        <v>1184</v>
      </c>
      <c r="H2502" s="24" t="s">
        <v>741</v>
      </c>
      <c r="I2502" s="24" t="s">
        <v>1185</v>
      </c>
      <c r="J2502" s="14" t="s">
        <v>29</v>
      </c>
      <c r="K2502" s="15" t="s">
        <v>59</v>
      </c>
      <c r="L2502" s="62"/>
      <c r="M2502" s="14"/>
      <c r="N2502" s="14" t="s">
        <v>84</v>
      </c>
      <c r="O2502" s="14"/>
      <c r="P2502" s="15" t="s">
        <v>745</v>
      </c>
      <c r="Q2502" s="16">
        <v>8499</v>
      </c>
      <c r="R2502" s="17">
        <v>40</v>
      </c>
      <c r="S2502" s="18">
        <v>5864.3099999999995</v>
      </c>
      <c r="T2502" s="19" t="s">
        <v>36</v>
      </c>
      <c r="U2502" s="20" t="s">
        <v>748</v>
      </c>
      <c r="V2502" s="22">
        <v>38</v>
      </c>
      <c r="W2502" s="22">
        <v>2</v>
      </c>
      <c r="X2502" s="23"/>
    </row>
    <row r="2503" spans="1:24" s="1" customFormat="1" ht="14" customHeight="1" x14ac:dyDescent="0.3">
      <c r="A2503" s="24" t="s">
        <v>23</v>
      </c>
      <c r="B2503" s="24" t="s">
        <v>1355</v>
      </c>
      <c r="C2503" s="12" t="s">
        <v>2355</v>
      </c>
      <c r="D2503" s="60"/>
      <c r="E2503" s="41" t="str">
        <f t="shared" si="106"/>
        <v>Еще фото</v>
      </c>
      <c r="F2503" s="13" t="s">
        <v>103</v>
      </c>
      <c r="G2503" s="24" t="s">
        <v>1184</v>
      </c>
      <c r="H2503" s="24" t="s">
        <v>741</v>
      </c>
      <c r="I2503" s="24" t="s">
        <v>1185</v>
      </c>
      <c r="J2503" s="14" t="s">
        <v>29</v>
      </c>
      <c r="K2503" s="15" t="s">
        <v>59</v>
      </c>
      <c r="L2503" s="62"/>
      <c r="M2503" s="14"/>
      <c r="N2503" s="14" t="s">
        <v>84</v>
      </c>
      <c r="O2503" s="14"/>
      <c r="P2503" s="15" t="s">
        <v>745</v>
      </c>
      <c r="Q2503" s="16">
        <v>8499</v>
      </c>
      <c r="R2503" s="17">
        <v>40</v>
      </c>
      <c r="S2503" s="18">
        <v>5864.3099999999995</v>
      </c>
      <c r="T2503" s="19" t="s">
        <v>36</v>
      </c>
      <c r="U2503" s="20" t="s">
        <v>749</v>
      </c>
      <c r="V2503" s="22">
        <v>39</v>
      </c>
      <c r="W2503" s="22">
        <v>4</v>
      </c>
      <c r="X2503" s="23"/>
    </row>
    <row r="2504" spans="1:24" s="1" customFormat="1" ht="17" customHeight="1" x14ac:dyDescent="0.3">
      <c r="A2504" s="24" t="s">
        <v>23</v>
      </c>
      <c r="B2504" s="24" t="s">
        <v>1355</v>
      </c>
      <c r="C2504" s="12" t="s">
        <v>2355</v>
      </c>
      <c r="D2504" s="61"/>
      <c r="E2504" s="41" t="str">
        <f t="shared" si="106"/>
        <v>Еще фото</v>
      </c>
      <c r="F2504" s="13" t="s">
        <v>103</v>
      </c>
      <c r="G2504" s="24" t="s">
        <v>1184</v>
      </c>
      <c r="H2504" s="24" t="s">
        <v>741</v>
      </c>
      <c r="I2504" s="24" t="s">
        <v>1185</v>
      </c>
      <c r="J2504" s="14" t="s">
        <v>29</v>
      </c>
      <c r="K2504" s="15" t="s">
        <v>59</v>
      </c>
      <c r="L2504" s="58"/>
      <c r="M2504" s="14"/>
      <c r="N2504" s="14" t="s">
        <v>84</v>
      </c>
      <c r="O2504" s="14"/>
      <c r="P2504" s="15" t="s">
        <v>745</v>
      </c>
      <c r="Q2504" s="16">
        <v>8499</v>
      </c>
      <c r="R2504" s="17">
        <v>40</v>
      </c>
      <c r="S2504" s="18">
        <v>5864.3099999999995</v>
      </c>
      <c r="T2504" s="19" t="s">
        <v>36</v>
      </c>
      <c r="U2504" s="20" t="s">
        <v>750</v>
      </c>
      <c r="V2504" s="34">
        <v>39.5</v>
      </c>
      <c r="W2504" s="22">
        <v>6</v>
      </c>
      <c r="X2504" s="23"/>
    </row>
    <row r="2505" spans="1:24" s="1" customFormat="1" ht="26" customHeight="1" x14ac:dyDescent="0.3">
      <c r="A2505" s="11" t="s">
        <v>23</v>
      </c>
      <c r="B2505" s="11" t="s">
        <v>1355</v>
      </c>
      <c r="C2505" s="12" t="s">
        <v>2356</v>
      </c>
      <c r="D2505" s="59"/>
      <c r="E2505" s="41" t="str">
        <f>HYPERLINK("https://www.google.ru/search?q=6000760-110&amp;newwindow=1&amp;tbm=isch","Еще фото")</f>
        <v>Еще фото</v>
      </c>
      <c r="F2505" s="13"/>
      <c r="G2505" s="11" t="s">
        <v>1184</v>
      </c>
      <c r="H2505" s="11" t="s">
        <v>741</v>
      </c>
      <c r="I2505" s="14" t="s">
        <v>1185</v>
      </c>
      <c r="J2505" s="14" t="s">
        <v>29</v>
      </c>
      <c r="K2505" s="15" t="s">
        <v>59</v>
      </c>
      <c r="L2505" s="57" t="s">
        <v>2353</v>
      </c>
      <c r="M2505" s="14"/>
      <c r="N2505" s="14" t="s">
        <v>84</v>
      </c>
      <c r="O2505" s="14"/>
      <c r="P2505" s="15" t="s">
        <v>745</v>
      </c>
      <c r="Q2505" s="16">
        <v>8199</v>
      </c>
      <c r="R2505" s="17">
        <v>40</v>
      </c>
      <c r="S2505" s="18">
        <v>5657.3099999999995</v>
      </c>
      <c r="T2505" s="19" t="s">
        <v>36</v>
      </c>
      <c r="U2505" s="20" t="s">
        <v>1190</v>
      </c>
      <c r="V2505" s="34">
        <v>35.5</v>
      </c>
      <c r="W2505" s="22">
        <v>1</v>
      </c>
      <c r="X2505" s="23"/>
    </row>
    <row r="2506" spans="1:24" s="1" customFormat="1" ht="26" customHeight="1" x14ac:dyDescent="0.3">
      <c r="A2506" s="24" t="s">
        <v>23</v>
      </c>
      <c r="B2506" s="24" t="s">
        <v>1355</v>
      </c>
      <c r="C2506" s="12" t="s">
        <v>2356</v>
      </c>
      <c r="D2506" s="60"/>
      <c r="E2506" s="41" t="str">
        <f>HYPERLINK("https://www.google.ru/search?q=6000760-110&amp;newwindow=1&amp;tbm=isch","Еще фото")</f>
        <v>Еще фото</v>
      </c>
      <c r="F2506" s="13"/>
      <c r="G2506" s="24" t="s">
        <v>1184</v>
      </c>
      <c r="H2506" s="24" t="s">
        <v>741</v>
      </c>
      <c r="I2506" s="24" t="s">
        <v>1185</v>
      </c>
      <c r="J2506" s="14" t="s">
        <v>29</v>
      </c>
      <c r="K2506" s="15" t="s">
        <v>59</v>
      </c>
      <c r="L2506" s="62"/>
      <c r="M2506" s="14"/>
      <c r="N2506" s="14" t="s">
        <v>84</v>
      </c>
      <c r="O2506" s="14"/>
      <c r="P2506" s="15" t="s">
        <v>745</v>
      </c>
      <c r="Q2506" s="16">
        <v>8199</v>
      </c>
      <c r="R2506" s="17">
        <v>40</v>
      </c>
      <c r="S2506" s="18">
        <v>5657.3099999999995</v>
      </c>
      <c r="T2506" s="19" t="s">
        <v>36</v>
      </c>
      <c r="U2506" s="20" t="s">
        <v>1203</v>
      </c>
      <c r="V2506" s="22">
        <v>36</v>
      </c>
      <c r="W2506" s="22">
        <v>1</v>
      </c>
      <c r="X2506" s="23"/>
    </row>
    <row r="2507" spans="1:24" s="1" customFormat="1" ht="26" customHeight="1" x14ac:dyDescent="0.3">
      <c r="A2507" s="24" t="s">
        <v>23</v>
      </c>
      <c r="B2507" s="24" t="s">
        <v>1355</v>
      </c>
      <c r="C2507" s="12" t="s">
        <v>2356</v>
      </c>
      <c r="D2507" s="60"/>
      <c r="E2507" s="41" t="str">
        <f>HYPERLINK("https://www.google.ru/search?q=6000760-110&amp;newwindow=1&amp;tbm=isch","Еще фото")</f>
        <v>Еще фото</v>
      </c>
      <c r="F2507" s="13"/>
      <c r="G2507" s="24" t="s">
        <v>1184</v>
      </c>
      <c r="H2507" s="24" t="s">
        <v>741</v>
      </c>
      <c r="I2507" s="24" t="s">
        <v>1185</v>
      </c>
      <c r="J2507" s="14" t="s">
        <v>29</v>
      </c>
      <c r="K2507" s="15" t="s">
        <v>59</v>
      </c>
      <c r="L2507" s="62"/>
      <c r="M2507" s="14"/>
      <c r="N2507" s="14" t="s">
        <v>84</v>
      </c>
      <c r="O2507" s="14"/>
      <c r="P2507" s="15" t="s">
        <v>745</v>
      </c>
      <c r="Q2507" s="16">
        <v>8199</v>
      </c>
      <c r="R2507" s="17">
        <v>40</v>
      </c>
      <c r="S2507" s="18">
        <v>5657.3099999999995</v>
      </c>
      <c r="T2507" s="19" t="s">
        <v>36</v>
      </c>
      <c r="U2507" s="20" t="s">
        <v>1196</v>
      </c>
      <c r="V2507" s="34">
        <v>36.5</v>
      </c>
      <c r="W2507" s="22">
        <v>2</v>
      </c>
      <c r="X2507" s="23"/>
    </row>
    <row r="2508" spans="1:24" s="1" customFormat="1" ht="26" customHeight="1" x14ac:dyDescent="0.3">
      <c r="A2508" s="24" t="s">
        <v>23</v>
      </c>
      <c r="B2508" s="24" t="s">
        <v>1355</v>
      </c>
      <c r="C2508" s="12" t="s">
        <v>2356</v>
      </c>
      <c r="D2508" s="61"/>
      <c r="E2508" s="41" t="str">
        <f>HYPERLINK("https://www.google.ru/search?q=6000760-110&amp;newwindow=1&amp;tbm=isch","Еще фото")</f>
        <v>Еще фото</v>
      </c>
      <c r="F2508" s="13"/>
      <c r="G2508" s="24" t="s">
        <v>1184</v>
      </c>
      <c r="H2508" s="24" t="s">
        <v>741</v>
      </c>
      <c r="I2508" s="24" t="s">
        <v>1185</v>
      </c>
      <c r="J2508" s="14" t="s">
        <v>29</v>
      </c>
      <c r="K2508" s="15" t="s">
        <v>59</v>
      </c>
      <c r="L2508" s="58"/>
      <c r="M2508" s="14"/>
      <c r="N2508" s="14" t="s">
        <v>84</v>
      </c>
      <c r="O2508" s="14"/>
      <c r="P2508" s="15" t="s">
        <v>745</v>
      </c>
      <c r="Q2508" s="16">
        <v>8199</v>
      </c>
      <c r="R2508" s="17">
        <v>40</v>
      </c>
      <c r="S2508" s="18">
        <v>5657.3099999999995</v>
      </c>
      <c r="T2508" s="19" t="s">
        <v>36</v>
      </c>
      <c r="U2508" s="20" t="s">
        <v>746</v>
      </c>
      <c r="V2508" s="22">
        <v>37</v>
      </c>
      <c r="W2508" s="22">
        <v>2</v>
      </c>
      <c r="X2508" s="23"/>
    </row>
    <row r="2509" spans="1:24" s="1" customFormat="1" ht="52.05" customHeight="1" x14ac:dyDescent="0.3">
      <c r="A2509" s="11" t="s">
        <v>23</v>
      </c>
      <c r="B2509" s="11" t="s">
        <v>1383</v>
      </c>
      <c r="C2509" s="12" t="s">
        <v>2357</v>
      </c>
      <c r="D2509" s="55"/>
      <c r="E2509" s="41" t="str">
        <f>HYPERLINK("https://www.google.ru/search?q=6001585-016&amp;newwindow=1&amp;tbm=isch","Еще фото")</f>
        <v>Еще фото</v>
      </c>
      <c r="F2509" s="13" t="s">
        <v>103</v>
      </c>
      <c r="G2509" s="11" t="s">
        <v>1184</v>
      </c>
      <c r="H2509" s="11" t="s">
        <v>741</v>
      </c>
      <c r="I2509" s="14" t="s">
        <v>1185</v>
      </c>
      <c r="J2509" s="14" t="s">
        <v>260</v>
      </c>
      <c r="K2509" s="15" t="s">
        <v>723</v>
      </c>
      <c r="L2509" s="57" t="s">
        <v>1385</v>
      </c>
      <c r="M2509" s="14"/>
      <c r="N2509" s="14" t="s">
        <v>62</v>
      </c>
      <c r="O2509" s="14"/>
      <c r="P2509" s="15" t="s">
        <v>1718</v>
      </c>
      <c r="Q2509" s="16">
        <v>10299</v>
      </c>
      <c r="R2509" s="17">
        <v>40</v>
      </c>
      <c r="S2509" s="18">
        <v>7106.3099999999986</v>
      </c>
      <c r="T2509" s="19" t="s">
        <v>36</v>
      </c>
      <c r="U2509" s="20" t="s">
        <v>1326</v>
      </c>
      <c r="V2509" s="22">
        <v>42</v>
      </c>
      <c r="W2509" s="22">
        <v>1</v>
      </c>
      <c r="X2509" s="23"/>
    </row>
    <row r="2510" spans="1:24" s="1" customFormat="1" ht="61.05" customHeight="1" x14ac:dyDescent="0.3">
      <c r="A2510" s="24" t="s">
        <v>23</v>
      </c>
      <c r="B2510" s="24" t="s">
        <v>1383</v>
      </c>
      <c r="C2510" s="12" t="s">
        <v>2357</v>
      </c>
      <c r="D2510" s="56"/>
      <c r="E2510" s="41" t="str">
        <f>HYPERLINK("https://www.google.ru/search?q=6001585-016&amp;newwindow=1&amp;tbm=isch","Еще фото")</f>
        <v>Еще фото</v>
      </c>
      <c r="F2510" s="13" t="s">
        <v>103</v>
      </c>
      <c r="G2510" s="24" t="s">
        <v>1184</v>
      </c>
      <c r="H2510" s="24" t="s">
        <v>741</v>
      </c>
      <c r="I2510" s="24" t="s">
        <v>1185</v>
      </c>
      <c r="J2510" s="14" t="s">
        <v>260</v>
      </c>
      <c r="K2510" s="15" t="s">
        <v>723</v>
      </c>
      <c r="L2510" s="58"/>
      <c r="M2510" s="14"/>
      <c r="N2510" s="14" t="s">
        <v>62</v>
      </c>
      <c r="O2510" s="14"/>
      <c r="P2510" s="15" t="s">
        <v>1718</v>
      </c>
      <c r="Q2510" s="16">
        <v>10299</v>
      </c>
      <c r="R2510" s="17">
        <v>40</v>
      </c>
      <c r="S2510" s="18">
        <v>7106.3099999999986</v>
      </c>
      <c r="T2510" s="19" t="s">
        <v>36</v>
      </c>
      <c r="U2510" s="20" t="s">
        <v>1349</v>
      </c>
      <c r="V2510" s="34">
        <v>44.5</v>
      </c>
      <c r="W2510" s="22">
        <v>1</v>
      </c>
      <c r="X2510" s="23"/>
    </row>
    <row r="2511" spans="1:24" s="1" customFormat="1" ht="13.05" customHeight="1" x14ac:dyDescent="0.3">
      <c r="A2511" s="11" t="s">
        <v>23</v>
      </c>
      <c r="B2511" s="11" t="s">
        <v>1383</v>
      </c>
      <c r="C2511" s="12" t="s">
        <v>2358</v>
      </c>
      <c r="D2511" s="59"/>
      <c r="E2511" s="41" t="str">
        <f t="shared" ref="E2511:E2518" si="107">HYPERLINK("https://www.google.ru/search?q=6001585-100&amp;newwindow=1&amp;tbm=isch","Еще фото")</f>
        <v>Еще фото</v>
      </c>
      <c r="F2511" s="13" t="s">
        <v>103</v>
      </c>
      <c r="G2511" s="11" t="s">
        <v>1184</v>
      </c>
      <c r="H2511" s="11" t="s">
        <v>741</v>
      </c>
      <c r="I2511" s="14" t="s">
        <v>1185</v>
      </c>
      <c r="J2511" s="14" t="s">
        <v>260</v>
      </c>
      <c r="K2511" s="15" t="s">
        <v>723</v>
      </c>
      <c r="L2511" s="57" t="s">
        <v>1385</v>
      </c>
      <c r="M2511" s="14"/>
      <c r="N2511" s="14" t="s">
        <v>84</v>
      </c>
      <c r="O2511" s="14"/>
      <c r="P2511" s="15" t="s">
        <v>1718</v>
      </c>
      <c r="Q2511" s="16">
        <v>10299</v>
      </c>
      <c r="R2511" s="17">
        <v>40</v>
      </c>
      <c r="S2511" s="18">
        <v>7106.3099999999986</v>
      </c>
      <c r="T2511" s="19" t="s">
        <v>36</v>
      </c>
      <c r="U2511" s="33" t="s">
        <v>1345</v>
      </c>
      <c r="V2511" s="22">
        <v>41</v>
      </c>
      <c r="W2511" s="22">
        <v>11</v>
      </c>
      <c r="X2511" s="23"/>
    </row>
    <row r="2512" spans="1:24" s="1" customFormat="1" ht="13.05" customHeight="1" x14ac:dyDescent="0.3">
      <c r="A2512" s="24" t="s">
        <v>23</v>
      </c>
      <c r="B2512" s="24" t="s">
        <v>1383</v>
      </c>
      <c r="C2512" s="12" t="s">
        <v>2358</v>
      </c>
      <c r="D2512" s="60"/>
      <c r="E2512" s="41" t="str">
        <f t="shared" si="107"/>
        <v>Еще фото</v>
      </c>
      <c r="F2512" s="13" t="s">
        <v>103</v>
      </c>
      <c r="G2512" s="24" t="s">
        <v>1184</v>
      </c>
      <c r="H2512" s="24" t="s">
        <v>741</v>
      </c>
      <c r="I2512" s="24" t="s">
        <v>1185</v>
      </c>
      <c r="J2512" s="14" t="s">
        <v>260</v>
      </c>
      <c r="K2512" s="15" t="s">
        <v>723</v>
      </c>
      <c r="L2512" s="62"/>
      <c r="M2512" s="14"/>
      <c r="N2512" s="14" t="s">
        <v>84</v>
      </c>
      <c r="O2512" s="14"/>
      <c r="P2512" s="15" t="s">
        <v>1718</v>
      </c>
      <c r="Q2512" s="16">
        <v>10299</v>
      </c>
      <c r="R2512" s="17">
        <v>40</v>
      </c>
      <c r="S2512" s="18">
        <v>7106.3099999999986</v>
      </c>
      <c r="T2512" s="19" t="s">
        <v>36</v>
      </c>
      <c r="U2512" s="20" t="s">
        <v>1346</v>
      </c>
      <c r="V2512" s="34">
        <v>41.5</v>
      </c>
      <c r="W2512" s="22">
        <v>12</v>
      </c>
      <c r="X2512" s="23"/>
    </row>
    <row r="2513" spans="1:24" s="1" customFormat="1" ht="13.05" customHeight="1" x14ac:dyDescent="0.3">
      <c r="A2513" s="24" t="s">
        <v>23</v>
      </c>
      <c r="B2513" s="24" t="s">
        <v>1383</v>
      </c>
      <c r="C2513" s="12" t="s">
        <v>2358</v>
      </c>
      <c r="D2513" s="60"/>
      <c r="E2513" s="41" t="str">
        <f t="shared" si="107"/>
        <v>Еще фото</v>
      </c>
      <c r="F2513" s="13" t="s">
        <v>103</v>
      </c>
      <c r="G2513" s="24" t="s">
        <v>1184</v>
      </c>
      <c r="H2513" s="24" t="s">
        <v>741</v>
      </c>
      <c r="I2513" s="24" t="s">
        <v>1185</v>
      </c>
      <c r="J2513" s="14" t="s">
        <v>260</v>
      </c>
      <c r="K2513" s="15" t="s">
        <v>723</v>
      </c>
      <c r="L2513" s="62"/>
      <c r="M2513" s="14"/>
      <c r="N2513" s="14" t="s">
        <v>84</v>
      </c>
      <c r="O2513" s="14"/>
      <c r="P2513" s="15" t="s">
        <v>1718</v>
      </c>
      <c r="Q2513" s="16">
        <v>10299</v>
      </c>
      <c r="R2513" s="17">
        <v>40</v>
      </c>
      <c r="S2513" s="18">
        <v>7106.3099999999986</v>
      </c>
      <c r="T2513" s="19" t="s">
        <v>36</v>
      </c>
      <c r="U2513" s="20" t="s">
        <v>1326</v>
      </c>
      <c r="V2513" s="22">
        <v>42</v>
      </c>
      <c r="W2513" s="22">
        <v>20</v>
      </c>
      <c r="X2513" s="23"/>
    </row>
    <row r="2514" spans="1:24" s="1" customFormat="1" ht="13.05" customHeight="1" x14ac:dyDescent="0.3">
      <c r="A2514" s="24" t="s">
        <v>23</v>
      </c>
      <c r="B2514" s="24" t="s">
        <v>1383</v>
      </c>
      <c r="C2514" s="12" t="s">
        <v>2358</v>
      </c>
      <c r="D2514" s="60"/>
      <c r="E2514" s="41" t="str">
        <f t="shared" si="107"/>
        <v>Еще фото</v>
      </c>
      <c r="F2514" s="13" t="s">
        <v>103</v>
      </c>
      <c r="G2514" s="24" t="s">
        <v>1184</v>
      </c>
      <c r="H2514" s="24" t="s">
        <v>741</v>
      </c>
      <c r="I2514" s="24" t="s">
        <v>1185</v>
      </c>
      <c r="J2514" s="14" t="s">
        <v>260</v>
      </c>
      <c r="K2514" s="15" t="s">
        <v>723</v>
      </c>
      <c r="L2514" s="62"/>
      <c r="M2514" s="14"/>
      <c r="N2514" s="14" t="s">
        <v>84</v>
      </c>
      <c r="O2514" s="14"/>
      <c r="P2514" s="15" t="s">
        <v>1718</v>
      </c>
      <c r="Q2514" s="16">
        <v>10299</v>
      </c>
      <c r="R2514" s="17">
        <v>40</v>
      </c>
      <c r="S2514" s="18">
        <v>7106.3099999999986</v>
      </c>
      <c r="T2514" s="19" t="s">
        <v>36</v>
      </c>
      <c r="U2514" s="20" t="s">
        <v>1347</v>
      </c>
      <c r="V2514" s="22">
        <v>43</v>
      </c>
      <c r="W2514" s="22">
        <v>16</v>
      </c>
      <c r="X2514" s="23"/>
    </row>
    <row r="2515" spans="1:24" s="1" customFormat="1" ht="13.05" customHeight="1" x14ac:dyDescent="0.3">
      <c r="A2515" s="24" t="s">
        <v>23</v>
      </c>
      <c r="B2515" s="24" t="s">
        <v>1383</v>
      </c>
      <c r="C2515" s="12" t="s">
        <v>2358</v>
      </c>
      <c r="D2515" s="60"/>
      <c r="E2515" s="41" t="str">
        <f t="shared" si="107"/>
        <v>Еще фото</v>
      </c>
      <c r="F2515" s="13" t="s">
        <v>103</v>
      </c>
      <c r="G2515" s="24" t="s">
        <v>1184</v>
      </c>
      <c r="H2515" s="24" t="s">
        <v>741</v>
      </c>
      <c r="I2515" s="24" t="s">
        <v>1185</v>
      </c>
      <c r="J2515" s="14" t="s">
        <v>260</v>
      </c>
      <c r="K2515" s="15" t="s">
        <v>723</v>
      </c>
      <c r="L2515" s="62"/>
      <c r="M2515" s="14"/>
      <c r="N2515" s="14" t="s">
        <v>84</v>
      </c>
      <c r="O2515" s="14"/>
      <c r="P2515" s="15" t="s">
        <v>1718</v>
      </c>
      <c r="Q2515" s="16">
        <v>10299</v>
      </c>
      <c r="R2515" s="17">
        <v>40</v>
      </c>
      <c r="S2515" s="18">
        <v>7106.3099999999986</v>
      </c>
      <c r="T2515" s="19" t="s">
        <v>36</v>
      </c>
      <c r="U2515" s="20" t="s">
        <v>1348</v>
      </c>
      <c r="V2515" s="34">
        <v>43.5</v>
      </c>
      <c r="W2515" s="22">
        <v>21</v>
      </c>
      <c r="X2515" s="23"/>
    </row>
    <row r="2516" spans="1:24" s="1" customFormat="1" ht="13.05" customHeight="1" x14ac:dyDescent="0.3">
      <c r="A2516" s="24" t="s">
        <v>23</v>
      </c>
      <c r="B2516" s="24" t="s">
        <v>1383</v>
      </c>
      <c r="C2516" s="12" t="s">
        <v>2358</v>
      </c>
      <c r="D2516" s="60"/>
      <c r="E2516" s="41" t="str">
        <f t="shared" si="107"/>
        <v>Еще фото</v>
      </c>
      <c r="F2516" s="13" t="s">
        <v>103</v>
      </c>
      <c r="G2516" s="24" t="s">
        <v>1184</v>
      </c>
      <c r="H2516" s="24" t="s">
        <v>741</v>
      </c>
      <c r="I2516" s="24" t="s">
        <v>1185</v>
      </c>
      <c r="J2516" s="14" t="s">
        <v>260</v>
      </c>
      <c r="K2516" s="15" t="s">
        <v>723</v>
      </c>
      <c r="L2516" s="62"/>
      <c r="M2516" s="14"/>
      <c r="N2516" s="14" t="s">
        <v>84</v>
      </c>
      <c r="O2516" s="14"/>
      <c r="P2516" s="15" t="s">
        <v>1718</v>
      </c>
      <c r="Q2516" s="16">
        <v>10299</v>
      </c>
      <c r="R2516" s="17">
        <v>40</v>
      </c>
      <c r="S2516" s="18">
        <v>7106.3099999999986</v>
      </c>
      <c r="T2516" s="19" t="s">
        <v>36</v>
      </c>
      <c r="U2516" s="20" t="s">
        <v>1327</v>
      </c>
      <c r="V2516" s="22">
        <v>44</v>
      </c>
      <c r="W2516" s="22">
        <v>7</v>
      </c>
      <c r="X2516" s="23"/>
    </row>
    <row r="2517" spans="1:24" s="1" customFormat="1" ht="13.05" customHeight="1" x14ac:dyDescent="0.3">
      <c r="A2517" s="24" t="s">
        <v>23</v>
      </c>
      <c r="B2517" s="24" t="s">
        <v>1383</v>
      </c>
      <c r="C2517" s="12" t="s">
        <v>2358</v>
      </c>
      <c r="D2517" s="60"/>
      <c r="E2517" s="41" t="str">
        <f t="shared" si="107"/>
        <v>Еще фото</v>
      </c>
      <c r="F2517" s="13" t="s">
        <v>103</v>
      </c>
      <c r="G2517" s="24" t="s">
        <v>1184</v>
      </c>
      <c r="H2517" s="24" t="s">
        <v>741</v>
      </c>
      <c r="I2517" s="24" t="s">
        <v>1185</v>
      </c>
      <c r="J2517" s="14" t="s">
        <v>260</v>
      </c>
      <c r="K2517" s="15" t="s">
        <v>723</v>
      </c>
      <c r="L2517" s="62"/>
      <c r="M2517" s="14"/>
      <c r="N2517" s="14" t="s">
        <v>84</v>
      </c>
      <c r="O2517" s="14"/>
      <c r="P2517" s="15" t="s">
        <v>1718</v>
      </c>
      <c r="Q2517" s="16">
        <v>10299</v>
      </c>
      <c r="R2517" s="17">
        <v>40</v>
      </c>
      <c r="S2517" s="18">
        <v>7106.3099999999986</v>
      </c>
      <c r="T2517" s="19" t="s">
        <v>36</v>
      </c>
      <c r="U2517" s="20" t="s">
        <v>1349</v>
      </c>
      <c r="V2517" s="34">
        <v>44.5</v>
      </c>
      <c r="W2517" s="22">
        <v>3</v>
      </c>
      <c r="X2517" s="23"/>
    </row>
    <row r="2518" spans="1:24" s="1" customFormat="1" ht="18" customHeight="1" x14ac:dyDescent="0.3">
      <c r="A2518" s="24" t="s">
        <v>23</v>
      </c>
      <c r="B2518" s="24" t="s">
        <v>1383</v>
      </c>
      <c r="C2518" s="12" t="s">
        <v>2358</v>
      </c>
      <c r="D2518" s="61"/>
      <c r="E2518" s="41" t="str">
        <f t="shared" si="107"/>
        <v>Еще фото</v>
      </c>
      <c r="F2518" s="13" t="s">
        <v>103</v>
      </c>
      <c r="G2518" s="24" t="s">
        <v>1184</v>
      </c>
      <c r="H2518" s="24" t="s">
        <v>741</v>
      </c>
      <c r="I2518" s="24" t="s">
        <v>1185</v>
      </c>
      <c r="J2518" s="14" t="s">
        <v>260</v>
      </c>
      <c r="K2518" s="15" t="s">
        <v>723</v>
      </c>
      <c r="L2518" s="58"/>
      <c r="M2518" s="14"/>
      <c r="N2518" s="14" t="s">
        <v>84</v>
      </c>
      <c r="O2518" s="14"/>
      <c r="P2518" s="15" t="s">
        <v>1718</v>
      </c>
      <c r="Q2518" s="16">
        <v>10299</v>
      </c>
      <c r="R2518" s="17">
        <v>40</v>
      </c>
      <c r="S2518" s="18">
        <v>7106.3099999999986</v>
      </c>
      <c r="T2518" s="19" t="s">
        <v>36</v>
      </c>
      <c r="U2518" s="20" t="s">
        <v>2359</v>
      </c>
      <c r="V2518" s="22">
        <v>45</v>
      </c>
      <c r="W2518" s="22">
        <v>1</v>
      </c>
      <c r="X2518" s="23"/>
    </row>
    <row r="2519" spans="1:24" s="1" customFormat="1" ht="26" customHeight="1" x14ac:dyDescent="0.3">
      <c r="A2519" s="11" t="s">
        <v>23</v>
      </c>
      <c r="B2519" s="11" t="s">
        <v>1719</v>
      </c>
      <c r="C2519" s="12" t="s">
        <v>2360</v>
      </c>
      <c r="D2519" s="59"/>
      <c r="E2519" s="41" t="str">
        <f>HYPERLINK("https://www.google.ru/search?q=6003014-014&amp;newwindow=1&amp;tbm=isch","Еще фото")</f>
        <v>Еще фото</v>
      </c>
      <c r="F2519" s="13" t="s">
        <v>103</v>
      </c>
      <c r="G2519" s="11" t="s">
        <v>1184</v>
      </c>
      <c r="H2519" s="11" t="s">
        <v>741</v>
      </c>
      <c r="I2519" s="14" t="s">
        <v>1185</v>
      </c>
      <c r="J2519" s="14" t="s">
        <v>29</v>
      </c>
      <c r="K2519" s="15" t="s">
        <v>59</v>
      </c>
      <c r="L2519" s="57" t="s">
        <v>1721</v>
      </c>
      <c r="M2519" s="14"/>
      <c r="N2519" s="14" t="s">
        <v>62</v>
      </c>
      <c r="O2519" s="14"/>
      <c r="P2519" s="15" t="s">
        <v>1722</v>
      </c>
      <c r="Q2519" s="16">
        <v>9199</v>
      </c>
      <c r="R2519" s="17">
        <v>40</v>
      </c>
      <c r="S2519" s="18">
        <v>6347.3099999999995</v>
      </c>
      <c r="T2519" s="19" t="s">
        <v>36</v>
      </c>
      <c r="U2519" s="20" t="s">
        <v>1203</v>
      </c>
      <c r="V2519" s="22">
        <v>36</v>
      </c>
      <c r="W2519" s="22">
        <v>1</v>
      </c>
      <c r="X2519" s="23"/>
    </row>
    <row r="2520" spans="1:24" s="1" customFormat="1" ht="26" customHeight="1" x14ac:dyDescent="0.3">
      <c r="A2520" s="24" t="s">
        <v>23</v>
      </c>
      <c r="B2520" s="24" t="s">
        <v>1719</v>
      </c>
      <c r="C2520" s="12" t="s">
        <v>2360</v>
      </c>
      <c r="D2520" s="60"/>
      <c r="E2520" s="41" t="str">
        <f>HYPERLINK("https://www.google.ru/search?q=6003014-014&amp;newwindow=1&amp;tbm=isch","Еще фото")</f>
        <v>Еще фото</v>
      </c>
      <c r="F2520" s="13" t="s">
        <v>103</v>
      </c>
      <c r="G2520" s="24" t="s">
        <v>1184</v>
      </c>
      <c r="H2520" s="24" t="s">
        <v>741</v>
      </c>
      <c r="I2520" s="24" t="s">
        <v>1185</v>
      </c>
      <c r="J2520" s="14" t="s">
        <v>29</v>
      </c>
      <c r="K2520" s="15" t="s">
        <v>59</v>
      </c>
      <c r="L2520" s="62"/>
      <c r="M2520" s="14"/>
      <c r="N2520" s="14" t="s">
        <v>62</v>
      </c>
      <c r="O2520" s="14"/>
      <c r="P2520" s="15" t="s">
        <v>1722</v>
      </c>
      <c r="Q2520" s="16">
        <v>9199</v>
      </c>
      <c r="R2520" s="17">
        <v>40</v>
      </c>
      <c r="S2520" s="18">
        <v>6347.3099999999995</v>
      </c>
      <c r="T2520" s="19" t="s">
        <v>36</v>
      </c>
      <c r="U2520" s="20" t="s">
        <v>1196</v>
      </c>
      <c r="V2520" s="34">
        <v>36.5</v>
      </c>
      <c r="W2520" s="22">
        <v>2</v>
      </c>
      <c r="X2520" s="23"/>
    </row>
    <row r="2521" spans="1:24" s="1" customFormat="1" ht="26" customHeight="1" x14ac:dyDescent="0.3">
      <c r="A2521" s="24" t="s">
        <v>23</v>
      </c>
      <c r="B2521" s="24" t="s">
        <v>1719</v>
      </c>
      <c r="C2521" s="12" t="s">
        <v>2360</v>
      </c>
      <c r="D2521" s="60"/>
      <c r="E2521" s="41" t="str">
        <f>HYPERLINK("https://www.google.ru/search?q=6003014-014&amp;newwindow=1&amp;tbm=isch","Еще фото")</f>
        <v>Еще фото</v>
      </c>
      <c r="F2521" s="13" t="s">
        <v>103</v>
      </c>
      <c r="G2521" s="24" t="s">
        <v>1184</v>
      </c>
      <c r="H2521" s="24" t="s">
        <v>741</v>
      </c>
      <c r="I2521" s="24" t="s">
        <v>1185</v>
      </c>
      <c r="J2521" s="14" t="s">
        <v>29</v>
      </c>
      <c r="K2521" s="15" t="s">
        <v>59</v>
      </c>
      <c r="L2521" s="62"/>
      <c r="M2521" s="14"/>
      <c r="N2521" s="14" t="s">
        <v>62</v>
      </c>
      <c r="O2521" s="14"/>
      <c r="P2521" s="15" t="s">
        <v>1722</v>
      </c>
      <c r="Q2521" s="16">
        <v>9199</v>
      </c>
      <c r="R2521" s="17">
        <v>40</v>
      </c>
      <c r="S2521" s="18">
        <v>6347.3099999999995</v>
      </c>
      <c r="T2521" s="19" t="s">
        <v>36</v>
      </c>
      <c r="U2521" s="20" t="s">
        <v>746</v>
      </c>
      <c r="V2521" s="22">
        <v>37</v>
      </c>
      <c r="W2521" s="22">
        <v>1</v>
      </c>
      <c r="X2521" s="23"/>
    </row>
    <row r="2522" spans="1:24" s="1" customFormat="1" ht="26" customHeight="1" x14ac:dyDescent="0.3">
      <c r="A2522" s="24" t="s">
        <v>23</v>
      </c>
      <c r="B2522" s="24" t="s">
        <v>1719</v>
      </c>
      <c r="C2522" s="12" t="s">
        <v>2360</v>
      </c>
      <c r="D2522" s="61"/>
      <c r="E2522" s="41" t="str">
        <f>HYPERLINK("https://www.google.ru/search?q=6003014-014&amp;newwindow=1&amp;tbm=isch","Еще фото")</f>
        <v>Еще фото</v>
      </c>
      <c r="F2522" s="13" t="s">
        <v>103</v>
      </c>
      <c r="G2522" s="24" t="s">
        <v>1184</v>
      </c>
      <c r="H2522" s="24" t="s">
        <v>741</v>
      </c>
      <c r="I2522" s="24" t="s">
        <v>1185</v>
      </c>
      <c r="J2522" s="14" t="s">
        <v>29</v>
      </c>
      <c r="K2522" s="15" t="s">
        <v>59</v>
      </c>
      <c r="L2522" s="58"/>
      <c r="M2522" s="14"/>
      <c r="N2522" s="14" t="s">
        <v>62</v>
      </c>
      <c r="O2522" s="14"/>
      <c r="P2522" s="15" t="s">
        <v>1722</v>
      </c>
      <c r="Q2522" s="16">
        <v>9199</v>
      </c>
      <c r="R2522" s="17">
        <v>40</v>
      </c>
      <c r="S2522" s="18">
        <v>6347.3099999999995</v>
      </c>
      <c r="T2522" s="19" t="s">
        <v>36</v>
      </c>
      <c r="U2522" s="20" t="s">
        <v>747</v>
      </c>
      <c r="V2522" s="34">
        <v>37.5</v>
      </c>
      <c r="W2522" s="22">
        <v>3</v>
      </c>
      <c r="X2522" s="23"/>
    </row>
    <row r="2523" spans="1:24" s="1" customFormat="1" ht="11" customHeight="1" x14ac:dyDescent="0.3">
      <c r="A2523" s="11" t="s">
        <v>23</v>
      </c>
      <c r="B2523" s="11" t="s">
        <v>2361</v>
      </c>
      <c r="C2523" s="12" t="s">
        <v>2362</v>
      </c>
      <c r="D2523" s="59"/>
      <c r="E2523" s="41" t="str">
        <f t="shared" ref="E2523:E2533" si="108">HYPERLINK("https://www.google.ru/search?q=6006030-001&amp;newwindow=1&amp;tbm=isch","Еще фото")</f>
        <v>Еще фото</v>
      </c>
      <c r="F2523" s="13"/>
      <c r="G2523" s="11" t="s">
        <v>1184</v>
      </c>
      <c r="H2523" s="11" t="s">
        <v>741</v>
      </c>
      <c r="I2523" s="14" t="s">
        <v>1185</v>
      </c>
      <c r="J2523" s="14" t="s">
        <v>29</v>
      </c>
      <c r="K2523" s="15" t="s">
        <v>30</v>
      </c>
      <c r="L2523" s="57" t="s">
        <v>2363</v>
      </c>
      <c r="M2523" s="14"/>
      <c r="N2523" s="14" t="s">
        <v>33</v>
      </c>
      <c r="O2523" s="14"/>
      <c r="P2523" s="15" t="s">
        <v>745</v>
      </c>
      <c r="Q2523" s="16">
        <v>20599</v>
      </c>
      <c r="R2523" s="17">
        <v>40</v>
      </c>
      <c r="S2523" s="18">
        <v>14213.309999999998</v>
      </c>
      <c r="T2523" s="19" t="s">
        <v>36</v>
      </c>
      <c r="U2523" s="20" t="s">
        <v>746</v>
      </c>
      <c r="V2523" s="22">
        <v>39</v>
      </c>
      <c r="W2523" s="22">
        <v>4</v>
      </c>
      <c r="X2523" s="23"/>
    </row>
    <row r="2524" spans="1:24" s="1" customFormat="1" ht="11" customHeight="1" x14ac:dyDescent="0.3">
      <c r="A2524" s="24" t="s">
        <v>23</v>
      </c>
      <c r="B2524" s="24" t="s">
        <v>2361</v>
      </c>
      <c r="C2524" s="12" t="s">
        <v>2362</v>
      </c>
      <c r="D2524" s="60"/>
      <c r="E2524" s="41" t="str">
        <f t="shared" si="108"/>
        <v>Еще фото</v>
      </c>
      <c r="F2524" s="13"/>
      <c r="G2524" s="24" t="s">
        <v>1184</v>
      </c>
      <c r="H2524" s="24" t="s">
        <v>741</v>
      </c>
      <c r="I2524" s="24" t="s">
        <v>1185</v>
      </c>
      <c r="J2524" s="14" t="s">
        <v>29</v>
      </c>
      <c r="K2524" s="15" t="s">
        <v>30</v>
      </c>
      <c r="L2524" s="62"/>
      <c r="M2524" s="14"/>
      <c r="N2524" s="14" t="s">
        <v>33</v>
      </c>
      <c r="O2524" s="14"/>
      <c r="P2524" s="15" t="s">
        <v>745</v>
      </c>
      <c r="Q2524" s="16">
        <v>20599</v>
      </c>
      <c r="R2524" s="17">
        <v>40</v>
      </c>
      <c r="S2524" s="18">
        <v>14213.309999999998</v>
      </c>
      <c r="T2524" s="19" t="s">
        <v>36</v>
      </c>
      <c r="U2524" s="20" t="s">
        <v>747</v>
      </c>
      <c r="V2524" s="34">
        <v>39.5</v>
      </c>
      <c r="W2524" s="22">
        <v>11</v>
      </c>
      <c r="X2524" s="23"/>
    </row>
    <row r="2525" spans="1:24" s="1" customFormat="1" ht="11" customHeight="1" x14ac:dyDescent="0.3">
      <c r="A2525" s="24" t="s">
        <v>23</v>
      </c>
      <c r="B2525" s="24" t="s">
        <v>2361</v>
      </c>
      <c r="C2525" s="12" t="s">
        <v>2362</v>
      </c>
      <c r="D2525" s="60"/>
      <c r="E2525" s="41" t="str">
        <f t="shared" si="108"/>
        <v>Еще фото</v>
      </c>
      <c r="F2525" s="13"/>
      <c r="G2525" s="24" t="s">
        <v>1184</v>
      </c>
      <c r="H2525" s="24" t="s">
        <v>741</v>
      </c>
      <c r="I2525" s="24" t="s">
        <v>1185</v>
      </c>
      <c r="J2525" s="14" t="s">
        <v>29</v>
      </c>
      <c r="K2525" s="15" t="s">
        <v>30</v>
      </c>
      <c r="L2525" s="62"/>
      <c r="M2525" s="14"/>
      <c r="N2525" s="14" t="s">
        <v>33</v>
      </c>
      <c r="O2525" s="14"/>
      <c r="P2525" s="15" t="s">
        <v>745</v>
      </c>
      <c r="Q2525" s="16">
        <v>20599</v>
      </c>
      <c r="R2525" s="17">
        <v>40</v>
      </c>
      <c r="S2525" s="18">
        <v>14213.309999999998</v>
      </c>
      <c r="T2525" s="19" t="s">
        <v>36</v>
      </c>
      <c r="U2525" s="20" t="s">
        <v>748</v>
      </c>
      <c r="V2525" s="22">
        <v>40</v>
      </c>
      <c r="W2525" s="22">
        <v>7</v>
      </c>
      <c r="X2525" s="23"/>
    </row>
    <row r="2526" spans="1:24" s="1" customFormat="1" ht="11" customHeight="1" x14ac:dyDescent="0.3">
      <c r="A2526" s="24" t="s">
        <v>23</v>
      </c>
      <c r="B2526" s="24" t="s">
        <v>2361</v>
      </c>
      <c r="C2526" s="12" t="s">
        <v>2362</v>
      </c>
      <c r="D2526" s="60"/>
      <c r="E2526" s="41" t="str">
        <f t="shared" si="108"/>
        <v>Еще фото</v>
      </c>
      <c r="F2526" s="13"/>
      <c r="G2526" s="24" t="s">
        <v>1184</v>
      </c>
      <c r="H2526" s="24" t="s">
        <v>741</v>
      </c>
      <c r="I2526" s="24" t="s">
        <v>1185</v>
      </c>
      <c r="J2526" s="14" t="s">
        <v>29</v>
      </c>
      <c r="K2526" s="15" t="s">
        <v>30</v>
      </c>
      <c r="L2526" s="62"/>
      <c r="M2526" s="14"/>
      <c r="N2526" s="14" t="s">
        <v>33</v>
      </c>
      <c r="O2526" s="14"/>
      <c r="P2526" s="15" t="s">
        <v>745</v>
      </c>
      <c r="Q2526" s="16">
        <v>20599</v>
      </c>
      <c r="R2526" s="17">
        <v>40</v>
      </c>
      <c r="S2526" s="18">
        <v>14213.309999999998</v>
      </c>
      <c r="T2526" s="19" t="s">
        <v>36</v>
      </c>
      <c r="U2526" s="20" t="s">
        <v>749</v>
      </c>
      <c r="V2526" s="22">
        <v>41</v>
      </c>
      <c r="W2526" s="22">
        <v>8</v>
      </c>
      <c r="X2526" s="23"/>
    </row>
    <row r="2527" spans="1:24" s="1" customFormat="1" ht="11" customHeight="1" x14ac:dyDescent="0.3">
      <c r="A2527" s="24" t="s">
        <v>23</v>
      </c>
      <c r="B2527" s="24" t="s">
        <v>2361</v>
      </c>
      <c r="C2527" s="12" t="s">
        <v>2362</v>
      </c>
      <c r="D2527" s="60"/>
      <c r="E2527" s="41" t="str">
        <f t="shared" si="108"/>
        <v>Еще фото</v>
      </c>
      <c r="F2527" s="13"/>
      <c r="G2527" s="24" t="s">
        <v>1184</v>
      </c>
      <c r="H2527" s="24" t="s">
        <v>741</v>
      </c>
      <c r="I2527" s="24" t="s">
        <v>1185</v>
      </c>
      <c r="J2527" s="14" t="s">
        <v>29</v>
      </c>
      <c r="K2527" s="15" t="s">
        <v>30</v>
      </c>
      <c r="L2527" s="62"/>
      <c r="M2527" s="14"/>
      <c r="N2527" s="14" t="s">
        <v>33</v>
      </c>
      <c r="O2527" s="14"/>
      <c r="P2527" s="15" t="s">
        <v>745</v>
      </c>
      <c r="Q2527" s="16">
        <v>20599</v>
      </c>
      <c r="R2527" s="17">
        <v>40</v>
      </c>
      <c r="S2527" s="18">
        <v>14213.309999999998</v>
      </c>
      <c r="T2527" s="19" t="s">
        <v>36</v>
      </c>
      <c r="U2527" s="20" t="s">
        <v>750</v>
      </c>
      <c r="V2527" s="34">
        <v>41.5</v>
      </c>
      <c r="W2527" s="22">
        <v>13</v>
      </c>
      <c r="X2527" s="23"/>
    </row>
    <row r="2528" spans="1:24" s="1" customFormat="1" ht="11" customHeight="1" x14ac:dyDescent="0.3">
      <c r="A2528" s="24" t="s">
        <v>23</v>
      </c>
      <c r="B2528" s="24" t="s">
        <v>2361</v>
      </c>
      <c r="C2528" s="12" t="s">
        <v>2362</v>
      </c>
      <c r="D2528" s="60"/>
      <c r="E2528" s="41" t="str">
        <f t="shared" si="108"/>
        <v>Еще фото</v>
      </c>
      <c r="F2528" s="13"/>
      <c r="G2528" s="24" t="s">
        <v>1184</v>
      </c>
      <c r="H2528" s="24" t="s">
        <v>741</v>
      </c>
      <c r="I2528" s="24" t="s">
        <v>1185</v>
      </c>
      <c r="J2528" s="14" t="s">
        <v>29</v>
      </c>
      <c r="K2528" s="15" t="s">
        <v>30</v>
      </c>
      <c r="L2528" s="62"/>
      <c r="M2528" s="14"/>
      <c r="N2528" s="14" t="s">
        <v>33</v>
      </c>
      <c r="O2528" s="14"/>
      <c r="P2528" s="15" t="s">
        <v>745</v>
      </c>
      <c r="Q2528" s="16">
        <v>20599</v>
      </c>
      <c r="R2528" s="17">
        <v>40</v>
      </c>
      <c r="S2528" s="18">
        <v>14213.309999999998</v>
      </c>
      <c r="T2528" s="19" t="s">
        <v>36</v>
      </c>
      <c r="U2528" s="20" t="s">
        <v>751</v>
      </c>
      <c r="V2528" s="22">
        <v>42</v>
      </c>
      <c r="W2528" s="22">
        <v>14</v>
      </c>
      <c r="X2528" s="23"/>
    </row>
    <row r="2529" spans="1:24" s="1" customFormat="1" ht="11" customHeight="1" x14ac:dyDescent="0.3">
      <c r="A2529" s="24" t="s">
        <v>23</v>
      </c>
      <c r="B2529" s="24" t="s">
        <v>2361</v>
      </c>
      <c r="C2529" s="12" t="s">
        <v>2362</v>
      </c>
      <c r="D2529" s="60"/>
      <c r="E2529" s="41" t="str">
        <f t="shared" si="108"/>
        <v>Еще фото</v>
      </c>
      <c r="F2529" s="13"/>
      <c r="G2529" s="24" t="s">
        <v>1184</v>
      </c>
      <c r="H2529" s="24" t="s">
        <v>741</v>
      </c>
      <c r="I2529" s="24" t="s">
        <v>1185</v>
      </c>
      <c r="J2529" s="14" t="s">
        <v>29</v>
      </c>
      <c r="K2529" s="15" t="s">
        <v>30</v>
      </c>
      <c r="L2529" s="62"/>
      <c r="M2529" s="14"/>
      <c r="N2529" s="14" t="s">
        <v>33</v>
      </c>
      <c r="O2529" s="14"/>
      <c r="P2529" s="15" t="s">
        <v>745</v>
      </c>
      <c r="Q2529" s="16">
        <v>20599</v>
      </c>
      <c r="R2529" s="17">
        <v>40</v>
      </c>
      <c r="S2529" s="18">
        <v>14213.309999999998</v>
      </c>
      <c r="T2529" s="19" t="s">
        <v>36</v>
      </c>
      <c r="U2529" s="20" t="s">
        <v>752</v>
      </c>
      <c r="V2529" s="22">
        <v>43</v>
      </c>
      <c r="W2529" s="22">
        <v>9</v>
      </c>
      <c r="X2529" s="23"/>
    </row>
    <row r="2530" spans="1:24" s="1" customFormat="1" ht="11" customHeight="1" x14ac:dyDescent="0.3">
      <c r="A2530" s="24" t="s">
        <v>23</v>
      </c>
      <c r="B2530" s="24" t="s">
        <v>2361</v>
      </c>
      <c r="C2530" s="12" t="s">
        <v>2362</v>
      </c>
      <c r="D2530" s="60"/>
      <c r="E2530" s="41" t="str">
        <f t="shared" si="108"/>
        <v>Еще фото</v>
      </c>
      <c r="F2530" s="13"/>
      <c r="G2530" s="24" t="s">
        <v>1184</v>
      </c>
      <c r="H2530" s="24" t="s">
        <v>741</v>
      </c>
      <c r="I2530" s="24" t="s">
        <v>1185</v>
      </c>
      <c r="J2530" s="14" t="s">
        <v>29</v>
      </c>
      <c r="K2530" s="15" t="s">
        <v>30</v>
      </c>
      <c r="L2530" s="62"/>
      <c r="M2530" s="14"/>
      <c r="N2530" s="14" t="s">
        <v>33</v>
      </c>
      <c r="O2530" s="14"/>
      <c r="P2530" s="15" t="s">
        <v>745</v>
      </c>
      <c r="Q2530" s="16">
        <v>20599</v>
      </c>
      <c r="R2530" s="17">
        <v>40</v>
      </c>
      <c r="S2530" s="18">
        <v>14213.309999999998</v>
      </c>
      <c r="T2530" s="19" t="s">
        <v>36</v>
      </c>
      <c r="U2530" s="20" t="s">
        <v>753</v>
      </c>
      <c r="V2530" s="34">
        <v>43.5</v>
      </c>
      <c r="W2530" s="22">
        <v>9</v>
      </c>
      <c r="X2530" s="23"/>
    </row>
    <row r="2531" spans="1:24" s="1" customFormat="1" ht="11" customHeight="1" x14ac:dyDescent="0.3">
      <c r="A2531" s="24" t="s">
        <v>23</v>
      </c>
      <c r="B2531" s="24" t="s">
        <v>2361</v>
      </c>
      <c r="C2531" s="12" t="s">
        <v>2362</v>
      </c>
      <c r="D2531" s="60"/>
      <c r="E2531" s="41" t="str">
        <f t="shared" si="108"/>
        <v>Еще фото</v>
      </c>
      <c r="F2531" s="13"/>
      <c r="G2531" s="24" t="s">
        <v>1184</v>
      </c>
      <c r="H2531" s="24" t="s">
        <v>741</v>
      </c>
      <c r="I2531" s="24" t="s">
        <v>1185</v>
      </c>
      <c r="J2531" s="14" t="s">
        <v>29</v>
      </c>
      <c r="K2531" s="15" t="s">
        <v>30</v>
      </c>
      <c r="L2531" s="62"/>
      <c r="M2531" s="14"/>
      <c r="N2531" s="14" t="s">
        <v>33</v>
      </c>
      <c r="O2531" s="14"/>
      <c r="P2531" s="15" t="s">
        <v>745</v>
      </c>
      <c r="Q2531" s="16">
        <v>20599</v>
      </c>
      <c r="R2531" s="17">
        <v>40</v>
      </c>
      <c r="S2531" s="18">
        <v>14213.309999999998</v>
      </c>
      <c r="T2531" s="19" t="s">
        <v>36</v>
      </c>
      <c r="U2531" s="20" t="s">
        <v>754</v>
      </c>
      <c r="V2531" s="22">
        <v>44</v>
      </c>
      <c r="W2531" s="22">
        <v>9</v>
      </c>
      <c r="X2531" s="23"/>
    </row>
    <row r="2532" spans="1:24" s="1" customFormat="1" ht="11" customHeight="1" x14ac:dyDescent="0.3">
      <c r="A2532" s="14" t="s">
        <v>23</v>
      </c>
      <c r="B2532" s="14" t="s">
        <v>2361</v>
      </c>
      <c r="C2532" s="12" t="s">
        <v>2362</v>
      </c>
      <c r="D2532" s="60"/>
      <c r="E2532" s="41" t="str">
        <f t="shared" si="108"/>
        <v>Еще фото</v>
      </c>
      <c r="F2532" s="29"/>
      <c r="G2532" s="14" t="s">
        <v>1184</v>
      </c>
      <c r="H2532" s="14" t="s">
        <v>741</v>
      </c>
      <c r="I2532" s="14" t="s">
        <v>1185</v>
      </c>
      <c r="J2532" s="14" t="s">
        <v>29</v>
      </c>
      <c r="K2532" s="14" t="s">
        <v>30</v>
      </c>
      <c r="L2532" s="62"/>
      <c r="M2532" s="14"/>
      <c r="N2532" s="14" t="s">
        <v>33</v>
      </c>
      <c r="O2532" s="14"/>
      <c r="P2532" s="14" t="s">
        <v>745</v>
      </c>
      <c r="Q2532" s="30">
        <v>20599</v>
      </c>
      <c r="R2532" s="31">
        <v>40</v>
      </c>
      <c r="S2532" s="32">
        <v>14213.309999999998</v>
      </c>
      <c r="T2532" s="19" t="s">
        <v>36</v>
      </c>
      <c r="U2532" s="20" t="s">
        <v>755</v>
      </c>
      <c r="V2532" s="34">
        <v>44.5</v>
      </c>
      <c r="W2532" s="22">
        <v>4</v>
      </c>
      <c r="X2532" s="23"/>
    </row>
    <row r="2533" spans="1:24" s="1" customFormat="1" ht="11" customHeight="1" x14ac:dyDescent="0.3">
      <c r="A2533" s="14" t="s">
        <v>23</v>
      </c>
      <c r="B2533" s="14" t="s">
        <v>2361</v>
      </c>
      <c r="C2533" s="12" t="s">
        <v>2362</v>
      </c>
      <c r="D2533" s="61"/>
      <c r="E2533" s="41" t="str">
        <f t="shared" si="108"/>
        <v>Еще фото</v>
      </c>
      <c r="F2533" s="29"/>
      <c r="G2533" s="14" t="s">
        <v>1184</v>
      </c>
      <c r="H2533" s="14" t="s">
        <v>741</v>
      </c>
      <c r="I2533" s="14" t="s">
        <v>1185</v>
      </c>
      <c r="J2533" s="14" t="s">
        <v>29</v>
      </c>
      <c r="K2533" s="14" t="s">
        <v>30</v>
      </c>
      <c r="L2533" s="58"/>
      <c r="M2533" s="14"/>
      <c r="N2533" s="14" t="s">
        <v>33</v>
      </c>
      <c r="O2533" s="14"/>
      <c r="P2533" s="14" t="s">
        <v>745</v>
      </c>
      <c r="Q2533" s="30">
        <v>20599</v>
      </c>
      <c r="R2533" s="31">
        <v>40</v>
      </c>
      <c r="S2533" s="32">
        <v>14213.309999999998</v>
      </c>
      <c r="T2533" s="19" t="s">
        <v>36</v>
      </c>
      <c r="U2533" s="20" t="s">
        <v>1337</v>
      </c>
      <c r="V2533" s="22">
        <v>45</v>
      </c>
      <c r="W2533" s="22">
        <v>4</v>
      </c>
      <c r="X2533" s="23"/>
    </row>
    <row r="2534" spans="1:24" s="1" customFormat="1" ht="11" customHeight="1" x14ac:dyDescent="0.3">
      <c r="A2534" s="11" t="s">
        <v>23</v>
      </c>
      <c r="B2534" s="11" t="s">
        <v>2361</v>
      </c>
      <c r="C2534" s="12" t="s">
        <v>2364</v>
      </c>
      <c r="D2534" s="59"/>
      <c r="E2534" s="41" t="str">
        <f t="shared" ref="E2534:E2543" si="109">HYPERLINK("https://www.google.ru/search?q=6006030-002&amp;newwindow=1&amp;tbm=isch","Еще фото")</f>
        <v>Еще фото</v>
      </c>
      <c r="F2534" s="13"/>
      <c r="G2534" s="11" t="s">
        <v>1184</v>
      </c>
      <c r="H2534" s="11" t="s">
        <v>741</v>
      </c>
      <c r="I2534" s="14" t="s">
        <v>1185</v>
      </c>
      <c r="J2534" s="14" t="s">
        <v>29</v>
      </c>
      <c r="K2534" s="15" t="s">
        <v>30</v>
      </c>
      <c r="L2534" s="57" t="s">
        <v>2363</v>
      </c>
      <c r="M2534" s="14"/>
      <c r="N2534" s="14" t="s">
        <v>33</v>
      </c>
      <c r="O2534" s="14"/>
      <c r="P2534" s="15" t="s">
        <v>745</v>
      </c>
      <c r="Q2534" s="16">
        <v>20599</v>
      </c>
      <c r="R2534" s="17">
        <v>40</v>
      </c>
      <c r="S2534" s="18">
        <v>14213.309999999998</v>
      </c>
      <c r="T2534" s="19" t="s">
        <v>36</v>
      </c>
      <c r="U2534" s="20" t="s">
        <v>746</v>
      </c>
      <c r="V2534" s="22">
        <v>39</v>
      </c>
      <c r="W2534" s="22">
        <v>4</v>
      </c>
      <c r="X2534" s="23"/>
    </row>
    <row r="2535" spans="1:24" s="1" customFormat="1" ht="11" customHeight="1" x14ac:dyDescent="0.3">
      <c r="A2535" s="24" t="s">
        <v>23</v>
      </c>
      <c r="B2535" s="24" t="s">
        <v>2361</v>
      </c>
      <c r="C2535" s="12" t="s">
        <v>2364</v>
      </c>
      <c r="D2535" s="60"/>
      <c r="E2535" s="41" t="str">
        <f t="shared" si="109"/>
        <v>Еще фото</v>
      </c>
      <c r="F2535" s="13"/>
      <c r="G2535" s="24" t="s">
        <v>1184</v>
      </c>
      <c r="H2535" s="24" t="s">
        <v>741</v>
      </c>
      <c r="I2535" s="24" t="s">
        <v>1185</v>
      </c>
      <c r="J2535" s="14" t="s">
        <v>29</v>
      </c>
      <c r="K2535" s="15" t="s">
        <v>30</v>
      </c>
      <c r="L2535" s="62"/>
      <c r="M2535" s="14"/>
      <c r="N2535" s="14" t="s">
        <v>33</v>
      </c>
      <c r="O2535" s="14"/>
      <c r="P2535" s="15" t="s">
        <v>745</v>
      </c>
      <c r="Q2535" s="16">
        <v>20599</v>
      </c>
      <c r="R2535" s="17">
        <v>40</v>
      </c>
      <c r="S2535" s="18">
        <v>14213.309999999998</v>
      </c>
      <c r="T2535" s="19" t="s">
        <v>36</v>
      </c>
      <c r="U2535" s="20" t="s">
        <v>747</v>
      </c>
      <c r="V2535" s="34">
        <v>39.5</v>
      </c>
      <c r="W2535" s="22">
        <v>11</v>
      </c>
      <c r="X2535" s="23"/>
    </row>
    <row r="2536" spans="1:24" s="1" customFormat="1" ht="11" customHeight="1" x14ac:dyDescent="0.3">
      <c r="A2536" s="24" t="s">
        <v>23</v>
      </c>
      <c r="B2536" s="24" t="s">
        <v>2361</v>
      </c>
      <c r="C2536" s="12" t="s">
        <v>2364</v>
      </c>
      <c r="D2536" s="60"/>
      <c r="E2536" s="41" t="str">
        <f t="shared" si="109"/>
        <v>Еще фото</v>
      </c>
      <c r="F2536" s="13"/>
      <c r="G2536" s="24" t="s">
        <v>1184</v>
      </c>
      <c r="H2536" s="24" t="s">
        <v>741</v>
      </c>
      <c r="I2536" s="24" t="s">
        <v>1185</v>
      </c>
      <c r="J2536" s="14" t="s">
        <v>29</v>
      </c>
      <c r="K2536" s="15" t="s">
        <v>30</v>
      </c>
      <c r="L2536" s="62"/>
      <c r="M2536" s="14"/>
      <c r="N2536" s="14" t="s">
        <v>33</v>
      </c>
      <c r="O2536" s="14"/>
      <c r="P2536" s="15" t="s">
        <v>745</v>
      </c>
      <c r="Q2536" s="16">
        <v>20599</v>
      </c>
      <c r="R2536" s="17">
        <v>40</v>
      </c>
      <c r="S2536" s="18">
        <v>14213.309999999998</v>
      </c>
      <c r="T2536" s="19" t="s">
        <v>36</v>
      </c>
      <c r="U2536" s="20" t="s">
        <v>748</v>
      </c>
      <c r="V2536" s="22">
        <v>40</v>
      </c>
      <c r="W2536" s="22">
        <v>5</v>
      </c>
      <c r="X2536" s="23"/>
    </row>
    <row r="2537" spans="1:24" s="1" customFormat="1" ht="11" customHeight="1" x14ac:dyDescent="0.3">
      <c r="A2537" s="24" t="s">
        <v>23</v>
      </c>
      <c r="B2537" s="24" t="s">
        <v>2361</v>
      </c>
      <c r="C2537" s="12" t="s">
        <v>2364</v>
      </c>
      <c r="D2537" s="60"/>
      <c r="E2537" s="41" t="str">
        <f t="shared" si="109"/>
        <v>Еще фото</v>
      </c>
      <c r="F2537" s="13"/>
      <c r="G2537" s="24" t="s">
        <v>1184</v>
      </c>
      <c r="H2537" s="24" t="s">
        <v>741</v>
      </c>
      <c r="I2537" s="24" t="s">
        <v>1185</v>
      </c>
      <c r="J2537" s="14" t="s">
        <v>29</v>
      </c>
      <c r="K2537" s="15" t="s">
        <v>30</v>
      </c>
      <c r="L2537" s="62"/>
      <c r="M2537" s="14"/>
      <c r="N2537" s="14" t="s">
        <v>33</v>
      </c>
      <c r="O2537" s="14"/>
      <c r="P2537" s="15" t="s">
        <v>745</v>
      </c>
      <c r="Q2537" s="16">
        <v>20599</v>
      </c>
      <c r="R2537" s="17">
        <v>40</v>
      </c>
      <c r="S2537" s="18">
        <v>14213.309999999998</v>
      </c>
      <c r="T2537" s="19" t="s">
        <v>36</v>
      </c>
      <c r="U2537" s="20" t="s">
        <v>749</v>
      </c>
      <c r="V2537" s="22">
        <v>41</v>
      </c>
      <c r="W2537" s="22">
        <v>3</v>
      </c>
      <c r="X2537" s="23"/>
    </row>
    <row r="2538" spans="1:24" s="1" customFormat="1" ht="11" customHeight="1" x14ac:dyDescent="0.3">
      <c r="A2538" s="24" t="s">
        <v>23</v>
      </c>
      <c r="B2538" s="24" t="s">
        <v>2361</v>
      </c>
      <c r="C2538" s="12" t="s">
        <v>2364</v>
      </c>
      <c r="D2538" s="60"/>
      <c r="E2538" s="41" t="str">
        <f t="shared" si="109"/>
        <v>Еще фото</v>
      </c>
      <c r="F2538" s="13"/>
      <c r="G2538" s="24" t="s">
        <v>1184</v>
      </c>
      <c r="H2538" s="24" t="s">
        <v>741</v>
      </c>
      <c r="I2538" s="24" t="s">
        <v>1185</v>
      </c>
      <c r="J2538" s="14" t="s">
        <v>29</v>
      </c>
      <c r="K2538" s="15" t="s">
        <v>30</v>
      </c>
      <c r="L2538" s="62"/>
      <c r="M2538" s="14"/>
      <c r="N2538" s="14" t="s">
        <v>33</v>
      </c>
      <c r="O2538" s="14"/>
      <c r="P2538" s="15" t="s">
        <v>745</v>
      </c>
      <c r="Q2538" s="16">
        <v>20599</v>
      </c>
      <c r="R2538" s="17">
        <v>40</v>
      </c>
      <c r="S2538" s="18">
        <v>14213.309999999998</v>
      </c>
      <c r="T2538" s="19" t="s">
        <v>36</v>
      </c>
      <c r="U2538" s="20" t="s">
        <v>750</v>
      </c>
      <c r="V2538" s="34">
        <v>41.5</v>
      </c>
      <c r="W2538" s="22">
        <v>5</v>
      </c>
      <c r="X2538" s="23"/>
    </row>
    <row r="2539" spans="1:24" s="1" customFormat="1" ht="11" customHeight="1" x14ac:dyDescent="0.3">
      <c r="A2539" s="24" t="s">
        <v>23</v>
      </c>
      <c r="B2539" s="24" t="s">
        <v>2361</v>
      </c>
      <c r="C2539" s="12" t="s">
        <v>2364</v>
      </c>
      <c r="D2539" s="60"/>
      <c r="E2539" s="41" t="str">
        <f t="shared" si="109"/>
        <v>Еще фото</v>
      </c>
      <c r="F2539" s="13"/>
      <c r="G2539" s="24" t="s">
        <v>1184</v>
      </c>
      <c r="H2539" s="24" t="s">
        <v>741</v>
      </c>
      <c r="I2539" s="24" t="s">
        <v>1185</v>
      </c>
      <c r="J2539" s="14" t="s">
        <v>29</v>
      </c>
      <c r="K2539" s="15" t="s">
        <v>30</v>
      </c>
      <c r="L2539" s="62"/>
      <c r="M2539" s="14"/>
      <c r="N2539" s="14" t="s">
        <v>33</v>
      </c>
      <c r="O2539" s="14"/>
      <c r="P2539" s="15" t="s">
        <v>745</v>
      </c>
      <c r="Q2539" s="16">
        <v>20599</v>
      </c>
      <c r="R2539" s="17">
        <v>40</v>
      </c>
      <c r="S2539" s="18">
        <v>14213.309999999998</v>
      </c>
      <c r="T2539" s="19" t="s">
        <v>36</v>
      </c>
      <c r="U2539" s="20" t="s">
        <v>751</v>
      </c>
      <c r="V2539" s="22">
        <v>42</v>
      </c>
      <c r="W2539" s="22">
        <v>5</v>
      </c>
      <c r="X2539" s="23"/>
    </row>
    <row r="2540" spans="1:24" s="1" customFormat="1" ht="11" customHeight="1" x14ac:dyDescent="0.3">
      <c r="A2540" s="24" t="s">
        <v>23</v>
      </c>
      <c r="B2540" s="24" t="s">
        <v>2361</v>
      </c>
      <c r="C2540" s="12" t="s">
        <v>2364</v>
      </c>
      <c r="D2540" s="60"/>
      <c r="E2540" s="41" t="str">
        <f t="shared" si="109"/>
        <v>Еще фото</v>
      </c>
      <c r="F2540" s="13"/>
      <c r="G2540" s="24" t="s">
        <v>1184</v>
      </c>
      <c r="H2540" s="24" t="s">
        <v>741</v>
      </c>
      <c r="I2540" s="24" t="s">
        <v>1185</v>
      </c>
      <c r="J2540" s="14" t="s">
        <v>29</v>
      </c>
      <c r="K2540" s="15" t="s">
        <v>30</v>
      </c>
      <c r="L2540" s="62"/>
      <c r="M2540" s="14"/>
      <c r="N2540" s="14" t="s">
        <v>33</v>
      </c>
      <c r="O2540" s="14"/>
      <c r="P2540" s="15" t="s">
        <v>745</v>
      </c>
      <c r="Q2540" s="16">
        <v>20599</v>
      </c>
      <c r="R2540" s="17">
        <v>40</v>
      </c>
      <c r="S2540" s="18">
        <v>14213.309999999998</v>
      </c>
      <c r="T2540" s="19" t="s">
        <v>36</v>
      </c>
      <c r="U2540" s="20" t="s">
        <v>752</v>
      </c>
      <c r="V2540" s="22">
        <v>43</v>
      </c>
      <c r="W2540" s="22">
        <v>1</v>
      </c>
      <c r="X2540" s="23"/>
    </row>
    <row r="2541" spans="1:24" s="1" customFormat="1" ht="11" customHeight="1" x14ac:dyDescent="0.3">
      <c r="A2541" s="24" t="s">
        <v>23</v>
      </c>
      <c r="B2541" s="24" t="s">
        <v>2361</v>
      </c>
      <c r="C2541" s="12" t="s">
        <v>2364</v>
      </c>
      <c r="D2541" s="60"/>
      <c r="E2541" s="41" t="str">
        <f t="shared" si="109"/>
        <v>Еще фото</v>
      </c>
      <c r="F2541" s="13"/>
      <c r="G2541" s="24" t="s">
        <v>1184</v>
      </c>
      <c r="H2541" s="24" t="s">
        <v>741</v>
      </c>
      <c r="I2541" s="24" t="s">
        <v>1185</v>
      </c>
      <c r="J2541" s="14" t="s">
        <v>29</v>
      </c>
      <c r="K2541" s="15" t="s">
        <v>30</v>
      </c>
      <c r="L2541" s="62"/>
      <c r="M2541" s="14"/>
      <c r="N2541" s="14" t="s">
        <v>33</v>
      </c>
      <c r="O2541" s="14"/>
      <c r="P2541" s="15" t="s">
        <v>745</v>
      </c>
      <c r="Q2541" s="16">
        <v>20599</v>
      </c>
      <c r="R2541" s="17">
        <v>40</v>
      </c>
      <c r="S2541" s="18">
        <v>14213.309999999998</v>
      </c>
      <c r="T2541" s="19" t="s">
        <v>36</v>
      </c>
      <c r="U2541" s="20" t="s">
        <v>753</v>
      </c>
      <c r="V2541" s="34">
        <v>43.5</v>
      </c>
      <c r="W2541" s="22">
        <v>4</v>
      </c>
      <c r="X2541" s="23"/>
    </row>
    <row r="2542" spans="1:24" s="1" customFormat="1" ht="11" customHeight="1" x14ac:dyDescent="0.3">
      <c r="A2542" s="24" t="s">
        <v>23</v>
      </c>
      <c r="B2542" s="24" t="s">
        <v>2361</v>
      </c>
      <c r="C2542" s="12" t="s">
        <v>2364</v>
      </c>
      <c r="D2542" s="60"/>
      <c r="E2542" s="41" t="str">
        <f t="shared" si="109"/>
        <v>Еще фото</v>
      </c>
      <c r="F2542" s="13"/>
      <c r="G2542" s="24" t="s">
        <v>1184</v>
      </c>
      <c r="H2542" s="24" t="s">
        <v>741</v>
      </c>
      <c r="I2542" s="24" t="s">
        <v>1185</v>
      </c>
      <c r="J2542" s="14" t="s">
        <v>29</v>
      </c>
      <c r="K2542" s="15" t="s">
        <v>30</v>
      </c>
      <c r="L2542" s="62"/>
      <c r="M2542" s="14"/>
      <c r="N2542" s="14" t="s">
        <v>33</v>
      </c>
      <c r="O2542" s="14"/>
      <c r="P2542" s="15" t="s">
        <v>745</v>
      </c>
      <c r="Q2542" s="16">
        <v>20599</v>
      </c>
      <c r="R2542" s="17">
        <v>40</v>
      </c>
      <c r="S2542" s="18">
        <v>14213.309999999998</v>
      </c>
      <c r="T2542" s="19" t="s">
        <v>36</v>
      </c>
      <c r="U2542" s="20" t="s">
        <v>754</v>
      </c>
      <c r="V2542" s="22">
        <v>44</v>
      </c>
      <c r="W2542" s="22">
        <v>4</v>
      </c>
      <c r="X2542" s="23"/>
    </row>
    <row r="2543" spans="1:24" s="1" customFormat="1" ht="11" customHeight="1" x14ac:dyDescent="0.3">
      <c r="A2543" s="14" t="s">
        <v>23</v>
      </c>
      <c r="B2543" s="14" t="s">
        <v>2361</v>
      </c>
      <c r="C2543" s="12" t="s">
        <v>2364</v>
      </c>
      <c r="D2543" s="61"/>
      <c r="E2543" s="41" t="str">
        <f t="shared" si="109"/>
        <v>Еще фото</v>
      </c>
      <c r="F2543" s="29"/>
      <c r="G2543" s="14" t="s">
        <v>1184</v>
      </c>
      <c r="H2543" s="14" t="s">
        <v>741</v>
      </c>
      <c r="I2543" s="14" t="s">
        <v>1185</v>
      </c>
      <c r="J2543" s="14" t="s">
        <v>29</v>
      </c>
      <c r="K2543" s="14" t="s">
        <v>30</v>
      </c>
      <c r="L2543" s="58"/>
      <c r="M2543" s="14"/>
      <c r="N2543" s="14" t="s">
        <v>33</v>
      </c>
      <c r="O2543" s="14"/>
      <c r="P2543" s="14" t="s">
        <v>745</v>
      </c>
      <c r="Q2543" s="30">
        <v>20599</v>
      </c>
      <c r="R2543" s="31">
        <v>40</v>
      </c>
      <c r="S2543" s="32">
        <v>14213.309999999998</v>
      </c>
      <c r="T2543" s="19" t="s">
        <v>36</v>
      </c>
      <c r="U2543" s="20" t="s">
        <v>755</v>
      </c>
      <c r="V2543" s="34">
        <v>44.5</v>
      </c>
      <c r="W2543" s="22">
        <v>3</v>
      </c>
      <c r="X2543" s="23"/>
    </row>
    <row r="2544" spans="1:24" s="1" customFormat="1" ht="11" customHeight="1" x14ac:dyDescent="0.3">
      <c r="A2544" s="11" t="s">
        <v>23</v>
      </c>
      <c r="B2544" s="11" t="s">
        <v>2361</v>
      </c>
      <c r="C2544" s="12" t="s">
        <v>2365</v>
      </c>
      <c r="D2544" s="59"/>
      <c r="E2544" s="41" t="str">
        <f t="shared" ref="E2544:E2554" si="110">HYPERLINK("https://www.google.ru/search?q=6006030-102&amp;newwindow=1&amp;tbm=isch","Еще фото")</f>
        <v>Еще фото</v>
      </c>
      <c r="F2544" s="13"/>
      <c r="G2544" s="11" t="s">
        <v>1184</v>
      </c>
      <c r="H2544" s="11" t="s">
        <v>741</v>
      </c>
      <c r="I2544" s="14" t="s">
        <v>1185</v>
      </c>
      <c r="J2544" s="14" t="s">
        <v>29</v>
      </c>
      <c r="K2544" s="15" t="s">
        <v>30</v>
      </c>
      <c r="L2544" s="57" t="s">
        <v>2363</v>
      </c>
      <c r="M2544" s="14"/>
      <c r="N2544" s="14" t="s">
        <v>84</v>
      </c>
      <c r="O2544" s="14"/>
      <c r="P2544" s="15" t="s">
        <v>745</v>
      </c>
      <c r="Q2544" s="16">
        <v>20599</v>
      </c>
      <c r="R2544" s="17">
        <v>40</v>
      </c>
      <c r="S2544" s="18">
        <v>14213.309999999998</v>
      </c>
      <c r="T2544" s="19" t="s">
        <v>36</v>
      </c>
      <c r="U2544" s="20" t="s">
        <v>747</v>
      </c>
      <c r="V2544" s="34">
        <v>39.5</v>
      </c>
      <c r="W2544" s="22">
        <v>1</v>
      </c>
      <c r="X2544" s="23"/>
    </row>
    <row r="2545" spans="1:24" s="1" customFormat="1" ht="11" customHeight="1" x14ac:dyDescent="0.3">
      <c r="A2545" s="24" t="s">
        <v>23</v>
      </c>
      <c r="B2545" s="24" t="s">
        <v>2361</v>
      </c>
      <c r="C2545" s="12" t="s">
        <v>2365</v>
      </c>
      <c r="D2545" s="60"/>
      <c r="E2545" s="41" t="str">
        <f t="shared" si="110"/>
        <v>Еще фото</v>
      </c>
      <c r="F2545" s="13"/>
      <c r="G2545" s="24" t="s">
        <v>1184</v>
      </c>
      <c r="H2545" s="24" t="s">
        <v>741</v>
      </c>
      <c r="I2545" s="24" t="s">
        <v>1185</v>
      </c>
      <c r="J2545" s="14" t="s">
        <v>29</v>
      </c>
      <c r="K2545" s="15" t="s">
        <v>30</v>
      </c>
      <c r="L2545" s="62"/>
      <c r="M2545" s="14"/>
      <c r="N2545" s="14" t="s">
        <v>84</v>
      </c>
      <c r="O2545" s="14"/>
      <c r="P2545" s="15" t="s">
        <v>745</v>
      </c>
      <c r="Q2545" s="16">
        <v>20599</v>
      </c>
      <c r="R2545" s="17">
        <v>40</v>
      </c>
      <c r="S2545" s="18">
        <v>14213.309999999998</v>
      </c>
      <c r="T2545" s="19" t="s">
        <v>36</v>
      </c>
      <c r="U2545" s="20" t="s">
        <v>748</v>
      </c>
      <c r="V2545" s="22">
        <v>40</v>
      </c>
      <c r="W2545" s="22">
        <v>5</v>
      </c>
      <c r="X2545" s="23"/>
    </row>
    <row r="2546" spans="1:24" s="1" customFormat="1" ht="11" customHeight="1" x14ac:dyDescent="0.3">
      <c r="A2546" s="24" t="s">
        <v>23</v>
      </c>
      <c r="B2546" s="24" t="s">
        <v>2361</v>
      </c>
      <c r="C2546" s="12" t="s">
        <v>2365</v>
      </c>
      <c r="D2546" s="60"/>
      <c r="E2546" s="41" t="str">
        <f t="shared" si="110"/>
        <v>Еще фото</v>
      </c>
      <c r="F2546" s="13"/>
      <c r="G2546" s="24" t="s">
        <v>1184</v>
      </c>
      <c r="H2546" s="24" t="s">
        <v>741</v>
      </c>
      <c r="I2546" s="24" t="s">
        <v>1185</v>
      </c>
      <c r="J2546" s="14" t="s">
        <v>29</v>
      </c>
      <c r="K2546" s="15" t="s">
        <v>30</v>
      </c>
      <c r="L2546" s="62"/>
      <c r="M2546" s="14"/>
      <c r="N2546" s="14" t="s">
        <v>84</v>
      </c>
      <c r="O2546" s="14"/>
      <c r="P2546" s="15" t="s">
        <v>745</v>
      </c>
      <c r="Q2546" s="16">
        <v>20599</v>
      </c>
      <c r="R2546" s="17">
        <v>40</v>
      </c>
      <c r="S2546" s="18">
        <v>14213.309999999998</v>
      </c>
      <c r="T2546" s="19" t="s">
        <v>36</v>
      </c>
      <c r="U2546" s="20" t="s">
        <v>749</v>
      </c>
      <c r="V2546" s="22">
        <v>41</v>
      </c>
      <c r="W2546" s="22">
        <v>7</v>
      </c>
      <c r="X2546" s="23"/>
    </row>
    <row r="2547" spans="1:24" s="1" customFormat="1" ht="11" customHeight="1" x14ac:dyDescent="0.3">
      <c r="A2547" s="24" t="s">
        <v>23</v>
      </c>
      <c r="B2547" s="24" t="s">
        <v>2361</v>
      </c>
      <c r="C2547" s="12" t="s">
        <v>2365</v>
      </c>
      <c r="D2547" s="60"/>
      <c r="E2547" s="41" t="str">
        <f t="shared" si="110"/>
        <v>Еще фото</v>
      </c>
      <c r="F2547" s="13"/>
      <c r="G2547" s="24" t="s">
        <v>1184</v>
      </c>
      <c r="H2547" s="24" t="s">
        <v>741</v>
      </c>
      <c r="I2547" s="24" t="s">
        <v>1185</v>
      </c>
      <c r="J2547" s="14" t="s">
        <v>29</v>
      </c>
      <c r="K2547" s="15" t="s">
        <v>30</v>
      </c>
      <c r="L2547" s="62"/>
      <c r="M2547" s="14"/>
      <c r="N2547" s="14" t="s">
        <v>84</v>
      </c>
      <c r="O2547" s="14"/>
      <c r="P2547" s="15" t="s">
        <v>745</v>
      </c>
      <c r="Q2547" s="16">
        <v>20599</v>
      </c>
      <c r="R2547" s="17">
        <v>40</v>
      </c>
      <c r="S2547" s="18">
        <v>14213.309999999998</v>
      </c>
      <c r="T2547" s="19" t="s">
        <v>36</v>
      </c>
      <c r="U2547" s="20" t="s">
        <v>750</v>
      </c>
      <c r="V2547" s="34">
        <v>41.5</v>
      </c>
      <c r="W2547" s="22">
        <v>9</v>
      </c>
      <c r="X2547" s="23"/>
    </row>
    <row r="2548" spans="1:24" s="1" customFormat="1" ht="11" customHeight="1" x14ac:dyDescent="0.3">
      <c r="A2548" s="24" t="s">
        <v>23</v>
      </c>
      <c r="B2548" s="24" t="s">
        <v>2361</v>
      </c>
      <c r="C2548" s="12" t="s">
        <v>2365</v>
      </c>
      <c r="D2548" s="60"/>
      <c r="E2548" s="41" t="str">
        <f t="shared" si="110"/>
        <v>Еще фото</v>
      </c>
      <c r="F2548" s="13"/>
      <c r="G2548" s="24" t="s">
        <v>1184</v>
      </c>
      <c r="H2548" s="24" t="s">
        <v>741</v>
      </c>
      <c r="I2548" s="24" t="s">
        <v>1185</v>
      </c>
      <c r="J2548" s="14" t="s">
        <v>29</v>
      </c>
      <c r="K2548" s="15" t="s">
        <v>30</v>
      </c>
      <c r="L2548" s="62"/>
      <c r="M2548" s="14"/>
      <c r="N2548" s="14" t="s">
        <v>84</v>
      </c>
      <c r="O2548" s="14"/>
      <c r="P2548" s="15" t="s">
        <v>745</v>
      </c>
      <c r="Q2548" s="16">
        <v>20599</v>
      </c>
      <c r="R2548" s="17">
        <v>40</v>
      </c>
      <c r="S2548" s="18">
        <v>14213.309999999998</v>
      </c>
      <c r="T2548" s="19" t="s">
        <v>36</v>
      </c>
      <c r="U2548" s="20" t="s">
        <v>751</v>
      </c>
      <c r="V2548" s="22">
        <v>42</v>
      </c>
      <c r="W2548" s="22">
        <v>14</v>
      </c>
      <c r="X2548" s="23"/>
    </row>
    <row r="2549" spans="1:24" s="1" customFormat="1" ht="11" customHeight="1" x14ac:dyDescent="0.3">
      <c r="A2549" s="24" t="s">
        <v>23</v>
      </c>
      <c r="B2549" s="24" t="s">
        <v>2361</v>
      </c>
      <c r="C2549" s="12" t="s">
        <v>2365</v>
      </c>
      <c r="D2549" s="60"/>
      <c r="E2549" s="41" t="str">
        <f t="shared" si="110"/>
        <v>Еще фото</v>
      </c>
      <c r="F2549" s="13"/>
      <c r="G2549" s="24" t="s">
        <v>1184</v>
      </c>
      <c r="H2549" s="24" t="s">
        <v>741</v>
      </c>
      <c r="I2549" s="24" t="s">
        <v>1185</v>
      </c>
      <c r="J2549" s="14" t="s">
        <v>29</v>
      </c>
      <c r="K2549" s="15" t="s">
        <v>30</v>
      </c>
      <c r="L2549" s="62"/>
      <c r="M2549" s="14"/>
      <c r="N2549" s="14" t="s">
        <v>84</v>
      </c>
      <c r="O2549" s="14"/>
      <c r="P2549" s="15" t="s">
        <v>745</v>
      </c>
      <c r="Q2549" s="16">
        <v>20599</v>
      </c>
      <c r="R2549" s="17">
        <v>40</v>
      </c>
      <c r="S2549" s="18">
        <v>14213.309999999998</v>
      </c>
      <c r="T2549" s="19" t="s">
        <v>36</v>
      </c>
      <c r="U2549" s="20" t="s">
        <v>752</v>
      </c>
      <c r="V2549" s="22">
        <v>43</v>
      </c>
      <c r="W2549" s="22">
        <v>8</v>
      </c>
      <c r="X2549" s="23"/>
    </row>
    <row r="2550" spans="1:24" s="1" customFormat="1" ht="11" customHeight="1" x14ac:dyDescent="0.3">
      <c r="A2550" s="24" t="s">
        <v>23</v>
      </c>
      <c r="B2550" s="24" t="s">
        <v>2361</v>
      </c>
      <c r="C2550" s="12" t="s">
        <v>2365</v>
      </c>
      <c r="D2550" s="60"/>
      <c r="E2550" s="41" t="str">
        <f t="shared" si="110"/>
        <v>Еще фото</v>
      </c>
      <c r="F2550" s="13"/>
      <c r="G2550" s="24" t="s">
        <v>1184</v>
      </c>
      <c r="H2550" s="24" t="s">
        <v>741</v>
      </c>
      <c r="I2550" s="24" t="s">
        <v>1185</v>
      </c>
      <c r="J2550" s="14" t="s">
        <v>29</v>
      </c>
      <c r="K2550" s="15" t="s">
        <v>30</v>
      </c>
      <c r="L2550" s="62"/>
      <c r="M2550" s="14"/>
      <c r="N2550" s="14" t="s">
        <v>84</v>
      </c>
      <c r="O2550" s="14"/>
      <c r="P2550" s="15" t="s">
        <v>745</v>
      </c>
      <c r="Q2550" s="16">
        <v>20599</v>
      </c>
      <c r="R2550" s="17">
        <v>40</v>
      </c>
      <c r="S2550" s="18">
        <v>14213.309999999998</v>
      </c>
      <c r="T2550" s="19" t="s">
        <v>36</v>
      </c>
      <c r="U2550" s="20" t="s">
        <v>753</v>
      </c>
      <c r="V2550" s="34">
        <v>43.5</v>
      </c>
      <c r="W2550" s="22">
        <v>11</v>
      </c>
      <c r="X2550" s="23"/>
    </row>
    <row r="2551" spans="1:24" s="1" customFormat="1" ht="11" customHeight="1" x14ac:dyDescent="0.3">
      <c r="A2551" s="24" t="s">
        <v>23</v>
      </c>
      <c r="B2551" s="24" t="s">
        <v>2361</v>
      </c>
      <c r="C2551" s="12" t="s">
        <v>2365</v>
      </c>
      <c r="D2551" s="60"/>
      <c r="E2551" s="41" t="str">
        <f t="shared" si="110"/>
        <v>Еще фото</v>
      </c>
      <c r="F2551" s="13"/>
      <c r="G2551" s="24" t="s">
        <v>1184</v>
      </c>
      <c r="H2551" s="24" t="s">
        <v>741</v>
      </c>
      <c r="I2551" s="24" t="s">
        <v>1185</v>
      </c>
      <c r="J2551" s="14" t="s">
        <v>29</v>
      </c>
      <c r="K2551" s="15" t="s">
        <v>30</v>
      </c>
      <c r="L2551" s="62"/>
      <c r="M2551" s="14"/>
      <c r="N2551" s="14" t="s">
        <v>84</v>
      </c>
      <c r="O2551" s="14"/>
      <c r="P2551" s="15" t="s">
        <v>745</v>
      </c>
      <c r="Q2551" s="16">
        <v>20599</v>
      </c>
      <c r="R2551" s="17">
        <v>40</v>
      </c>
      <c r="S2551" s="18">
        <v>14213.309999999998</v>
      </c>
      <c r="T2551" s="19" t="s">
        <v>36</v>
      </c>
      <c r="U2551" s="20" t="s">
        <v>754</v>
      </c>
      <c r="V2551" s="22">
        <v>44</v>
      </c>
      <c r="W2551" s="22">
        <v>4</v>
      </c>
      <c r="X2551" s="23"/>
    </row>
    <row r="2552" spans="1:24" s="1" customFormat="1" ht="11" customHeight="1" x14ac:dyDescent="0.3">
      <c r="A2552" s="24" t="s">
        <v>23</v>
      </c>
      <c r="B2552" s="24" t="s">
        <v>2361</v>
      </c>
      <c r="C2552" s="12" t="s">
        <v>2365</v>
      </c>
      <c r="D2552" s="60"/>
      <c r="E2552" s="41" t="str">
        <f t="shared" si="110"/>
        <v>Еще фото</v>
      </c>
      <c r="F2552" s="13"/>
      <c r="G2552" s="24" t="s">
        <v>1184</v>
      </c>
      <c r="H2552" s="24" t="s">
        <v>741</v>
      </c>
      <c r="I2552" s="24" t="s">
        <v>1185</v>
      </c>
      <c r="J2552" s="14" t="s">
        <v>29</v>
      </c>
      <c r="K2552" s="15" t="s">
        <v>30</v>
      </c>
      <c r="L2552" s="62"/>
      <c r="M2552" s="14"/>
      <c r="N2552" s="14" t="s">
        <v>84</v>
      </c>
      <c r="O2552" s="14"/>
      <c r="P2552" s="15" t="s">
        <v>745</v>
      </c>
      <c r="Q2552" s="16">
        <v>20599</v>
      </c>
      <c r="R2552" s="17">
        <v>40</v>
      </c>
      <c r="S2552" s="18">
        <v>14213.309999999998</v>
      </c>
      <c r="T2552" s="19" t="s">
        <v>36</v>
      </c>
      <c r="U2552" s="20" t="s">
        <v>755</v>
      </c>
      <c r="V2552" s="34">
        <v>44.5</v>
      </c>
      <c r="W2552" s="22">
        <v>6</v>
      </c>
      <c r="X2552" s="23"/>
    </row>
    <row r="2553" spans="1:24" s="1" customFormat="1" ht="11" customHeight="1" x14ac:dyDescent="0.3">
      <c r="A2553" s="14" t="s">
        <v>23</v>
      </c>
      <c r="B2553" s="14" t="s">
        <v>2361</v>
      </c>
      <c r="C2553" s="12" t="s">
        <v>2365</v>
      </c>
      <c r="D2553" s="60"/>
      <c r="E2553" s="41" t="str">
        <f t="shared" si="110"/>
        <v>Еще фото</v>
      </c>
      <c r="F2553" s="29"/>
      <c r="G2553" s="14" t="s">
        <v>1184</v>
      </c>
      <c r="H2553" s="14" t="s">
        <v>741</v>
      </c>
      <c r="I2553" s="14" t="s">
        <v>1185</v>
      </c>
      <c r="J2553" s="14" t="s">
        <v>29</v>
      </c>
      <c r="K2553" s="14" t="s">
        <v>30</v>
      </c>
      <c r="L2553" s="62"/>
      <c r="M2553" s="14"/>
      <c r="N2553" s="14" t="s">
        <v>84</v>
      </c>
      <c r="O2553" s="14"/>
      <c r="P2553" s="14" t="s">
        <v>745</v>
      </c>
      <c r="Q2553" s="30">
        <v>20599</v>
      </c>
      <c r="R2553" s="31">
        <v>40</v>
      </c>
      <c r="S2553" s="32">
        <v>14213.309999999998</v>
      </c>
      <c r="T2553" s="19" t="s">
        <v>36</v>
      </c>
      <c r="U2553" s="20" t="s">
        <v>1907</v>
      </c>
      <c r="V2553" s="22">
        <v>46</v>
      </c>
      <c r="W2553" s="22">
        <v>5</v>
      </c>
      <c r="X2553" s="23"/>
    </row>
    <row r="2554" spans="1:24" s="1" customFormat="1" ht="11" customHeight="1" x14ac:dyDescent="0.3">
      <c r="A2554" s="14" t="s">
        <v>23</v>
      </c>
      <c r="B2554" s="14" t="s">
        <v>2361</v>
      </c>
      <c r="C2554" s="12" t="s">
        <v>2365</v>
      </c>
      <c r="D2554" s="61"/>
      <c r="E2554" s="41" t="str">
        <f t="shared" si="110"/>
        <v>Еще фото</v>
      </c>
      <c r="F2554" s="29"/>
      <c r="G2554" s="14" t="s">
        <v>1184</v>
      </c>
      <c r="H2554" s="14" t="s">
        <v>741</v>
      </c>
      <c r="I2554" s="14" t="s">
        <v>1185</v>
      </c>
      <c r="J2554" s="14" t="s">
        <v>29</v>
      </c>
      <c r="K2554" s="14" t="s">
        <v>30</v>
      </c>
      <c r="L2554" s="58"/>
      <c r="M2554" s="14"/>
      <c r="N2554" s="14" t="s">
        <v>84</v>
      </c>
      <c r="O2554" s="14"/>
      <c r="P2554" s="14" t="s">
        <v>745</v>
      </c>
      <c r="Q2554" s="30">
        <v>20599</v>
      </c>
      <c r="R2554" s="31">
        <v>40</v>
      </c>
      <c r="S2554" s="32">
        <v>14213.309999999998</v>
      </c>
      <c r="T2554" s="19" t="s">
        <v>36</v>
      </c>
      <c r="U2554" s="20" t="s">
        <v>1908</v>
      </c>
      <c r="V2554" s="34">
        <v>46.5</v>
      </c>
      <c r="W2554" s="22">
        <v>1</v>
      </c>
      <c r="X2554" s="23"/>
    </row>
    <row r="2555" spans="1:24" s="1" customFormat="1" ht="11" customHeight="1" x14ac:dyDescent="0.3">
      <c r="A2555" s="11" t="s">
        <v>23</v>
      </c>
      <c r="B2555" s="11" t="s">
        <v>2366</v>
      </c>
      <c r="C2555" s="12" t="s">
        <v>2367</v>
      </c>
      <c r="D2555" s="59"/>
      <c r="E2555" s="41" t="str">
        <f t="shared" ref="E2555:E2563" si="111">HYPERLINK("https://www.google.ru/search?q=6006717-001&amp;newwindow=1&amp;tbm=isch","Еще фото")</f>
        <v>Еще фото</v>
      </c>
      <c r="F2555" s="13"/>
      <c r="G2555" s="11" t="s">
        <v>1184</v>
      </c>
      <c r="H2555" s="11" t="s">
        <v>741</v>
      </c>
      <c r="I2555" s="14" t="s">
        <v>1185</v>
      </c>
      <c r="J2555" s="14" t="s">
        <v>29</v>
      </c>
      <c r="K2555" s="15" t="s">
        <v>30</v>
      </c>
      <c r="L2555" s="57" t="s">
        <v>2368</v>
      </c>
      <c r="M2555" s="14"/>
      <c r="N2555" s="14" t="s">
        <v>33</v>
      </c>
      <c r="O2555" s="14"/>
      <c r="P2555" s="15" t="s">
        <v>745</v>
      </c>
      <c r="Q2555" s="16">
        <v>12299</v>
      </c>
      <c r="R2555" s="17">
        <v>40</v>
      </c>
      <c r="S2555" s="18">
        <v>8486.31</v>
      </c>
      <c r="T2555" s="19" t="s">
        <v>36</v>
      </c>
      <c r="U2555" s="20" t="s">
        <v>747</v>
      </c>
      <c r="V2555" s="34">
        <v>39.5</v>
      </c>
      <c r="W2555" s="22">
        <v>3</v>
      </c>
      <c r="X2555" s="23"/>
    </row>
    <row r="2556" spans="1:24" s="1" customFormat="1" ht="11" customHeight="1" x14ac:dyDescent="0.3">
      <c r="A2556" s="24" t="s">
        <v>23</v>
      </c>
      <c r="B2556" s="24" t="s">
        <v>2366</v>
      </c>
      <c r="C2556" s="12" t="s">
        <v>2367</v>
      </c>
      <c r="D2556" s="60"/>
      <c r="E2556" s="41" t="str">
        <f t="shared" si="111"/>
        <v>Еще фото</v>
      </c>
      <c r="F2556" s="13"/>
      <c r="G2556" s="24" t="s">
        <v>1184</v>
      </c>
      <c r="H2556" s="24" t="s">
        <v>741</v>
      </c>
      <c r="I2556" s="24" t="s">
        <v>1185</v>
      </c>
      <c r="J2556" s="14" t="s">
        <v>29</v>
      </c>
      <c r="K2556" s="15" t="s">
        <v>30</v>
      </c>
      <c r="L2556" s="62"/>
      <c r="M2556" s="14"/>
      <c r="N2556" s="14" t="s">
        <v>33</v>
      </c>
      <c r="O2556" s="14"/>
      <c r="P2556" s="15" t="s">
        <v>745</v>
      </c>
      <c r="Q2556" s="16">
        <v>12299</v>
      </c>
      <c r="R2556" s="17">
        <v>40</v>
      </c>
      <c r="S2556" s="18">
        <v>8486.31</v>
      </c>
      <c r="T2556" s="19" t="s">
        <v>36</v>
      </c>
      <c r="U2556" s="20" t="s">
        <v>748</v>
      </c>
      <c r="V2556" s="22">
        <v>40</v>
      </c>
      <c r="W2556" s="22">
        <v>4</v>
      </c>
      <c r="X2556" s="23"/>
    </row>
    <row r="2557" spans="1:24" s="1" customFormat="1" ht="11" customHeight="1" x14ac:dyDescent="0.3">
      <c r="A2557" s="24" t="s">
        <v>23</v>
      </c>
      <c r="B2557" s="24" t="s">
        <v>2366</v>
      </c>
      <c r="C2557" s="12" t="s">
        <v>2367</v>
      </c>
      <c r="D2557" s="60"/>
      <c r="E2557" s="41" t="str">
        <f t="shared" si="111"/>
        <v>Еще фото</v>
      </c>
      <c r="F2557" s="13"/>
      <c r="G2557" s="24" t="s">
        <v>1184</v>
      </c>
      <c r="H2557" s="24" t="s">
        <v>741</v>
      </c>
      <c r="I2557" s="24" t="s">
        <v>1185</v>
      </c>
      <c r="J2557" s="14" t="s">
        <v>29</v>
      </c>
      <c r="K2557" s="15" t="s">
        <v>30</v>
      </c>
      <c r="L2557" s="62"/>
      <c r="M2557" s="14"/>
      <c r="N2557" s="14" t="s">
        <v>33</v>
      </c>
      <c r="O2557" s="14"/>
      <c r="P2557" s="15" t="s">
        <v>745</v>
      </c>
      <c r="Q2557" s="16">
        <v>12299</v>
      </c>
      <c r="R2557" s="17">
        <v>40</v>
      </c>
      <c r="S2557" s="18">
        <v>8486.31</v>
      </c>
      <c r="T2557" s="19" t="s">
        <v>36</v>
      </c>
      <c r="U2557" s="20" t="s">
        <v>749</v>
      </c>
      <c r="V2557" s="22">
        <v>41</v>
      </c>
      <c r="W2557" s="22">
        <v>3</v>
      </c>
      <c r="X2557" s="23"/>
    </row>
    <row r="2558" spans="1:24" s="1" customFormat="1" ht="11" customHeight="1" x14ac:dyDescent="0.3">
      <c r="A2558" s="24" t="s">
        <v>23</v>
      </c>
      <c r="B2558" s="24" t="s">
        <v>2366</v>
      </c>
      <c r="C2558" s="12" t="s">
        <v>2367</v>
      </c>
      <c r="D2558" s="60"/>
      <c r="E2558" s="41" t="str">
        <f t="shared" si="111"/>
        <v>Еще фото</v>
      </c>
      <c r="F2558" s="13"/>
      <c r="G2558" s="24" t="s">
        <v>1184</v>
      </c>
      <c r="H2558" s="24" t="s">
        <v>741</v>
      </c>
      <c r="I2558" s="24" t="s">
        <v>1185</v>
      </c>
      <c r="J2558" s="14" t="s">
        <v>29</v>
      </c>
      <c r="K2558" s="15" t="s">
        <v>30</v>
      </c>
      <c r="L2558" s="62"/>
      <c r="M2558" s="14"/>
      <c r="N2558" s="14" t="s">
        <v>33</v>
      </c>
      <c r="O2558" s="14"/>
      <c r="P2558" s="15" t="s">
        <v>745</v>
      </c>
      <c r="Q2558" s="16">
        <v>12299</v>
      </c>
      <c r="R2558" s="17">
        <v>40</v>
      </c>
      <c r="S2558" s="18">
        <v>8486.31</v>
      </c>
      <c r="T2558" s="19" t="s">
        <v>36</v>
      </c>
      <c r="U2558" s="20" t="s">
        <v>750</v>
      </c>
      <c r="V2558" s="34">
        <v>41.5</v>
      </c>
      <c r="W2558" s="22">
        <v>10</v>
      </c>
      <c r="X2558" s="23"/>
    </row>
    <row r="2559" spans="1:24" s="1" customFormat="1" ht="11" customHeight="1" x14ac:dyDescent="0.3">
      <c r="A2559" s="24" t="s">
        <v>23</v>
      </c>
      <c r="B2559" s="24" t="s">
        <v>2366</v>
      </c>
      <c r="C2559" s="12" t="s">
        <v>2367</v>
      </c>
      <c r="D2559" s="60"/>
      <c r="E2559" s="41" t="str">
        <f t="shared" si="111"/>
        <v>Еще фото</v>
      </c>
      <c r="F2559" s="13"/>
      <c r="G2559" s="24" t="s">
        <v>1184</v>
      </c>
      <c r="H2559" s="24" t="s">
        <v>741</v>
      </c>
      <c r="I2559" s="24" t="s">
        <v>1185</v>
      </c>
      <c r="J2559" s="14" t="s">
        <v>29</v>
      </c>
      <c r="K2559" s="15" t="s">
        <v>30</v>
      </c>
      <c r="L2559" s="62"/>
      <c r="M2559" s="14"/>
      <c r="N2559" s="14" t="s">
        <v>33</v>
      </c>
      <c r="O2559" s="14"/>
      <c r="P2559" s="15" t="s">
        <v>745</v>
      </c>
      <c r="Q2559" s="16">
        <v>12299</v>
      </c>
      <c r="R2559" s="17">
        <v>40</v>
      </c>
      <c r="S2559" s="18">
        <v>8486.31</v>
      </c>
      <c r="T2559" s="19" t="s">
        <v>36</v>
      </c>
      <c r="U2559" s="20" t="s">
        <v>751</v>
      </c>
      <c r="V2559" s="22">
        <v>42</v>
      </c>
      <c r="W2559" s="22">
        <v>9</v>
      </c>
      <c r="X2559" s="23"/>
    </row>
    <row r="2560" spans="1:24" s="1" customFormat="1" ht="11" customHeight="1" x14ac:dyDescent="0.3">
      <c r="A2560" s="24" t="s">
        <v>23</v>
      </c>
      <c r="B2560" s="24" t="s">
        <v>2366</v>
      </c>
      <c r="C2560" s="12" t="s">
        <v>2367</v>
      </c>
      <c r="D2560" s="60"/>
      <c r="E2560" s="41" t="str">
        <f t="shared" si="111"/>
        <v>Еще фото</v>
      </c>
      <c r="F2560" s="13"/>
      <c r="G2560" s="24" t="s">
        <v>1184</v>
      </c>
      <c r="H2560" s="24" t="s">
        <v>741</v>
      </c>
      <c r="I2560" s="24" t="s">
        <v>1185</v>
      </c>
      <c r="J2560" s="14" t="s">
        <v>29</v>
      </c>
      <c r="K2560" s="15" t="s">
        <v>30</v>
      </c>
      <c r="L2560" s="62"/>
      <c r="M2560" s="14"/>
      <c r="N2560" s="14" t="s">
        <v>33</v>
      </c>
      <c r="O2560" s="14"/>
      <c r="P2560" s="15" t="s">
        <v>745</v>
      </c>
      <c r="Q2560" s="16">
        <v>12299</v>
      </c>
      <c r="R2560" s="17">
        <v>40</v>
      </c>
      <c r="S2560" s="18">
        <v>8486.31</v>
      </c>
      <c r="T2560" s="19" t="s">
        <v>36</v>
      </c>
      <c r="U2560" s="20" t="s">
        <v>752</v>
      </c>
      <c r="V2560" s="22">
        <v>43</v>
      </c>
      <c r="W2560" s="22">
        <v>8</v>
      </c>
      <c r="X2560" s="23"/>
    </row>
    <row r="2561" spans="1:24" s="1" customFormat="1" ht="11" customHeight="1" x14ac:dyDescent="0.3">
      <c r="A2561" s="24" t="s">
        <v>23</v>
      </c>
      <c r="B2561" s="24" t="s">
        <v>2366</v>
      </c>
      <c r="C2561" s="12" t="s">
        <v>2367</v>
      </c>
      <c r="D2561" s="60"/>
      <c r="E2561" s="41" t="str">
        <f t="shared" si="111"/>
        <v>Еще фото</v>
      </c>
      <c r="F2561" s="13"/>
      <c r="G2561" s="24" t="s">
        <v>1184</v>
      </c>
      <c r="H2561" s="24" t="s">
        <v>741</v>
      </c>
      <c r="I2561" s="24" t="s">
        <v>1185</v>
      </c>
      <c r="J2561" s="14" t="s">
        <v>29</v>
      </c>
      <c r="K2561" s="15" t="s">
        <v>30</v>
      </c>
      <c r="L2561" s="62"/>
      <c r="M2561" s="14"/>
      <c r="N2561" s="14" t="s">
        <v>33</v>
      </c>
      <c r="O2561" s="14"/>
      <c r="P2561" s="15" t="s">
        <v>745</v>
      </c>
      <c r="Q2561" s="16">
        <v>12299</v>
      </c>
      <c r="R2561" s="17">
        <v>40</v>
      </c>
      <c r="S2561" s="18">
        <v>8486.31</v>
      </c>
      <c r="T2561" s="19" t="s">
        <v>36</v>
      </c>
      <c r="U2561" s="20" t="s">
        <v>753</v>
      </c>
      <c r="V2561" s="34">
        <v>43.5</v>
      </c>
      <c r="W2561" s="22">
        <v>10</v>
      </c>
      <c r="X2561" s="23"/>
    </row>
    <row r="2562" spans="1:24" s="1" customFormat="1" ht="11" customHeight="1" x14ac:dyDescent="0.3">
      <c r="A2562" s="24" t="s">
        <v>23</v>
      </c>
      <c r="B2562" s="24" t="s">
        <v>2366</v>
      </c>
      <c r="C2562" s="12" t="s">
        <v>2367</v>
      </c>
      <c r="D2562" s="60"/>
      <c r="E2562" s="41" t="str">
        <f t="shared" si="111"/>
        <v>Еще фото</v>
      </c>
      <c r="F2562" s="13"/>
      <c r="G2562" s="24" t="s">
        <v>1184</v>
      </c>
      <c r="H2562" s="24" t="s">
        <v>741</v>
      </c>
      <c r="I2562" s="24" t="s">
        <v>1185</v>
      </c>
      <c r="J2562" s="14" t="s">
        <v>29</v>
      </c>
      <c r="K2562" s="15" t="s">
        <v>30</v>
      </c>
      <c r="L2562" s="62"/>
      <c r="M2562" s="14"/>
      <c r="N2562" s="14" t="s">
        <v>33</v>
      </c>
      <c r="O2562" s="14"/>
      <c r="P2562" s="15" t="s">
        <v>745</v>
      </c>
      <c r="Q2562" s="16">
        <v>12299</v>
      </c>
      <c r="R2562" s="17">
        <v>40</v>
      </c>
      <c r="S2562" s="18">
        <v>8486.31</v>
      </c>
      <c r="T2562" s="19" t="s">
        <v>36</v>
      </c>
      <c r="U2562" s="20" t="s">
        <v>754</v>
      </c>
      <c r="V2562" s="22">
        <v>44</v>
      </c>
      <c r="W2562" s="22">
        <v>2</v>
      </c>
      <c r="X2562" s="23"/>
    </row>
    <row r="2563" spans="1:24" s="1" customFormat="1" ht="11" customHeight="1" x14ac:dyDescent="0.3">
      <c r="A2563" s="24" t="s">
        <v>23</v>
      </c>
      <c r="B2563" s="24" t="s">
        <v>2366</v>
      </c>
      <c r="C2563" s="12" t="s">
        <v>2367</v>
      </c>
      <c r="D2563" s="61"/>
      <c r="E2563" s="41" t="str">
        <f t="shared" si="111"/>
        <v>Еще фото</v>
      </c>
      <c r="F2563" s="13"/>
      <c r="G2563" s="24" t="s">
        <v>1184</v>
      </c>
      <c r="H2563" s="24" t="s">
        <v>741</v>
      </c>
      <c r="I2563" s="24" t="s">
        <v>1185</v>
      </c>
      <c r="J2563" s="14" t="s">
        <v>29</v>
      </c>
      <c r="K2563" s="15" t="s">
        <v>30</v>
      </c>
      <c r="L2563" s="58"/>
      <c r="M2563" s="14"/>
      <c r="N2563" s="14" t="s">
        <v>33</v>
      </c>
      <c r="O2563" s="14"/>
      <c r="P2563" s="15" t="s">
        <v>745</v>
      </c>
      <c r="Q2563" s="16">
        <v>12299</v>
      </c>
      <c r="R2563" s="17">
        <v>40</v>
      </c>
      <c r="S2563" s="18">
        <v>8486.31</v>
      </c>
      <c r="T2563" s="19" t="s">
        <v>36</v>
      </c>
      <c r="U2563" s="20" t="s">
        <v>755</v>
      </c>
      <c r="V2563" s="34">
        <v>44.5</v>
      </c>
      <c r="W2563" s="22">
        <v>3</v>
      </c>
      <c r="X2563" s="23"/>
    </row>
    <row r="2564" spans="1:24" s="1" customFormat="1" ht="11" customHeight="1" x14ac:dyDescent="0.3">
      <c r="A2564" s="11" t="s">
        <v>23</v>
      </c>
      <c r="B2564" s="11" t="s">
        <v>2366</v>
      </c>
      <c r="C2564" s="12" t="s">
        <v>2369</v>
      </c>
      <c r="D2564" s="59"/>
      <c r="E2564" s="41" t="str">
        <f t="shared" ref="E2564:E2574" si="112">HYPERLINK("https://www.google.ru/search?q=6006717-003&amp;newwindow=1&amp;tbm=isch","Еще фото")</f>
        <v>Еще фото</v>
      </c>
      <c r="F2564" s="28" t="s">
        <v>138</v>
      </c>
      <c r="G2564" s="11" t="s">
        <v>1184</v>
      </c>
      <c r="H2564" s="11" t="s">
        <v>741</v>
      </c>
      <c r="I2564" s="14" t="s">
        <v>1185</v>
      </c>
      <c r="J2564" s="14" t="s">
        <v>29</v>
      </c>
      <c r="K2564" s="15" t="s">
        <v>30</v>
      </c>
      <c r="L2564" s="57" t="s">
        <v>2368</v>
      </c>
      <c r="M2564" s="14"/>
      <c r="N2564" s="14" t="s">
        <v>33</v>
      </c>
      <c r="O2564" s="14"/>
      <c r="P2564" s="15" t="s">
        <v>2370</v>
      </c>
      <c r="Q2564" s="16">
        <v>12299</v>
      </c>
      <c r="R2564" s="17">
        <v>40</v>
      </c>
      <c r="S2564" s="18">
        <v>8486.31</v>
      </c>
      <c r="T2564" s="19" t="s">
        <v>36</v>
      </c>
      <c r="U2564" s="20" t="s">
        <v>746</v>
      </c>
      <c r="V2564" s="22">
        <v>39</v>
      </c>
      <c r="W2564" s="22">
        <v>3</v>
      </c>
      <c r="X2564" s="23"/>
    </row>
    <row r="2565" spans="1:24" s="1" customFormat="1" ht="11" customHeight="1" x14ac:dyDescent="0.3">
      <c r="A2565" s="24" t="s">
        <v>23</v>
      </c>
      <c r="B2565" s="24" t="s">
        <v>2366</v>
      </c>
      <c r="C2565" s="12" t="s">
        <v>2369</v>
      </c>
      <c r="D2565" s="60"/>
      <c r="E2565" s="41" t="str">
        <f t="shared" si="112"/>
        <v>Еще фото</v>
      </c>
      <c r="F2565" s="28" t="s">
        <v>138</v>
      </c>
      <c r="G2565" s="24" t="s">
        <v>1184</v>
      </c>
      <c r="H2565" s="24" t="s">
        <v>741</v>
      </c>
      <c r="I2565" s="24" t="s">
        <v>1185</v>
      </c>
      <c r="J2565" s="14" t="s">
        <v>29</v>
      </c>
      <c r="K2565" s="15" t="s">
        <v>30</v>
      </c>
      <c r="L2565" s="62"/>
      <c r="M2565" s="14"/>
      <c r="N2565" s="14" t="s">
        <v>33</v>
      </c>
      <c r="O2565" s="14"/>
      <c r="P2565" s="15" t="s">
        <v>2370</v>
      </c>
      <c r="Q2565" s="16">
        <v>12299</v>
      </c>
      <c r="R2565" s="17">
        <v>40</v>
      </c>
      <c r="S2565" s="18">
        <v>8486.31</v>
      </c>
      <c r="T2565" s="19" t="s">
        <v>36</v>
      </c>
      <c r="U2565" s="20" t="s">
        <v>747</v>
      </c>
      <c r="V2565" s="34">
        <v>39.5</v>
      </c>
      <c r="W2565" s="22">
        <v>4</v>
      </c>
      <c r="X2565" s="23"/>
    </row>
    <row r="2566" spans="1:24" s="1" customFormat="1" ht="11" customHeight="1" x14ac:dyDescent="0.3">
      <c r="A2566" s="24" t="s">
        <v>23</v>
      </c>
      <c r="B2566" s="24" t="s">
        <v>2366</v>
      </c>
      <c r="C2566" s="12" t="s">
        <v>2369</v>
      </c>
      <c r="D2566" s="60"/>
      <c r="E2566" s="41" t="str">
        <f t="shared" si="112"/>
        <v>Еще фото</v>
      </c>
      <c r="F2566" s="28" t="s">
        <v>138</v>
      </c>
      <c r="G2566" s="24" t="s">
        <v>1184</v>
      </c>
      <c r="H2566" s="24" t="s">
        <v>741</v>
      </c>
      <c r="I2566" s="24" t="s">
        <v>1185</v>
      </c>
      <c r="J2566" s="14" t="s">
        <v>29</v>
      </c>
      <c r="K2566" s="15" t="s">
        <v>30</v>
      </c>
      <c r="L2566" s="62"/>
      <c r="M2566" s="14"/>
      <c r="N2566" s="14" t="s">
        <v>33</v>
      </c>
      <c r="O2566" s="14"/>
      <c r="P2566" s="15" t="s">
        <v>2370</v>
      </c>
      <c r="Q2566" s="16">
        <v>12299</v>
      </c>
      <c r="R2566" s="17">
        <v>40</v>
      </c>
      <c r="S2566" s="18">
        <v>8486.31</v>
      </c>
      <c r="T2566" s="19" t="s">
        <v>36</v>
      </c>
      <c r="U2566" s="20" t="s">
        <v>748</v>
      </c>
      <c r="V2566" s="22">
        <v>40</v>
      </c>
      <c r="W2566" s="22">
        <v>6</v>
      </c>
      <c r="X2566" s="23"/>
    </row>
    <row r="2567" spans="1:24" s="1" customFormat="1" ht="11" customHeight="1" x14ac:dyDescent="0.3">
      <c r="A2567" s="24" t="s">
        <v>23</v>
      </c>
      <c r="B2567" s="24" t="s">
        <v>2366</v>
      </c>
      <c r="C2567" s="12" t="s">
        <v>2369</v>
      </c>
      <c r="D2567" s="60"/>
      <c r="E2567" s="41" t="str">
        <f t="shared" si="112"/>
        <v>Еще фото</v>
      </c>
      <c r="F2567" s="28" t="s">
        <v>138</v>
      </c>
      <c r="G2567" s="24" t="s">
        <v>1184</v>
      </c>
      <c r="H2567" s="24" t="s">
        <v>741</v>
      </c>
      <c r="I2567" s="24" t="s">
        <v>1185</v>
      </c>
      <c r="J2567" s="14" t="s">
        <v>29</v>
      </c>
      <c r="K2567" s="15" t="s">
        <v>30</v>
      </c>
      <c r="L2567" s="62"/>
      <c r="M2567" s="14"/>
      <c r="N2567" s="14" t="s">
        <v>33</v>
      </c>
      <c r="O2567" s="14"/>
      <c r="P2567" s="15" t="s">
        <v>2370</v>
      </c>
      <c r="Q2567" s="16">
        <v>12299</v>
      </c>
      <c r="R2567" s="17">
        <v>40</v>
      </c>
      <c r="S2567" s="18">
        <v>8486.31</v>
      </c>
      <c r="T2567" s="19" t="s">
        <v>36</v>
      </c>
      <c r="U2567" s="20" t="s">
        <v>749</v>
      </c>
      <c r="V2567" s="22">
        <v>41</v>
      </c>
      <c r="W2567" s="22">
        <v>4</v>
      </c>
      <c r="X2567" s="23"/>
    </row>
    <row r="2568" spans="1:24" s="1" customFormat="1" ht="11" customHeight="1" x14ac:dyDescent="0.3">
      <c r="A2568" s="24" t="s">
        <v>23</v>
      </c>
      <c r="B2568" s="24" t="s">
        <v>2366</v>
      </c>
      <c r="C2568" s="12" t="s">
        <v>2369</v>
      </c>
      <c r="D2568" s="60"/>
      <c r="E2568" s="41" t="str">
        <f t="shared" si="112"/>
        <v>Еще фото</v>
      </c>
      <c r="F2568" s="28" t="s">
        <v>138</v>
      </c>
      <c r="G2568" s="24" t="s">
        <v>1184</v>
      </c>
      <c r="H2568" s="24" t="s">
        <v>741</v>
      </c>
      <c r="I2568" s="24" t="s">
        <v>1185</v>
      </c>
      <c r="J2568" s="14" t="s">
        <v>29</v>
      </c>
      <c r="K2568" s="15" t="s">
        <v>30</v>
      </c>
      <c r="L2568" s="62"/>
      <c r="M2568" s="14"/>
      <c r="N2568" s="14" t="s">
        <v>33</v>
      </c>
      <c r="O2568" s="14"/>
      <c r="P2568" s="15" t="s">
        <v>2370</v>
      </c>
      <c r="Q2568" s="16">
        <v>12299</v>
      </c>
      <c r="R2568" s="17">
        <v>40</v>
      </c>
      <c r="S2568" s="18">
        <v>8486.31</v>
      </c>
      <c r="T2568" s="19" t="s">
        <v>36</v>
      </c>
      <c r="U2568" s="20" t="s">
        <v>750</v>
      </c>
      <c r="V2568" s="34">
        <v>41.5</v>
      </c>
      <c r="W2568" s="22">
        <v>6</v>
      </c>
      <c r="X2568" s="23"/>
    </row>
    <row r="2569" spans="1:24" s="1" customFormat="1" ht="11" customHeight="1" x14ac:dyDescent="0.3">
      <c r="A2569" s="24" t="s">
        <v>23</v>
      </c>
      <c r="B2569" s="24" t="s">
        <v>2366</v>
      </c>
      <c r="C2569" s="12" t="s">
        <v>2369</v>
      </c>
      <c r="D2569" s="60"/>
      <c r="E2569" s="41" t="str">
        <f t="shared" si="112"/>
        <v>Еще фото</v>
      </c>
      <c r="F2569" s="28" t="s">
        <v>138</v>
      </c>
      <c r="G2569" s="24" t="s">
        <v>1184</v>
      </c>
      <c r="H2569" s="24" t="s">
        <v>741</v>
      </c>
      <c r="I2569" s="24" t="s">
        <v>1185</v>
      </c>
      <c r="J2569" s="14" t="s">
        <v>29</v>
      </c>
      <c r="K2569" s="15" t="s">
        <v>30</v>
      </c>
      <c r="L2569" s="62"/>
      <c r="M2569" s="14"/>
      <c r="N2569" s="14" t="s">
        <v>33</v>
      </c>
      <c r="O2569" s="14"/>
      <c r="P2569" s="15" t="s">
        <v>2370</v>
      </c>
      <c r="Q2569" s="16">
        <v>12299</v>
      </c>
      <c r="R2569" s="17">
        <v>40</v>
      </c>
      <c r="S2569" s="18">
        <v>8486.31</v>
      </c>
      <c r="T2569" s="19" t="s">
        <v>36</v>
      </c>
      <c r="U2569" s="20" t="s">
        <v>751</v>
      </c>
      <c r="V2569" s="22">
        <v>42</v>
      </c>
      <c r="W2569" s="22">
        <v>6</v>
      </c>
      <c r="X2569" s="23"/>
    </row>
    <row r="2570" spans="1:24" s="1" customFormat="1" ht="11" customHeight="1" x14ac:dyDescent="0.3">
      <c r="A2570" s="24" t="s">
        <v>23</v>
      </c>
      <c r="B2570" s="24" t="s">
        <v>2366</v>
      </c>
      <c r="C2570" s="12" t="s">
        <v>2369</v>
      </c>
      <c r="D2570" s="60"/>
      <c r="E2570" s="41" t="str">
        <f t="shared" si="112"/>
        <v>Еще фото</v>
      </c>
      <c r="F2570" s="28" t="s">
        <v>138</v>
      </c>
      <c r="G2570" s="24" t="s">
        <v>1184</v>
      </c>
      <c r="H2570" s="24" t="s">
        <v>741</v>
      </c>
      <c r="I2570" s="24" t="s">
        <v>1185</v>
      </c>
      <c r="J2570" s="14" t="s">
        <v>29</v>
      </c>
      <c r="K2570" s="15" t="s">
        <v>30</v>
      </c>
      <c r="L2570" s="62"/>
      <c r="M2570" s="14"/>
      <c r="N2570" s="14" t="s">
        <v>33</v>
      </c>
      <c r="O2570" s="14"/>
      <c r="P2570" s="15" t="s">
        <v>2370</v>
      </c>
      <c r="Q2570" s="16">
        <v>12299</v>
      </c>
      <c r="R2570" s="17">
        <v>40</v>
      </c>
      <c r="S2570" s="18">
        <v>8486.31</v>
      </c>
      <c r="T2570" s="19" t="s">
        <v>36</v>
      </c>
      <c r="U2570" s="20" t="s">
        <v>752</v>
      </c>
      <c r="V2570" s="22">
        <v>43</v>
      </c>
      <c r="W2570" s="22">
        <v>7</v>
      </c>
      <c r="X2570" s="23"/>
    </row>
    <row r="2571" spans="1:24" s="1" customFormat="1" ht="11" customHeight="1" x14ac:dyDescent="0.3">
      <c r="A2571" s="24" t="s">
        <v>23</v>
      </c>
      <c r="B2571" s="24" t="s">
        <v>2366</v>
      </c>
      <c r="C2571" s="12" t="s">
        <v>2369</v>
      </c>
      <c r="D2571" s="60"/>
      <c r="E2571" s="41" t="str">
        <f t="shared" si="112"/>
        <v>Еще фото</v>
      </c>
      <c r="F2571" s="28" t="s">
        <v>138</v>
      </c>
      <c r="G2571" s="24" t="s">
        <v>1184</v>
      </c>
      <c r="H2571" s="24" t="s">
        <v>741</v>
      </c>
      <c r="I2571" s="24" t="s">
        <v>1185</v>
      </c>
      <c r="J2571" s="14" t="s">
        <v>29</v>
      </c>
      <c r="K2571" s="15" t="s">
        <v>30</v>
      </c>
      <c r="L2571" s="62"/>
      <c r="M2571" s="14"/>
      <c r="N2571" s="14" t="s">
        <v>33</v>
      </c>
      <c r="O2571" s="14"/>
      <c r="P2571" s="15" t="s">
        <v>2370</v>
      </c>
      <c r="Q2571" s="16">
        <v>12299</v>
      </c>
      <c r="R2571" s="17">
        <v>40</v>
      </c>
      <c r="S2571" s="18">
        <v>8486.31</v>
      </c>
      <c r="T2571" s="19" t="s">
        <v>36</v>
      </c>
      <c r="U2571" s="20" t="s">
        <v>753</v>
      </c>
      <c r="V2571" s="34">
        <v>43.5</v>
      </c>
      <c r="W2571" s="22">
        <v>5</v>
      </c>
      <c r="X2571" s="23"/>
    </row>
    <row r="2572" spans="1:24" s="1" customFormat="1" ht="11" customHeight="1" x14ac:dyDescent="0.3">
      <c r="A2572" s="24" t="s">
        <v>23</v>
      </c>
      <c r="B2572" s="24" t="s">
        <v>2366</v>
      </c>
      <c r="C2572" s="12" t="s">
        <v>2369</v>
      </c>
      <c r="D2572" s="60"/>
      <c r="E2572" s="41" t="str">
        <f t="shared" si="112"/>
        <v>Еще фото</v>
      </c>
      <c r="F2572" s="28" t="s">
        <v>138</v>
      </c>
      <c r="G2572" s="24" t="s">
        <v>1184</v>
      </c>
      <c r="H2572" s="24" t="s">
        <v>741</v>
      </c>
      <c r="I2572" s="24" t="s">
        <v>1185</v>
      </c>
      <c r="J2572" s="14" t="s">
        <v>29</v>
      </c>
      <c r="K2572" s="15" t="s">
        <v>30</v>
      </c>
      <c r="L2572" s="62"/>
      <c r="M2572" s="14"/>
      <c r="N2572" s="14" t="s">
        <v>33</v>
      </c>
      <c r="O2572" s="14"/>
      <c r="P2572" s="15" t="s">
        <v>2370</v>
      </c>
      <c r="Q2572" s="16">
        <v>12299</v>
      </c>
      <c r="R2572" s="17">
        <v>40</v>
      </c>
      <c r="S2572" s="18">
        <v>8486.31</v>
      </c>
      <c r="T2572" s="19" t="s">
        <v>36</v>
      </c>
      <c r="U2572" s="20" t="s">
        <v>755</v>
      </c>
      <c r="V2572" s="34">
        <v>44.5</v>
      </c>
      <c r="W2572" s="22">
        <v>3</v>
      </c>
      <c r="X2572" s="23"/>
    </row>
    <row r="2573" spans="1:24" s="1" customFormat="1" ht="11" customHeight="1" x14ac:dyDescent="0.3">
      <c r="A2573" s="14" t="s">
        <v>23</v>
      </c>
      <c r="B2573" s="14" t="s">
        <v>2366</v>
      </c>
      <c r="C2573" s="12" t="s">
        <v>2369</v>
      </c>
      <c r="D2573" s="60"/>
      <c r="E2573" s="41" t="str">
        <f t="shared" si="112"/>
        <v>Еще фото</v>
      </c>
      <c r="F2573" s="36" t="s">
        <v>138</v>
      </c>
      <c r="G2573" s="14" t="s">
        <v>1184</v>
      </c>
      <c r="H2573" s="14" t="s">
        <v>741</v>
      </c>
      <c r="I2573" s="14" t="s">
        <v>1185</v>
      </c>
      <c r="J2573" s="14" t="s">
        <v>29</v>
      </c>
      <c r="K2573" s="14" t="s">
        <v>30</v>
      </c>
      <c r="L2573" s="62"/>
      <c r="M2573" s="14"/>
      <c r="N2573" s="14" t="s">
        <v>33</v>
      </c>
      <c r="O2573" s="14"/>
      <c r="P2573" s="14" t="s">
        <v>2370</v>
      </c>
      <c r="Q2573" s="30">
        <v>12299</v>
      </c>
      <c r="R2573" s="31">
        <v>40</v>
      </c>
      <c r="S2573" s="32">
        <v>8486.31</v>
      </c>
      <c r="T2573" s="19" t="s">
        <v>36</v>
      </c>
      <c r="U2573" s="20" t="s">
        <v>1337</v>
      </c>
      <c r="V2573" s="22">
        <v>45</v>
      </c>
      <c r="W2573" s="22">
        <v>3</v>
      </c>
      <c r="X2573" s="23"/>
    </row>
    <row r="2574" spans="1:24" s="1" customFormat="1" ht="11" customHeight="1" x14ac:dyDescent="0.3">
      <c r="A2574" s="14" t="s">
        <v>23</v>
      </c>
      <c r="B2574" s="14" t="s">
        <v>2366</v>
      </c>
      <c r="C2574" s="12" t="s">
        <v>2369</v>
      </c>
      <c r="D2574" s="61"/>
      <c r="E2574" s="41" t="str">
        <f t="shared" si="112"/>
        <v>Еще фото</v>
      </c>
      <c r="F2574" s="36" t="s">
        <v>138</v>
      </c>
      <c r="G2574" s="14" t="s">
        <v>1184</v>
      </c>
      <c r="H2574" s="14" t="s">
        <v>741</v>
      </c>
      <c r="I2574" s="14" t="s">
        <v>1185</v>
      </c>
      <c r="J2574" s="14" t="s">
        <v>29</v>
      </c>
      <c r="K2574" s="14" t="s">
        <v>30</v>
      </c>
      <c r="L2574" s="58"/>
      <c r="M2574" s="14"/>
      <c r="N2574" s="14" t="s">
        <v>33</v>
      </c>
      <c r="O2574" s="14"/>
      <c r="P2574" s="14" t="s">
        <v>2370</v>
      </c>
      <c r="Q2574" s="30">
        <v>12299</v>
      </c>
      <c r="R2574" s="31">
        <v>40</v>
      </c>
      <c r="S2574" s="32">
        <v>8486.31</v>
      </c>
      <c r="T2574" s="19" t="s">
        <v>36</v>
      </c>
      <c r="U2574" s="20" t="s">
        <v>2371</v>
      </c>
      <c r="V2574" s="34">
        <v>48.5</v>
      </c>
      <c r="W2574" s="22">
        <v>4</v>
      </c>
      <c r="X2574" s="23"/>
    </row>
    <row r="2575" spans="1:24" s="1" customFormat="1" ht="11" customHeight="1" x14ac:dyDescent="0.3">
      <c r="A2575" s="11" t="s">
        <v>23</v>
      </c>
      <c r="B2575" s="11" t="s">
        <v>2366</v>
      </c>
      <c r="C2575" s="12" t="s">
        <v>2372</v>
      </c>
      <c r="D2575" s="59"/>
      <c r="E2575" s="41" t="str">
        <f t="shared" ref="E2575:E2588" si="113">HYPERLINK("https://www.google.ru/search?q=6006717-011&amp;newwindow=1&amp;tbm=isch","Еще фото")</f>
        <v>Еще фото</v>
      </c>
      <c r="F2575" s="28" t="s">
        <v>138</v>
      </c>
      <c r="G2575" s="11" t="s">
        <v>1184</v>
      </c>
      <c r="H2575" s="11" t="s">
        <v>741</v>
      </c>
      <c r="I2575" s="14" t="s">
        <v>1185</v>
      </c>
      <c r="J2575" s="14" t="s">
        <v>29</v>
      </c>
      <c r="K2575" s="15" t="s">
        <v>30</v>
      </c>
      <c r="L2575" s="57"/>
      <c r="M2575" s="14"/>
      <c r="N2575" s="14" t="s">
        <v>62</v>
      </c>
      <c r="O2575" s="14"/>
      <c r="P2575" s="15" t="s">
        <v>2370</v>
      </c>
      <c r="Q2575" s="16">
        <v>12299</v>
      </c>
      <c r="R2575" s="17">
        <v>40</v>
      </c>
      <c r="S2575" s="18">
        <v>8486.31</v>
      </c>
      <c r="T2575" s="19" t="s">
        <v>36</v>
      </c>
      <c r="U2575" s="20" t="s">
        <v>746</v>
      </c>
      <c r="V2575" s="22">
        <v>39</v>
      </c>
      <c r="W2575" s="22">
        <v>4</v>
      </c>
      <c r="X2575" s="23"/>
    </row>
    <row r="2576" spans="1:24" s="1" customFormat="1" ht="11" customHeight="1" x14ac:dyDescent="0.3">
      <c r="A2576" s="24" t="s">
        <v>23</v>
      </c>
      <c r="B2576" s="24" t="s">
        <v>2366</v>
      </c>
      <c r="C2576" s="12" t="s">
        <v>2372</v>
      </c>
      <c r="D2576" s="60"/>
      <c r="E2576" s="41" t="str">
        <f t="shared" si="113"/>
        <v>Еще фото</v>
      </c>
      <c r="F2576" s="28" t="s">
        <v>138</v>
      </c>
      <c r="G2576" s="24" t="s">
        <v>1184</v>
      </c>
      <c r="H2576" s="24" t="s">
        <v>741</v>
      </c>
      <c r="I2576" s="24" t="s">
        <v>1185</v>
      </c>
      <c r="J2576" s="14" t="s">
        <v>29</v>
      </c>
      <c r="K2576" s="15" t="s">
        <v>30</v>
      </c>
      <c r="L2576" s="62"/>
      <c r="M2576" s="14"/>
      <c r="N2576" s="14" t="s">
        <v>62</v>
      </c>
      <c r="O2576" s="14"/>
      <c r="P2576" s="15" t="s">
        <v>2370</v>
      </c>
      <c r="Q2576" s="16">
        <v>12299</v>
      </c>
      <c r="R2576" s="17">
        <v>40</v>
      </c>
      <c r="S2576" s="18">
        <v>8486.31</v>
      </c>
      <c r="T2576" s="19" t="s">
        <v>36</v>
      </c>
      <c r="U2576" s="20" t="s">
        <v>747</v>
      </c>
      <c r="V2576" s="34">
        <v>39.5</v>
      </c>
      <c r="W2576" s="22">
        <v>11</v>
      </c>
      <c r="X2576" s="23"/>
    </row>
    <row r="2577" spans="1:24" s="1" customFormat="1" ht="11" customHeight="1" x14ac:dyDescent="0.3">
      <c r="A2577" s="24" t="s">
        <v>23</v>
      </c>
      <c r="B2577" s="24" t="s">
        <v>2366</v>
      </c>
      <c r="C2577" s="12" t="s">
        <v>2372</v>
      </c>
      <c r="D2577" s="60"/>
      <c r="E2577" s="41" t="str">
        <f t="shared" si="113"/>
        <v>Еще фото</v>
      </c>
      <c r="F2577" s="28" t="s">
        <v>138</v>
      </c>
      <c r="G2577" s="24" t="s">
        <v>1184</v>
      </c>
      <c r="H2577" s="24" t="s">
        <v>741</v>
      </c>
      <c r="I2577" s="24" t="s">
        <v>1185</v>
      </c>
      <c r="J2577" s="14" t="s">
        <v>29</v>
      </c>
      <c r="K2577" s="15" t="s">
        <v>30</v>
      </c>
      <c r="L2577" s="62"/>
      <c r="M2577" s="14"/>
      <c r="N2577" s="14" t="s">
        <v>62</v>
      </c>
      <c r="O2577" s="14"/>
      <c r="P2577" s="15" t="s">
        <v>2370</v>
      </c>
      <c r="Q2577" s="16">
        <v>12299</v>
      </c>
      <c r="R2577" s="17">
        <v>40</v>
      </c>
      <c r="S2577" s="18">
        <v>8486.31</v>
      </c>
      <c r="T2577" s="19" t="s">
        <v>36</v>
      </c>
      <c r="U2577" s="20" t="s">
        <v>748</v>
      </c>
      <c r="V2577" s="22">
        <v>40</v>
      </c>
      <c r="W2577" s="22">
        <v>11</v>
      </c>
      <c r="X2577" s="23"/>
    </row>
    <row r="2578" spans="1:24" s="1" customFormat="1" ht="11" customHeight="1" x14ac:dyDescent="0.3">
      <c r="A2578" s="24" t="s">
        <v>23</v>
      </c>
      <c r="B2578" s="24" t="s">
        <v>2366</v>
      </c>
      <c r="C2578" s="12" t="s">
        <v>2372</v>
      </c>
      <c r="D2578" s="60"/>
      <c r="E2578" s="41" t="str">
        <f t="shared" si="113"/>
        <v>Еще фото</v>
      </c>
      <c r="F2578" s="28" t="s">
        <v>138</v>
      </c>
      <c r="G2578" s="24" t="s">
        <v>1184</v>
      </c>
      <c r="H2578" s="24" t="s">
        <v>741</v>
      </c>
      <c r="I2578" s="24" t="s">
        <v>1185</v>
      </c>
      <c r="J2578" s="14" t="s">
        <v>29</v>
      </c>
      <c r="K2578" s="15" t="s">
        <v>30</v>
      </c>
      <c r="L2578" s="62"/>
      <c r="M2578" s="14"/>
      <c r="N2578" s="14" t="s">
        <v>62</v>
      </c>
      <c r="O2578" s="14"/>
      <c r="P2578" s="15" t="s">
        <v>2370</v>
      </c>
      <c r="Q2578" s="16">
        <v>12299</v>
      </c>
      <c r="R2578" s="17">
        <v>40</v>
      </c>
      <c r="S2578" s="18">
        <v>8486.31</v>
      </c>
      <c r="T2578" s="19" t="s">
        <v>36</v>
      </c>
      <c r="U2578" s="20" t="s">
        <v>749</v>
      </c>
      <c r="V2578" s="22">
        <v>41</v>
      </c>
      <c r="W2578" s="22">
        <v>10</v>
      </c>
      <c r="X2578" s="23"/>
    </row>
    <row r="2579" spans="1:24" s="1" customFormat="1" ht="11" customHeight="1" x14ac:dyDescent="0.3">
      <c r="A2579" s="24" t="s">
        <v>23</v>
      </c>
      <c r="B2579" s="24" t="s">
        <v>2366</v>
      </c>
      <c r="C2579" s="12" t="s">
        <v>2372</v>
      </c>
      <c r="D2579" s="60"/>
      <c r="E2579" s="41" t="str">
        <f t="shared" si="113"/>
        <v>Еще фото</v>
      </c>
      <c r="F2579" s="28" t="s">
        <v>138</v>
      </c>
      <c r="G2579" s="24" t="s">
        <v>1184</v>
      </c>
      <c r="H2579" s="24" t="s">
        <v>741</v>
      </c>
      <c r="I2579" s="24" t="s">
        <v>1185</v>
      </c>
      <c r="J2579" s="14" t="s">
        <v>29</v>
      </c>
      <c r="K2579" s="15" t="s">
        <v>30</v>
      </c>
      <c r="L2579" s="62"/>
      <c r="M2579" s="14"/>
      <c r="N2579" s="14" t="s">
        <v>62</v>
      </c>
      <c r="O2579" s="14"/>
      <c r="P2579" s="15" t="s">
        <v>2370</v>
      </c>
      <c r="Q2579" s="16">
        <v>12299</v>
      </c>
      <c r="R2579" s="17">
        <v>40</v>
      </c>
      <c r="S2579" s="18">
        <v>8486.31</v>
      </c>
      <c r="T2579" s="19" t="s">
        <v>36</v>
      </c>
      <c r="U2579" s="20" t="s">
        <v>750</v>
      </c>
      <c r="V2579" s="34">
        <v>41.5</v>
      </c>
      <c r="W2579" s="22">
        <v>17</v>
      </c>
      <c r="X2579" s="23"/>
    </row>
    <row r="2580" spans="1:24" s="1" customFormat="1" ht="11" customHeight="1" x14ac:dyDescent="0.3">
      <c r="A2580" s="24" t="s">
        <v>23</v>
      </c>
      <c r="B2580" s="24" t="s">
        <v>2366</v>
      </c>
      <c r="C2580" s="12" t="s">
        <v>2372</v>
      </c>
      <c r="D2580" s="60"/>
      <c r="E2580" s="41" t="str">
        <f t="shared" si="113"/>
        <v>Еще фото</v>
      </c>
      <c r="F2580" s="28" t="s">
        <v>138</v>
      </c>
      <c r="G2580" s="24" t="s">
        <v>1184</v>
      </c>
      <c r="H2580" s="24" t="s">
        <v>741</v>
      </c>
      <c r="I2580" s="24" t="s">
        <v>1185</v>
      </c>
      <c r="J2580" s="14" t="s">
        <v>29</v>
      </c>
      <c r="K2580" s="15" t="s">
        <v>30</v>
      </c>
      <c r="L2580" s="62"/>
      <c r="M2580" s="14"/>
      <c r="N2580" s="14" t="s">
        <v>62</v>
      </c>
      <c r="O2580" s="14"/>
      <c r="P2580" s="15" t="s">
        <v>2370</v>
      </c>
      <c r="Q2580" s="16">
        <v>12299</v>
      </c>
      <c r="R2580" s="17">
        <v>40</v>
      </c>
      <c r="S2580" s="18">
        <v>8486.31</v>
      </c>
      <c r="T2580" s="19" t="s">
        <v>36</v>
      </c>
      <c r="U2580" s="20" t="s">
        <v>751</v>
      </c>
      <c r="V2580" s="22">
        <v>42</v>
      </c>
      <c r="W2580" s="22">
        <v>17</v>
      </c>
      <c r="X2580" s="23"/>
    </row>
    <row r="2581" spans="1:24" s="1" customFormat="1" ht="11" customHeight="1" x14ac:dyDescent="0.3">
      <c r="A2581" s="24" t="s">
        <v>23</v>
      </c>
      <c r="B2581" s="24" t="s">
        <v>2366</v>
      </c>
      <c r="C2581" s="12" t="s">
        <v>2372</v>
      </c>
      <c r="D2581" s="60"/>
      <c r="E2581" s="41" t="str">
        <f t="shared" si="113"/>
        <v>Еще фото</v>
      </c>
      <c r="F2581" s="28" t="s">
        <v>138</v>
      </c>
      <c r="G2581" s="24" t="s">
        <v>1184</v>
      </c>
      <c r="H2581" s="24" t="s">
        <v>741</v>
      </c>
      <c r="I2581" s="24" t="s">
        <v>1185</v>
      </c>
      <c r="J2581" s="14" t="s">
        <v>29</v>
      </c>
      <c r="K2581" s="15" t="s">
        <v>30</v>
      </c>
      <c r="L2581" s="62"/>
      <c r="M2581" s="14"/>
      <c r="N2581" s="14" t="s">
        <v>62</v>
      </c>
      <c r="O2581" s="14"/>
      <c r="P2581" s="15" t="s">
        <v>2370</v>
      </c>
      <c r="Q2581" s="16">
        <v>12299</v>
      </c>
      <c r="R2581" s="17">
        <v>40</v>
      </c>
      <c r="S2581" s="18">
        <v>8486.31</v>
      </c>
      <c r="T2581" s="19" t="s">
        <v>36</v>
      </c>
      <c r="U2581" s="20" t="s">
        <v>752</v>
      </c>
      <c r="V2581" s="22">
        <v>43</v>
      </c>
      <c r="W2581" s="22">
        <v>17</v>
      </c>
      <c r="X2581" s="23"/>
    </row>
    <row r="2582" spans="1:24" s="1" customFormat="1" ht="11" customHeight="1" x14ac:dyDescent="0.3">
      <c r="A2582" s="24" t="s">
        <v>23</v>
      </c>
      <c r="B2582" s="24" t="s">
        <v>2366</v>
      </c>
      <c r="C2582" s="12" t="s">
        <v>2372</v>
      </c>
      <c r="D2582" s="60"/>
      <c r="E2582" s="41" t="str">
        <f t="shared" si="113"/>
        <v>Еще фото</v>
      </c>
      <c r="F2582" s="28" t="s">
        <v>138</v>
      </c>
      <c r="G2582" s="24" t="s">
        <v>1184</v>
      </c>
      <c r="H2582" s="24" t="s">
        <v>741</v>
      </c>
      <c r="I2582" s="24" t="s">
        <v>1185</v>
      </c>
      <c r="J2582" s="14" t="s">
        <v>29</v>
      </c>
      <c r="K2582" s="15" t="s">
        <v>30</v>
      </c>
      <c r="L2582" s="62"/>
      <c r="M2582" s="14"/>
      <c r="N2582" s="14" t="s">
        <v>62</v>
      </c>
      <c r="O2582" s="14"/>
      <c r="P2582" s="15" t="s">
        <v>2370</v>
      </c>
      <c r="Q2582" s="16">
        <v>12299</v>
      </c>
      <c r="R2582" s="17">
        <v>40</v>
      </c>
      <c r="S2582" s="18">
        <v>8486.31</v>
      </c>
      <c r="T2582" s="19" t="s">
        <v>36</v>
      </c>
      <c r="U2582" s="20" t="s">
        <v>753</v>
      </c>
      <c r="V2582" s="34">
        <v>43.5</v>
      </c>
      <c r="W2582" s="22">
        <v>14</v>
      </c>
      <c r="X2582" s="23"/>
    </row>
    <row r="2583" spans="1:24" s="1" customFormat="1" ht="11" customHeight="1" x14ac:dyDescent="0.3">
      <c r="A2583" s="24" t="s">
        <v>23</v>
      </c>
      <c r="B2583" s="24" t="s">
        <v>2366</v>
      </c>
      <c r="C2583" s="12" t="s">
        <v>2372</v>
      </c>
      <c r="D2583" s="60"/>
      <c r="E2583" s="41" t="str">
        <f t="shared" si="113"/>
        <v>Еще фото</v>
      </c>
      <c r="F2583" s="28" t="s">
        <v>138</v>
      </c>
      <c r="G2583" s="24" t="s">
        <v>1184</v>
      </c>
      <c r="H2583" s="24" t="s">
        <v>741</v>
      </c>
      <c r="I2583" s="24" t="s">
        <v>1185</v>
      </c>
      <c r="J2583" s="14" t="s">
        <v>29</v>
      </c>
      <c r="K2583" s="15" t="s">
        <v>30</v>
      </c>
      <c r="L2583" s="62"/>
      <c r="M2583" s="14"/>
      <c r="N2583" s="14" t="s">
        <v>62</v>
      </c>
      <c r="O2583" s="14"/>
      <c r="P2583" s="15" t="s">
        <v>2370</v>
      </c>
      <c r="Q2583" s="16">
        <v>12299</v>
      </c>
      <c r="R2583" s="17">
        <v>40</v>
      </c>
      <c r="S2583" s="18">
        <v>8486.31</v>
      </c>
      <c r="T2583" s="19" t="s">
        <v>36</v>
      </c>
      <c r="U2583" s="20" t="s">
        <v>754</v>
      </c>
      <c r="V2583" s="22">
        <v>44</v>
      </c>
      <c r="W2583" s="22">
        <v>2</v>
      </c>
      <c r="X2583" s="23"/>
    </row>
    <row r="2584" spans="1:24" s="1" customFormat="1" ht="11" customHeight="1" x14ac:dyDescent="0.3">
      <c r="A2584" s="14" t="s">
        <v>23</v>
      </c>
      <c r="B2584" s="14" t="s">
        <v>2366</v>
      </c>
      <c r="C2584" s="12" t="s">
        <v>2372</v>
      </c>
      <c r="D2584" s="60"/>
      <c r="E2584" s="41" t="str">
        <f t="shared" si="113"/>
        <v>Еще фото</v>
      </c>
      <c r="F2584" s="36" t="s">
        <v>138</v>
      </c>
      <c r="G2584" s="14" t="s">
        <v>1184</v>
      </c>
      <c r="H2584" s="14" t="s">
        <v>741</v>
      </c>
      <c r="I2584" s="14" t="s">
        <v>1185</v>
      </c>
      <c r="J2584" s="14" t="s">
        <v>29</v>
      </c>
      <c r="K2584" s="14" t="s">
        <v>30</v>
      </c>
      <c r="L2584" s="62"/>
      <c r="M2584" s="14"/>
      <c r="N2584" s="14" t="s">
        <v>62</v>
      </c>
      <c r="O2584" s="14"/>
      <c r="P2584" s="14" t="s">
        <v>2370</v>
      </c>
      <c r="Q2584" s="30">
        <v>12299</v>
      </c>
      <c r="R2584" s="31">
        <v>40</v>
      </c>
      <c r="S2584" s="32">
        <v>8486.31</v>
      </c>
      <c r="T2584" s="19" t="s">
        <v>36</v>
      </c>
      <c r="U2584" s="20" t="s">
        <v>755</v>
      </c>
      <c r="V2584" s="34">
        <v>44.5</v>
      </c>
      <c r="W2584" s="22">
        <v>9</v>
      </c>
      <c r="X2584" s="23"/>
    </row>
    <row r="2585" spans="1:24" s="1" customFormat="1" ht="11" customHeight="1" x14ac:dyDescent="0.3">
      <c r="A2585" s="14" t="s">
        <v>23</v>
      </c>
      <c r="B2585" s="14" t="s">
        <v>2366</v>
      </c>
      <c r="C2585" s="12" t="s">
        <v>2372</v>
      </c>
      <c r="D2585" s="60"/>
      <c r="E2585" s="41" t="str">
        <f t="shared" si="113"/>
        <v>Еще фото</v>
      </c>
      <c r="F2585" s="36" t="s">
        <v>138</v>
      </c>
      <c r="G2585" s="14" t="s">
        <v>1184</v>
      </c>
      <c r="H2585" s="14" t="s">
        <v>741</v>
      </c>
      <c r="I2585" s="14" t="s">
        <v>1185</v>
      </c>
      <c r="J2585" s="14" t="s">
        <v>29</v>
      </c>
      <c r="K2585" s="14" t="s">
        <v>30</v>
      </c>
      <c r="L2585" s="62"/>
      <c r="M2585" s="14"/>
      <c r="N2585" s="14" t="s">
        <v>62</v>
      </c>
      <c r="O2585" s="14"/>
      <c r="P2585" s="14" t="s">
        <v>2370</v>
      </c>
      <c r="Q2585" s="30">
        <v>12299</v>
      </c>
      <c r="R2585" s="31">
        <v>40</v>
      </c>
      <c r="S2585" s="32">
        <v>8486.31</v>
      </c>
      <c r="T2585" s="19" t="s">
        <v>36</v>
      </c>
      <c r="U2585" s="20" t="s">
        <v>1337</v>
      </c>
      <c r="V2585" s="22">
        <v>45</v>
      </c>
      <c r="W2585" s="22">
        <v>1</v>
      </c>
      <c r="X2585" s="23"/>
    </row>
    <row r="2586" spans="1:24" s="1" customFormat="1" ht="11" customHeight="1" x14ac:dyDescent="0.3">
      <c r="A2586" s="14" t="s">
        <v>23</v>
      </c>
      <c r="B2586" s="14" t="s">
        <v>2366</v>
      </c>
      <c r="C2586" s="12" t="s">
        <v>2372</v>
      </c>
      <c r="D2586" s="60"/>
      <c r="E2586" s="41" t="str">
        <f t="shared" si="113"/>
        <v>Еще фото</v>
      </c>
      <c r="F2586" s="36" t="s">
        <v>138</v>
      </c>
      <c r="G2586" s="14" t="s">
        <v>1184</v>
      </c>
      <c r="H2586" s="14" t="s">
        <v>741</v>
      </c>
      <c r="I2586" s="14" t="s">
        <v>1185</v>
      </c>
      <c r="J2586" s="14" t="s">
        <v>29</v>
      </c>
      <c r="K2586" s="14" t="s">
        <v>30</v>
      </c>
      <c r="L2586" s="62"/>
      <c r="M2586" s="14"/>
      <c r="N2586" s="14" t="s">
        <v>62</v>
      </c>
      <c r="O2586" s="14"/>
      <c r="P2586" s="14" t="s">
        <v>2370</v>
      </c>
      <c r="Q2586" s="30">
        <v>12299</v>
      </c>
      <c r="R2586" s="31">
        <v>40</v>
      </c>
      <c r="S2586" s="32">
        <v>8486.31</v>
      </c>
      <c r="T2586" s="19" t="s">
        <v>36</v>
      </c>
      <c r="U2586" s="20" t="s">
        <v>1907</v>
      </c>
      <c r="V2586" s="22">
        <v>46</v>
      </c>
      <c r="W2586" s="22">
        <v>5</v>
      </c>
      <c r="X2586" s="23"/>
    </row>
    <row r="2587" spans="1:24" s="1" customFormat="1" ht="11" customHeight="1" x14ac:dyDescent="0.3">
      <c r="A2587" s="14" t="s">
        <v>23</v>
      </c>
      <c r="B2587" s="14" t="s">
        <v>2366</v>
      </c>
      <c r="C2587" s="12" t="s">
        <v>2372</v>
      </c>
      <c r="D2587" s="60"/>
      <c r="E2587" s="41" t="str">
        <f t="shared" si="113"/>
        <v>Еще фото</v>
      </c>
      <c r="F2587" s="36" t="s">
        <v>138</v>
      </c>
      <c r="G2587" s="14" t="s">
        <v>1184</v>
      </c>
      <c r="H2587" s="14" t="s">
        <v>741</v>
      </c>
      <c r="I2587" s="14" t="s">
        <v>1185</v>
      </c>
      <c r="J2587" s="14" t="s">
        <v>29</v>
      </c>
      <c r="K2587" s="14" t="s">
        <v>30</v>
      </c>
      <c r="L2587" s="62"/>
      <c r="M2587" s="14"/>
      <c r="N2587" s="14" t="s">
        <v>62</v>
      </c>
      <c r="O2587" s="14"/>
      <c r="P2587" s="14" t="s">
        <v>2370</v>
      </c>
      <c r="Q2587" s="30">
        <v>12299</v>
      </c>
      <c r="R2587" s="31">
        <v>40</v>
      </c>
      <c r="S2587" s="32">
        <v>8486.31</v>
      </c>
      <c r="T2587" s="19" t="s">
        <v>36</v>
      </c>
      <c r="U2587" s="20" t="s">
        <v>1908</v>
      </c>
      <c r="V2587" s="34">
        <v>46.5</v>
      </c>
      <c r="W2587" s="22">
        <v>4</v>
      </c>
      <c r="X2587" s="23"/>
    </row>
    <row r="2588" spans="1:24" s="1" customFormat="1" ht="11" customHeight="1" x14ac:dyDescent="0.3">
      <c r="A2588" s="14" t="s">
        <v>23</v>
      </c>
      <c r="B2588" s="14" t="s">
        <v>2366</v>
      </c>
      <c r="C2588" s="12" t="s">
        <v>2372</v>
      </c>
      <c r="D2588" s="61"/>
      <c r="E2588" s="41" t="str">
        <f t="shared" si="113"/>
        <v>Еще фото</v>
      </c>
      <c r="F2588" s="36" t="s">
        <v>138</v>
      </c>
      <c r="G2588" s="14" t="s">
        <v>1184</v>
      </c>
      <c r="H2588" s="14" t="s">
        <v>741</v>
      </c>
      <c r="I2588" s="14" t="s">
        <v>1185</v>
      </c>
      <c r="J2588" s="14" t="s">
        <v>29</v>
      </c>
      <c r="K2588" s="14" t="s">
        <v>30</v>
      </c>
      <c r="L2588" s="58"/>
      <c r="M2588" s="14"/>
      <c r="N2588" s="14" t="s">
        <v>62</v>
      </c>
      <c r="O2588" s="14"/>
      <c r="P2588" s="14" t="s">
        <v>2370</v>
      </c>
      <c r="Q2588" s="30">
        <v>12299</v>
      </c>
      <c r="R2588" s="31">
        <v>40</v>
      </c>
      <c r="S2588" s="32">
        <v>8486.31</v>
      </c>
      <c r="T2588" s="19" t="s">
        <v>36</v>
      </c>
      <c r="U2588" s="20" t="s">
        <v>2373</v>
      </c>
      <c r="V2588" s="34">
        <v>47.5</v>
      </c>
      <c r="W2588" s="22">
        <v>4</v>
      </c>
      <c r="X2588" s="23"/>
    </row>
    <row r="2589" spans="1:24" s="1" customFormat="1" ht="11" customHeight="1" x14ac:dyDescent="0.3">
      <c r="A2589" s="11" t="s">
        <v>23</v>
      </c>
      <c r="B2589" s="11" t="s">
        <v>2366</v>
      </c>
      <c r="C2589" s="12" t="s">
        <v>2374</v>
      </c>
      <c r="D2589" s="59"/>
      <c r="E2589" s="41" t="str">
        <f t="shared" ref="E2589:E2598" si="114">HYPERLINK("https://www.google.ru/search?q=6006717-100&amp;newwindow=1&amp;tbm=isch","Еще фото")</f>
        <v>Еще фото</v>
      </c>
      <c r="F2589" s="28" t="s">
        <v>138</v>
      </c>
      <c r="G2589" s="11" t="s">
        <v>1184</v>
      </c>
      <c r="H2589" s="11" t="s">
        <v>741</v>
      </c>
      <c r="I2589" s="14" t="s">
        <v>1185</v>
      </c>
      <c r="J2589" s="14" t="s">
        <v>29</v>
      </c>
      <c r="K2589" s="15" t="s">
        <v>30</v>
      </c>
      <c r="L2589" s="57"/>
      <c r="M2589" s="14"/>
      <c r="N2589" s="14" t="s">
        <v>84</v>
      </c>
      <c r="O2589" s="14"/>
      <c r="P2589" s="15" t="s">
        <v>2370</v>
      </c>
      <c r="Q2589" s="16">
        <v>12299</v>
      </c>
      <c r="R2589" s="17">
        <v>40</v>
      </c>
      <c r="S2589" s="18">
        <v>8486.31</v>
      </c>
      <c r="T2589" s="19" t="s">
        <v>36</v>
      </c>
      <c r="U2589" s="20" t="s">
        <v>747</v>
      </c>
      <c r="V2589" s="34">
        <v>39.5</v>
      </c>
      <c r="W2589" s="22">
        <v>6</v>
      </c>
      <c r="X2589" s="23"/>
    </row>
    <row r="2590" spans="1:24" s="1" customFormat="1" ht="11" customHeight="1" x14ac:dyDescent="0.3">
      <c r="A2590" s="24" t="s">
        <v>23</v>
      </c>
      <c r="B2590" s="24" t="s">
        <v>2366</v>
      </c>
      <c r="C2590" s="12" t="s">
        <v>2374</v>
      </c>
      <c r="D2590" s="60"/>
      <c r="E2590" s="41" t="str">
        <f t="shared" si="114"/>
        <v>Еще фото</v>
      </c>
      <c r="F2590" s="28" t="s">
        <v>138</v>
      </c>
      <c r="G2590" s="24" t="s">
        <v>1184</v>
      </c>
      <c r="H2590" s="24" t="s">
        <v>741</v>
      </c>
      <c r="I2590" s="24" t="s">
        <v>1185</v>
      </c>
      <c r="J2590" s="14" t="s">
        <v>29</v>
      </c>
      <c r="K2590" s="15" t="s">
        <v>30</v>
      </c>
      <c r="L2590" s="62"/>
      <c r="M2590" s="14"/>
      <c r="N2590" s="14" t="s">
        <v>84</v>
      </c>
      <c r="O2590" s="14"/>
      <c r="P2590" s="15" t="s">
        <v>2370</v>
      </c>
      <c r="Q2590" s="16">
        <v>12299</v>
      </c>
      <c r="R2590" s="17">
        <v>40</v>
      </c>
      <c r="S2590" s="18">
        <v>8486.31</v>
      </c>
      <c r="T2590" s="19" t="s">
        <v>36</v>
      </c>
      <c r="U2590" s="20" t="s">
        <v>748</v>
      </c>
      <c r="V2590" s="22">
        <v>40</v>
      </c>
      <c r="W2590" s="22">
        <v>10</v>
      </c>
      <c r="X2590" s="23"/>
    </row>
    <row r="2591" spans="1:24" s="1" customFormat="1" ht="11" customHeight="1" x14ac:dyDescent="0.3">
      <c r="A2591" s="24" t="s">
        <v>23</v>
      </c>
      <c r="B2591" s="24" t="s">
        <v>2366</v>
      </c>
      <c r="C2591" s="12" t="s">
        <v>2374</v>
      </c>
      <c r="D2591" s="60"/>
      <c r="E2591" s="41" t="str">
        <f t="shared" si="114"/>
        <v>Еще фото</v>
      </c>
      <c r="F2591" s="28" t="s">
        <v>138</v>
      </c>
      <c r="G2591" s="24" t="s">
        <v>1184</v>
      </c>
      <c r="H2591" s="24" t="s">
        <v>741</v>
      </c>
      <c r="I2591" s="24" t="s">
        <v>1185</v>
      </c>
      <c r="J2591" s="14" t="s">
        <v>29</v>
      </c>
      <c r="K2591" s="15" t="s">
        <v>30</v>
      </c>
      <c r="L2591" s="62"/>
      <c r="M2591" s="14"/>
      <c r="N2591" s="14" t="s">
        <v>84</v>
      </c>
      <c r="O2591" s="14"/>
      <c r="P2591" s="15" t="s">
        <v>2370</v>
      </c>
      <c r="Q2591" s="16">
        <v>12299</v>
      </c>
      <c r="R2591" s="17">
        <v>40</v>
      </c>
      <c r="S2591" s="18">
        <v>8486.31</v>
      </c>
      <c r="T2591" s="19" t="s">
        <v>36</v>
      </c>
      <c r="U2591" s="20" t="s">
        <v>749</v>
      </c>
      <c r="V2591" s="22">
        <v>41</v>
      </c>
      <c r="W2591" s="22">
        <v>10</v>
      </c>
      <c r="X2591" s="23"/>
    </row>
    <row r="2592" spans="1:24" s="1" customFormat="1" ht="11" customHeight="1" x14ac:dyDescent="0.3">
      <c r="A2592" s="24" t="s">
        <v>23</v>
      </c>
      <c r="B2592" s="24" t="s">
        <v>2366</v>
      </c>
      <c r="C2592" s="12" t="s">
        <v>2374</v>
      </c>
      <c r="D2592" s="60"/>
      <c r="E2592" s="41" t="str">
        <f t="shared" si="114"/>
        <v>Еще фото</v>
      </c>
      <c r="F2592" s="28" t="s">
        <v>138</v>
      </c>
      <c r="G2592" s="24" t="s">
        <v>1184</v>
      </c>
      <c r="H2592" s="24" t="s">
        <v>741</v>
      </c>
      <c r="I2592" s="24" t="s">
        <v>1185</v>
      </c>
      <c r="J2592" s="14" t="s">
        <v>29</v>
      </c>
      <c r="K2592" s="15" t="s">
        <v>30</v>
      </c>
      <c r="L2592" s="62"/>
      <c r="M2592" s="14"/>
      <c r="N2592" s="14" t="s">
        <v>84</v>
      </c>
      <c r="O2592" s="14"/>
      <c r="P2592" s="15" t="s">
        <v>2370</v>
      </c>
      <c r="Q2592" s="16">
        <v>12299</v>
      </c>
      <c r="R2592" s="17">
        <v>40</v>
      </c>
      <c r="S2592" s="18">
        <v>8486.31</v>
      </c>
      <c r="T2592" s="19" t="s">
        <v>36</v>
      </c>
      <c r="U2592" s="20" t="s">
        <v>750</v>
      </c>
      <c r="V2592" s="34">
        <v>41.5</v>
      </c>
      <c r="W2592" s="22">
        <v>15</v>
      </c>
      <c r="X2592" s="23"/>
    </row>
    <row r="2593" spans="1:24" s="1" customFormat="1" ht="11" customHeight="1" x14ac:dyDescent="0.3">
      <c r="A2593" s="24" t="s">
        <v>23</v>
      </c>
      <c r="B2593" s="24" t="s">
        <v>2366</v>
      </c>
      <c r="C2593" s="12" t="s">
        <v>2374</v>
      </c>
      <c r="D2593" s="60"/>
      <c r="E2593" s="41" t="str">
        <f t="shared" si="114"/>
        <v>Еще фото</v>
      </c>
      <c r="F2593" s="28" t="s">
        <v>138</v>
      </c>
      <c r="G2593" s="24" t="s">
        <v>1184</v>
      </c>
      <c r="H2593" s="24" t="s">
        <v>741</v>
      </c>
      <c r="I2593" s="24" t="s">
        <v>1185</v>
      </c>
      <c r="J2593" s="14" t="s">
        <v>29</v>
      </c>
      <c r="K2593" s="15" t="s">
        <v>30</v>
      </c>
      <c r="L2593" s="62"/>
      <c r="M2593" s="14"/>
      <c r="N2593" s="14" t="s">
        <v>84</v>
      </c>
      <c r="O2593" s="14"/>
      <c r="P2593" s="15" t="s">
        <v>2370</v>
      </c>
      <c r="Q2593" s="16">
        <v>12299</v>
      </c>
      <c r="R2593" s="17">
        <v>40</v>
      </c>
      <c r="S2593" s="18">
        <v>8486.31</v>
      </c>
      <c r="T2593" s="19" t="s">
        <v>36</v>
      </c>
      <c r="U2593" s="20" t="s">
        <v>751</v>
      </c>
      <c r="V2593" s="22">
        <v>42</v>
      </c>
      <c r="W2593" s="22">
        <v>15</v>
      </c>
      <c r="X2593" s="23"/>
    </row>
    <row r="2594" spans="1:24" s="1" customFormat="1" ht="11" customHeight="1" x14ac:dyDescent="0.3">
      <c r="A2594" s="24" t="s">
        <v>23</v>
      </c>
      <c r="B2594" s="24" t="s">
        <v>2366</v>
      </c>
      <c r="C2594" s="12" t="s">
        <v>2374</v>
      </c>
      <c r="D2594" s="60"/>
      <c r="E2594" s="41" t="str">
        <f t="shared" si="114"/>
        <v>Еще фото</v>
      </c>
      <c r="F2594" s="28" t="s">
        <v>138</v>
      </c>
      <c r="G2594" s="24" t="s">
        <v>1184</v>
      </c>
      <c r="H2594" s="24" t="s">
        <v>741</v>
      </c>
      <c r="I2594" s="24" t="s">
        <v>1185</v>
      </c>
      <c r="J2594" s="14" t="s">
        <v>29</v>
      </c>
      <c r="K2594" s="15" t="s">
        <v>30</v>
      </c>
      <c r="L2594" s="62"/>
      <c r="M2594" s="14"/>
      <c r="N2594" s="14" t="s">
        <v>84</v>
      </c>
      <c r="O2594" s="14"/>
      <c r="P2594" s="15" t="s">
        <v>2370</v>
      </c>
      <c r="Q2594" s="16">
        <v>12299</v>
      </c>
      <c r="R2594" s="17">
        <v>40</v>
      </c>
      <c r="S2594" s="18">
        <v>8486.31</v>
      </c>
      <c r="T2594" s="19" t="s">
        <v>36</v>
      </c>
      <c r="U2594" s="20" t="s">
        <v>752</v>
      </c>
      <c r="V2594" s="22">
        <v>43</v>
      </c>
      <c r="W2594" s="22">
        <v>15</v>
      </c>
      <c r="X2594" s="23"/>
    </row>
    <row r="2595" spans="1:24" s="1" customFormat="1" ht="11" customHeight="1" x14ac:dyDescent="0.3">
      <c r="A2595" s="24" t="s">
        <v>23</v>
      </c>
      <c r="B2595" s="24" t="s">
        <v>2366</v>
      </c>
      <c r="C2595" s="12" t="s">
        <v>2374</v>
      </c>
      <c r="D2595" s="60"/>
      <c r="E2595" s="41" t="str">
        <f t="shared" si="114"/>
        <v>Еще фото</v>
      </c>
      <c r="F2595" s="28" t="s">
        <v>138</v>
      </c>
      <c r="G2595" s="24" t="s">
        <v>1184</v>
      </c>
      <c r="H2595" s="24" t="s">
        <v>741</v>
      </c>
      <c r="I2595" s="24" t="s">
        <v>1185</v>
      </c>
      <c r="J2595" s="14" t="s">
        <v>29</v>
      </c>
      <c r="K2595" s="15" t="s">
        <v>30</v>
      </c>
      <c r="L2595" s="62"/>
      <c r="M2595" s="14"/>
      <c r="N2595" s="14" t="s">
        <v>84</v>
      </c>
      <c r="O2595" s="14"/>
      <c r="P2595" s="15" t="s">
        <v>2370</v>
      </c>
      <c r="Q2595" s="16">
        <v>12299</v>
      </c>
      <c r="R2595" s="17">
        <v>40</v>
      </c>
      <c r="S2595" s="18">
        <v>8486.31</v>
      </c>
      <c r="T2595" s="19" t="s">
        <v>36</v>
      </c>
      <c r="U2595" s="20" t="s">
        <v>753</v>
      </c>
      <c r="V2595" s="34">
        <v>43.5</v>
      </c>
      <c r="W2595" s="22">
        <v>15</v>
      </c>
      <c r="X2595" s="23"/>
    </row>
    <row r="2596" spans="1:24" s="1" customFormat="1" ht="11" customHeight="1" x14ac:dyDescent="0.3">
      <c r="A2596" s="24" t="s">
        <v>23</v>
      </c>
      <c r="B2596" s="24" t="s">
        <v>2366</v>
      </c>
      <c r="C2596" s="12" t="s">
        <v>2374</v>
      </c>
      <c r="D2596" s="60"/>
      <c r="E2596" s="41" t="str">
        <f t="shared" si="114"/>
        <v>Еще фото</v>
      </c>
      <c r="F2596" s="28" t="s">
        <v>138</v>
      </c>
      <c r="G2596" s="24" t="s">
        <v>1184</v>
      </c>
      <c r="H2596" s="24" t="s">
        <v>741</v>
      </c>
      <c r="I2596" s="24" t="s">
        <v>1185</v>
      </c>
      <c r="J2596" s="14" t="s">
        <v>29</v>
      </c>
      <c r="K2596" s="15" t="s">
        <v>30</v>
      </c>
      <c r="L2596" s="62"/>
      <c r="M2596" s="14"/>
      <c r="N2596" s="14" t="s">
        <v>84</v>
      </c>
      <c r="O2596" s="14"/>
      <c r="P2596" s="15" t="s">
        <v>2370</v>
      </c>
      <c r="Q2596" s="16">
        <v>12299</v>
      </c>
      <c r="R2596" s="17">
        <v>40</v>
      </c>
      <c r="S2596" s="18">
        <v>8486.31</v>
      </c>
      <c r="T2596" s="19" t="s">
        <v>36</v>
      </c>
      <c r="U2596" s="20" t="s">
        <v>754</v>
      </c>
      <c r="V2596" s="22">
        <v>44</v>
      </c>
      <c r="W2596" s="22">
        <v>10</v>
      </c>
      <c r="X2596" s="23"/>
    </row>
    <row r="2597" spans="1:24" s="1" customFormat="1" ht="11" customHeight="1" x14ac:dyDescent="0.3">
      <c r="A2597" s="24" t="s">
        <v>23</v>
      </c>
      <c r="B2597" s="24" t="s">
        <v>2366</v>
      </c>
      <c r="C2597" s="12" t="s">
        <v>2374</v>
      </c>
      <c r="D2597" s="60"/>
      <c r="E2597" s="41" t="str">
        <f t="shared" si="114"/>
        <v>Еще фото</v>
      </c>
      <c r="F2597" s="28" t="s">
        <v>138</v>
      </c>
      <c r="G2597" s="24" t="s">
        <v>1184</v>
      </c>
      <c r="H2597" s="24" t="s">
        <v>741</v>
      </c>
      <c r="I2597" s="24" t="s">
        <v>1185</v>
      </c>
      <c r="J2597" s="14" t="s">
        <v>29</v>
      </c>
      <c r="K2597" s="15" t="s">
        <v>30</v>
      </c>
      <c r="L2597" s="62"/>
      <c r="M2597" s="14"/>
      <c r="N2597" s="14" t="s">
        <v>84</v>
      </c>
      <c r="O2597" s="14"/>
      <c r="P2597" s="15" t="s">
        <v>2370</v>
      </c>
      <c r="Q2597" s="16">
        <v>12299</v>
      </c>
      <c r="R2597" s="17">
        <v>40</v>
      </c>
      <c r="S2597" s="18">
        <v>8486.31</v>
      </c>
      <c r="T2597" s="19" t="s">
        <v>36</v>
      </c>
      <c r="U2597" s="20" t="s">
        <v>755</v>
      </c>
      <c r="V2597" s="34">
        <v>44.5</v>
      </c>
      <c r="W2597" s="22">
        <v>10</v>
      </c>
      <c r="X2597" s="23"/>
    </row>
    <row r="2598" spans="1:24" s="1" customFormat="1" ht="11" customHeight="1" x14ac:dyDescent="0.3">
      <c r="A2598" s="14" t="s">
        <v>23</v>
      </c>
      <c r="B2598" s="14" t="s">
        <v>2366</v>
      </c>
      <c r="C2598" s="12" t="s">
        <v>2374</v>
      </c>
      <c r="D2598" s="61"/>
      <c r="E2598" s="41" t="str">
        <f t="shared" si="114"/>
        <v>Еще фото</v>
      </c>
      <c r="F2598" s="36" t="s">
        <v>138</v>
      </c>
      <c r="G2598" s="14" t="s">
        <v>1184</v>
      </c>
      <c r="H2598" s="14" t="s">
        <v>741</v>
      </c>
      <c r="I2598" s="14" t="s">
        <v>1185</v>
      </c>
      <c r="J2598" s="14" t="s">
        <v>29</v>
      </c>
      <c r="K2598" s="14" t="s">
        <v>30</v>
      </c>
      <c r="L2598" s="58"/>
      <c r="M2598" s="14"/>
      <c r="N2598" s="14" t="s">
        <v>84</v>
      </c>
      <c r="O2598" s="14"/>
      <c r="P2598" s="14" t="s">
        <v>2370</v>
      </c>
      <c r="Q2598" s="30">
        <v>12299</v>
      </c>
      <c r="R2598" s="31">
        <v>40</v>
      </c>
      <c r="S2598" s="32">
        <v>8486.31</v>
      </c>
      <c r="T2598" s="19" t="s">
        <v>36</v>
      </c>
      <c r="U2598" s="20" t="s">
        <v>1337</v>
      </c>
      <c r="V2598" s="22">
        <v>45</v>
      </c>
      <c r="W2598" s="22">
        <v>10</v>
      </c>
      <c r="X2598" s="23"/>
    </row>
    <row r="2599" spans="1:24" s="1" customFormat="1" ht="13.05" customHeight="1" x14ac:dyDescent="0.3">
      <c r="A2599" s="11" t="s">
        <v>23</v>
      </c>
      <c r="B2599" s="11" t="s">
        <v>2375</v>
      </c>
      <c r="C2599" s="12" t="s">
        <v>2376</v>
      </c>
      <c r="D2599" s="59"/>
      <c r="E2599" s="41" t="str">
        <f t="shared" ref="E2599:E2606" si="115">HYPERLINK("https://www.google.ru/search?q=6006718-002&amp;newwindow=1&amp;tbm=isch","Еще фото")</f>
        <v>Еще фото</v>
      </c>
      <c r="F2599" s="28" t="s">
        <v>138</v>
      </c>
      <c r="G2599" s="11" t="s">
        <v>1184</v>
      </c>
      <c r="H2599" s="11" t="s">
        <v>741</v>
      </c>
      <c r="I2599" s="14" t="s">
        <v>1185</v>
      </c>
      <c r="J2599" s="14" t="s">
        <v>29</v>
      </c>
      <c r="K2599" s="15" t="s">
        <v>59</v>
      </c>
      <c r="L2599" s="57"/>
      <c r="M2599" s="14"/>
      <c r="N2599" s="14" t="s">
        <v>33</v>
      </c>
      <c r="O2599" s="14"/>
      <c r="P2599" s="15" t="s">
        <v>2370</v>
      </c>
      <c r="Q2599" s="16">
        <v>12499</v>
      </c>
      <c r="R2599" s="17">
        <v>40</v>
      </c>
      <c r="S2599" s="18">
        <v>8624.31</v>
      </c>
      <c r="T2599" s="19" t="s">
        <v>36</v>
      </c>
      <c r="U2599" s="33" t="s">
        <v>1203</v>
      </c>
      <c r="V2599" s="22">
        <v>36</v>
      </c>
      <c r="W2599" s="22">
        <v>10</v>
      </c>
      <c r="X2599" s="23"/>
    </row>
    <row r="2600" spans="1:24" s="1" customFormat="1" ht="13.05" customHeight="1" x14ac:dyDescent="0.3">
      <c r="A2600" s="24" t="s">
        <v>23</v>
      </c>
      <c r="B2600" s="24" t="s">
        <v>2375</v>
      </c>
      <c r="C2600" s="12" t="s">
        <v>2376</v>
      </c>
      <c r="D2600" s="60"/>
      <c r="E2600" s="41" t="str">
        <f t="shared" si="115"/>
        <v>Еще фото</v>
      </c>
      <c r="F2600" s="28" t="s">
        <v>138</v>
      </c>
      <c r="G2600" s="24" t="s">
        <v>1184</v>
      </c>
      <c r="H2600" s="24" t="s">
        <v>741</v>
      </c>
      <c r="I2600" s="24" t="s">
        <v>1185</v>
      </c>
      <c r="J2600" s="14" t="s">
        <v>29</v>
      </c>
      <c r="K2600" s="15" t="s">
        <v>59</v>
      </c>
      <c r="L2600" s="62"/>
      <c r="M2600" s="14"/>
      <c r="N2600" s="14" t="s">
        <v>33</v>
      </c>
      <c r="O2600" s="14"/>
      <c r="P2600" s="15" t="s">
        <v>2370</v>
      </c>
      <c r="Q2600" s="16">
        <v>12499</v>
      </c>
      <c r="R2600" s="17">
        <v>40</v>
      </c>
      <c r="S2600" s="18">
        <v>8624.31</v>
      </c>
      <c r="T2600" s="19" t="s">
        <v>36</v>
      </c>
      <c r="U2600" s="20" t="s">
        <v>1196</v>
      </c>
      <c r="V2600" s="34">
        <v>36.5</v>
      </c>
      <c r="W2600" s="22">
        <v>15</v>
      </c>
      <c r="X2600" s="23"/>
    </row>
    <row r="2601" spans="1:24" s="1" customFormat="1" ht="13.05" customHeight="1" x14ac:dyDescent="0.3">
      <c r="A2601" s="24" t="s">
        <v>23</v>
      </c>
      <c r="B2601" s="24" t="s">
        <v>2375</v>
      </c>
      <c r="C2601" s="12" t="s">
        <v>2376</v>
      </c>
      <c r="D2601" s="60"/>
      <c r="E2601" s="41" t="str">
        <f t="shared" si="115"/>
        <v>Еще фото</v>
      </c>
      <c r="F2601" s="28" t="s">
        <v>138</v>
      </c>
      <c r="G2601" s="24" t="s">
        <v>1184</v>
      </c>
      <c r="H2601" s="24" t="s">
        <v>741</v>
      </c>
      <c r="I2601" s="24" t="s">
        <v>1185</v>
      </c>
      <c r="J2601" s="14" t="s">
        <v>29</v>
      </c>
      <c r="K2601" s="15" t="s">
        <v>59</v>
      </c>
      <c r="L2601" s="62"/>
      <c r="M2601" s="14"/>
      <c r="N2601" s="14" t="s">
        <v>33</v>
      </c>
      <c r="O2601" s="14"/>
      <c r="P2601" s="15" t="s">
        <v>2370</v>
      </c>
      <c r="Q2601" s="16">
        <v>12499</v>
      </c>
      <c r="R2601" s="17">
        <v>40</v>
      </c>
      <c r="S2601" s="18">
        <v>8624.31</v>
      </c>
      <c r="T2601" s="19" t="s">
        <v>36</v>
      </c>
      <c r="U2601" s="20" t="s">
        <v>746</v>
      </c>
      <c r="V2601" s="22">
        <v>37</v>
      </c>
      <c r="W2601" s="22">
        <v>21</v>
      </c>
      <c r="X2601" s="23"/>
    </row>
    <row r="2602" spans="1:24" s="1" customFormat="1" ht="13.05" customHeight="1" x14ac:dyDescent="0.3">
      <c r="A2602" s="24" t="s">
        <v>23</v>
      </c>
      <c r="B2602" s="24" t="s">
        <v>2375</v>
      </c>
      <c r="C2602" s="12" t="s">
        <v>2376</v>
      </c>
      <c r="D2602" s="60"/>
      <c r="E2602" s="41" t="str">
        <f t="shared" si="115"/>
        <v>Еще фото</v>
      </c>
      <c r="F2602" s="28" t="s">
        <v>138</v>
      </c>
      <c r="G2602" s="24" t="s">
        <v>1184</v>
      </c>
      <c r="H2602" s="24" t="s">
        <v>741</v>
      </c>
      <c r="I2602" s="24" t="s">
        <v>1185</v>
      </c>
      <c r="J2602" s="14" t="s">
        <v>29</v>
      </c>
      <c r="K2602" s="15" t="s">
        <v>59</v>
      </c>
      <c r="L2602" s="62"/>
      <c r="M2602" s="14"/>
      <c r="N2602" s="14" t="s">
        <v>33</v>
      </c>
      <c r="O2602" s="14"/>
      <c r="P2602" s="15" t="s">
        <v>2370</v>
      </c>
      <c r="Q2602" s="16">
        <v>12499</v>
      </c>
      <c r="R2602" s="17">
        <v>40</v>
      </c>
      <c r="S2602" s="18">
        <v>8624.31</v>
      </c>
      <c r="T2602" s="19" t="s">
        <v>36</v>
      </c>
      <c r="U2602" s="20" t="s">
        <v>747</v>
      </c>
      <c r="V2602" s="34">
        <v>37.5</v>
      </c>
      <c r="W2602" s="22">
        <v>21</v>
      </c>
      <c r="X2602" s="23"/>
    </row>
    <row r="2603" spans="1:24" s="1" customFormat="1" ht="13.05" customHeight="1" x14ac:dyDescent="0.3">
      <c r="A2603" s="24" t="s">
        <v>23</v>
      </c>
      <c r="B2603" s="24" t="s">
        <v>2375</v>
      </c>
      <c r="C2603" s="12" t="s">
        <v>2376</v>
      </c>
      <c r="D2603" s="60"/>
      <c r="E2603" s="41" t="str">
        <f t="shared" si="115"/>
        <v>Еще фото</v>
      </c>
      <c r="F2603" s="28" t="s">
        <v>138</v>
      </c>
      <c r="G2603" s="24" t="s">
        <v>1184</v>
      </c>
      <c r="H2603" s="24" t="s">
        <v>741</v>
      </c>
      <c r="I2603" s="24" t="s">
        <v>1185</v>
      </c>
      <c r="J2603" s="14" t="s">
        <v>29</v>
      </c>
      <c r="K2603" s="15" t="s">
        <v>59</v>
      </c>
      <c r="L2603" s="62"/>
      <c r="M2603" s="14"/>
      <c r="N2603" s="14" t="s">
        <v>33</v>
      </c>
      <c r="O2603" s="14"/>
      <c r="P2603" s="15" t="s">
        <v>2370</v>
      </c>
      <c r="Q2603" s="16">
        <v>12499</v>
      </c>
      <c r="R2603" s="17">
        <v>40</v>
      </c>
      <c r="S2603" s="18">
        <v>8624.31</v>
      </c>
      <c r="T2603" s="19" t="s">
        <v>36</v>
      </c>
      <c r="U2603" s="20" t="s">
        <v>748</v>
      </c>
      <c r="V2603" s="22">
        <v>38</v>
      </c>
      <c r="W2603" s="22">
        <v>21</v>
      </c>
      <c r="X2603" s="23"/>
    </row>
    <row r="2604" spans="1:24" s="1" customFormat="1" ht="13.05" customHeight="1" x14ac:dyDescent="0.3">
      <c r="A2604" s="24" t="s">
        <v>23</v>
      </c>
      <c r="B2604" s="24" t="s">
        <v>2375</v>
      </c>
      <c r="C2604" s="12" t="s">
        <v>2376</v>
      </c>
      <c r="D2604" s="60"/>
      <c r="E2604" s="41" t="str">
        <f t="shared" si="115"/>
        <v>Еще фото</v>
      </c>
      <c r="F2604" s="28" t="s">
        <v>138</v>
      </c>
      <c r="G2604" s="24" t="s">
        <v>1184</v>
      </c>
      <c r="H2604" s="24" t="s">
        <v>741</v>
      </c>
      <c r="I2604" s="24" t="s">
        <v>1185</v>
      </c>
      <c r="J2604" s="14" t="s">
        <v>29</v>
      </c>
      <c r="K2604" s="15" t="s">
        <v>59</v>
      </c>
      <c r="L2604" s="62"/>
      <c r="M2604" s="14"/>
      <c r="N2604" s="14" t="s">
        <v>33</v>
      </c>
      <c r="O2604" s="14"/>
      <c r="P2604" s="15" t="s">
        <v>2370</v>
      </c>
      <c r="Q2604" s="16">
        <v>12499</v>
      </c>
      <c r="R2604" s="17">
        <v>40</v>
      </c>
      <c r="S2604" s="18">
        <v>8624.31</v>
      </c>
      <c r="T2604" s="19" t="s">
        <v>36</v>
      </c>
      <c r="U2604" s="20" t="s">
        <v>749</v>
      </c>
      <c r="V2604" s="22">
        <v>39</v>
      </c>
      <c r="W2604" s="22">
        <v>15</v>
      </c>
      <c r="X2604" s="23"/>
    </row>
    <row r="2605" spans="1:24" s="1" customFormat="1" ht="13.05" customHeight="1" x14ac:dyDescent="0.3">
      <c r="A2605" s="24" t="s">
        <v>23</v>
      </c>
      <c r="B2605" s="24" t="s">
        <v>2375</v>
      </c>
      <c r="C2605" s="12" t="s">
        <v>2376</v>
      </c>
      <c r="D2605" s="60"/>
      <c r="E2605" s="41" t="str">
        <f t="shared" si="115"/>
        <v>Еще фото</v>
      </c>
      <c r="F2605" s="28" t="s">
        <v>138</v>
      </c>
      <c r="G2605" s="24" t="s">
        <v>1184</v>
      </c>
      <c r="H2605" s="24" t="s">
        <v>741</v>
      </c>
      <c r="I2605" s="24" t="s">
        <v>1185</v>
      </c>
      <c r="J2605" s="14" t="s">
        <v>29</v>
      </c>
      <c r="K2605" s="15" t="s">
        <v>59</v>
      </c>
      <c r="L2605" s="62"/>
      <c r="M2605" s="14"/>
      <c r="N2605" s="14" t="s">
        <v>33</v>
      </c>
      <c r="O2605" s="14"/>
      <c r="P2605" s="15" t="s">
        <v>2370</v>
      </c>
      <c r="Q2605" s="16">
        <v>12499</v>
      </c>
      <c r="R2605" s="17">
        <v>40</v>
      </c>
      <c r="S2605" s="18">
        <v>8624.31</v>
      </c>
      <c r="T2605" s="19" t="s">
        <v>36</v>
      </c>
      <c r="U2605" s="20" t="s">
        <v>750</v>
      </c>
      <c r="V2605" s="34">
        <v>39.5</v>
      </c>
      <c r="W2605" s="22">
        <v>9</v>
      </c>
      <c r="X2605" s="23"/>
    </row>
    <row r="2606" spans="1:24" s="1" customFormat="1" ht="18" customHeight="1" x14ac:dyDescent="0.3">
      <c r="A2606" s="24" t="s">
        <v>23</v>
      </c>
      <c r="B2606" s="24" t="s">
        <v>2375</v>
      </c>
      <c r="C2606" s="12" t="s">
        <v>2376</v>
      </c>
      <c r="D2606" s="61"/>
      <c r="E2606" s="41" t="str">
        <f t="shared" si="115"/>
        <v>Еще фото</v>
      </c>
      <c r="F2606" s="28" t="s">
        <v>138</v>
      </c>
      <c r="G2606" s="24" t="s">
        <v>1184</v>
      </c>
      <c r="H2606" s="24" t="s">
        <v>741</v>
      </c>
      <c r="I2606" s="24" t="s">
        <v>1185</v>
      </c>
      <c r="J2606" s="14" t="s">
        <v>29</v>
      </c>
      <c r="K2606" s="15" t="s">
        <v>59</v>
      </c>
      <c r="L2606" s="58"/>
      <c r="M2606" s="14"/>
      <c r="N2606" s="14" t="s">
        <v>33</v>
      </c>
      <c r="O2606" s="14"/>
      <c r="P2606" s="15" t="s">
        <v>2370</v>
      </c>
      <c r="Q2606" s="16">
        <v>12499</v>
      </c>
      <c r="R2606" s="17">
        <v>40</v>
      </c>
      <c r="S2606" s="18">
        <v>8624.31</v>
      </c>
      <c r="T2606" s="19" t="s">
        <v>36</v>
      </c>
      <c r="U2606" s="20" t="s">
        <v>751</v>
      </c>
      <c r="V2606" s="22">
        <v>40</v>
      </c>
      <c r="W2606" s="22">
        <v>4</v>
      </c>
      <c r="X2606" s="23"/>
    </row>
    <row r="2607" spans="1:24" s="1" customFormat="1" ht="13.05" customHeight="1" x14ac:dyDescent="0.3">
      <c r="A2607" s="11" t="s">
        <v>23</v>
      </c>
      <c r="B2607" s="11" t="s">
        <v>2375</v>
      </c>
      <c r="C2607" s="12" t="s">
        <v>2377</v>
      </c>
      <c r="D2607" s="59"/>
      <c r="E2607" s="41" t="str">
        <f t="shared" ref="E2607:E2614" si="116">HYPERLINK("https://www.google.ru/search?q=6006718-101&amp;newwindow=1&amp;tbm=isch","Еще фото")</f>
        <v>Еще фото</v>
      </c>
      <c r="F2607" s="28" t="s">
        <v>138</v>
      </c>
      <c r="G2607" s="11" t="s">
        <v>1184</v>
      </c>
      <c r="H2607" s="11" t="s">
        <v>741</v>
      </c>
      <c r="I2607" s="14" t="s">
        <v>1185</v>
      </c>
      <c r="J2607" s="14" t="s">
        <v>29</v>
      </c>
      <c r="K2607" s="15" t="s">
        <v>59</v>
      </c>
      <c r="L2607" s="57" t="s">
        <v>2378</v>
      </c>
      <c r="M2607" s="14"/>
      <c r="N2607" s="14" t="s">
        <v>84</v>
      </c>
      <c r="O2607" s="14"/>
      <c r="P2607" s="15" t="s">
        <v>2370</v>
      </c>
      <c r="Q2607" s="16">
        <v>12499</v>
      </c>
      <c r="R2607" s="17">
        <v>40</v>
      </c>
      <c r="S2607" s="18">
        <v>8624.31</v>
      </c>
      <c r="T2607" s="19" t="s">
        <v>36</v>
      </c>
      <c r="U2607" s="33" t="s">
        <v>1203</v>
      </c>
      <c r="V2607" s="22">
        <v>36</v>
      </c>
      <c r="W2607" s="22">
        <v>5</v>
      </c>
      <c r="X2607" s="23"/>
    </row>
    <row r="2608" spans="1:24" s="1" customFormat="1" ht="13.05" customHeight="1" x14ac:dyDescent="0.3">
      <c r="A2608" s="24" t="s">
        <v>23</v>
      </c>
      <c r="B2608" s="24" t="s">
        <v>2375</v>
      </c>
      <c r="C2608" s="12" t="s">
        <v>2377</v>
      </c>
      <c r="D2608" s="60"/>
      <c r="E2608" s="41" t="str">
        <f t="shared" si="116"/>
        <v>Еще фото</v>
      </c>
      <c r="F2608" s="28" t="s">
        <v>138</v>
      </c>
      <c r="G2608" s="24" t="s">
        <v>1184</v>
      </c>
      <c r="H2608" s="24" t="s">
        <v>741</v>
      </c>
      <c r="I2608" s="24" t="s">
        <v>1185</v>
      </c>
      <c r="J2608" s="14" t="s">
        <v>29</v>
      </c>
      <c r="K2608" s="15" t="s">
        <v>59</v>
      </c>
      <c r="L2608" s="62"/>
      <c r="M2608" s="14"/>
      <c r="N2608" s="14" t="s">
        <v>84</v>
      </c>
      <c r="O2608" s="14"/>
      <c r="P2608" s="15" t="s">
        <v>2370</v>
      </c>
      <c r="Q2608" s="16">
        <v>12499</v>
      </c>
      <c r="R2608" s="17">
        <v>40</v>
      </c>
      <c r="S2608" s="18">
        <v>8624.31</v>
      </c>
      <c r="T2608" s="19" t="s">
        <v>36</v>
      </c>
      <c r="U2608" s="20" t="s">
        <v>1196</v>
      </c>
      <c r="V2608" s="34">
        <v>36.5</v>
      </c>
      <c r="W2608" s="22">
        <v>11</v>
      </c>
      <c r="X2608" s="23"/>
    </row>
    <row r="2609" spans="1:24" s="1" customFormat="1" ht="13.05" customHeight="1" x14ac:dyDescent="0.3">
      <c r="A2609" s="24" t="s">
        <v>23</v>
      </c>
      <c r="B2609" s="24" t="s">
        <v>2375</v>
      </c>
      <c r="C2609" s="12" t="s">
        <v>2377</v>
      </c>
      <c r="D2609" s="60"/>
      <c r="E2609" s="41" t="str">
        <f t="shared" si="116"/>
        <v>Еще фото</v>
      </c>
      <c r="F2609" s="28" t="s">
        <v>138</v>
      </c>
      <c r="G2609" s="24" t="s">
        <v>1184</v>
      </c>
      <c r="H2609" s="24" t="s">
        <v>741</v>
      </c>
      <c r="I2609" s="24" t="s">
        <v>1185</v>
      </c>
      <c r="J2609" s="14" t="s">
        <v>29</v>
      </c>
      <c r="K2609" s="15" t="s">
        <v>59</v>
      </c>
      <c r="L2609" s="62"/>
      <c r="M2609" s="14"/>
      <c r="N2609" s="14" t="s">
        <v>84</v>
      </c>
      <c r="O2609" s="14"/>
      <c r="P2609" s="15" t="s">
        <v>2370</v>
      </c>
      <c r="Q2609" s="16">
        <v>12499</v>
      </c>
      <c r="R2609" s="17">
        <v>40</v>
      </c>
      <c r="S2609" s="18">
        <v>8624.31</v>
      </c>
      <c r="T2609" s="19" t="s">
        <v>36</v>
      </c>
      <c r="U2609" s="20" t="s">
        <v>746</v>
      </c>
      <c r="V2609" s="22">
        <v>37</v>
      </c>
      <c r="W2609" s="22">
        <v>12</v>
      </c>
      <c r="X2609" s="23"/>
    </row>
    <row r="2610" spans="1:24" s="1" customFormat="1" ht="13.05" customHeight="1" x14ac:dyDescent="0.3">
      <c r="A2610" s="24" t="s">
        <v>23</v>
      </c>
      <c r="B2610" s="24" t="s">
        <v>2375</v>
      </c>
      <c r="C2610" s="12" t="s">
        <v>2377</v>
      </c>
      <c r="D2610" s="60"/>
      <c r="E2610" s="41" t="str">
        <f t="shared" si="116"/>
        <v>Еще фото</v>
      </c>
      <c r="F2610" s="28" t="s">
        <v>138</v>
      </c>
      <c r="G2610" s="24" t="s">
        <v>1184</v>
      </c>
      <c r="H2610" s="24" t="s">
        <v>741</v>
      </c>
      <c r="I2610" s="24" t="s">
        <v>1185</v>
      </c>
      <c r="J2610" s="14" t="s">
        <v>29</v>
      </c>
      <c r="K2610" s="15" t="s">
        <v>59</v>
      </c>
      <c r="L2610" s="62"/>
      <c r="M2610" s="14"/>
      <c r="N2610" s="14" t="s">
        <v>84</v>
      </c>
      <c r="O2610" s="14"/>
      <c r="P2610" s="15" t="s">
        <v>2370</v>
      </c>
      <c r="Q2610" s="16">
        <v>12499</v>
      </c>
      <c r="R2610" s="17">
        <v>40</v>
      </c>
      <c r="S2610" s="18">
        <v>8624.31</v>
      </c>
      <c r="T2610" s="19" t="s">
        <v>36</v>
      </c>
      <c r="U2610" s="20" t="s">
        <v>747</v>
      </c>
      <c r="V2610" s="34">
        <v>37.5</v>
      </c>
      <c r="W2610" s="22">
        <v>11</v>
      </c>
      <c r="X2610" s="23"/>
    </row>
    <row r="2611" spans="1:24" s="1" customFormat="1" ht="13.05" customHeight="1" x14ac:dyDescent="0.3">
      <c r="A2611" s="24" t="s">
        <v>23</v>
      </c>
      <c r="B2611" s="24" t="s">
        <v>2375</v>
      </c>
      <c r="C2611" s="12" t="s">
        <v>2377</v>
      </c>
      <c r="D2611" s="60"/>
      <c r="E2611" s="41" t="str">
        <f t="shared" si="116"/>
        <v>Еще фото</v>
      </c>
      <c r="F2611" s="28" t="s">
        <v>138</v>
      </c>
      <c r="G2611" s="24" t="s">
        <v>1184</v>
      </c>
      <c r="H2611" s="24" t="s">
        <v>741</v>
      </c>
      <c r="I2611" s="24" t="s">
        <v>1185</v>
      </c>
      <c r="J2611" s="14" t="s">
        <v>29</v>
      </c>
      <c r="K2611" s="15" t="s">
        <v>59</v>
      </c>
      <c r="L2611" s="62"/>
      <c r="M2611" s="14"/>
      <c r="N2611" s="14" t="s">
        <v>84</v>
      </c>
      <c r="O2611" s="14"/>
      <c r="P2611" s="15" t="s">
        <v>2370</v>
      </c>
      <c r="Q2611" s="16">
        <v>12499</v>
      </c>
      <c r="R2611" s="17">
        <v>40</v>
      </c>
      <c r="S2611" s="18">
        <v>8624.31</v>
      </c>
      <c r="T2611" s="19" t="s">
        <v>36</v>
      </c>
      <c r="U2611" s="20" t="s">
        <v>748</v>
      </c>
      <c r="V2611" s="22">
        <v>38</v>
      </c>
      <c r="W2611" s="22">
        <v>11</v>
      </c>
      <c r="X2611" s="23"/>
    </row>
    <row r="2612" spans="1:24" s="1" customFormat="1" ht="13.05" customHeight="1" x14ac:dyDescent="0.3">
      <c r="A2612" s="24" t="s">
        <v>23</v>
      </c>
      <c r="B2612" s="24" t="s">
        <v>2375</v>
      </c>
      <c r="C2612" s="12" t="s">
        <v>2377</v>
      </c>
      <c r="D2612" s="60"/>
      <c r="E2612" s="41" t="str">
        <f t="shared" si="116"/>
        <v>Еще фото</v>
      </c>
      <c r="F2612" s="28" t="s">
        <v>138</v>
      </c>
      <c r="G2612" s="24" t="s">
        <v>1184</v>
      </c>
      <c r="H2612" s="24" t="s">
        <v>741</v>
      </c>
      <c r="I2612" s="24" t="s">
        <v>1185</v>
      </c>
      <c r="J2612" s="14" t="s">
        <v>29</v>
      </c>
      <c r="K2612" s="15" t="s">
        <v>59</v>
      </c>
      <c r="L2612" s="62"/>
      <c r="M2612" s="14"/>
      <c r="N2612" s="14" t="s">
        <v>84</v>
      </c>
      <c r="O2612" s="14"/>
      <c r="P2612" s="15" t="s">
        <v>2370</v>
      </c>
      <c r="Q2612" s="16">
        <v>12499</v>
      </c>
      <c r="R2612" s="17">
        <v>40</v>
      </c>
      <c r="S2612" s="18">
        <v>8624.31</v>
      </c>
      <c r="T2612" s="19" t="s">
        <v>36</v>
      </c>
      <c r="U2612" s="20" t="s">
        <v>749</v>
      </c>
      <c r="V2612" s="22">
        <v>39</v>
      </c>
      <c r="W2612" s="22">
        <v>9</v>
      </c>
      <c r="X2612" s="23"/>
    </row>
    <row r="2613" spans="1:24" s="1" customFormat="1" ht="13.05" customHeight="1" x14ac:dyDescent="0.3">
      <c r="A2613" s="24" t="s">
        <v>23</v>
      </c>
      <c r="B2613" s="24" t="s">
        <v>2375</v>
      </c>
      <c r="C2613" s="12" t="s">
        <v>2377</v>
      </c>
      <c r="D2613" s="60"/>
      <c r="E2613" s="41" t="str">
        <f t="shared" si="116"/>
        <v>Еще фото</v>
      </c>
      <c r="F2613" s="28" t="s">
        <v>138</v>
      </c>
      <c r="G2613" s="24" t="s">
        <v>1184</v>
      </c>
      <c r="H2613" s="24" t="s">
        <v>741</v>
      </c>
      <c r="I2613" s="24" t="s">
        <v>1185</v>
      </c>
      <c r="J2613" s="14" t="s">
        <v>29</v>
      </c>
      <c r="K2613" s="15" t="s">
        <v>59</v>
      </c>
      <c r="L2613" s="62"/>
      <c r="M2613" s="14"/>
      <c r="N2613" s="14" t="s">
        <v>84</v>
      </c>
      <c r="O2613" s="14"/>
      <c r="P2613" s="15" t="s">
        <v>2370</v>
      </c>
      <c r="Q2613" s="16">
        <v>12499</v>
      </c>
      <c r="R2613" s="17">
        <v>40</v>
      </c>
      <c r="S2613" s="18">
        <v>8624.31</v>
      </c>
      <c r="T2613" s="19" t="s">
        <v>36</v>
      </c>
      <c r="U2613" s="20" t="s">
        <v>750</v>
      </c>
      <c r="V2613" s="34">
        <v>39.5</v>
      </c>
      <c r="W2613" s="22">
        <v>5</v>
      </c>
      <c r="X2613" s="23"/>
    </row>
    <row r="2614" spans="1:24" s="1" customFormat="1" ht="18" customHeight="1" x14ac:dyDescent="0.3">
      <c r="A2614" s="24" t="s">
        <v>23</v>
      </c>
      <c r="B2614" s="24" t="s">
        <v>2375</v>
      </c>
      <c r="C2614" s="12" t="s">
        <v>2377</v>
      </c>
      <c r="D2614" s="61"/>
      <c r="E2614" s="41" t="str">
        <f t="shared" si="116"/>
        <v>Еще фото</v>
      </c>
      <c r="F2614" s="28" t="s">
        <v>138</v>
      </c>
      <c r="G2614" s="24" t="s">
        <v>1184</v>
      </c>
      <c r="H2614" s="24" t="s">
        <v>741</v>
      </c>
      <c r="I2614" s="24" t="s">
        <v>1185</v>
      </c>
      <c r="J2614" s="14" t="s">
        <v>29</v>
      </c>
      <c r="K2614" s="15" t="s">
        <v>59</v>
      </c>
      <c r="L2614" s="58"/>
      <c r="M2614" s="14"/>
      <c r="N2614" s="14" t="s">
        <v>84</v>
      </c>
      <c r="O2614" s="14"/>
      <c r="P2614" s="15" t="s">
        <v>2370</v>
      </c>
      <c r="Q2614" s="16">
        <v>12499</v>
      </c>
      <c r="R2614" s="17">
        <v>40</v>
      </c>
      <c r="S2614" s="18">
        <v>8624.31</v>
      </c>
      <c r="T2614" s="19" t="s">
        <v>36</v>
      </c>
      <c r="U2614" s="20" t="s">
        <v>751</v>
      </c>
      <c r="V2614" s="22">
        <v>40</v>
      </c>
      <c r="W2614" s="22">
        <v>5</v>
      </c>
      <c r="X2614" s="23"/>
    </row>
    <row r="2615" spans="1:24" s="1" customFormat="1" ht="52.05" customHeight="1" x14ac:dyDescent="0.3">
      <c r="A2615" s="11" t="s">
        <v>23</v>
      </c>
      <c r="B2615" s="11" t="s">
        <v>2379</v>
      </c>
      <c r="C2615" s="12" t="s">
        <v>2380</v>
      </c>
      <c r="D2615" s="55"/>
      <c r="E2615" s="41" t="str">
        <f>HYPERLINK("https://www.google.ru/search?q=6006719-001&amp;newwindow=1&amp;tbm=isch","Еще фото")</f>
        <v>Еще фото</v>
      </c>
      <c r="F2615" s="13" t="s">
        <v>103</v>
      </c>
      <c r="G2615" s="11" t="s">
        <v>1184</v>
      </c>
      <c r="H2615" s="11" t="s">
        <v>741</v>
      </c>
      <c r="I2615" s="14" t="s">
        <v>1185</v>
      </c>
      <c r="J2615" s="14" t="s">
        <v>29</v>
      </c>
      <c r="K2615" s="15" t="s">
        <v>30</v>
      </c>
      <c r="L2615" s="57" t="s">
        <v>2381</v>
      </c>
      <c r="M2615" s="14"/>
      <c r="N2615" s="14" t="s">
        <v>33</v>
      </c>
      <c r="O2615" s="14"/>
      <c r="P2615" s="15" t="s">
        <v>745</v>
      </c>
      <c r="Q2615" s="16">
        <v>11199</v>
      </c>
      <c r="R2615" s="17">
        <v>40</v>
      </c>
      <c r="S2615" s="18">
        <v>7727.3099999999986</v>
      </c>
      <c r="T2615" s="19" t="s">
        <v>36</v>
      </c>
      <c r="U2615" s="20" t="s">
        <v>747</v>
      </c>
      <c r="V2615" s="34">
        <v>39.5</v>
      </c>
      <c r="W2615" s="22">
        <v>1</v>
      </c>
      <c r="X2615" s="23"/>
    </row>
    <row r="2616" spans="1:24" s="1" customFormat="1" ht="61.05" customHeight="1" x14ac:dyDescent="0.3">
      <c r="A2616" s="24" t="s">
        <v>23</v>
      </c>
      <c r="B2616" s="24" t="s">
        <v>2379</v>
      </c>
      <c r="C2616" s="12" t="s">
        <v>2380</v>
      </c>
      <c r="D2616" s="56"/>
      <c r="E2616" s="41" t="str">
        <f>HYPERLINK("https://www.google.ru/search?q=6006719-001&amp;newwindow=1&amp;tbm=isch","Еще фото")</f>
        <v>Еще фото</v>
      </c>
      <c r="F2616" s="13" t="s">
        <v>103</v>
      </c>
      <c r="G2616" s="24" t="s">
        <v>1184</v>
      </c>
      <c r="H2616" s="24" t="s">
        <v>741</v>
      </c>
      <c r="I2616" s="24" t="s">
        <v>1185</v>
      </c>
      <c r="J2616" s="14" t="s">
        <v>29</v>
      </c>
      <c r="K2616" s="15" t="s">
        <v>30</v>
      </c>
      <c r="L2616" s="58"/>
      <c r="M2616" s="14"/>
      <c r="N2616" s="14" t="s">
        <v>33</v>
      </c>
      <c r="O2616" s="14"/>
      <c r="P2616" s="15" t="s">
        <v>745</v>
      </c>
      <c r="Q2616" s="16">
        <v>11199</v>
      </c>
      <c r="R2616" s="17">
        <v>40</v>
      </c>
      <c r="S2616" s="18">
        <v>7727.3099999999986</v>
      </c>
      <c r="T2616" s="19" t="s">
        <v>36</v>
      </c>
      <c r="U2616" s="20" t="s">
        <v>750</v>
      </c>
      <c r="V2616" s="34">
        <v>41.5</v>
      </c>
      <c r="W2616" s="22">
        <v>1</v>
      </c>
      <c r="X2616" s="23"/>
    </row>
    <row r="2617" spans="1:24" s="1" customFormat="1" ht="11" customHeight="1" x14ac:dyDescent="0.3">
      <c r="A2617" s="11" t="s">
        <v>23</v>
      </c>
      <c r="B2617" s="11" t="s">
        <v>2379</v>
      </c>
      <c r="C2617" s="12" t="s">
        <v>2382</v>
      </c>
      <c r="D2617" s="59"/>
      <c r="E2617" s="41" t="str">
        <f t="shared" ref="E2617:E2629" si="117">HYPERLINK("https://www.google.ru/search?q=6006719-002&amp;newwindow=1&amp;tbm=isch","Еще фото")</f>
        <v>Еще фото</v>
      </c>
      <c r="F2617" s="28" t="s">
        <v>138</v>
      </c>
      <c r="G2617" s="11" t="s">
        <v>1184</v>
      </c>
      <c r="H2617" s="11" t="s">
        <v>741</v>
      </c>
      <c r="I2617" s="14" t="s">
        <v>1185</v>
      </c>
      <c r="J2617" s="14" t="s">
        <v>29</v>
      </c>
      <c r="K2617" s="15" t="s">
        <v>30</v>
      </c>
      <c r="L2617" s="57" t="s">
        <v>2383</v>
      </c>
      <c r="M2617" s="14"/>
      <c r="N2617" s="14" t="s">
        <v>33</v>
      </c>
      <c r="O2617" s="14"/>
      <c r="P2617" s="15" t="s">
        <v>2370</v>
      </c>
      <c r="Q2617" s="16">
        <v>11199</v>
      </c>
      <c r="R2617" s="17">
        <v>40</v>
      </c>
      <c r="S2617" s="18">
        <v>7727.3099999999986</v>
      </c>
      <c r="T2617" s="19" t="s">
        <v>36</v>
      </c>
      <c r="U2617" s="20" t="s">
        <v>746</v>
      </c>
      <c r="V2617" s="22">
        <v>39</v>
      </c>
      <c r="W2617" s="22">
        <v>4</v>
      </c>
      <c r="X2617" s="23"/>
    </row>
    <row r="2618" spans="1:24" s="1" customFormat="1" ht="11" customHeight="1" x14ac:dyDescent="0.3">
      <c r="A2618" s="24" t="s">
        <v>23</v>
      </c>
      <c r="B2618" s="24" t="s">
        <v>2379</v>
      </c>
      <c r="C2618" s="12" t="s">
        <v>2382</v>
      </c>
      <c r="D2618" s="60"/>
      <c r="E2618" s="41" t="str">
        <f t="shared" si="117"/>
        <v>Еще фото</v>
      </c>
      <c r="F2618" s="28" t="s">
        <v>138</v>
      </c>
      <c r="G2618" s="24" t="s">
        <v>1184</v>
      </c>
      <c r="H2618" s="24" t="s">
        <v>741</v>
      </c>
      <c r="I2618" s="24" t="s">
        <v>1185</v>
      </c>
      <c r="J2618" s="14" t="s">
        <v>29</v>
      </c>
      <c r="K2618" s="15" t="s">
        <v>30</v>
      </c>
      <c r="L2618" s="62"/>
      <c r="M2618" s="14"/>
      <c r="N2618" s="14" t="s">
        <v>33</v>
      </c>
      <c r="O2618" s="14"/>
      <c r="P2618" s="15" t="s">
        <v>2370</v>
      </c>
      <c r="Q2618" s="16">
        <v>11199</v>
      </c>
      <c r="R2618" s="17">
        <v>40</v>
      </c>
      <c r="S2618" s="18">
        <v>7727.3099999999986</v>
      </c>
      <c r="T2618" s="19" t="s">
        <v>36</v>
      </c>
      <c r="U2618" s="20" t="s">
        <v>747</v>
      </c>
      <c r="V2618" s="34">
        <v>39.5</v>
      </c>
      <c r="W2618" s="22">
        <v>3</v>
      </c>
      <c r="X2618" s="23"/>
    </row>
    <row r="2619" spans="1:24" s="1" customFormat="1" ht="11" customHeight="1" x14ac:dyDescent="0.3">
      <c r="A2619" s="24" t="s">
        <v>23</v>
      </c>
      <c r="B2619" s="24" t="s">
        <v>2379</v>
      </c>
      <c r="C2619" s="12" t="s">
        <v>2382</v>
      </c>
      <c r="D2619" s="60"/>
      <c r="E2619" s="41" t="str">
        <f t="shared" si="117"/>
        <v>Еще фото</v>
      </c>
      <c r="F2619" s="28" t="s">
        <v>138</v>
      </c>
      <c r="G2619" s="24" t="s">
        <v>1184</v>
      </c>
      <c r="H2619" s="24" t="s">
        <v>741</v>
      </c>
      <c r="I2619" s="24" t="s">
        <v>1185</v>
      </c>
      <c r="J2619" s="14" t="s">
        <v>29</v>
      </c>
      <c r="K2619" s="15" t="s">
        <v>30</v>
      </c>
      <c r="L2619" s="62"/>
      <c r="M2619" s="14"/>
      <c r="N2619" s="14" t="s">
        <v>33</v>
      </c>
      <c r="O2619" s="14"/>
      <c r="P2619" s="15" t="s">
        <v>2370</v>
      </c>
      <c r="Q2619" s="16">
        <v>11199</v>
      </c>
      <c r="R2619" s="17">
        <v>40</v>
      </c>
      <c r="S2619" s="18">
        <v>7727.3099999999986</v>
      </c>
      <c r="T2619" s="19" t="s">
        <v>36</v>
      </c>
      <c r="U2619" s="20" t="s">
        <v>748</v>
      </c>
      <c r="V2619" s="22">
        <v>40</v>
      </c>
      <c r="W2619" s="22">
        <v>4</v>
      </c>
      <c r="X2619" s="23"/>
    </row>
    <row r="2620" spans="1:24" s="1" customFormat="1" ht="11" customHeight="1" x14ac:dyDescent="0.3">
      <c r="A2620" s="24" t="s">
        <v>23</v>
      </c>
      <c r="B2620" s="24" t="s">
        <v>2379</v>
      </c>
      <c r="C2620" s="12" t="s">
        <v>2382</v>
      </c>
      <c r="D2620" s="60"/>
      <c r="E2620" s="41" t="str">
        <f t="shared" si="117"/>
        <v>Еще фото</v>
      </c>
      <c r="F2620" s="28" t="s">
        <v>138</v>
      </c>
      <c r="G2620" s="24" t="s">
        <v>1184</v>
      </c>
      <c r="H2620" s="24" t="s">
        <v>741</v>
      </c>
      <c r="I2620" s="24" t="s">
        <v>1185</v>
      </c>
      <c r="J2620" s="14" t="s">
        <v>29</v>
      </c>
      <c r="K2620" s="15" t="s">
        <v>30</v>
      </c>
      <c r="L2620" s="62"/>
      <c r="M2620" s="14"/>
      <c r="N2620" s="14" t="s">
        <v>33</v>
      </c>
      <c r="O2620" s="14"/>
      <c r="P2620" s="15" t="s">
        <v>2370</v>
      </c>
      <c r="Q2620" s="16">
        <v>11199</v>
      </c>
      <c r="R2620" s="17">
        <v>40</v>
      </c>
      <c r="S2620" s="18">
        <v>7727.3099999999986</v>
      </c>
      <c r="T2620" s="19" t="s">
        <v>36</v>
      </c>
      <c r="U2620" s="20" t="s">
        <v>749</v>
      </c>
      <c r="V2620" s="22">
        <v>41</v>
      </c>
      <c r="W2620" s="22">
        <v>5</v>
      </c>
      <c r="X2620" s="23"/>
    </row>
    <row r="2621" spans="1:24" s="1" customFormat="1" ht="11" customHeight="1" x14ac:dyDescent="0.3">
      <c r="A2621" s="24" t="s">
        <v>23</v>
      </c>
      <c r="B2621" s="24" t="s">
        <v>2379</v>
      </c>
      <c r="C2621" s="12" t="s">
        <v>2382</v>
      </c>
      <c r="D2621" s="60"/>
      <c r="E2621" s="41" t="str">
        <f t="shared" si="117"/>
        <v>Еще фото</v>
      </c>
      <c r="F2621" s="28" t="s">
        <v>138</v>
      </c>
      <c r="G2621" s="24" t="s">
        <v>1184</v>
      </c>
      <c r="H2621" s="24" t="s">
        <v>741</v>
      </c>
      <c r="I2621" s="24" t="s">
        <v>1185</v>
      </c>
      <c r="J2621" s="14" t="s">
        <v>29</v>
      </c>
      <c r="K2621" s="15" t="s">
        <v>30</v>
      </c>
      <c r="L2621" s="62"/>
      <c r="M2621" s="14"/>
      <c r="N2621" s="14" t="s">
        <v>33</v>
      </c>
      <c r="O2621" s="14"/>
      <c r="P2621" s="15" t="s">
        <v>2370</v>
      </c>
      <c r="Q2621" s="16">
        <v>11199</v>
      </c>
      <c r="R2621" s="17">
        <v>40</v>
      </c>
      <c r="S2621" s="18">
        <v>7727.3099999999986</v>
      </c>
      <c r="T2621" s="19" t="s">
        <v>36</v>
      </c>
      <c r="U2621" s="20" t="s">
        <v>750</v>
      </c>
      <c r="V2621" s="34">
        <v>41.5</v>
      </c>
      <c r="W2621" s="22">
        <v>6</v>
      </c>
      <c r="X2621" s="23"/>
    </row>
    <row r="2622" spans="1:24" s="1" customFormat="1" ht="11" customHeight="1" x14ac:dyDescent="0.3">
      <c r="A2622" s="24" t="s">
        <v>23</v>
      </c>
      <c r="B2622" s="24" t="s">
        <v>2379</v>
      </c>
      <c r="C2622" s="12" t="s">
        <v>2382</v>
      </c>
      <c r="D2622" s="60"/>
      <c r="E2622" s="41" t="str">
        <f t="shared" si="117"/>
        <v>Еще фото</v>
      </c>
      <c r="F2622" s="28" t="s">
        <v>138</v>
      </c>
      <c r="G2622" s="24" t="s">
        <v>1184</v>
      </c>
      <c r="H2622" s="24" t="s">
        <v>741</v>
      </c>
      <c r="I2622" s="24" t="s">
        <v>1185</v>
      </c>
      <c r="J2622" s="14" t="s">
        <v>29</v>
      </c>
      <c r="K2622" s="15" t="s">
        <v>30</v>
      </c>
      <c r="L2622" s="62"/>
      <c r="M2622" s="14"/>
      <c r="N2622" s="14" t="s">
        <v>33</v>
      </c>
      <c r="O2622" s="14"/>
      <c r="P2622" s="15" t="s">
        <v>2370</v>
      </c>
      <c r="Q2622" s="16">
        <v>11199</v>
      </c>
      <c r="R2622" s="17">
        <v>40</v>
      </c>
      <c r="S2622" s="18">
        <v>7727.3099999999986</v>
      </c>
      <c r="T2622" s="19" t="s">
        <v>36</v>
      </c>
      <c r="U2622" s="20" t="s">
        <v>751</v>
      </c>
      <c r="V2622" s="22">
        <v>42</v>
      </c>
      <c r="W2622" s="22">
        <v>8</v>
      </c>
      <c r="X2622" s="23"/>
    </row>
    <row r="2623" spans="1:24" s="1" customFormat="1" ht="11" customHeight="1" x14ac:dyDescent="0.3">
      <c r="A2623" s="24" t="s">
        <v>23</v>
      </c>
      <c r="B2623" s="24" t="s">
        <v>2379</v>
      </c>
      <c r="C2623" s="12" t="s">
        <v>2382</v>
      </c>
      <c r="D2623" s="60"/>
      <c r="E2623" s="41" t="str">
        <f t="shared" si="117"/>
        <v>Еще фото</v>
      </c>
      <c r="F2623" s="28" t="s">
        <v>138</v>
      </c>
      <c r="G2623" s="24" t="s">
        <v>1184</v>
      </c>
      <c r="H2623" s="24" t="s">
        <v>741</v>
      </c>
      <c r="I2623" s="24" t="s">
        <v>1185</v>
      </c>
      <c r="J2623" s="14" t="s">
        <v>29</v>
      </c>
      <c r="K2623" s="15" t="s">
        <v>30</v>
      </c>
      <c r="L2623" s="62"/>
      <c r="M2623" s="14"/>
      <c r="N2623" s="14" t="s">
        <v>33</v>
      </c>
      <c r="O2623" s="14"/>
      <c r="P2623" s="15" t="s">
        <v>2370</v>
      </c>
      <c r="Q2623" s="16">
        <v>11199</v>
      </c>
      <c r="R2623" s="17">
        <v>40</v>
      </c>
      <c r="S2623" s="18">
        <v>7727.3099999999986</v>
      </c>
      <c r="T2623" s="19" t="s">
        <v>36</v>
      </c>
      <c r="U2623" s="20" t="s">
        <v>752</v>
      </c>
      <c r="V2623" s="22">
        <v>43</v>
      </c>
      <c r="W2623" s="22">
        <v>7</v>
      </c>
      <c r="X2623" s="23"/>
    </row>
    <row r="2624" spans="1:24" s="1" customFormat="1" ht="11" customHeight="1" x14ac:dyDescent="0.3">
      <c r="A2624" s="24" t="s">
        <v>23</v>
      </c>
      <c r="B2624" s="24" t="s">
        <v>2379</v>
      </c>
      <c r="C2624" s="12" t="s">
        <v>2382</v>
      </c>
      <c r="D2624" s="60"/>
      <c r="E2624" s="41" t="str">
        <f t="shared" si="117"/>
        <v>Еще фото</v>
      </c>
      <c r="F2624" s="28" t="s">
        <v>138</v>
      </c>
      <c r="G2624" s="24" t="s">
        <v>1184</v>
      </c>
      <c r="H2624" s="24" t="s">
        <v>741</v>
      </c>
      <c r="I2624" s="24" t="s">
        <v>1185</v>
      </c>
      <c r="J2624" s="14" t="s">
        <v>29</v>
      </c>
      <c r="K2624" s="15" t="s">
        <v>30</v>
      </c>
      <c r="L2624" s="62"/>
      <c r="M2624" s="14"/>
      <c r="N2624" s="14" t="s">
        <v>33</v>
      </c>
      <c r="O2624" s="14"/>
      <c r="P2624" s="15" t="s">
        <v>2370</v>
      </c>
      <c r="Q2624" s="16">
        <v>11199</v>
      </c>
      <c r="R2624" s="17">
        <v>40</v>
      </c>
      <c r="S2624" s="18">
        <v>7727.3099999999986</v>
      </c>
      <c r="T2624" s="19" t="s">
        <v>36</v>
      </c>
      <c r="U2624" s="20" t="s">
        <v>753</v>
      </c>
      <c r="V2624" s="34">
        <v>43.5</v>
      </c>
      <c r="W2624" s="22">
        <v>8</v>
      </c>
      <c r="X2624" s="23"/>
    </row>
    <row r="2625" spans="1:24" s="1" customFormat="1" ht="11" customHeight="1" x14ac:dyDescent="0.3">
      <c r="A2625" s="24" t="s">
        <v>23</v>
      </c>
      <c r="B2625" s="24" t="s">
        <v>2379</v>
      </c>
      <c r="C2625" s="12" t="s">
        <v>2382</v>
      </c>
      <c r="D2625" s="60"/>
      <c r="E2625" s="41" t="str">
        <f t="shared" si="117"/>
        <v>Еще фото</v>
      </c>
      <c r="F2625" s="28" t="s">
        <v>138</v>
      </c>
      <c r="G2625" s="24" t="s">
        <v>1184</v>
      </c>
      <c r="H2625" s="24" t="s">
        <v>741</v>
      </c>
      <c r="I2625" s="24" t="s">
        <v>1185</v>
      </c>
      <c r="J2625" s="14" t="s">
        <v>29</v>
      </c>
      <c r="K2625" s="15" t="s">
        <v>30</v>
      </c>
      <c r="L2625" s="62"/>
      <c r="M2625" s="14"/>
      <c r="N2625" s="14" t="s">
        <v>33</v>
      </c>
      <c r="O2625" s="14"/>
      <c r="P2625" s="15" t="s">
        <v>2370</v>
      </c>
      <c r="Q2625" s="16">
        <v>11199</v>
      </c>
      <c r="R2625" s="17">
        <v>40</v>
      </c>
      <c r="S2625" s="18">
        <v>7727.3099999999986</v>
      </c>
      <c r="T2625" s="19" t="s">
        <v>36</v>
      </c>
      <c r="U2625" s="20" t="s">
        <v>754</v>
      </c>
      <c r="V2625" s="22">
        <v>44</v>
      </c>
      <c r="W2625" s="22">
        <v>3</v>
      </c>
      <c r="X2625" s="23"/>
    </row>
    <row r="2626" spans="1:24" s="1" customFormat="1" ht="11" customHeight="1" x14ac:dyDescent="0.3">
      <c r="A2626" s="14" t="s">
        <v>23</v>
      </c>
      <c r="B2626" s="14" t="s">
        <v>2379</v>
      </c>
      <c r="C2626" s="12" t="s">
        <v>2382</v>
      </c>
      <c r="D2626" s="60"/>
      <c r="E2626" s="41" t="str">
        <f t="shared" si="117"/>
        <v>Еще фото</v>
      </c>
      <c r="F2626" s="36" t="s">
        <v>138</v>
      </c>
      <c r="G2626" s="14" t="s">
        <v>1184</v>
      </c>
      <c r="H2626" s="14" t="s">
        <v>741</v>
      </c>
      <c r="I2626" s="14" t="s">
        <v>1185</v>
      </c>
      <c r="J2626" s="14" t="s">
        <v>29</v>
      </c>
      <c r="K2626" s="14" t="s">
        <v>30</v>
      </c>
      <c r="L2626" s="62"/>
      <c r="M2626" s="14"/>
      <c r="N2626" s="14" t="s">
        <v>33</v>
      </c>
      <c r="O2626" s="14"/>
      <c r="P2626" s="14" t="s">
        <v>2370</v>
      </c>
      <c r="Q2626" s="30">
        <v>11199</v>
      </c>
      <c r="R2626" s="31">
        <v>40</v>
      </c>
      <c r="S2626" s="32">
        <v>7727.3099999999986</v>
      </c>
      <c r="T2626" s="19" t="s">
        <v>36</v>
      </c>
      <c r="U2626" s="20" t="s">
        <v>755</v>
      </c>
      <c r="V2626" s="34">
        <v>44.5</v>
      </c>
      <c r="W2626" s="22">
        <v>6</v>
      </c>
      <c r="X2626" s="23"/>
    </row>
    <row r="2627" spans="1:24" s="1" customFormat="1" ht="11" customHeight="1" x14ac:dyDescent="0.3">
      <c r="A2627" s="14" t="s">
        <v>23</v>
      </c>
      <c r="B2627" s="14" t="s">
        <v>2379</v>
      </c>
      <c r="C2627" s="12" t="s">
        <v>2382</v>
      </c>
      <c r="D2627" s="60"/>
      <c r="E2627" s="41" t="str">
        <f t="shared" si="117"/>
        <v>Еще фото</v>
      </c>
      <c r="F2627" s="36" t="s">
        <v>138</v>
      </c>
      <c r="G2627" s="14" t="s">
        <v>1184</v>
      </c>
      <c r="H2627" s="14" t="s">
        <v>741</v>
      </c>
      <c r="I2627" s="14" t="s">
        <v>1185</v>
      </c>
      <c r="J2627" s="14" t="s">
        <v>29</v>
      </c>
      <c r="K2627" s="14" t="s">
        <v>30</v>
      </c>
      <c r="L2627" s="62"/>
      <c r="M2627" s="14"/>
      <c r="N2627" s="14" t="s">
        <v>33</v>
      </c>
      <c r="O2627" s="14"/>
      <c r="P2627" s="14" t="s">
        <v>2370</v>
      </c>
      <c r="Q2627" s="30">
        <v>11199</v>
      </c>
      <c r="R2627" s="31">
        <v>40</v>
      </c>
      <c r="S2627" s="32">
        <v>7727.3099999999986</v>
      </c>
      <c r="T2627" s="19" t="s">
        <v>36</v>
      </c>
      <c r="U2627" s="20" t="s">
        <v>1337</v>
      </c>
      <c r="V2627" s="22">
        <v>45</v>
      </c>
      <c r="W2627" s="22">
        <v>4</v>
      </c>
      <c r="X2627" s="23"/>
    </row>
    <row r="2628" spans="1:24" s="1" customFormat="1" ht="11" customHeight="1" x14ac:dyDescent="0.3">
      <c r="A2628" s="14" t="s">
        <v>23</v>
      </c>
      <c r="B2628" s="14" t="s">
        <v>2379</v>
      </c>
      <c r="C2628" s="12" t="s">
        <v>2382</v>
      </c>
      <c r="D2628" s="60"/>
      <c r="E2628" s="41" t="str">
        <f t="shared" si="117"/>
        <v>Еще фото</v>
      </c>
      <c r="F2628" s="36" t="s">
        <v>138</v>
      </c>
      <c r="G2628" s="14" t="s">
        <v>1184</v>
      </c>
      <c r="H2628" s="14" t="s">
        <v>741</v>
      </c>
      <c r="I2628" s="14" t="s">
        <v>1185</v>
      </c>
      <c r="J2628" s="14" t="s">
        <v>29</v>
      </c>
      <c r="K2628" s="14" t="s">
        <v>30</v>
      </c>
      <c r="L2628" s="62"/>
      <c r="M2628" s="14"/>
      <c r="N2628" s="14" t="s">
        <v>33</v>
      </c>
      <c r="O2628" s="14"/>
      <c r="P2628" s="14" t="s">
        <v>2370</v>
      </c>
      <c r="Q2628" s="30">
        <v>11199</v>
      </c>
      <c r="R2628" s="31">
        <v>40</v>
      </c>
      <c r="S2628" s="32">
        <v>7727.3099999999986</v>
      </c>
      <c r="T2628" s="19" t="s">
        <v>36</v>
      </c>
      <c r="U2628" s="20" t="s">
        <v>1907</v>
      </c>
      <c r="V2628" s="22">
        <v>46</v>
      </c>
      <c r="W2628" s="22">
        <v>5</v>
      </c>
      <c r="X2628" s="23"/>
    </row>
    <row r="2629" spans="1:24" s="1" customFormat="1" ht="11" customHeight="1" x14ac:dyDescent="0.3">
      <c r="A2629" s="14" t="s">
        <v>23</v>
      </c>
      <c r="B2629" s="14" t="s">
        <v>2379</v>
      </c>
      <c r="C2629" s="12" t="s">
        <v>2382</v>
      </c>
      <c r="D2629" s="61"/>
      <c r="E2629" s="41" t="str">
        <f t="shared" si="117"/>
        <v>Еще фото</v>
      </c>
      <c r="F2629" s="36" t="s">
        <v>138</v>
      </c>
      <c r="G2629" s="14" t="s">
        <v>1184</v>
      </c>
      <c r="H2629" s="14" t="s">
        <v>741</v>
      </c>
      <c r="I2629" s="14" t="s">
        <v>1185</v>
      </c>
      <c r="J2629" s="14" t="s">
        <v>29</v>
      </c>
      <c r="K2629" s="14" t="s">
        <v>30</v>
      </c>
      <c r="L2629" s="58"/>
      <c r="M2629" s="14"/>
      <c r="N2629" s="14" t="s">
        <v>33</v>
      </c>
      <c r="O2629" s="14"/>
      <c r="P2629" s="14" t="s">
        <v>2370</v>
      </c>
      <c r="Q2629" s="30">
        <v>11199</v>
      </c>
      <c r="R2629" s="31">
        <v>40</v>
      </c>
      <c r="S2629" s="32">
        <v>7727.3099999999986</v>
      </c>
      <c r="T2629" s="19" t="s">
        <v>36</v>
      </c>
      <c r="U2629" s="20" t="s">
        <v>1908</v>
      </c>
      <c r="V2629" s="34">
        <v>46.5</v>
      </c>
      <c r="W2629" s="22">
        <v>2</v>
      </c>
      <c r="X2629" s="23"/>
    </row>
    <row r="2630" spans="1:24" s="1" customFormat="1" ht="11" customHeight="1" x14ac:dyDescent="0.3">
      <c r="A2630" s="11" t="s">
        <v>23</v>
      </c>
      <c r="B2630" s="11" t="s">
        <v>2379</v>
      </c>
      <c r="C2630" s="12" t="s">
        <v>2384</v>
      </c>
      <c r="D2630" s="59"/>
      <c r="E2630" s="41" t="str">
        <f t="shared" ref="E2630:E2641" si="118">HYPERLINK("https://www.google.ru/search?q=6006719-100&amp;newwindow=1&amp;tbm=isch","Еще фото")</f>
        <v>Еще фото</v>
      </c>
      <c r="F2630" s="28" t="s">
        <v>138</v>
      </c>
      <c r="G2630" s="11" t="s">
        <v>1184</v>
      </c>
      <c r="H2630" s="11" t="s">
        <v>741</v>
      </c>
      <c r="I2630" s="14" t="s">
        <v>1185</v>
      </c>
      <c r="J2630" s="14" t="s">
        <v>29</v>
      </c>
      <c r="K2630" s="15" t="s">
        <v>30</v>
      </c>
      <c r="L2630" s="57"/>
      <c r="M2630" s="14"/>
      <c r="N2630" s="14" t="s">
        <v>84</v>
      </c>
      <c r="O2630" s="14"/>
      <c r="P2630" s="15" t="s">
        <v>2370</v>
      </c>
      <c r="Q2630" s="16">
        <v>11199</v>
      </c>
      <c r="R2630" s="17">
        <v>40</v>
      </c>
      <c r="S2630" s="18">
        <v>7727.3099999999986</v>
      </c>
      <c r="T2630" s="19" t="s">
        <v>36</v>
      </c>
      <c r="U2630" s="20" t="s">
        <v>746</v>
      </c>
      <c r="V2630" s="22">
        <v>39</v>
      </c>
      <c r="W2630" s="22">
        <v>5</v>
      </c>
      <c r="X2630" s="23"/>
    </row>
    <row r="2631" spans="1:24" s="1" customFormat="1" ht="11" customHeight="1" x14ac:dyDescent="0.3">
      <c r="A2631" s="24" t="s">
        <v>23</v>
      </c>
      <c r="B2631" s="24" t="s">
        <v>2379</v>
      </c>
      <c r="C2631" s="12" t="s">
        <v>2384</v>
      </c>
      <c r="D2631" s="60"/>
      <c r="E2631" s="41" t="str">
        <f t="shared" si="118"/>
        <v>Еще фото</v>
      </c>
      <c r="F2631" s="28" t="s">
        <v>138</v>
      </c>
      <c r="G2631" s="24" t="s">
        <v>1184</v>
      </c>
      <c r="H2631" s="24" t="s">
        <v>741</v>
      </c>
      <c r="I2631" s="24" t="s">
        <v>1185</v>
      </c>
      <c r="J2631" s="14" t="s">
        <v>29</v>
      </c>
      <c r="K2631" s="15" t="s">
        <v>30</v>
      </c>
      <c r="L2631" s="62"/>
      <c r="M2631" s="14"/>
      <c r="N2631" s="14" t="s">
        <v>84</v>
      </c>
      <c r="O2631" s="14"/>
      <c r="P2631" s="15" t="s">
        <v>2370</v>
      </c>
      <c r="Q2631" s="16">
        <v>11199</v>
      </c>
      <c r="R2631" s="17">
        <v>40</v>
      </c>
      <c r="S2631" s="18">
        <v>7727.3099999999986</v>
      </c>
      <c r="T2631" s="19" t="s">
        <v>36</v>
      </c>
      <c r="U2631" s="20" t="s">
        <v>747</v>
      </c>
      <c r="V2631" s="34">
        <v>39.5</v>
      </c>
      <c r="W2631" s="22">
        <v>5</v>
      </c>
      <c r="X2631" s="23"/>
    </row>
    <row r="2632" spans="1:24" s="1" customFormat="1" ht="11" customHeight="1" x14ac:dyDescent="0.3">
      <c r="A2632" s="24" t="s">
        <v>23</v>
      </c>
      <c r="B2632" s="24" t="s">
        <v>2379</v>
      </c>
      <c r="C2632" s="12" t="s">
        <v>2384</v>
      </c>
      <c r="D2632" s="60"/>
      <c r="E2632" s="41" t="str">
        <f t="shared" si="118"/>
        <v>Еще фото</v>
      </c>
      <c r="F2632" s="28" t="s">
        <v>138</v>
      </c>
      <c r="G2632" s="24" t="s">
        <v>1184</v>
      </c>
      <c r="H2632" s="24" t="s">
        <v>741</v>
      </c>
      <c r="I2632" s="24" t="s">
        <v>1185</v>
      </c>
      <c r="J2632" s="14" t="s">
        <v>29</v>
      </c>
      <c r="K2632" s="15" t="s">
        <v>30</v>
      </c>
      <c r="L2632" s="62"/>
      <c r="M2632" s="14"/>
      <c r="N2632" s="14" t="s">
        <v>84</v>
      </c>
      <c r="O2632" s="14"/>
      <c r="P2632" s="15" t="s">
        <v>2370</v>
      </c>
      <c r="Q2632" s="16">
        <v>11199</v>
      </c>
      <c r="R2632" s="17">
        <v>40</v>
      </c>
      <c r="S2632" s="18">
        <v>7727.3099999999986</v>
      </c>
      <c r="T2632" s="19" t="s">
        <v>36</v>
      </c>
      <c r="U2632" s="20" t="s">
        <v>748</v>
      </c>
      <c r="V2632" s="22">
        <v>40</v>
      </c>
      <c r="W2632" s="22">
        <v>10</v>
      </c>
      <c r="X2632" s="23"/>
    </row>
    <row r="2633" spans="1:24" s="1" customFormat="1" ht="11" customHeight="1" x14ac:dyDescent="0.3">
      <c r="A2633" s="24" t="s">
        <v>23</v>
      </c>
      <c r="B2633" s="24" t="s">
        <v>2379</v>
      </c>
      <c r="C2633" s="12" t="s">
        <v>2384</v>
      </c>
      <c r="D2633" s="60"/>
      <c r="E2633" s="41" t="str">
        <f t="shared" si="118"/>
        <v>Еще фото</v>
      </c>
      <c r="F2633" s="28" t="s">
        <v>138</v>
      </c>
      <c r="G2633" s="24" t="s">
        <v>1184</v>
      </c>
      <c r="H2633" s="24" t="s">
        <v>741</v>
      </c>
      <c r="I2633" s="24" t="s">
        <v>1185</v>
      </c>
      <c r="J2633" s="14" t="s">
        <v>29</v>
      </c>
      <c r="K2633" s="15" t="s">
        <v>30</v>
      </c>
      <c r="L2633" s="62"/>
      <c r="M2633" s="14"/>
      <c r="N2633" s="14" t="s">
        <v>84</v>
      </c>
      <c r="O2633" s="14"/>
      <c r="P2633" s="15" t="s">
        <v>2370</v>
      </c>
      <c r="Q2633" s="16">
        <v>11199</v>
      </c>
      <c r="R2633" s="17">
        <v>40</v>
      </c>
      <c r="S2633" s="18">
        <v>7727.3099999999986</v>
      </c>
      <c r="T2633" s="19" t="s">
        <v>36</v>
      </c>
      <c r="U2633" s="20" t="s">
        <v>749</v>
      </c>
      <c r="V2633" s="22">
        <v>41</v>
      </c>
      <c r="W2633" s="22">
        <v>10</v>
      </c>
      <c r="X2633" s="23"/>
    </row>
    <row r="2634" spans="1:24" s="1" customFormat="1" ht="11" customHeight="1" x14ac:dyDescent="0.3">
      <c r="A2634" s="24" t="s">
        <v>23</v>
      </c>
      <c r="B2634" s="24" t="s">
        <v>2379</v>
      </c>
      <c r="C2634" s="12" t="s">
        <v>2384</v>
      </c>
      <c r="D2634" s="60"/>
      <c r="E2634" s="41" t="str">
        <f t="shared" si="118"/>
        <v>Еще фото</v>
      </c>
      <c r="F2634" s="28" t="s">
        <v>138</v>
      </c>
      <c r="G2634" s="24" t="s">
        <v>1184</v>
      </c>
      <c r="H2634" s="24" t="s">
        <v>741</v>
      </c>
      <c r="I2634" s="24" t="s">
        <v>1185</v>
      </c>
      <c r="J2634" s="14" t="s">
        <v>29</v>
      </c>
      <c r="K2634" s="15" t="s">
        <v>30</v>
      </c>
      <c r="L2634" s="62"/>
      <c r="M2634" s="14"/>
      <c r="N2634" s="14" t="s">
        <v>84</v>
      </c>
      <c r="O2634" s="14"/>
      <c r="P2634" s="15" t="s">
        <v>2370</v>
      </c>
      <c r="Q2634" s="16">
        <v>11199</v>
      </c>
      <c r="R2634" s="17">
        <v>40</v>
      </c>
      <c r="S2634" s="18">
        <v>7727.3099999999986</v>
      </c>
      <c r="T2634" s="19" t="s">
        <v>36</v>
      </c>
      <c r="U2634" s="20" t="s">
        <v>750</v>
      </c>
      <c r="V2634" s="34">
        <v>41.5</v>
      </c>
      <c r="W2634" s="22">
        <v>16</v>
      </c>
      <c r="X2634" s="23"/>
    </row>
    <row r="2635" spans="1:24" s="1" customFormat="1" ht="11" customHeight="1" x14ac:dyDescent="0.3">
      <c r="A2635" s="24" t="s">
        <v>23</v>
      </c>
      <c r="B2635" s="24" t="s">
        <v>2379</v>
      </c>
      <c r="C2635" s="12" t="s">
        <v>2384</v>
      </c>
      <c r="D2635" s="60"/>
      <c r="E2635" s="41" t="str">
        <f t="shared" si="118"/>
        <v>Еще фото</v>
      </c>
      <c r="F2635" s="28" t="s">
        <v>138</v>
      </c>
      <c r="G2635" s="24" t="s">
        <v>1184</v>
      </c>
      <c r="H2635" s="24" t="s">
        <v>741</v>
      </c>
      <c r="I2635" s="24" t="s">
        <v>1185</v>
      </c>
      <c r="J2635" s="14" t="s">
        <v>29</v>
      </c>
      <c r="K2635" s="15" t="s">
        <v>30</v>
      </c>
      <c r="L2635" s="62"/>
      <c r="M2635" s="14"/>
      <c r="N2635" s="14" t="s">
        <v>84</v>
      </c>
      <c r="O2635" s="14"/>
      <c r="P2635" s="15" t="s">
        <v>2370</v>
      </c>
      <c r="Q2635" s="16">
        <v>11199</v>
      </c>
      <c r="R2635" s="17">
        <v>40</v>
      </c>
      <c r="S2635" s="18">
        <v>7727.3099999999986</v>
      </c>
      <c r="T2635" s="19" t="s">
        <v>36</v>
      </c>
      <c r="U2635" s="20" t="s">
        <v>751</v>
      </c>
      <c r="V2635" s="22">
        <v>42</v>
      </c>
      <c r="W2635" s="22">
        <v>16</v>
      </c>
      <c r="X2635" s="23"/>
    </row>
    <row r="2636" spans="1:24" s="1" customFormat="1" ht="11" customHeight="1" x14ac:dyDescent="0.3">
      <c r="A2636" s="24" t="s">
        <v>23</v>
      </c>
      <c r="B2636" s="24" t="s">
        <v>2379</v>
      </c>
      <c r="C2636" s="12" t="s">
        <v>2384</v>
      </c>
      <c r="D2636" s="60"/>
      <c r="E2636" s="41" t="str">
        <f t="shared" si="118"/>
        <v>Еще фото</v>
      </c>
      <c r="F2636" s="28" t="s">
        <v>138</v>
      </c>
      <c r="G2636" s="24" t="s">
        <v>1184</v>
      </c>
      <c r="H2636" s="24" t="s">
        <v>741</v>
      </c>
      <c r="I2636" s="24" t="s">
        <v>1185</v>
      </c>
      <c r="J2636" s="14" t="s">
        <v>29</v>
      </c>
      <c r="K2636" s="15" t="s">
        <v>30</v>
      </c>
      <c r="L2636" s="62"/>
      <c r="M2636" s="14"/>
      <c r="N2636" s="14" t="s">
        <v>84</v>
      </c>
      <c r="O2636" s="14"/>
      <c r="P2636" s="15" t="s">
        <v>2370</v>
      </c>
      <c r="Q2636" s="16">
        <v>11199</v>
      </c>
      <c r="R2636" s="17">
        <v>40</v>
      </c>
      <c r="S2636" s="18">
        <v>7727.3099999999986</v>
      </c>
      <c r="T2636" s="19" t="s">
        <v>36</v>
      </c>
      <c r="U2636" s="20" t="s">
        <v>752</v>
      </c>
      <c r="V2636" s="22">
        <v>43</v>
      </c>
      <c r="W2636" s="22">
        <v>16</v>
      </c>
      <c r="X2636" s="23"/>
    </row>
    <row r="2637" spans="1:24" s="1" customFormat="1" ht="11" customHeight="1" x14ac:dyDescent="0.3">
      <c r="A2637" s="24" t="s">
        <v>23</v>
      </c>
      <c r="B2637" s="24" t="s">
        <v>2379</v>
      </c>
      <c r="C2637" s="12" t="s">
        <v>2384</v>
      </c>
      <c r="D2637" s="60"/>
      <c r="E2637" s="41" t="str">
        <f t="shared" si="118"/>
        <v>Еще фото</v>
      </c>
      <c r="F2637" s="28" t="s">
        <v>138</v>
      </c>
      <c r="G2637" s="24" t="s">
        <v>1184</v>
      </c>
      <c r="H2637" s="24" t="s">
        <v>741</v>
      </c>
      <c r="I2637" s="24" t="s">
        <v>1185</v>
      </c>
      <c r="J2637" s="14" t="s">
        <v>29</v>
      </c>
      <c r="K2637" s="15" t="s">
        <v>30</v>
      </c>
      <c r="L2637" s="62"/>
      <c r="M2637" s="14"/>
      <c r="N2637" s="14" t="s">
        <v>84</v>
      </c>
      <c r="O2637" s="14"/>
      <c r="P2637" s="15" t="s">
        <v>2370</v>
      </c>
      <c r="Q2637" s="16">
        <v>11199</v>
      </c>
      <c r="R2637" s="17">
        <v>40</v>
      </c>
      <c r="S2637" s="18">
        <v>7727.3099999999986</v>
      </c>
      <c r="T2637" s="19" t="s">
        <v>36</v>
      </c>
      <c r="U2637" s="20" t="s">
        <v>753</v>
      </c>
      <c r="V2637" s="34">
        <v>43.5</v>
      </c>
      <c r="W2637" s="22">
        <v>16</v>
      </c>
      <c r="X2637" s="23"/>
    </row>
    <row r="2638" spans="1:24" s="1" customFormat="1" ht="11" customHeight="1" x14ac:dyDescent="0.3">
      <c r="A2638" s="24" t="s">
        <v>23</v>
      </c>
      <c r="B2638" s="24" t="s">
        <v>2379</v>
      </c>
      <c r="C2638" s="12" t="s">
        <v>2384</v>
      </c>
      <c r="D2638" s="60"/>
      <c r="E2638" s="41" t="str">
        <f t="shared" si="118"/>
        <v>Еще фото</v>
      </c>
      <c r="F2638" s="28" t="s">
        <v>138</v>
      </c>
      <c r="G2638" s="24" t="s">
        <v>1184</v>
      </c>
      <c r="H2638" s="24" t="s">
        <v>741</v>
      </c>
      <c r="I2638" s="24" t="s">
        <v>1185</v>
      </c>
      <c r="J2638" s="14" t="s">
        <v>29</v>
      </c>
      <c r="K2638" s="15" t="s">
        <v>30</v>
      </c>
      <c r="L2638" s="62"/>
      <c r="M2638" s="14"/>
      <c r="N2638" s="14" t="s">
        <v>84</v>
      </c>
      <c r="O2638" s="14"/>
      <c r="P2638" s="15" t="s">
        <v>2370</v>
      </c>
      <c r="Q2638" s="16">
        <v>11199</v>
      </c>
      <c r="R2638" s="17">
        <v>40</v>
      </c>
      <c r="S2638" s="18">
        <v>7727.3099999999986</v>
      </c>
      <c r="T2638" s="19" t="s">
        <v>36</v>
      </c>
      <c r="U2638" s="20" t="s">
        <v>754</v>
      </c>
      <c r="V2638" s="22">
        <v>44</v>
      </c>
      <c r="W2638" s="22">
        <v>10</v>
      </c>
      <c r="X2638" s="23"/>
    </row>
    <row r="2639" spans="1:24" s="1" customFormat="1" ht="11" customHeight="1" x14ac:dyDescent="0.3">
      <c r="A2639" s="14" t="s">
        <v>23</v>
      </c>
      <c r="B2639" s="14" t="s">
        <v>2379</v>
      </c>
      <c r="C2639" s="12" t="s">
        <v>2384</v>
      </c>
      <c r="D2639" s="60"/>
      <c r="E2639" s="41" t="str">
        <f t="shared" si="118"/>
        <v>Еще фото</v>
      </c>
      <c r="F2639" s="36" t="s">
        <v>138</v>
      </c>
      <c r="G2639" s="14" t="s">
        <v>1184</v>
      </c>
      <c r="H2639" s="14" t="s">
        <v>741</v>
      </c>
      <c r="I2639" s="14" t="s">
        <v>1185</v>
      </c>
      <c r="J2639" s="14" t="s">
        <v>29</v>
      </c>
      <c r="K2639" s="14" t="s">
        <v>30</v>
      </c>
      <c r="L2639" s="62"/>
      <c r="M2639" s="14"/>
      <c r="N2639" s="14" t="s">
        <v>84</v>
      </c>
      <c r="O2639" s="14"/>
      <c r="P2639" s="14" t="s">
        <v>2370</v>
      </c>
      <c r="Q2639" s="30">
        <v>11199</v>
      </c>
      <c r="R2639" s="31">
        <v>40</v>
      </c>
      <c r="S2639" s="32">
        <v>7727.3099999999986</v>
      </c>
      <c r="T2639" s="19" t="s">
        <v>36</v>
      </c>
      <c r="U2639" s="20" t="s">
        <v>755</v>
      </c>
      <c r="V2639" s="34">
        <v>44.5</v>
      </c>
      <c r="W2639" s="22">
        <v>10</v>
      </c>
      <c r="X2639" s="23"/>
    </row>
    <row r="2640" spans="1:24" s="1" customFormat="1" ht="11" customHeight="1" x14ac:dyDescent="0.3">
      <c r="A2640" s="14" t="s">
        <v>23</v>
      </c>
      <c r="B2640" s="14" t="s">
        <v>2379</v>
      </c>
      <c r="C2640" s="12" t="s">
        <v>2384</v>
      </c>
      <c r="D2640" s="60"/>
      <c r="E2640" s="41" t="str">
        <f t="shared" si="118"/>
        <v>Еще фото</v>
      </c>
      <c r="F2640" s="36" t="s">
        <v>138</v>
      </c>
      <c r="G2640" s="14" t="s">
        <v>1184</v>
      </c>
      <c r="H2640" s="14" t="s">
        <v>741</v>
      </c>
      <c r="I2640" s="14" t="s">
        <v>1185</v>
      </c>
      <c r="J2640" s="14" t="s">
        <v>29</v>
      </c>
      <c r="K2640" s="14" t="s">
        <v>30</v>
      </c>
      <c r="L2640" s="62"/>
      <c r="M2640" s="14"/>
      <c r="N2640" s="14" t="s">
        <v>84</v>
      </c>
      <c r="O2640" s="14"/>
      <c r="P2640" s="14" t="s">
        <v>2370</v>
      </c>
      <c r="Q2640" s="30">
        <v>11199</v>
      </c>
      <c r="R2640" s="31">
        <v>40</v>
      </c>
      <c r="S2640" s="32">
        <v>7727.3099999999986</v>
      </c>
      <c r="T2640" s="19" t="s">
        <v>36</v>
      </c>
      <c r="U2640" s="20" t="s">
        <v>1337</v>
      </c>
      <c r="V2640" s="22">
        <v>45</v>
      </c>
      <c r="W2640" s="22">
        <v>10</v>
      </c>
      <c r="X2640" s="23"/>
    </row>
    <row r="2641" spans="1:24" s="1" customFormat="1" ht="11" customHeight="1" x14ac:dyDescent="0.3">
      <c r="A2641" s="14" t="s">
        <v>23</v>
      </c>
      <c r="B2641" s="14" t="s">
        <v>2379</v>
      </c>
      <c r="C2641" s="12" t="s">
        <v>2384</v>
      </c>
      <c r="D2641" s="61"/>
      <c r="E2641" s="41" t="str">
        <f t="shared" si="118"/>
        <v>Еще фото</v>
      </c>
      <c r="F2641" s="36" t="s">
        <v>138</v>
      </c>
      <c r="G2641" s="14" t="s">
        <v>1184</v>
      </c>
      <c r="H2641" s="14" t="s">
        <v>741</v>
      </c>
      <c r="I2641" s="14" t="s">
        <v>1185</v>
      </c>
      <c r="J2641" s="14" t="s">
        <v>29</v>
      </c>
      <c r="K2641" s="14" t="s">
        <v>30</v>
      </c>
      <c r="L2641" s="58"/>
      <c r="M2641" s="14"/>
      <c r="N2641" s="14" t="s">
        <v>84</v>
      </c>
      <c r="O2641" s="14"/>
      <c r="P2641" s="14" t="s">
        <v>2370</v>
      </c>
      <c r="Q2641" s="30">
        <v>11199</v>
      </c>
      <c r="R2641" s="31">
        <v>40</v>
      </c>
      <c r="S2641" s="32">
        <v>7727.3099999999986</v>
      </c>
      <c r="T2641" s="19" t="s">
        <v>36</v>
      </c>
      <c r="U2641" s="20" t="s">
        <v>1907</v>
      </c>
      <c r="V2641" s="22">
        <v>46</v>
      </c>
      <c r="W2641" s="22">
        <v>4</v>
      </c>
      <c r="X2641" s="23"/>
    </row>
    <row r="2642" spans="1:24" s="1" customFormat="1" ht="13.05" customHeight="1" x14ac:dyDescent="0.3">
      <c r="A2642" s="11" t="s">
        <v>23</v>
      </c>
      <c r="B2642" s="11" t="s">
        <v>2379</v>
      </c>
      <c r="C2642" s="12" t="s">
        <v>2385</v>
      </c>
      <c r="D2642" s="59"/>
      <c r="E2642" s="41" t="str">
        <f t="shared" ref="E2642:E2649" si="119">HYPERLINK("https://www.google.ru/search?q=6006719-299&amp;newwindow=1&amp;tbm=isch","Еще фото")</f>
        <v>Еще фото</v>
      </c>
      <c r="F2642" s="13" t="s">
        <v>103</v>
      </c>
      <c r="G2642" s="11" t="s">
        <v>1184</v>
      </c>
      <c r="H2642" s="11" t="s">
        <v>741</v>
      </c>
      <c r="I2642" s="14" t="s">
        <v>1185</v>
      </c>
      <c r="J2642" s="14" t="s">
        <v>29</v>
      </c>
      <c r="K2642" s="15" t="s">
        <v>30</v>
      </c>
      <c r="L2642" s="57" t="s">
        <v>2383</v>
      </c>
      <c r="M2642" s="14"/>
      <c r="N2642" s="14" t="s">
        <v>229</v>
      </c>
      <c r="O2642" s="14"/>
      <c r="P2642" s="15" t="s">
        <v>745</v>
      </c>
      <c r="Q2642" s="16">
        <v>11199</v>
      </c>
      <c r="R2642" s="17">
        <v>40</v>
      </c>
      <c r="S2642" s="18">
        <v>7727.3099999999986</v>
      </c>
      <c r="T2642" s="19" t="s">
        <v>36</v>
      </c>
      <c r="U2642" s="33" t="s">
        <v>748</v>
      </c>
      <c r="V2642" s="22">
        <v>40</v>
      </c>
      <c r="W2642" s="22">
        <v>2</v>
      </c>
      <c r="X2642" s="23"/>
    </row>
    <row r="2643" spans="1:24" s="1" customFormat="1" ht="13.05" customHeight="1" x14ac:dyDescent="0.3">
      <c r="A2643" s="24" t="s">
        <v>23</v>
      </c>
      <c r="B2643" s="24" t="s">
        <v>2379</v>
      </c>
      <c r="C2643" s="12" t="s">
        <v>2385</v>
      </c>
      <c r="D2643" s="60"/>
      <c r="E2643" s="41" t="str">
        <f t="shared" si="119"/>
        <v>Еще фото</v>
      </c>
      <c r="F2643" s="13" t="s">
        <v>103</v>
      </c>
      <c r="G2643" s="24" t="s">
        <v>1184</v>
      </c>
      <c r="H2643" s="24" t="s">
        <v>741</v>
      </c>
      <c r="I2643" s="24" t="s">
        <v>1185</v>
      </c>
      <c r="J2643" s="14" t="s">
        <v>29</v>
      </c>
      <c r="K2643" s="15" t="s">
        <v>30</v>
      </c>
      <c r="L2643" s="62"/>
      <c r="M2643" s="14"/>
      <c r="N2643" s="14" t="s">
        <v>229</v>
      </c>
      <c r="O2643" s="14"/>
      <c r="P2643" s="15" t="s">
        <v>745</v>
      </c>
      <c r="Q2643" s="16">
        <v>11199</v>
      </c>
      <c r="R2643" s="17">
        <v>40</v>
      </c>
      <c r="S2643" s="18">
        <v>7727.3099999999986</v>
      </c>
      <c r="T2643" s="19" t="s">
        <v>36</v>
      </c>
      <c r="U2643" s="20" t="s">
        <v>749</v>
      </c>
      <c r="V2643" s="22">
        <v>41</v>
      </c>
      <c r="W2643" s="22">
        <v>1</v>
      </c>
      <c r="X2643" s="23"/>
    </row>
    <row r="2644" spans="1:24" s="1" customFormat="1" ht="13.05" customHeight="1" x14ac:dyDescent="0.3">
      <c r="A2644" s="24" t="s">
        <v>23</v>
      </c>
      <c r="B2644" s="24" t="s">
        <v>2379</v>
      </c>
      <c r="C2644" s="12" t="s">
        <v>2385</v>
      </c>
      <c r="D2644" s="60"/>
      <c r="E2644" s="41" t="str">
        <f t="shared" si="119"/>
        <v>Еще фото</v>
      </c>
      <c r="F2644" s="13" t="s">
        <v>103</v>
      </c>
      <c r="G2644" s="24" t="s">
        <v>1184</v>
      </c>
      <c r="H2644" s="24" t="s">
        <v>741</v>
      </c>
      <c r="I2644" s="24" t="s">
        <v>1185</v>
      </c>
      <c r="J2644" s="14" t="s">
        <v>29</v>
      </c>
      <c r="K2644" s="15" t="s">
        <v>30</v>
      </c>
      <c r="L2644" s="62"/>
      <c r="M2644" s="14"/>
      <c r="N2644" s="14" t="s">
        <v>229</v>
      </c>
      <c r="O2644" s="14"/>
      <c r="P2644" s="15" t="s">
        <v>745</v>
      </c>
      <c r="Q2644" s="16">
        <v>11199</v>
      </c>
      <c r="R2644" s="17">
        <v>40</v>
      </c>
      <c r="S2644" s="18">
        <v>7727.3099999999986</v>
      </c>
      <c r="T2644" s="19" t="s">
        <v>36</v>
      </c>
      <c r="U2644" s="20" t="s">
        <v>750</v>
      </c>
      <c r="V2644" s="34">
        <v>41.5</v>
      </c>
      <c r="W2644" s="22">
        <v>7</v>
      </c>
      <c r="X2644" s="23"/>
    </row>
    <row r="2645" spans="1:24" s="1" customFormat="1" ht="13.05" customHeight="1" x14ac:dyDescent="0.3">
      <c r="A2645" s="24" t="s">
        <v>23</v>
      </c>
      <c r="B2645" s="24" t="s">
        <v>2379</v>
      </c>
      <c r="C2645" s="12" t="s">
        <v>2385</v>
      </c>
      <c r="D2645" s="60"/>
      <c r="E2645" s="41" t="str">
        <f t="shared" si="119"/>
        <v>Еще фото</v>
      </c>
      <c r="F2645" s="13" t="s">
        <v>103</v>
      </c>
      <c r="G2645" s="24" t="s">
        <v>1184</v>
      </c>
      <c r="H2645" s="24" t="s">
        <v>741</v>
      </c>
      <c r="I2645" s="24" t="s">
        <v>1185</v>
      </c>
      <c r="J2645" s="14" t="s">
        <v>29</v>
      </c>
      <c r="K2645" s="15" t="s">
        <v>30</v>
      </c>
      <c r="L2645" s="62"/>
      <c r="M2645" s="14"/>
      <c r="N2645" s="14" t="s">
        <v>229</v>
      </c>
      <c r="O2645" s="14"/>
      <c r="P2645" s="15" t="s">
        <v>745</v>
      </c>
      <c r="Q2645" s="16">
        <v>11199</v>
      </c>
      <c r="R2645" s="17">
        <v>40</v>
      </c>
      <c r="S2645" s="18">
        <v>7727.3099999999986</v>
      </c>
      <c r="T2645" s="19" t="s">
        <v>36</v>
      </c>
      <c r="U2645" s="20" t="s">
        <v>751</v>
      </c>
      <c r="V2645" s="22">
        <v>42</v>
      </c>
      <c r="W2645" s="22">
        <v>4</v>
      </c>
      <c r="X2645" s="23"/>
    </row>
    <row r="2646" spans="1:24" s="1" customFormat="1" ht="13.05" customHeight="1" x14ac:dyDescent="0.3">
      <c r="A2646" s="24" t="s">
        <v>23</v>
      </c>
      <c r="B2646" s="24" t="s">
        <v>2379</v>
      </c>
      <c r="C2646" s="12" t="s">
        <v>2385</v>
      </c>
      <c r="D2646" s="60"/>
      <c r="E2646" s="41" t="str">
        <f t="shared" si="119"/>
        <v>Еще фото</v>
      </c>
      <c r="F2646" s="13" t="s">
        <v>103</v>
      </c>
      <c r="G2646" s="24" t="s">
        <v>1184</v>
      </c>
      <c r="H2646" s="24" t="s">
        <v>741</v>
      </c>
      <c r="I2646" s="24" t="s">
        <v>1185</v>
      </c>
      <c r="J2646" s="14" t="s">
        <v>29</v>
      </c>
      <c r="K2646" s="15" t="s">
        <v>30</v>
      </c>
      <c r="L2646" s="62"/>
      <c r="M2646" s="14"/>
      <c r="N2646" s="14" t="s">
        <v>229</v>
      </c>
      <c r="O2646" s="14"/>
      <c r="P2646" s="15" t="s">
        <v>745</v>
      </c>
      <c r="Q2646" s="16">
        <v>11199</v>
      </c>
      <c r="R2646" s="17">
        <v>40</v>
      </c>
      <c r="S2646" s="18">
        <v>7727.3099999999986</v>
      </c>
      <c r="T2646" s="19" t="s">
        <v>36</v>
      </c>
      <c r="U2646" s="20" t="s">
        <v>752</v>
      </c>
      <c r="V2646" s="22">
        <v>43</v>
      </c>
      <c r="W2646" s="22">
        <v>1</v>
      </c>
      <c r="X2646" s="23"/>
    </row>
    <row r="2647" spans="1:24" s="1" customFormat="1" ht="13.05" customHeight="1" x14ac:dyDescent="0.3">
      <c r="A2647" s="24" t="s">
        <v>23</v>
      </c>
      <c r="B2647" s="24" t="s">
        <v>2379</v>
      </c>
      <c r="C2647" s="12" t="s">
        <v>2385</v>
      </c>
      <c r="D2647" s="60"/>
      <c r="E2647" s="41" t="str">
        <f t="shared" si="119"/>
        <v>Еще фото</v>
      </c>
      <c r="F2647" s="13" t="s">
        <v>103</v>
      </c>
      <c r="G2647" s="24" t="s">
        <v>1184</v>
      </c>
      <c r="H2647" s="24" t="s">
        <v>741</v>
      </c>
      <c r="I2647" s="24" t="s">
        <v>1185</v>
      </c>
      <c r="J2647" s="14" t="s">
        <v>29</v>
      </c>
      <c r="K2647" s="15" t="s">
        <v>30</v>
      </c>
      <c r="L2647" s="62"/>
      <c r="M2647" s="14"/>
      <c r="N2647" s="14" t="s">
        <v>229</v>
      </c>
      <c r="O2647" s="14"/>
      <c r="P2647" s="15" t="s">
        <v>745</v>
      </c>
      <c r="Q2647" s="16">
        <v>11199</v>
      </c>
      <c r="R2647" s="17">
        <v>40</v>
      </c>
      <c r="S2647" s="18">
        <v>7727.3099999999986</v>
      </c>
      <c r="T2647" s="19" t="s">
        <v>36</v>
      </c>
      <c r="U2647" s="20" t="s">
        <v>753</v>
      </c>
      <c r="V2647" s="34">
        <v>43.5</v>
      </c>
      <c r="W2647" s="22">
        <v>10</v>
      </c>
      <c r="X2647" s="23"/>
    </row>
    <row r="2648" spans="1:24" s="1" customFormat="1" ht="13.05" customHeight="1" x14ac:dyDescent="0.3">
      <c r="A2648" s="24" t="s">
        <v>23</v>
      </c>
      <c r="B2648" s="24" t="s">
        <v>2379</v>
      </c>
      <c r="C2648" s="12" t="s">
        <v>2385</v>
      </c>
      <c r="D2648" s="60"/>
      <c r="E2648" s="41" t="str">
        <f t="shared" si="119"/>
        <v>Еще фото</v>
      </c>
      <c r="F2648" s="13" t="s">
        <v>103</v>
      </c>
      <c r="G2648" s="24" t="s">
        <v>1184</v>
      </c>
      <c r="H2648" s="24" t="s">
        <v>741</v>
      </c>
      <c r="I2648" s="24" t="s">
        <v>1185</v>
      </c>
      <c r="J2648" s="14" t="s">
        <v>29</v>
      </c>
      <c r="K2648" s="15" t="s">
        <v>30</v>
      </c>
      <c r="L2648" s="62"/>
      <c r="M2648" s="14"/>
      <c r="N2648" s="14" t="s">
        <v>229</v>
      </c>
      <c r="O2648" s="14"/>
      <c r="P2648" s="15" t="s">
        <v>745</v>
      </c>
      <c r="Q2648" s="16">
        <v>11199</v>
      </c>
      <c r="R2648" s="17">
        <v>40</v>
      </c>
      <c r="S2648" s="18">
        <v>7727.3099999999986</v>
      </c>
      <c r="T2648" s="19" t="s">
        <v>36</v>
      </c>
      <c r="U2648" s="20" t="s">
        <v>754</v>
      </c>
      <c r="V2648" s="22">
        <v>44</v>
      </c>
      <c r="W2648" s="22">
        <v>3</v>
      </c>
      <c r="X2648" s="23"/>
    </row>
    <row r="2649" spans="1:24" s="1" customFormat="1" ht="18" customHeight="1" x14ac:dyDescent="0.3">
      <c r="A2649" s="24" t="s">
        <v>23</v>
      </c>
      <c r="B2649" s="24" t="s">
        <v>2379</v>
      </c>
      <c r="C2649" s="12" t="s">
        <v>2385</v>
      </c>
      <c r="D2649" s="61"/>
      <c r="E2649" s="41" t="str">
        <f t="shared" si="119"/>
        <v>Еще фото</v>
      </c>
      <c r="F2649" s="13" t="s">
        <v>103</v>
      </c>
      <c r="G2649" s="24" t="s">
        <v>1184</v>
      </c>
      <c r="H2649" s="24" t="s">
        <v>741</v>
      </c>
      <c r="I2649" s="24" t="s">
        <v>1185</v>
      </c>
      <c r="J2649" s="14" t="s">
        <v>29</v>
      </c>
      <c r="K2649" s="15" t="s">
        <v>30</v>
      </c>
      <c r="L2649" s="58"/>
      <c r="M2649" s="14"/>
      <c r="N2649" s="14" t="s">
        <v>229</v>
      </c>
      <c r="O2649" s="14"/>
      <c r="P2649" s="15" t="s">
        <v>745</v>
      </c>
      <c r="Q2649" s="16">
        <v>11199</v>
      </c>
      <c r="R2649" s="17">
        <v>40</v>
      </c>
      <c r="S2649" s="18">
        <v>7727.3099999999986</v>
      </c>
      <c r="T2649" s="19" t="s">
        <v>36</v>
      </c>
      <c r="U2649" s="20" t="s">
        <v>755</v>
      </c>
      <c r="V2649" s="34">
        <v>44.5</v>
      </c>
      <c r="W2649" s="22">
        <v>2</v>
      </c>
      <c r="X2649" s="23"/>
    </row>
    <row r="2650" spans="1:24" s="1" customFormat="1" ht="14" customHeight="1" x14ac:dyDescent="0.3">
      <c r="A2650" s="11" t="s">
        <v>23</v>
      </c>
      <c r="B2650" s="11" t="s">
        <v>2386</v>
      </c>
      <c r="C2650" s="12" t="s">
        <v>2387</v>
      </c>
      <c r="D2650" s="59"/>
      <c r="E2650" s="41" t="str">
        <f t="shared" ref="E2650:E2656" si="120">HYPERLINK("https://www.google.ru/search?q=6006720-289&amp;newwindow=1&amp;tbm=isch","Еще фото")</f>
        <v>Еще фото</v>
      </c>
      <c r="F2650" s="13" t="s">
        <v>103</v>
      </c>
      <c r="G2650" s="11" t="s">
        <v>1184</v>
      </c>
      <c r="H2650" s="11" t="s">
        <v>741</v>
      </c>
      <c r="I2650" s="14" t="s">
        <v>1185</v>
      </c>
      <c r="J2650" s="14" t="s">
        <v>29</v>
      </c>
      <c r="K2650" s="15" t="s">
        <v>59</v>
      </c>
      <c r="L2650" s="57" t="s">
        <v>2383</v>
      </c>
      <c r="M2650" s="14"/>
      <c r="N2650" s="14" t="s">
        <v>229</v>
      </c>
      <c r="O2650" s="14"/>
      <c r="P2650" s="15" t="s">
        <v>745</v>
      </c>
      <c r="Q2650" s="16">
        <v>11199</v>
      </c>
      <c r="R2650" s="17">
        <v>40</v>
      </c>
      <c r="S2650" s="18">
        <v>7727.3099999999986</v>
      </c>
      <c r="T2650" s="19" t="s">
        <v>36</v>
      </c>
      <c r="U2650" s="20" t="s">
        <v>1203</v>
      </c>
      <c r="V2650" s="22">
        <v>36</v>
      </c>
      <c r="W2650" s="22">
        <v>10</v>
      </c>
      <c r="X2650" s="23"/>
    </row>
    <row r="2651" spans="1:24" s="1" customFormat="1" ht="14" customHeight="1" x14ac:dyDescent="0.3">
      <c r="A2651" s="24" t="s">
        <v>23</v>
      </c>
      <c r="B2651" s="24" t="s">
        <v>2386</v>
      </c>
      <c r="C2651" s="12" t="s">
        <v>2387</v>
      </c>
      <c r="D2651" s="60"/>
      <c r="E2651" s="41" t="str">
        <f t="shared" si="120"/>
        <v>Еще фото</v>
      </c>
      <c r="F2651" s="13" t="s">
        <v>103</v>
      </c>
      <c r="G2651" s="24" t="s">
        <v>1184</v>
      </c>
      <c r="H2651" s="24" t="s">
        <v>741</v>
      </c>
      <c r="I2651" s="24" t="s">
        <v>1185</v>
      </c>
      <c r="J2651" s="14" t="s">
        <v>29</v>
      </c>
      <c r="K2651" s="15" t="s">
        <v>59</v>
      </c>
      <c r="L2651" s="62"/>
      <c r="M2651" s="14"/>
      <c r="N2651" s="14" t="s">
        <v>229</v>
      </c>
      <c r="O2651" s="14"/>
      <c r="P2651" s="15" t="s">
        <v>745</v>
      </c>
      <c r="Q2651" s="16">
        <v>11199</v>
      </c>
      <c r="R2651" s="17">
        <v>40</v>
      </c>
      <c r="S2651" s="18">
        <v>7727.3099999999986</v>
      </c>
      <c r="T2651" s="19" t="s">
        <v>36</v>
      </c>
      <c r="U2651" s="20" t="s">
        <v>1196</v>
      </c>
      <c r="V2651" s="34">
        <v>36.5</v>
      </c>
      <c r="W2651" s="22">
        <v>15</v>
      </c>
      <c r="X2651" s="23"/>
    </row>
    <row r="2652" spans="1:24" s="1" customFormat="1" ht="14" customHeight="1" x14ac:dyDescent="0.3">
      <c r="A2652" s="24" t="s">
        <v>23</v>
      </c>
      <c r="B2652" s="24" t="s">
        <v>2386</v>
      </c>
      <c r="C2652" s="12" t="s">
        <v>2387</v>
      </c>
      <c r="D2652" s="60"/>
      <c r="E2652" s="41" t="str">
        <f t="shared" si="120"/>
        <v>Еще фото</v>
      </c>
      <c r="F2652" s="13" t="s">
        <v>103</v>
      </c>
      <c r="G2652" s="24" t="s">
        <v>1184</v>
      </c>
      <c r="H2652" s="24" t="s">
        <v>741</v>
      </c>
      <c r="I2652" s="24" t="s">
        <v>1185</v>
      </c>
      <c r="J2652" s="14" t="s">
        <v>29</v>
      </c>
      <c r="K2652" s="15" t="s">
        <v>59</v>
      </c>
      <c r="L2652" s="62"/>
      <c r="M2652" s="14"/>
      <c r="N2652" s="14" t="s">
        <v>229</v>
      </c>
      <c r="O2652" s="14"/>
      <c r="P2652" s="15" t="s">
        <v>745</v>
      </c>
      <c r="Q2652" s="16">
        <v>11199</v>
      </c>
      <c r="R2652" s="17">
        <v>40</v>
      </c>
      <c r="S2652" s="18">
        <v>7727.3099999999986</v>
      </c>
      <c r="T2652" s="19" t="s">
        <v>36</v>
      </c>
      <c r="U2652" s="20" t="s">
        <v>746</v>
      </c>
      <c r="V2652" s="22">
        <v>37</v>
      </c>
      <c r="W2652" s="22">
        <v>14</v>
      </c>
      <c r="X2652" s="23"/>
    </row>
    <row r="2653" spans="1:24" s="1" customFormat="1" ht="14" customHeight="1" x14ac:dyDescent="0.3">
      <c r="A2653" s="24" t="s">
        <v>23</v>
      </c>
      <c r="B2653" s="24" t="s">
        <v>2386</v>
      </c>
      <c r="C2653" s="12" t="s">
        <v>2387</v>
      </c>
      <c r="D2653" s="60"/>
      <c r="E2653" s="41" t="str">
        <f t="shared" si="120"/>
        <v>Еще фото</v>
      </c>
      <c r="F2653" s="13" t="s">
        <v>103</v>
      </c>
      <c r="G2653" s="24" t="s">
        <v>1184</v>
      </c>
      <c r="H2653" s="24" t="s">
        <v>741</v>
      </c>
      <c r="I2653" s="24" t="s">
        <v>1185</v>
      </c>
      <c r="J2653" s="14" t="s">
        <v>29</v>
      </c>
      <c r="K2653" s="15" t="s">
        <v>59</v>
      </c>
      <c r="L2653" s="62"/>
      <c r="M2653" s="14"/>
      <c r="N2653" s="14" t="s">
        <v>229</v>
      </c>
      <c r="O2653" s="14"/>
      <c r="P2653" s="15" t="s">
        <v>745</v>
      </c>
      <c r="Q2653" s="16">
        <v>11199</v>
      </c>
      <c r="R2653" s="17">
        <v>40</v>
      </c>
      <c r="S2653" s="18">
        <v>7727.3099999999986</v>
      </c>
      <c r="T2653" s="19" t="s">
        <v>36</v>
      </c>
      <c r="U2653" s="20" t="s">
        <v>747</v>
      </c>
      <c r="V2653" s="34">
        <v>37.5</v>
      </c>
      <c r="W2653" s="22">
        <v>18</v>
      </c>
      <c r="X2653" s="23"/>
    </row>
    <row r="2654" spans="1:24" s="1" customFormat="1" ht="14" customHeight="1" x14ac:dyDescent="0.3">
      <c r="A2654" s="24" t="s">
        <v>23</v>
      </c>
      <c r="B2654" s="24" t="s">
        <v>2386</v>
      </c>
      <c r="C2654" s="12" t="s">
        <v>2387</v>
      </c>
      <c r="D2654" s="60"/>
      <c r="E2654" s="41" t="str">
        <f t="shared" si="120"/>
        <v>Еще фото</v>
      </c>
      <c r="F2654" s="13" t="s">
        <v>103</v>
      </c>
      <c r="G2654" s="24" t="s">
        <v>1184</v>
      </c>
      <c r="H2654" s="24" t="s">
        <v>741</v>
      </c>
      <c r="I2654" s="24" t="s">
        <v>1185</v>
      </c>
      <c r="J2654" s="14" t="s">
        <v>29</v>
      </c>
      <c r="K2654" s="15" t="s">
        <v>59</v>
      </c>
      <c r="L2654" s="62"/>
      <c r="M2654" s="14"/>
      <c r="N2654" s="14" t="s">
        <v>229</v>
      </c>
      <c r="O2654" s="14"/>
      <c r="P2654" s="15" t="s">
        <v>745</v>
      </c>
      <c r="Q2654" s="16">
        <v>11199</v>
      </c>
      <c r="R2654" s="17">
        <v>40</v>
      </c>
      <c r="S2654" s="18">
        <v>7727.3099999999986</v>
      </c>
      <c r="T2654" s="19" t="s">
        <v>36</v>
      </c>
      <c r="U2654" s="20" t="s">
        <v>748</v>
      </c>
      <c r="V2654" s="22">
        <v>38</v>
      </c>
      <c r="W2654" s="22">
        <v>7</v>
      </c>
      <c r="X2654" s="23"/>
    </row>
    <row r="2655" spans="1:24" s="1" customFormat="1" ht="14" customHeight="1" x14ac:dyDescent="0.3">
      <c r="A2655" s="24" t="s">
        <v>23</v>
      </c>
      <c r="B2655" s="24" t="s">
        <v>2386</v>
      </c>
      <c r="C2655" s="12" t="s">
        <v>2387</v>
      </c>
      <c r="D2655" s="60"/>
      <c r="E2655" s="41" t="str">
        <f t="shared" si="120"/>
        <v>Еще фото</v>
      </c>
      <c r="F2655" s="13" t="s">
        <v>103</v>
      </c>
      <c r="G2655" s="24" t="s">
        <v>1184</v>
      </c>
      <c r="H2655" s="24" t="s">
        <v>741</v>
      </c>
      <c r="I2655" s="24" t="s">
        <v>1185</v>
      </c>
      <c r="J2655" s="14" t="s">
        <v>29</v>
      </c>
      <c r="K2655" s="15" t="s">
        <v>59</v>
      </c>
      <c r="L2655" s="62"/>
      <c r="M2655" s="14"/>
      <c r="N2655" s="14" t="s">
        <v>229</v>
      </c>
      <c r="O2655" s="14"/>
      <c r="P2655" s="15" t="s">
        <v>745</v>
      </c>
      <c r="Q2655" s="16">
        <v>11199</v>
      </c>
      <c r="R2655" s="17">
        <v>40</v>
      </c>
      <c r="S2655" s="18">
        <v>7727.3099999999986</v>
      </c>
      <c r="T2655" s="19" t="s">
        <v>36</v>
      </c>
      <c r="U2655" s="20" t="s">
        <v>749</v>
      </c>
      <c r="V2655" s="22">
        <v>39</v>
      </c>
      <c r="W2655" s="22">
        <v>2</v>
      </c>
      <c r="X2655" s="23"/>
    </row>
    <row r="2656" spans="1:24" s="1" customFormat="1" ht="17" customHeight="1" x14ac:dyDescent="0.3">
      <c r="A2656" s="24" t="s">
        <v>23</v>
      </c>
      <c r="B2656" s="24" t="s">
        <v>2386</v>
      </c>
      <c r="C2656" s="12" t="s">
        <v>2387</v>
      </c>
      <c r="D2656" s="61"/>
      <c r="E2656" s="41" t="str">
        <f t="shared" si="120"/>
        <v>Еще фото</v>
      </c>
      <c r="F2656" s="13" t="s">
        <v>103</v>
      </c>
      <c r="G2656" s="24" t="s">
        <v>1184</v>
      </c>
      <c r="H2656" s="24" t="s">
        <v>741</v>
      </c>
      <c r="I2656" s="24" t="s">
        <v>1185</v>
      </c>
      <c r="J2656" s="14" t="s">
        <v>29</v>
      </c>
      <c r="K2656" s="15" t="s">
        <v>59</v>
      </c>
      <c r="L2656" s="58"/>
      <c r="M2656" s="14"/>
      <c r="N2656" s="14" t="s">
        <v>229</v>
      </c>
      <c r="O2656" s="14"/>
      <c r="P2656" s="15" t="s">
        <v>745</v>
      </c>
      <c r="Q2656" s="16">
        <v>11199</v>
      </c>
      <c r="R2656" s="17">
        <v>40</v>
      </c>
      <c r="S2656" s="18">
        <v>7727.3099999999986</v>
      </c>
      <c r="T2656" s="19" t="s">
        <v>36</v>
      </c>
      <c r="U2656" s="20" t="s">
        <v>750</v>
      </c>
      <c r="V2656" s="34">
        <v>39.5</v>
      </c>
      <c r="W2656" s="22">
        <v>4</v>
      </c>
      <c r="X2656" s="23"/>
    </row>
    <row r="2657" spans="1:24" s="1" customFormat="1" ht="108" customHeight="1" x14ac:dyDescent="0.3">
      <c r="A2657" s="11" t="s">
        <v>23</v>
      </c>
      <c r="B2657" s="11" t="s">
        <v>2386</v>
      </c>
      <c r="C2657" s="12" t="s">
        <v>2388</v>
      </c>
      <c r="D2657" s="25"/>
      <c r="E2657" s="41" t="str">
        <f>HYPERLINK("https://www.google.ru/search?q=6006720-477&amp;newwindow=1&amp;tbm=isch","Еще фото")</f>
        <v>Еще фото</v>
      </c>
      <c r="F2657" s="13"/>
      <c r="G2657" s="11" t="s">
        <v>1184</v>
      </c>
      <c r="H2657" s="11" t="s">
        <v>741</v>
      </c>
      <c r="I2657" s="14" t="s">
        <v>1185</v>
      </c>
      <c r="J2657" s="14" t="s">
        <v>29</v>
      </c>
      <c r="K2657" s="15" t="s">
        <v>59</v>
      </c>
      <c r="L2657" s="14" t="s">
        <v>2383</v>
      </c>
      <c r="M2657" s="14"/>
      <c r="N2657" s="14" t="s">
        <v>46</v>
      </c>
      <c r="O2657" s="14"/>
      <c r="P2657" s="15" t="s">
        <v>2370</v>
      </c>
      <c r="Q2657" s="16">
        <v>11199</v>
      </c>
      <c r="R2657" s="17">
        <v>40</v>
      </c>
      <c r="S2657" s="18">
        <v>7727.3099999999986</v>
      </c>
      <c r="T2657" s="19" t="s">
        <v>36</v>
      </c>
      <c r="U2657" s="20" t="s">
        <v>750</v>
      </c>
      <c r="V2657" s="34">
        <v>39.5</v>
      </c>
      <c r="W2657" s="22">
        <v>1</v>
      </c>
      <c r="X2657" s="23"/>
    </row>
    <row r="2658" spans="1:24" s="1" customFormat="1" ht="26" customHeight="1" x14ac:dyDescent="0.3">
      <c r="A2658" s="11" t="s">
        <v>23</v>
      </c>
      <c r="B2658" s="11" t="s">
        <v>2389</v>
      </c>
      <c r="C2658" s="12" t="s">
        <v>2390</v>
      </c>
      <c r="D2658" s="59"/>
      <c r="E2658" s="41" t="str">
        <f>HYPERLINK("https://www.google.ru/search?q=6006723-100&amp;newwindow=1&amp;tbm=isch","Еще фото")</f>
        <v>Еще фото</v>
      </c>
      <c r="F2658" s="28" t="s">
        <v>138</v>
      </c>
      <c r="G2658" s="11" t="s">
        <v>1184</v>
      </c>
      <c r="H2658" s="11" t="s">
        <v>741</v>
      </c>
      <c r="I2658" s="14" t="s">
        <v>1185</v>
      </c>
      <c r="J2658" s="14" t="s">
        <v>29</v>
      </c>
      <c r="K2658" s="15" t="s">
        <v>30</v>
      </c>
      <c r="L2658" s="57" t="s">
        <v>2391</v>
      </c>
      <c r="M2658" s="14"/>
      <c r="N2658" s="14" t="s">
        <v>84</v>
      </c>
      <c r="O2658" s="14"/>
      <c r="P2658" s="15" t="s">
        <v>2011</v>
      </c>
      <c r="Q2658" s="16">
        <v>8599</v>
      </c>
      <c r="R2658" s="17">
        <v>40</v>
      </c>
      <c r="S2658" s="18">
        <v>5933.3099999999995</v>
      </c>
      <c r="T2658" s="19" t="s">
        <v>36</v>
      </c>
      <c r="U2658" s="20" t="s">
        <v>750</v>
      </c>
      <c r="V2658" s="34">
        <v>41.5</v>
      </c>
      <c r="W2658" s="22">
        <v>3</v>
      </c>
      <c r="X2658" s="23"/>
    </row>
    <row r="2659" spans="1:24" s="1" customFormat="1" ht="26" customHeight="1" x14ac:dyDescent="0.3">
      <c r="A2659" s="24" t="s">
        <v>23</v>
      </c>
      <c r="B2659" s="24" t="s">
        <v>2389</v>
      </c>
      <c r="C2659" s="12" t="s">
        <v>2390</v>
      </c>
      <c r="D2659" s="60"/>
      <c r="E2659" s="41" t="str">
        <f>HYPERLINK("https://www.google.ru/search?q=6006723-100&amp;newwindow=1&amp;tbm=isch","Еще фото")</f>
        <v>Еще фото</v>
      </c>
      <c r="F2659" s="28" t="s">
        <v>138</v>
      </c>
      <c r="G2659" s="24" t="s">
        <v>1184</v>
      </c>
      <c r="H2659" s="24" t="s">
        <v>741</v>
      </c>
      <c r="I2659" s="24" t="s">
        <v>1185</v>
      </c>
      <c r="J2659" s="14" t="s">
        <v>29</v>
      </c>
      <c r="K2659" s="15" t="s">
        <v>30</v>
      </c>
      <c r="L2659" s="62"/>
      <c r="M2659" s="14"/>
      <c r="N2659" s="14" t="s">
        <v>84</v>
      </c>
      <c r="O2659" s="14"/>
      <c r="P2659" s="15" t="s">
        <v>2011</v>
      </c>
      <c r="Q2659" s="16">
        <v>8599</v>
      </c>
      <c r="R2659" s="17">
        <v>40</v>
      </c>
      <c r="S2659" s="18">
        <v>5933.3099999999995</v>
      </c>
      <c r="T2659" s="19" t="s">
        <v>36</v>
      </c>
      <c r="U2659" s="20" t="s">
        <v>751</v>
      </c>
      <c r="V2659" s="22">
        <v>42</v>
      </c>
      <c r="W2659" s="22">
        <v>5</v>
      </c>
      <c r="X2659" s="23"/>
    </row>
    <row r="2660" spans="1:24" s="1" customFormat="1" ht="26" customHeight="1" x14ac:dyDescent="0.3">
      <c r="A2660" s="24" t="s">
        <v>23</v>
      </c>
      <c r="B2660" s="24" t="s">
        <v>2389</v>
      </c>
      <c r="C2660" s="12" t="s">
        <v>2390</v>
      </c>
      <c r="D2660" s="60"/>
      <c r="E2660" s="41" t="str">
        <f>HYPERLINK("https://www.google.ru/search?q=6006723-100&amp;newwindow=1&amp;tbm=isch","Еще фото")</f>
        <v>Еще фото</v>
      </c>
      <c r="F2660" s="28" t="s">
        <v>138</v>
      </c>
      <c r="G2660" s="24" t="s">
        <v>1184</v>
      </c>
      <c r="H2660" s="24" t="s">
        <v>741</v>
      </c>
      <c r="I2660" s="24" t="s">
        <v>1185</v>
      </c>
      <c r="J2660" s="14" t="s">
        <v>29</v>
      </c>
      <c r="K2660" s="15" t="s">
        <v>30</v>
      </c>
      <c r="L2660" s="62"/>
      <c r="M2660" s="14"/>
      <c r="N2660" s="14" t="s">
        <v>84</v>
      </c>
      <c r="O2660" s="14"/>
      <c r="P2660" s="15" t="s">
        <v>2011</v>
      </c>
      <c r="Q2660" s="16">
        <v>8599</v>
      </c>
      <c r="R2660" s="17">
        <v>40</v>
      </c>
      <c r="S2660" s="18">
        <v>5933.3099999999995</v>
      </c>
      <c r="T2660" s="19" t="s">
        <v>36</v>
      </c>
      <c r="U2660" s="20" t="s">
        <v>752</v>
      </c>
      <c r="V2660" s="22">
        <v>43</v>
      </c>
      <c r="W2660" s="22">
        <v>1</v>
      </c>
      <c r="X2660" s="23"/>
    </row>
    <row r="2661" spans="1:24" s="1" customFormat="1" ht="26" customHeight="1" x14ac:dyDescent="0.3">
      <c r="A2661" s="24" t="s">
        <v>23</v>
      </c>
      <c r="B2661" s="24" t="s">
        <v>2389</v>
      </c>
      <c r="C2661" s="12" t="s">
        <v>2390</v>
      </c>
      <c r="D2661" s="61"/>
      <c r="E2661" s="41" t="str">
        <f>HYPERLINK("https://www.google.ru/search?q=6006723-100&amp;newwindow=1&amp;tbm=isch","Еще фото")</f>
        <v>Еще фото</v>
      </c>
      <c r="F2661" s="28" t="s">
        <v>138</v>
      </c>
      <c r="G2661" s="24" t="s">
        <v>1184</v>
      </c>
      <c r="H2661" s="24" t="s">
        <v>741</v>
      </c>
      <c r="I2661" s="24" t="s">
        <v>1185</v>
      </c>
      <c r="J2661" s="14" t="s">
        <v>29</v>
      </c>
      <c r="K2661" s="15" t="s">
        <v>30</v>
      </c>
      <c r="L2661" s="58"/>
      <c r="M2661" s="14"/>
      <c r="N2661" s="14" t="s">
        <v>84</v>
      </c>
      <c r="O2661" s="14"/>
      <c r="P2661" s="15" t="s">
        <v>2011</v>
      </c>
      <c r="Q2661" s="16">
        <v>8599</v>
      </c>
      <c r="R2661" s="17">
        <v>40</v>
      </c>
      <c r="S2661" s="18">
        <v>5933.3099999999995</v>
      </c>
      <c r="T2661" s="19" t="s">
        <v>36</v>
      </c>
      <c r="U2661" s="20" t="s">
        <v>753</v>
      </c>
      <c r="V2661" s="34">
        <v>43.5</v>
      </c>
      <c r="W2661" s="22">
        <v>1</v>
      </c>
      <c r="X2661" s="23"/>
    </row>
    <row r="2662" spans="1:24" s="1" customFormat="1" ht="26" customHeight="1" x14ac:dyDescent="0.3">
      <c r="A2662" s="11" t="s">
        <v>23</v>
      </c>
      <c r="B2662" s="11" t="s">
        <v>2389</v>
      </c>
      <c r="C2662" s="12" t="s">
        <v>2392</v>
      </c>
      <c r="D2662" s="59"/>
      <c r="E2662" s="41" t="str">
        <f>HYPERLINK("https://www.google.ru/search?q=6006723-299&amp;newwindow=1&amp;tbm=isch","Еще фото")</f>
        <v>Еще фото</v>
      </c>
      <c r="F2662" s="13" t="s">
        <v>152</v>
      </c>
      <c r="G2662" s="11" t="s">
        <v>1184</v>
      </c>
      <c r="H2662" s="11" t="s">
        <v>741</v>
      </c>
      <c r="I2662" s="14" t="s">
        <v>1185</v>
      </c>
      <c r="J2662" s="14" t="s">
        <v>29</v>
      </c>
      <c r="K2662" s="15" t="s">
        <v>30</v>
      </c>
      <c r="L2662" s="57" t="s">
        <v>2393</v>
      </c>
      <c r="M2662" s="14"/>
      <c r="N2662" s="14" t="s">
        <v>229</v>
      </c>
      <c r="O2662" s="14"/>
      <c r="P2662" s="15" t="s">
        <v>1457</v>
      </c>
      <c r="Q2662" s="16">
        <v>8599</v>
      </c>
      <c r="R2662" s="17">
        <v>40</v>
      </c>
      <c r="S2662" s="18">
        <v>5933.3099999999995</v>
      </c>
      <c r="T2662" s="19" t="s">
        <v>36</v>
      </c>
      <c r="U2662" s="20" t="s">
        <v>747</v>
      </c>
      <c r="V2662" s="34">
        <v>39.5</v>
      </c>
      <c r="W2662" s="22">
        <v>1</v>
      </c>
      <c r="X2662" s="23"/>
    </row>
    <row r="2663" spans="1:24" s="1" customFormat="1" ht="26" customHeight="1" x14ac:dyDescent="0.3">
      <c r="A2663" s="24" t="s">
        <v>23</v>
      </c>
      <c r="B2663" s="24" t="s">
        <v>2389</v>
      </c>
      <c r="C2663" s="12" t="s">
        <v>2392</v>
      </c>
      <c r="D2663" s="60"/>
      <c r="E2663" s="41" t="str">
        <f>HYPERLINK("https://www.google.ru/search?q=6006723-299&amp;newwindow=1&amp;tbm=isch","Еще фото")</f>
        <v>Еще фото</v>
      </c>
      <c r="F2663" s="13" t="s">
        <v>152</v>
      </c>
      <c r="G2663" s="24" t="s">
        <v>1184</v>
      </c>
      <c r="H2663" s="24" t="s">
        <v>741</v>
      </c>
      <c r="I2663" s="24" t="s">
        <v>1185</v>
      </c>
      <c r="J2663" s="14" t="s">
        <v>29</v>
      </c>
      <c r="K2663" s="15" t="s">
        <v>30</v>
      </c>
      <c r="L2663" s="62"/>
      <c r="M2663" s="14"/>
      <c r="N2663" s="14" t="s">
        <v>229</v>
      </c>
      <c r="O2663" s="14"/>
      <c r="P2663" s="15" t="s">
        <v>1457</v>
      </c>
      <c r="Q2663" s="16">
        <v>8599</v>
      </c>
      <c r="R2663" s="17">
        <v>40</v>
      </c>
      <c r="S2663" s="18">
        <v>5933.3099999999995</v>
      </c>
      <c r="T2663" s="19" t="s">
        <v>36</v>
      </c>
      <c r="U2663" s="20" t="s">
        <v>748</v>
      </c>
      <c r="V2663" s="22">
        <v>40</v>
      </c>
      <c r="W2663" s="22">
        <v>1</v>
      </c>
      <c r="X2663" s="23"/>
    </row>
    <row r="2664" spans="1:24" s="1" customFormat="1" ht="26" customHeight="1" x14ac:dyDescent="0.3">
      <c r="A2664" s="24" t="s">
        <v>23</v>
      </c>
      <c r="B2664" s="24" t="s">
        <v>2389</v>
      </c>
      <c r="C2664" s="12" t="s">
        <v>2392</v>
      </c>
      <c r="D2664" s="60"/>
      <c r="E2664" s="41" t="str">
        <f>HYPERLINK("https://www.google.ru/search?q=6006723-299&amp;newwindow=1&amp;tbm=isch","Еще фото")</f>
        <v>Еще фото</v>
      </c>
      <c r="F2664" s="13" t="s">
        <v>152</v>
      </c>
      <c r="G2664" s="24" t="s">
        <v>1184</v>
      </c>
      <c r="H2664" s="24" t="s">
        <v>741</v>
      </c>
      <c r="I2664" s="24" t="s">
        <v>1185</v>
      </c>
      <c r="J2664" s="14" t="s">
        <v>29</v>
      </c>
      <c r="K2664" s="15" t="s">
        <v>30</v>
      </c>
      <c r="L2664" s="62"/>
      <c r="M2664" s="14"/>
      <c r="N2664" s="14" t="s">
        <v>229</v>
      </c>
      <c r="O2664" s="14"/>
      <c r="P2664" s="15" t="s">
        <v>1457</v>
      </c>
      <c r="Q2664" s="16">
        <v>8599</v>
      </c>
      <c r="R2664" s="17">
        <v>40</v>
      </c>
      <c r="S2664" s="18">
        <v>5933.3099999999995</v>
      </c>
      <c r="T2664" s="19" t="s">
        <v>36</v>
      </c>
      <c r="U2664" s="20" t="s">
        <v>753</v>
      </c>
      <c r="V2664" s="34">
        <v>43.5</v>
      </c>
      <c r="W2664" s="22">
        <v>1</v>
      </c>
      <c r="X2664" s="23"/>
    </row>
    <row r="2665" spans="1:24" s="1" customFormat="1" ht="26" customHeight="1" x14ac:dyDescent="0.3">
      <c r="A2665" s="24" t="s">
        <v>23</v>
      </c>
      <c r="B2665" s="24" t="s">
        <v>2389</v>
      </c>
      <c r="C2665" s="12" t="s">
        <v>2392</v>
      </c>
      <c r="D2665" s="61"/>
      <c r="E2665" s="41" t="str">
        <f>HYPERLINK("https://www.google.ru/search?q=6006723-299&amp;newwindow=1&amp;tbm=isch","Еще фото")</f>
        <v>Еще фото</v>
      </c>
      <c r="F2665" s="13" t="s">
        <v>152</v>
      </c>
      <c r="G2665" s="24" t="s">
        <v>1184</v>
      </c>
      <c r="H2665" s="24" t="s">
        <v>741</v>
      </c>
      <c r="I2665" s="24" t="s">
        <v>1185</v>
      </c>
      <c r="J2665" s="14" t="s">
        <v>29</v>
      </c>
      <c r="K2665" s="15" t="s">
        <v>30</v>
      </c>
      <c r="L2665" s="58"/>
      <c r="M2665" s="14"/>
      <c r="N2665" s="14" t="s">
        <v>229</v>
      </c>
      <c r="O2665" s="14"/>
      <c r="P2665" s="15" t="s">
        <v>1457</v>
      </c>
      <c r="Q2665" s="16">
        <v>8599</v>
      </c>
      <c r="R2665" s="17">
        <v>40</v>
      </c>
      <c r="S2665" s="18">
        <v>5933.3099999999995</v>
      </c>
      <c r="T2665" s="19" t="s">
        <v>36</v>
      </c>
      <c r="U2665" s="20" t="s">
        <v>755</v>
      </c>
      <c r="V2665" s="34">
        <v>44.5</v>
      </c>
      <c r="W2665" s="22">
        <v>1</v>
      </c>
      <c r="X2665" s="23"/>
    </row>
    <row r="2666" spans="1:24" s="1" customFormat="1" ht="21" customHeight="1" x14ac:dyDescent="0.3">
      <c r="A2666" s="11" t="s">
        <v>23</v>
      </c>
      <c r="B2666" s="11" t="s">
        <v>2389</v>
      </c>
      <c r="C2666" s="26" t="s">
        <v>2394</v>
      </c>
      <c r="D2666" s="59"/>
      <c r="E2666" s="41" t="str">
        <f>HYPERLINK("https://www.google.ru/search?q=6006723-410&amp;newwindow=1&amp;tbm=isch","Еще фото")</f>
        <v>Еще фото</v>
      </c>
      <c r="F2666" s="13" t="s">
        <v>103</v>
      </c>
      <c r="G2666" s="11" t="s">
        <v>1184</v>
      </c>
      <c r="H2666" s="11" t="s">
        <v>741</v>
      </c>
      <c r="I2666" s="14" t="s">
        <v>1185</v>
      </c>
      <c r="J2666" s="14" t="s">
        <v>29</v>
      </c>
      <c r="K2666" s="15" t="s">
        <v>30</v>
      </c>
      <c r="L2666" s="57" t="s">
        <v>2391</v>
      </c>
      <c r="M2666" s="14"/>
      <c r="N2666" s="14" t="s">
        <v>115</v>
      </c>
      <c r="O2666" s="14"/>
      <c r="P2666" s="15" t="s">
        <v>1457</v>
      </c>
      <c r="Q2666" s="16">
        <v>8599</v>
      </c>
      <c r="R2666" s="17">
        <v>40</v>
      </c>
      <c r="S2666" s="18">
        <v>5933.3099999999995</v>
      </c>
      <c r="T2666" s="19" t="s">
        <v>36</v>
      </c>
      <c r="U2666" s="20" t="s">
        <v>746</v>
      </c>
      <c r="V2666" s="22">
        <v>39</v>
      </c>
      <c r="W2666" s="22">
        <v>1</v>
      </c>
      <c r="X2666" s="23"/>
    </row>
    <row r="2667" spans="1:24" s="1" customFormat="1" ht="21" customHeight="1" x14ac:dyDescent="0.3">
      <c r="A2667" s="24" t="s">
        <v>23</v>
      </c>
      <c r="B2667" s="24" t="s">
        <v>2389</v>
      </c>
      <c r="C2667" s="27" t="s">
        <v>2394</v>
      </c>
      <c r="D2667" s="60"/>
      <c r="E2667" s="41" t="str">
        <f>HYPERLINK("https://www.google.ru/search?q=6006723-410&amp;newwindow=1&amp;tbm=isch","Еще фото")</f>
        <v>Еще фото</v>
      </c>
      <c r="F2667" s="13" t="s">
        <v>103</v>
      </c>
      <c r="G2667" s="24" t="s">
        <v>1184</v>
      </c>
      <c r="H2667" s="24" t="s">
        <v>741</v>
      </c>
      <c r="I2667" s="24" t="s">
        <v>1185</v>
      </c>
      <c r="J2667" s="14" t="s">
        <v>29</v>
      </c>
      <c r="K2667" s="15" t="s">
        <v>30</v>
      </c>
      <c r="L2667" s="62"/>
      <c r="M2667" s="14"/>
      <c r="N2667" s="14" t="s">
        <v>115</v>
      </c>
      <c r="O2667" s="14"/>
      <c r="P2667" s="15" t="s">
        <v>1457</v>
      </c>
      <c r="Q2667" s="16">
        <v>8599</v>
      </c>
      <c r="R2667" s="17">
        <v>40</v>
      </c>
      <c r="S2667" s="18">
        <v>5933.3099999999995</v>
      </c>
      <c r="T2667" s="19" t="s">
        <v>36</v>
      </c>
      <c r="U2667" s="20" t="s">
        <v>747</v>
      </c>
      <c r="V2667" s="34">
        <v>39.5</v>
      </c>
      <c r="W2667" s="22">
        <v>1</v>
      </c>
      <c r="X2667" s="23"/>
    </row>
    <row r="2668" spans="1:24" s="1" customFormat="1" ht="21" customHeight="1" x14ac:dyDescent="0.3">
      <c r="A2668" s="24" t="s">
        <v>23</v>
      </c>
      <c r="B2668" s="24" t="s">
        <v>2389</v>
      </c>
      <c r="C2668" s="27" t="s">
        <v>2394</v>
      </c>
      <c r="D2668" s="60"/>
      <c r="E2668" s="41" t="str">
        <f>HYPERLINK("https://www.google.ru/search?q=6006723-410&amp;newwindow=1&amp;tbm=isch","Еще фото")</f>
        <v>Еще фото</v>
      </c>
      <c r="F2668" s="13" t="s">
        <v>103</v>
      </c>
      <c r="G2668" s="24" t="s">
        <v>1184</v>
      </c>
      <c r="H2668" s="24" t="s">
        <v>741</v>
      </c>
      <c r="I2668" s="24" t="s">
        <v>1185</v>
      </c>
      <c r="J2668" s="14" t="s">
        <v>29</v>
      </c>
      <c r="K2668" s="15" t="s">
        <v>30</v>
      </c>
      <c r="L2668" s="62"/>
      <c r="M2668" s="14"/>
      <c r="N2668" s="14" t="s">
        <v>115</v>
      </c>
      <c r="O2668" s="14"/>
      <c r="P2668" s="15" t="s">
        <v>1457</v>
      </c>
      <c r="Q2668" s="16">
        <v>8599</v>
      </c>
      <c r="R2668" s="17">
        <v>40</v>
      </c>
      <c r="S2668" s="18">
        <v>5933.3099999999995</v>
      </c>
      <c r="T2668" s="19" t="s">
        <v>36</v>
      </c>
      <c r="U2668" s="20" t="s">
        <v>748</v>
      </c>
      <c r="V2668" s="22">
        <v>40</v>
      </c>
      <c r="W2668" s="22">
        <v>1</v>
      </c>
      <c r="X2668" s="23"/>
    </row>
    <row r="2669" spans="1:24" s="1" customFormat="1" ht="21" customHeight="1" x14ac:dyDescent="0.3">
      <c r="A2669" s="24" t="s">
        <v>23</v>
      </c>
      <c r="B2669" s="24" t="s">
        <v>2389</v>
      </c>
      <c r="C2669" s="27" t="s">
        <v>2394</v>
      </c>
      <c r="D2669" s="60"/>
      <c r="E2669" s="41" t="str">
        <f>HYPERLINK("https://www.google.ru/search?q=6006723-410&amp;newwindow=1&amp;tbm=isch","Еще фото")</f>
        <v>Еще фото</v>
      </c>
      <c r="F2669" s="13" t="s">
        <v>103</v>
      </c>
      <c r="G2669" s="24" t="s">
        <v>1184</v>
      </c>
      <c r="H2669" s="24" t="s">
        <v>741</v>
      </c>
      <c r="I2669" s="24" t="s">
        <v>1185</v>
      </c>
      <c r="J2669" s="14" t="s">
        <v>29</v>
      </c>
      <c r="K2669" s="15" t="s">
        <v>30</v>
      </c>
      <c r="L2669" s="62"/>
      <c r="M2669" s="14"/>
      <c r="N2669" s="14" t="s">
        <v>115</v>
      </c>
      <c r="O2669" s="14"/>
      <c r="P2669" s="15" t="s">
        <v>1457</v>
      </c>
      <c r="Q2669" s="16">
        <v>8599</v>
      </c>
      <c r="R2669" s="17">
        <v>40</v>
      </c>
      <c r="S2669" s="18">
        <v>5933.3099999999995</v>
      </c>
      <c r="T2669" s="19" t="s">
        <v>36</v>
      </c>
      <c r="U2669" s="20" t="s">
        <v>752</v>
      </c>
      <c r="V2669" s="22">
        <v>43</v>
      </c>
      <c r="W2669" s="22">
        <v>1</v>
      </c>
      <c r="X2669" s="23"/>
    </row>
    <row r="2670" spans="1:24" s="1" customFormat="1" ht="32" customHeight="1" x14ac:dyDescent="0.3">
      <c r="A2670" s="24" t="s">
        <v>23</v>
      </c>
      <c r="B2670" s="24" t="s">
        <v>2389</v>
      </c>
      <c r="C2670" s="27" t="s">
        <v>2394</v>
      </c>
      <c r="D2670" s="61"/>
      <c r="E2670" s="41" t="str">
        <f>HYPERLINK("https://www.google.ru/search?q=6006723-410&amp;newwindow=1&amp;tbm=isch","Еще фото")</f>
        <v>Еще фото</v>
      </c>
      <c r="F2670" s="13" t="s">
        <v>103</v>
      </c>
      <c r="G2670" s="24" t="s">
        <v>1184</v>
      </c>
      <c r="H2670" s="24" t="s">
        <v>741</v>
      </c>
      <c r="I2670" s="24" t="s">
        <v>1185</v>
      </c>
      <c r="J2670" s="14" t="s">
        <v>29</v>
      </c>
      <c r="K2670" s="15" t="s">
        <v>30</v>
      </c>
      <c r="L2670" s="58"/>
      <c r="M2670" s="14"/>
      <c r="N2670" s="14" t="s">
        <v>115</v>
      </c>
      <c r="O2670" s="14"/>
      <c r="P2670" s="15" t="s">
        <v>1457</v>
      </c>
      <c r="Q2670" s="16">
        <v>8599</v>
      </c>
      <c r="R2670" s="17">
        <v>40</v>
      </c>
      <c r="S2670" s="18">
        <v>5933.3099999999995</v>
      </c>
      <c r="T2670" s="19" t="s">
        <v>36</v>
      </c>
      <c r="U2670" s="20" t="s">
        <v>753</v>
      </c>
      <c r="V2670" s="34">
        <v>43.5</v>
      </c>
      <c r="W2670" s="22">
        <v>1</v>
      </c>
      <c r="X2670" s="23"/>
    </row>
    <row r="2671" spans="1:24" s="1" customFormat="1" ht="35" customHeight="1" x14ac:dyDescent="0.3">
      <c r="A2671" s="11" t="s">
        <v>23</v>
      </c>
      <c r="B2671" s="11" t="s">
        <v>2395</v>
      </c>
      <c r="C2671" s="12" t="s">
        <v>2396</v>
      </c>
      <c r="D2671" s="59"/>
      <c r="E2671" s="41" t="str">
        <f>HYPERLINK("https://www.google.ru/search?q=6007140-103&amp;newwindow=1&amp;tbm=isch","Еще фото")</f>
        <v>Еще фото</v>
      </c>
      <c r="F2671" s="13"/>
      <c r="G2671" s="11" t="s">
        <v>1184</v>
      </c>
      <c r="H2671" s="11" t="s">
        <v>741</v>
      </c>
      <c r="I2671" s="14" t="s">
        <v>1185</v>
      </c>
      <c r="J2671" s="14" t="s">
        <v>29</v>
      </c>
      <c r="K2671" s="15" t="s">
        <v>30</v>
      </c>
      <c r="L2671" s="57" t="s">
        <v>2397</v>
      </c>
      <c r="M2671" s="14"/>
      <c r="N2671" s="14" t="s">
        <v>861</v>
      </c>
      <c r="O2671" s="14"/>
      <c r="P2671" s="15" t="s">
        <v>2011</v>
      </c>
      <c r="Q2671" s="16">
        <v>11199</v>
      </c>
      <c r="R2671" s="17">
        <v>40</v>
      </c>
      <c r="S2671" s="18">
        <v>7727.3099999999986</v>
      </c>
      <c r="T2671" s="19" t="s">
        <v>36</v>
      </c>
      <c r="U2671" s="20" t="s">
        <v>752</v>
      </c>
      <c r="V2671" s="22">
        <v>43</v>
      </c>
      <c r="W2671" s="22">
        <v>1</v>
      </c>
      <c r="X2671" s="23"/>
    </row>
    <row r="2672" spans="1:24" s="1" customFormat="1" ht="35" customHeight="1" x14ac:dyDescent="0.3">
      <c r="A2672" s="24" t="s">
        <v>23</v>
      </c>
      <c r="B2672" s="24" t="s">
        <v>2395</v>
      </c>
      <c r="C2672" s="12" t="s">
        <v>2396</v>
      </c>
      <c r="D2672" s="60"/>
      <c r="E2672" s="41" t="str">
        <f>HYPERLINK("https://www.google.ru/search?q=6007140-103&amp;newwindow=1&amp;tbm=isch","Еще фото")</f>
        <v>Еще фото</v>
      </c>
      <c r="F2672" s="13"/>
      <c r="G2672" s="24" t="s">
        <v>1184</v>
      </c>
      <c r="H2672" s="24" t="s">
        <v>741</v>
      </c>
      <c r="I2672" s="24" t="s">
        <v>1185</v>
      </c>
      <c r="J2672" s="14" t="s">
        <v>29</v>
      </c>
      <c r="K2672" s="15" t="s">
        <v>30</v>
      </c>
      <c r="L2672" s="62"/>
      <c r="M2672" s="14"/>
      <c r="N2672" s="14" t="s">
        <v>861</v>
      </c>
      <c r="O2672" s="14"/>
      <c r="P2672" s="15" t="s">
        <v>2011</v>
      </c>
      <c r="Q2672" s="16">
        <v>11199</v>
      </c>
      <c r="R2672" s="17">
        <v>40</v>
      </c>
      <c r="S2672" s="18">
        <v>7727.3099999999986</v>
      </c>
      <c r="T2672" s="19" t="s">
        <v>36</v>
      </c>
      <c r="U2672" s="20" t="s">
        <v>753</v>
      </c>
      <c r="V2672" s="34">
        <v>43.5</v>
      </c>
      <c r="W2672" s="22">
        <v>1</v>
      </c>
      <c r="X2672" s="23"/>
    </row>
    <row r="2673" spans="1:24" s="1" customFormat="1" ht="37.049999999999997" customHeight="1" x14ac:dyDescent="0.3">
      <c r="A2673" s="24" t="s">
        <v>23</v>
      </c>
      <c r="B2673" s="24" t="s">
        <v>2395</v>
      </c>
      <c r="C2673" s="12" t="s">
        <v>2396</v>
      </c>
      <c r="D2673" s="61"/>
      <c r="E2673" s="41" t="str">
        <f>HYPERLINK("https://www.google.ru/search?q=6007140-103&amp;newwindow=1&amp;tbm=isch","Еще фото")</f>
        <v>Еще фото</v>
      </c>
      <c r="F2673" s="13"/>
      <c r="G2673" s="24" t="s">
        <v>1184</v>
      </c>
      <c r="H2673" s="24" t="s">
        <v>741</v>
      </c>
      <c r="I2673" s="24" t="s">
        <v>1185</v>
      </c>
      <c r="J2673" s="14" t="s">
        <v>29</v>
      </c>
      <c r="K2673" s="15" t="s">
        <v>30</v>
      </c>
      <c r="L2673" s="58"/>
      <c r="M2673" s="14"/>
      <c r="N2673" s="14" t="s">
        <v>861</v>
      </c>
      <c r="O2673" s="14"/>
      <c r="P2673" s="15" t="s">
        <v>2011</v>
      </c>
      <c r="Q2673" s="16">
        <v>11199</v>
      </c>
      <c r="R2673" s="17">
        <v>40</v>
      </c>
      <c r="S2673" s="18">
        <v>7727.3099999999986</v>
      </c>
      <c r="T2673" s="19" t="s">
        <v>36</v>
      </c>
      <c r="U2673" s="20" t="s">
        <v>1337</v>
      </c>
      <c r="V2673" s="22">
        <v>45</v>
      </c>
      <c r="W2673" s="22">
        <v>1</v>
      </c>
      <c r="X2673" s="23"/>
    </row>
    <row r="2674" spans="1:24" s="1" customFormat="1" ht="11" customHeight="1" x14ac:dyDescent="0.3">
      <c r="A2674" s="11" t="s">
        <v>23</v>
      </c>
      <c r="B2674" s="11" t="s">
        <v>1904</v>
      </c>
      <c r="C2674" s="12" t="s">
        <v>2398</v>
      </c>
      <c r="D2674" s="59"/>
      <c r="E2674" s="41" t="str">
        <f t="shared" ref="E2674:E2684" si="121">HYPERLINK("https://www.google.ru/search?q=6009107-002&amp;newwindow=1&amp;tbm=isch","Еще фото")</f>
        <v>Еще фото</v>
      </c>
      <c r="F2674" s="13" t="s">
        <v>103</v>
      </c>
      <c r="G2674" s="11" t="s">
        <v>1184</v>
      </c>
      <c r="H2674" s="11" t="s">
        <v>741</v>
      </c>
      <c r="I2674" s="14" t="s">
        <v>1185</v>
      </c>
      <c r="J2674" s="14" t="s">
        <v>29</v>
      </c>
      <c r="K2674" s="15" t="s">
        <v>30</v>
      </c>
      <c r="L2674" s="57" t="s">
        <v>1906</v>
      </c>
      <c r="M2674" s="14"/>
      <c r="N2674" s="14" t="s">
        <v>33</v>
      </c>
      <c r="O2674" s="14"/>
      <c r="P2674" s="15" t="s">
        <v>745</v>
      </c>
      <c r="Q2674" s="16">
        <v>14499</v>
      </c>
      <c r="R2674" s="17">
        <v>40</v>
      </c>
      <c r="S2674" s="18">
        <v>10004.31</v>
      </c>
      <c r="T2674" s="19" t="s">
        <v>36</v>
      </c>
      <c r="U2674" s="20" t="s">
        <v>747</v>
      </c>
      <c r="V2674" s="34">
        <v>39.5</v>
      </c>
      <c r="W2674" s="22">
        <v>6</v>
      </c>
      <c r="X2674" s="23"/>
    </row>
    <row r="2675" spans="1:24" s="1" customFormat="1" ht="11" customHeight="1" x14ac:dyDescent="0.3">
      <c r="A2675" s="24" t="s">
        <v>23</v>
      </c>
      <c r="B2675" s="24" t="s">
        <v>1904</v>
      </c>
      <c r="C2675" s="12" t="s">
        <v>2398</v>
      </c>
      <c r="D2675" s="60"/>
      <c r="E2675" s="41" t="str">
        <f t="shared" si="121"/>
        <v>Еще фото</v>
      </c>
      <c r="F2675" s="13" t="s">
        <v>103</v>
      </c>
      <c r="G2675" s="24" t="s">
        <v>1184</v>
      </c>
      <c r="H2675" s="24" t="s">
        <v>741</v>
      </c>
      <c r="I2675" s="24" t="s">
        <v>1185</v>
      </c>
      <c r="J2675" s="14" t="s">
        <v>29</v>
      </c>
      <c r="K2675" s="15" t="s">
        <v>30</v>
      </c>
      <c r="L2675" s="62"/>
      <c r="M2675" s="14"/>
      <c r="N2675" s="14" t="s">
        <v>33</v>
      </c>
      <c r="O2675" s="14"/>
      <c r="P2675" s="15" t="s">
        <v>745</v>
      </c>
      <c r="Q2675" s="16">
        <v>14499</v>
      </c>
      <c r="R2675" s="17">
        <v>40</v>
      </c>
      <c r="S2675" s="18">
        <v>10004.31</v>
      </c>
      <c r="T2675" s="19" t="s">
        <v>36</v>
      </c>
      <c r="U2675" s="20" t="s">
        <v>748</v>
      </c>
      <c r="V2675" s="22">
        <v>40</v>
      </c>
      <c r="W2675" s="22">
        <v>8</v>
      </c>
      <c r="X2675" s="23"/>
    </row>
    <row r="2676" spans="1:24" s="1" customFormat="1" ht="11" customHeight="1" x14ac:dyDescent="0.3">
      <c r="A2676" s="24" t="s">
        <v>23</v>
      </c>
      <c r="B2676" s="24" t="s">
        <v>1904</v>
      </c>
      <c r="C2676" s="12" t="s">
        <v>2398</v>
      </c>
      <c r="D2676" s="60"/>
      <c r="E2676" s="41" t="str">
        <f t="shared" si="121"/>
        <v>Еще фото</v>
      </c>
      <c r="F2676" s="13" t="s">
        <v>103</v>
      </c>
      <c r="G2676" s="24" t="s">
        <v>1184</v>
      </c>
      <c r="H2676" s="24" t="s">
        <v>741</v>
      </c>
      <c r="I2676" s="24" t="s">
        <v>1185</v>
      </c>
      <c r="J2676" s="14" t="s">
        <v>29</v>
      </c>
      <c r="K2676" s="15" t="s">
        <v>30</v>
      </c>
      <c r="L2676" s="62"/>
      <c r="M2676" s="14"/>
      <c r="N2676" s="14" t="s">
        <v>33</v>
      </c>
      <c r="O2676" s="14"/>
      <c r="P2676" s="15" t="s">
        <v>745</v>
      </c>
      <c r="Q2676" s="16">
        <v>14499</v>
      </c>
      <c r="R2676" s="17">
        <v>40</v>
      </c>
      <c r="S2676" s="18">
        <v>10004.31</v>
      </c>
      <c r="T2676" s="19" t="s">
        <v>36</v>
      </c>
      <c r="U2676" s="20" t="s">
        <v>749</v>
      </c>
      <c r="V2676" s="22">
        <v>41</v>
      </c>
      <c r="W2676" s="22">
        <v>8</v>
      </c>
      <c r="X2676" s="23"/>
    </row>
    <row r="2677" spans="1:24" s="1" customFormat="1" ht="11" customHeight="1" x14ac:dyDescent="0.3">
      <c r="A2677" s="24" t="s">
        <v>23</v>
      </c>
      <c r="B2677" s="24" t="s">
        <v>1904</v>
      </c>
      <c r="C2677" s="12" t="s">
        <v>2398</v>
      </c>
      <c r="D2677" s="60"/>
      <c r="E2677" s="41" t="str">
        <f t="shared" si="121"/>
        <v>Еще фото</v>
      </c>
      <c r="F2677" s="13" t="s">
        <v>103</v>
      </c>
      <c r="G2677" s="24" t="s">
        <v>1184</v>
      </c>
      <c r="H2677" s="24" t="s">
        <v>741</v>
      </c>
      <c r="I2677" s="24" t="s">
        <v>1185</v>
      </c>
      <c r="J2677" s="14" t="s">
        <v>29</v>
      </c>
      <c r="K2677" s="15" t="s">
        <v>30</v>
      </c>
      <c r="L2677" s="62"/>
      <c r="M2677" s="14"/>
      <c r="N2677" s="14" t="s">
        <v>33</v>
      </c>
      <c r="O2677" s="14"/>
      <c r="P2677" s="15" t="s">
        <v>745</v>
      </c>
      <c r="Q2677" s="16">
        <v>14499</v>
      </c>
      <c r="R2677" s="17">
        <v>40</v>
      </c>
      <c r="S2677" s="18">
        <v>10004.31</v>
      </c>
      <c r="T2677" s="19" t="s">
        <v>36</v>
      </c>
      <c r="U2677" s="20" t="s">
        <v>750</v>
      </c>
      <c r="V2677" s="34">
        <v>41.5</v>
      </c>
      <c r="W2677" s="22">
        <v>13</v>
      </c>
      <c r="X2677" s="23"/>
    </row>
    <row r="2678" spans="1:24" s="1" customFormat="1" ht="11" customHeight="1" x14ac:dyDescent="0.3">
      <c r="A2678" s="24" t="s">
        <v>23</v>
      </c>
      <c r="B2678" s="24" t="s">
        <v>1904</v>
      </c>
      <c r="C2678" s="12" t="s">
        <v>2398</v>
      </c>
      <c r="D2678" s="60"/>
      <c r="E2678" s="41" t="str">
        <f t="shared" si="121"/>
        <v>Еще фото</v>
      </c>
      <c r="F2678" s="13" t="s">
        <v>103</v>
      </c>
      <c r="G2678" s="24" t="s">
        <v>1184</v>
      </c>
      <c r="H2678" s="24" t="s">
        <v>741</v>
      </c>
      <c r="I2678" s="24" t="s">
        <v>1185</v>
      </c>
      <c r="J2678" s="14" t="s">
        <v>29</v>
      </c>
      <c r="K2678" s="15" t="s">
        <v>30</v>
      </c>
      <c r="L2678" s="62"/>
      <c r="M2678" s="14"/>
      <c r="N2678" s="14" t="s">
        <v>33</v>
      </c>
      <c r="O2678" s="14"/>
      <c r="P2678" s="15" t="s">
        <v>745</v>
      </c>
      <c r="Q2678" s="16">
        <v>14499</v>
      </c>
      <c r="R2678" s="17">
        <v>40</v>
      </c>
      <c r="S2678" s="18">
        <v>10004.31</v>
      </c>
      <c r="T2678" s="19" t="s">
        <v>36</v>
      </c>
      <c r="U2678" s="20" t="s">
        <v>751</v>
      </c>
      <c r="V2678" s="22">
        <v>42</v>
      </c>
      <c r="W2678" s="22">
        <v>13</v>
      </c>
      <c r="X2678" s="23"/>
    </row>
    <row r="2679" spans="1:24" s="1" customFormat="1" ht="11" customHeight="1" x14ac:dyDescent="0.3">
      <c r="A2679" s="24" t="s">
        <v>23</v>
      </c>
      <c r="B2679" s="24" t="s">
        <v>1904</v>
      </c>
      <c r="C2679" s="12" t="s">
        <v>2398</v>
      </c>
      <c r="D2679" s="60"/>
      <c r="E2679" s="41" t="str">
        <f t="shared" si="121"/>
        <v>Еще фото</v>
      </c>
      <c r="F2679" s="13" t="s">
        <v>103</v>
      </c>
      <c r="G2679" s="24" t="s">
        <v>1184</v>
      </c>
      <c r="H2679" s="24" t="s">
        <v>741</v>
      </c>
      <c r="I2679" s="24" t="s">
        <v>1185</v>
      </c>
      <c r="J2679" s="14" t="s">
        <v>29</v>
      </c>
      <c r="K2679" s="15" t="s">
        <v>30</v>
      </c>
      <c r="L2679" s="62"/>
      <c r="M2679" s="14"/>
      <c r="N2679" s="14" t="s">
        <v>33</v>
      </c>
      <c r="O2679" s="14"/>
      <c r="P2679" s="15" t="s">
        <v>745</v>
      </c>
      <c r="Q2679" s="16">
        <v>14499</v>
      </c>
      <c r="R2679" s="17">
        <v>40</v>
      </c>
      <c r="S2679" s="18">
        <v>10004.31</v>
      </c>
      <c r="T2679" s="19" t="s">
        <v>36</v>
      </c>
      <c r="U2679" s="20" t="s">
        <v>752</v>
      </c>
      <c r="V2679" s="22">
        <v>43</v>
      </c>
      <c r="W2679" s="22">
        <v>11</v>
      </c>
      <c r="X2679" s="23"/>
    </row>
    <row r="2680" spans="1:24" s="1" customFormat="1" ht="11" customHeight="1" x14ac:dyDescent="0.3">
      <c r="A2680" s="24" t="s">
        <v>23</v>
      </c>
      <c r="B2680" s="24" t="s">
        <v>1904</v>
      </c>
      <c r="C2680" s="12" t="s">
        <v>2398</v>
      </c>
      <c r="D2680" s="60"/>
      <c r="E2680" s="41" t="str">
        <f t="shared" si="121"/>
        <v>Еще фото</v>
      </c>
      <c r="F2680" s="13" t="s">
        <v>103</v>
      </c>
      <c r="G2680" s="24" t="s">
        <v>1184</v>
      </c>
      <c r="H2680" s="24" t="s">
        <v>741</v>
      </c>
      <c r="I2680" s="24" t="s">
        <v>1185</v>
      </c>
      <c r="J2680" s="14" t="s">
        <v>29</v>
      </c>
      <c r="K2680" s="15" t="s">
        <v>30</v>
      </c>
      <c r="L2680" s="62"/>
      <c r="M2680" s="14"/>
      <c r="N2680" s="14" t="s">
        <v>33</v>
      </c>
      <c r="O2680" s="14"/>
      <c r="P2680" s="15" t="s">
        <v>745</v>
      </c>
      <c r="Q2680" s="16">
        <v>14499</v>
      </c>
      <c r="R2680" s="17">
        <v>40</v>
      </c>
      <c r="S2680" s="18">
        <v>10004.31</v>
      </c>
      <c r="T2680" s="19" t="s">
        <v>36</v>
      </c>
      <c r="U2680" s="20" t="s">
        <v>753</v>
      </c>
      <c r="V2680" s="34">
        <v>43.5</v>
      </c>
      <c r="W2680" s="22">
        <v>13</v>
      </c>
      <c r="X2680" s="23"/>
    </row>
    <row r="2681" spans="1:24" s="1" customFormat="1" ht="11" customHeight="1" x14ac:dyDescent="0.3">
      <c r="A2681" s="24" t="s">
        <v>23</v>
      </c>
      <c r="B2681" s="24" t="s">
        <v>1904</v>
      </c>
      <c r="C2681" s="12" t="s">
        <v>2398</v>
      </c>
      <c r="D2681" s="60"/>
      <c r="E2681" s="41" t="str">
        <f t="shared" si="121"/>
        <v>Еще фото</v>
      </c>
      <c r="F2681" s="13" t="s">
        <v>103</v>
      </c>
      <c r="G2681" s="24" t="s">
        <v>1184</v>
      </c>
      <c r="H2681" s="24" t="s">
        <v>741</v>
      </c>
      <c r="I2681" s="24" t="s">
        <v>1185</v>
      </c>
      <c r="J2681" s="14" t="s">
        <v>29</v>
      </c>
      <c r="K2681" s="15" t="s">
        <v>30</v>
      </c>
      <c r="L2681" s="62"/>
      <c r="M2681" s="14"/>
      <c r="N2681" s="14" t="s">
        <v>33</v>
      </c>
      <c r="O2681" s="14"/>
      <c r="P2681" s="15" t="s">
        <v>745</v>
      </c>
      <c r="Q2681" s="16">
        <v>14499</v>
      </c>
      <c r="R2681" s="17">
        <v>40</v>
      </c>
      <c r="S2681" s="18">
        <v>10004.31</v>
      </c>
      <c r="T2681" s="19" t="s">
        <v>36</v>
      </c>
      <c r="U2681" s="20" t="s">
        <v>754</v>
      </c>
      <c r="V2681" s="22">
        <v>44</v>
      </c>
      <c r="W2681" s="22">
        <v>6</v>
      </c>
      <c r="X2681" s="23"/>
    </row>
    <row r="2682" spans="1:24" s="1" customFormat="1" ht="11" customHeight="1" x14ac:dyDescent="0.3">
      <c r="A2682" s="24" t="s">
        <v>23</v>
      </c>
      <c r="B2682" s="24" t="s">
        <v>1904</v>
      </c>
      <c r="C2682" s="12" t="s">
        <v>2398</v>
      </c>
      <c r="D2682" s="60"/>
      <c r="E2682" s="41" t="str">
        <f t="shared" si="121"/>
        <v>Еще фото</v>
      </c>
      <c r="F2682" s="13" t="s">
        <v>103</v>
      </c>
      <c r="G2682" s="24" t="s">
        <v>1184</v>
      </c>
      <c r="H2682" s="24" t="s">
        <v>741</v>
      </c>
      <c r="I2682" s="24" t="s">
        <v>1185</v>
      </c>
      <c r="J2682" s="14" t="s">
        <v>29</v>
      </c>
      <c r="K2682" s="15" t="s">
        <v>30</v>
      </c>
      <c r="L2682" s="62"/>
      <c r="M2682" s="14"/>
      <c r="N2682" s="14" t="s">
        <v>33</v>
      </c>
      <c r="O2682" s="14"/>
      <c r="P2682" s="15" t="s">
        <v>745</v>
      </c>
      <c r="Q2682" s="16">
        <v>14499</v>
      </c>
      <c r="R2682" s="17">
        <v>40</v>
      </c>
      <c r="S2682" s="18">
        <v>10004.31</v>
      </c>
      <c r="T2682" s="19" t="s">
        <v>36</v>
      </c>
      <c r="U2682" s="20" t="s">
        <v>755</v>
      </c>
      <c r="V2682" s="34">
        <v>44.5</v>
      </c>
      <c r="W2682" s="22">
        <v>8</v>
      </c>
      <c r="X2682" s="23"/>
    </row>
    <row r="2683" spans="1:24" s="1" customFormat="1" ht="11" customHeight="1" x14ac:dyDescent="0.3">
      <c r="A2683" s="14" t="s">
        <v>23</v>
      </c>
      <c r="B2683" s="14" t="s">
        <v>1904</v>
      </c>
      <c r="C2683" s="12" t="s">
        <v>2398</v>
      </c>
      <c r="D2683" s="60"/>
      <c r="E2683" s="41" t="str">
        <f t="shared" si="121"/>
        <v>Еще фото</v>
      </c>
      <c r="F2683" s="29" t="s">
        <v>103</v>
      </c>
      <c r="G2683" s="14" t="s">
        <v>1184</v>
      </c>
      <c r="H2683" s="14" t="s">
        <v>741</v>
      </c>
      <c r="I2683" s="14" t="s">
        <v>1185</v>
      </c>
      <c r="J2683" s="14" t="s">
        <v>29</v>
      </c>
      <c r="K2683" s="14" t="s">
        <v>30</v>
      </c>
      <c r="L2683" s="62"/>
      <c r="M2683" s="14"/>
      <c r="N2683" s="14" t="s">
        <v>33</v>
      </c>
      <c r="O2683" s="14"/>
      <c r="P2683" s="14" t="s">
        <v>745</v>
      </c>
      <c r="Q2683" s="30">
        <v>14499</v>
      </c>
      <c r="R2683" s="31">
        <v>40</v>
      </c>
      <c r="S2683" s="32">
        <v>10004.31</v>
      </c>
      <c r="T2683" s="19" t="s">
        <v>36</v>
      </c>
      <c r="U2683" s="20" t="s">
        <v>1337</v>
      </c>
      <c r="V2683" s="22">
        <v>45</v>
      </c>
      <c r="W2683" s="22">
        <v>8</v>
      </c>
      <c r="X2683" s="23"/>
    </row>
    <row r="2684" spans="1:24" s="1" customFormat="1" ht="11" customHeight="1" x14ac:dyDescent="0.3">
      <c r="A2684" s="14" t="s">
        <v>23</v>
      </c>
      <c r="B2684" s="14" t="s">
        <v>1904</v>
      </c>
      <c r="C2684" s="12" t="s">
        <v>2398</v>
      </c>
      <c r="D2684" s="61"/>
      <c r="E2684" s="41" t="str">
        <f t="shared" si="121"/>
        <v>Еще фото</v>
      </c>
      <c r="F2684" s="29" t="s">
        <v>103</v>
      </c>
      <c r="G2684" s="14" t="s">
        <v>1184</v>
      </c>
      <c r="H2684" s="14" t="s">
        <v>741</v>
      </c>
      <c r="I2684" s="14" t="s">
        <v>1185</v>
      </c>
      <c r="J2684" s="14" t="s">
        <v>29</v>
      </c>
      <c r="K2684" s="14" t="s">
        <v>30</v>
      </c>
      <c r="L2684" s="58"/>
      <c r="M2684" s="14"/>
      <c r="N2684" s="14" t="s">
        <v>33</v>
      </c>
      <c r="O2684" s="14"/>
      <c r="P2684" s="14" t="s">
        <v>745</v>
      </c>
      <c r="Q2684" s="30">
        <v>14499</v>
      </c>
      <c r="R2684" s="31">
        <v>40</v>
      </c>
      <c r="S2684" s="32">
        <v>10004.31</v>
      </c>
      <c r="T2684" s="19" t="s">
        <v>36</v>
      </c>
      <c r="U2684" s="20" t="s">
        <v>1907</v>
      </c>
      <c r="V2684" s="22">
        <v>46</v>
      </c>
      <c r="W2684" s="22">
        <v>3</v>
      </c>
      <c r="X2684" s="23"/>
    </row>
    <row r="2685" spans="1:24" s="1" customFormat="1" ht="11" customHeight="1" x14ac:dyDescent="0.3">
      <c r="A2685" s="11" t="s">
        <v>23</v>
      </c>
      <c r="B2685" s="11" t="s">
        <v>1904</v>
      </c>
      <c r="C2685" s="12" t="s">
        <v>2399</v>
      </c>
      <c r="D2685" s="59"/>
      <c r="E2685" s="41" t="str">
        <f t="shared" ref="E2685:E2695" si="122">HYPERLINK("https://www.google.ru/search?q=6009107-100&amp;newwindow=1&amp;tbm=isch","Еще фото")</f>
        <v>Еще фото</v>
      </c>
      <c r="F2685" s="13"/>
      <c r="G2685" s="11" t="s">
        <v>1184</v>
      </c>
      <c r="H2685" s="11" t="s">
        <v>741</v>
      </c>
      <c r="I2685" s="14" t="s">
        <v>1185</v>
      </c>
      <c r="J2685" s="14" t="s">
        <v>29</v>
      </c>
      <c r="K2685" s="15" t="s">
        <v>30</v>
      </c>
      <c r="L2685" s="57" t="s">
        <v>1906</v>
      </c>
      <c r="M2685" s="14"/>
      <c r="N2685" s="14" t="s">
        <v>84</v>
      </c>
      <c r="O2685" s="14"/>
      <c r="P2685" s="15" t="s">
        <v>1893</v>
      </c>
      <c r="Q2685" s="16">
        <v>14499</v>
      </c>
      <c r="R2685" s="17">
        <v>40</v>
      </c>
      <c r="S2685" s="18">
        <v>10004.31</v>
      </c>
      <c r="T2685" s="19" t="s">
        <v>36</v>
      </c>
      <c r="U2685" s="20" t="s">
        <v>747</v>
      </c>
      <c r="V2685" s="34">
        <v>39.5</v>
      </c>
      <c r="W2685" s="22">
        <v>3</v>
      </c>
      <c r="X2685" s="23"/>
    </row>
    <row r="2686" spans="1:24" s="1" customFormat="1" ht="11" customHeight="1" x14ac:dyDescent="0.3">
      <c r="A2686" s="24" t="s">
        <v>23</v>
      </c>
      <c r="B2686" s="24" t="s">
        <v>1904</v>
      </c>
      <c r="C2686" s="12" t="s">
        <v>2399</v>
      </c>
      <c r="D2686" s="60"/>
      <c r="E2686" s="41" t="str">
        <f t="shared" si="122"/>
        <v>Еще фото</v>
      </c>
      <c r="F2686" s="13"/>
      <c r="G2686" s="24" t="s">
        <v>1184</v>
      </c>
      <c r="H2686" s="24" t="s">
        <v>741</v>
      </c>
      <c r="I2686" s="24" t="s">
        <v>1185</v>
      </c>
      <c r="J2686" s="14" t="s">
        <v>29</v>
      </c>
      <c r="K2686" s="15" t="s">
        <v>30</v>
      </c>
      <c r="L2686" s="62"/>
      <c r="M2686" s="14"/>
      <c r="N2686" s="14" t="s">
        <v>84</v>
      </c>
      <c r="O2686" s="14"/>
      <c r="P2686" s="15" t="s">
        <v>1893</v>
      </c>
      <c r="Q2686" s="16">
        <v>14499</v>
      </c>
      <c r="R2686" s="17">
        <v>40</v>
      </c>
      <c r="S2686" s="18">
        <v>10004.31</v>
      </c>
      <c r="T2686" s="19" t="s">
        <v>36</v>
      </c>
      <c r="U2686" s="20" t="s">
        <v>748</v>
      </c>
      <c r="V2686" s="22">
        <v>40</v>
      </c>
      <c r="W2686" s="22">
        <v>4</v>
      </c>
      <c r="X2686" s="23"/>
    </row>
    <row r="2687" spans="1:24" s="1" customFormat="1" ht="11" customHeight="1" x14ac:dyDescent="0.3">
      <c r="A2687" s="24" t="s">
        <v>23</v>
      </c>
      <c r="B2687" s="24" t="s">
        <v>1904</v>
      </c>
      <c r="C2687" s="12" t="s">
        <v>2399</v>
      </c>
      <c r="D2687" s="60"/>
      <c r="E2687" s="41" t="str">
        <f t="shared" si="122"/>
        <v>Еще фото</v>
      </c>
      <c r="F2687" s="13"/>
      <c r="G2687" s="24" t="s">
        <v>1184</v>
      </c>
      <c r="H2687" s="24" t="s">
        <v>741</v>
      </c>
      <c r="I2687" s="24" t="s">
        <v>1185</v>
      </c>
      <c r="J2687" s="14" t="s">
        <v>29</v>
      </c>
      <c r="K2687" s="15" t="s">
        <v>30</v>
      </c>
      <c r="L2687" s="62"/>
      <c r="M2687" s="14"/>
      <c r="N2687" s="14" t="s">
        <v>84</v>
      </c>
      <c r="O2687" s="14"/>
      <c r="P2687" s="15" t="s">
        <v>1893</v>
      </c>
      <c r="Q2687" s="16">
        <v>14499</v>
      </c>
      <c r="R2687" s="17">
        <v>40</v>
      </c>
      <c r="S2687" s="18">
        <v>10004.31</v>
      </c>
      <c r="T2687" s="19" t="s">
        <v>36</v>
      </c>
      <c r="U2687" s="20" t="s">
        <v>749</v>
      </c>
      <c r="V2687" s="22">
        <v>41</v>
      </c>
      <c r="W2687" s="22">
        <v>4</v>
      </c>
      <c r="X2687" s="23"/>
    </row>
    <row r="2688" spans="1:24" s="1" customFormat="1" ht="11" customHeight="1" x14ac:dyDescent="0.3">
      <c r="A2688" s="24" t="s">
        <v>23</v>
      </c>
      <c r="B2688" s="24" t="s">
        <v>1904</v>
      </c>
      <c r="C2688" s="12" t="s">
        <v>2399</v>
      </c>
      <c r="D2688" s="60"/>
      <c r="E2688" s="41" t="str">
        <f t="shared" si="122"/>
        <v>Еще фото</v>
      </c>
      <c r="F2688" s="13"/>
      <c r="G2688" s="24" t="s">
        <v>1184</v>
      </c>
      <c r="H2688" s="24" t="s">
        <v>741</v>
      </c>
      <c r="I2688" s="24" t="s">
        <v>1185</v>
      </c>
      <c r="J2688" s="14" t="s">
        <v>29</v>
      </c>
      <c r="K2688" s="15" t="s">
        <v>30</v>
      </c>
      <c r="L2688" s="62"/>
      <c r="M2688" s="14"/>
      <c r="N2688" s="14" t="s">
        <v>84</v>
      </c>
      <c r="O2688" s="14"/>
      <c r="P2688" s="15" t="s">
        <v>1893</v>
      </c>
      <c r="Q2688" s="16">
        <v>14499</v>
      </c>
      <c r="R2688" s="17">
        <v>40</v>
      </c>
      <c r="S2688" s="18">
        <v>10004.31</v>
      </c>
      <c r="T2688" s="19" t="s">
        <v>36</v>
      </c>
      <c r="U2688" s="20" t="s">
        <v>750</v>
      </c>
      <c r="V2688" s="34">
        <v>41.5</v>
      </c>
      <c r="W2688" s="22">
        <v>7</v>
      </c>
      <c r="X2688" s="23"/>
    </row>
    <row r="2689" spans="1:24" s="1" customFormat="1" ht="11" customHeight="1" x14ac:dyDescent="0.3">
      <c r="A2689" s="24" t="s">
        <v>23</v>
      </c>
      <c r="B2689" s="24" t="s">
        <v>1904</v>
      </c>
      <c r="C2689" s="12" t="s">
        <v>2399</v>
      </c>
      <c r="D2689" s="60"/>
      <c r="E2689" s="41" t="str">
        <f t="shared" si="122"/>
        <v>Еще фото</v>
      </c>
      <c r="F2689" s="13"/>
      <c r="G2689" s="24" t="s">
        <v>1184</v>
      </c>
      <c r="H2689" s="24" t="s">
        <v>741</v>
      </c>
      <c r="I2689" s="24" t="s">
        <v>1185</v>
      </c>
      <c r="J2689" s="14" t="s">
        <v>29</v>
      </c>
      <c r="K2689" s="15" t="s">
        <v>30</v>
      </c>
      <c r="L2689" s="62"/>
      <c r="M2689" s="14"/>
      <c r="N2689" s="14" t="s">
        <v>84</v>
      </c>
      <c r="O2689" s="14"/>
      <c r="P2689" s="15" t="s">
        <v>1893</v>
      </c>
      <c r="Q2689" s="16">
        <v>14499</v>
      </c>
      <c r="R2689" s="17">
        <v>40</v>
      </c>
      <c r="S2689" s="18">
        <v>10004.31</v>
      </c>
      <c r="T2689" s="19" t="s">
        <v>36</v>
      </c>
      <c r="U2689" s="20" t="s">
        <v>751</v>
      </c>
      <c r="V2689" s="22">
        <v>42</v>
      </c>
      <c r="W2689" s="22">
        <v>7</v>
      </c>
      <c r="X2689" s="23"/>
    </row>
    <row r="2690" spans="1:24" s="1" customFormat="1" ht="11" customHeight="1" x14ac:dyDescent="0.3">
      <c r="A2690" s="24" t="s">
        <v>23</v>
      </c>
      <c r="B2690" s="24" t="s">
        <v>1904</v>
      </c>
      <c r="C2690" s="12" t="s">
        <v>2399</v>
      </c>
      <c r="D2690" s="60"/>
      <c r="E2690" s="41" t="str">
        <f t="shared" si="122"/>
        <v>Еще фото</v>
      </c>
      <c r="F2690" s="13"/>
      <c r="G2690" s="24" t="s">
        <v>1184</v>
      </c>
      <c r="H2690" s="24" t="s">
        <v>741</v>
      </c>
      <c r="I2690" s="24" t="s">
        <v>1185</v>
      </c>
      <c r="J2690" s="14" t="s">
        <v>29</v>
      </c>
      <c r="K2690" s="15" t="s">
        <v>30</v>
      </c>
      <c r="L2690" s="62"/>
      <c r="M2690" s="14"/>
      <c r="N2690" s="14" t="s">
        <v>84</v>
      </c>
      <c r="O2690" s="14"/>
      <c r="P2690" s="15" t="s">
        <v>1893</v>
      </c>
      <c r="Q2690" s="16">
        <v>14499</v>
      </c>
      <c r="R2690" s="17">
        <v>40</v>
      </c>
      <c r="S2690" s="18">
        <v>10004.31</v>
      </c>
      <c r="T2690" s="19" t="s">
        <v>36</v>
      </c>
      <c r="U2690" s="20" t="s">
        <v>752</v>
      </c>
      <c r="V2690" s="22">
        <v>43</v>
      </c>
      <c r="W2690" s="22">
        <v>7</v>
      </c>
      <c r="X2690" s="23"/>
    </row>
    <row r="2691" spans="1:24" s="1" customFormat="1" ht="11" customHeight="1" x14ac:dyDescent="0.3">
      <c r="A2691" s="24" t="s">
        <v>23</v>
      </c>
      <c r="B2691" s="24" t="s">
        <v>1904</v>
      </c>
      <c r="C2691" s="12" t="s">
        <v>2399</v>
      </c>
      <c r="D2691" s="60"/>
      <c r="E2691" s="41" t="str">
        <f t="shared" si="122"/>
        <v>Еще фото</v>
      </c>
      <c r="F2691" s="13"/>
      <c r="G2691" s="24" t="s">
        <v>1184</v>
      </c>
      <c r="H2691" s="24" t="s">
        <v>741</v>
      </c>
      <c r="I2691" s="24" t="s">
        <v>1185</v>
      </c>
      <c r="J2691" s="14" t="s">
        <v>29</v>
      </c>
      <c r="K2691" s="15" t="s">
        <v>30</v>
      </c>
      <c r="L2691" s="62"/>
      <c r="M2691" s="14"/>
      <c r="N2691" s="14" t="s">
        <v>84</v>
      </c>
      <c r="O2691" s="14"/>
      <c r="P2691" s="15" t="s">
        <v>1893</v>
      </c>
      <c r="Q2691" s="16">
        <v>14499</v>
      </c>
      <c r="R2691" s="17">
        <v>40</v>
      </c>
      <c r="S2691" s="18">
        <v>10004.31</v>
      </c>
      <c r="T2691" s="19" t="s">
        <v>36</v>
      </c>
      <c r="U2691" s="20" t="s">
        <v>753</v>
      </c>
      <c r="V2691" s="34">
        <v>43.5</v>
      </c>
      <c r="W2691" s="22">
        <v>8</v>
      </c>
      <c r="X2691" s="23"/>
    </row>
    <row r="2692" spans="1:24" s="1" customFormat="1" ht="11" customHeight="1" x14ac:dyDescent="0.3">
      <c r="A2692" s="24" t="s">
        <v>23</v>
      </c>
      <c r="B2692" s="24" t="s">
        <v>1904</v>
      </c>
      <c r="C2692" s="12" t="s">
        <v>2399</v>
      </c>
      <c r="D2692" s="60"/>
      <c r="E2692" s="41" t="str">
        <f t="shared" si="122"/>
        <v>Еще фото</v>
      </c>
      <c r="F2692" s="13"/>
      <c r="G2692" s="24" t="s">
        <v>1184</v>
      </c>
      <c r="H2692" s="24" t="s">
        <v>741</v>
      </c>
      <c r="I2692" s="24" t="s">
        <v>1185</v>
      </c>
      <c r="J2692" s="14" t="s">
        <v>29</v>
      </c>
      <c r="K2692" s="15" t="s">
        <v>30</v>
      </c>
      <c r="L2692" s="62"/>
      <c r="M2692" s="14"/>
      <c r="N2692" s="14" t="s">
        <v>84</v>
      </c>
      <c r="O2692" s="14"/>
      <c r="P2692" s="15" t="s">
        <v>1893</v>
      </c>
      <c r="Q2692" s="16">
        <v>14499</v>
      </c>
      <c r="R2692" s="17">
        <v>40</v>
      </c>
      <c r="S2692" s="18">
        <v>10004.31</v>
      </c>
      <c r="T2692" s="19" t="s">
        <v>36</v>
      </c>
      <c r="U2692" s="20" t="s">
        <v>754</v>
      </c>
      <c r="V2692" s="22">
        <v>44</v>
      </c>
      <c r="W2692" s="22">
        <v>4</v>
      </c>
      <c r="X2692" s="23"/>
    </row>
    <row r="2693" spans="1:24" s="1" customFormat="1" ht="11" customHeight="1" x14ac:dyDescent="0.3">
      <c r="A2693" s="24" t="s">
        <v>23</v>
      </c>
      <c r="B2693" s="24" t="s">
        <v>1904</v>
      </c>
      <c r="C2693" s="12" t="s">
        <v>2399</v>
      </c>
      <c r="D2693" s="60"/>
      <c r="E2693" s="41" t="str">
        <f t="shared" si="122"/>
        <v>Еще фото</v>
      </c>
      <c r="F2693" s="13"/>
      <c r="G2693" s="24" t="s">
        <v>1184</v>
      </c>
      <c r="H2693" s="24" t="s">
        <v>741</v>
      </c>
      <c r="I2693" s="24" t="s">
        <v>1185</v>
      </c>
      <c r="J2693" s="14" t="s">
        <v>29</v>
      </c>
      <c r="K2693" s="15" t="s">
        <v>30</v>
      </c>
      <c r="L2693" s="62"/>
      <c r="M2693" s="14"/>
      <c r="N2693" s="14" t="s">
        <v>84</v>
      </c>
      <c r="O2693" s="14"/>
      <c r="P2693" s="15" t="s">
        <v>1893</v>
      </c>
      <c r="Q2693" s="16">
        <v>14499</v>
      </c>
      <c r="R2693" s="17">
        <v>40</v>
      </c>
      <c r="S2693" s="18">
        <v>10004.31</v>
      </c>
      <c r="T2693" s="19" t="s">
        <v>36</v>
      </c>
      <c r="U2693" s="20" t="s">
        <v>755</v>
      </c>
      <c r="V2693" s="34">
        <v>44.5</v>
      </c>
      <c r="W2693" s="22">
        <v>5</v>
      </c>
      <c r="X2693" s="23"/>
    </row>
    <row r="2694" spans="1:24" s="1" customFormat="1" ht="11" customHeight="1" x14ac:dyDescent="0.3">
      <c r="A2694" s="14" t="s">
        <v>23</v>
      </c>
      <c r="B2694" s="14" t="s">
        <v>1904</v>
      </c>
      <c r="C2694" s="12" t="s">
        <v>2399</v>
      </c>
      <c r="D2694" s="60"/>
      <c r="E2694" s="41" t="str">
        <f t="shared" si="122"/>
        <v>Еще фото</v>
      </c>
      <c r="F2694" s="29"/>
      <c r="G2694" s="14" t="s">
        <v>1184</v>
      </c>
      <c r="H2694" s="14" t="s">
        <v>741</v>
      </c>
      <c r="I2694" s="14" t="s">
        <v>1185</v>
      </c>
      <c r="J2694" s="14" t="s">
        <v>29</v>
      </c>
      <c r="K2694" s="14" t="s">
        <v>30</v>
      </c>
      <c r="L2694" s="62"/>
      <c r="M2694" s="14"/>
      <c r="N2694" s="14" t="s">
        <v>84</v>
      </c>
      <c r="O2694" s="14"/>
      <c r="P2694" s="14" t="s">
        <v>1893</v>
      </c>
      <c r="Q2694" s="30">
        <v>14499</v>
      </c>
      <c r="R2694" s="31">
        <v>40</v>
      </c>
      <c r="S2694" s="32">
        <v>10004.31</v>
      </c>
      <c r="T2694" s="19" t="s">
        <v>36</v>
      </c>
      <c r="U2694" s="20" t="s">
        <v>1337</v>
      </c>
      <c r="V2694" s="22">
        <v>45</v>
      </c>
      <c r="W2694" s="22">
        <v>7</v>
      </c>
      <c r="X2694" s="23"/>
    </row>
    <row r="2695" spans="1:24" s="1" customFormat="1" ht="11" customHeight="1" x14ac:dyDescent="0.3">
      <c r="A2695" s="14" t="s">
        <v>23</v>
      </c>
      <c r="B2695" s="14" t="s">
        <v>1904</v>
      </c>
      <c r="C2695" s="12" t="s">
        <v>2399</v>
      </c>
      <c r="D2695" s="61"/>
      <c r="E2695" s="41" t="str">
        <f t="shared" si="122"/>
        <v>Еще фото</v>
      </c>
      <c r="F2695" s="29"/>
      <c r="G2695" s="14" t="s">
        <v>1184</v>
      </c>
      <c r="H2695" s="14" t="s">
        <v>741</v>
      </c>
      <c r="I2695" s="14" t="s">
        <v>1185</v>
      </c>
      <c r="J2695" s="14" t="s">
        <v>29</v>
      </c>
      <c r="K2695" s="14" t="s">
        <v>30</v>
      </c>
      <c r="L2695" s="58"/>
      <c r="M2695" s="14"/>
      <c r="N2695" s="14" t="s">
        <v>84</v>
      </c>
      <c r="O2695" s="14"/>
      <c r="P2695" s="14" t="s">
        <v>1893</v>
      </c>
      <c r="Q2695" s="30">
        <v>14499</v>
      </c>
      <c r="R2695" s="31">
        <v>40</v>
      </c>
      <c r="S2695" s="32">
        <v>10004.31</v>
      </c>
      <c r="T2695" s="19" t="s">
        <v>36</v>
      </c>
      <c r="U2695" s="20" t="s">
        <v>1908</v>
      </c>
      <c r="V2695" s="34">
        <v>46.5</v>
      </c>
      <c r="W2695" s="22">
        <v>3</v>
      </c>
      <c r="X2695" s="23"/>
    </row>
    <row r="2696" spans="1:24" s="1" customFormat="1" ht="13.05" customHeight="1" x14ac:dyDescent="0.3">
      <c r="A2696" s="11" t="s">
        <v>23</v>
      </c>
      <c r="B2696" s="11" t="s">
        <v>2400</v>
      </c>
      <c r="C2696" s="12" t="s">
        <v>2401</v>
      </c>
      <c r="D2696" s="59"/>
      <c r="E2696" s="41" t="str">
        <f t="shared" ref="E2696:E2703" si="123">HYPERLINK("https://www.google.ru/search?q=6009108-100&amp;newwindow=1&amp;tbm=isch","Еще фото")</f>
        <v>Еще фото</v>
      </c>
      <c r="F2696" s="13"/>
      <c r="G2696" s="11" t="s">
        <v>1184</v>
      </c>
      <c r="H2696" s="11" t="s">
        <v>741</v>
      </c>
      <c r="I2696" s="14" t="s">
        <v>1185</v>
      </c>
      <c r="J2696" s="14" t="s">
        <v>29</v>
      </c>
      <c r="K2696" s="15" t="s">
        <v>59</v>
      </c>
      <c r="L2696" s="57" t="s">
        <v>1906</v>
      </c>
      <c r="M2696" s="14"/>
      <c r="N2696" s="14" t="s">
        <v>84</v>
      </c>
      <c r="O2696" s="14"/>
      <c r="P2696" s="15" t="s">
        <v>1893</v>
      </c>
      <c r="Q2696" s="16">
        <v>14499</v>
      </c>
      <c r="R2696" s="17">
        <v>40</v>
      </c>
      <c r="S2696" s="18">
        <v>10004.31</v>
      </c>
      <c r="T2696" s="19" t="s">
        <v>36</v>
      </c>
      <c r="U2696" s="33" t="s">
        <v>1203</v>
      </c>
      <c r="V2696" s="22">
        <v>36</v>
      </c>
      <c r="W2696" s="22">
        <v>11</v>
      </c>
      <c r="X2696" s="23"/>
    </row>
    <row r="2697" spans="1:24" s="1" customFormat="1" ht="13.05" customHeight="1" x14ac:dyDescent="0.3">
      <c r="A2697" s="24" t="s">
        <v>23</v>
      </c>
      <c r="B2697" s="24" t="s">
        <v>2400</v>
      </c>
      <c r="C2697" s="12" t="s">
        <v>2401</v>
      </c>
      <c r="D2697" s="60"/>
      <c r="E2697" s="41" t="str">
        <f t="shared" si="123"/>
        <v>Еще фото</v>
      </c>
      <c r="F2697" s="13"/>
      <c r="G2697" s="24" t="s">
        <v>1184</v>
      </c>
      <c r="H2697" s="24" t="s">
        <v>741</v>
      </c>
      <c r="I2697" s="24" t="s">
        <v>1185</v>
      </c>
      <c r="J2697" s="14" t="s">
        <v>29</v>
      </c>
      <c r="K2697" s="15" t="s">
        <v>59</v>
      </c>
      <c r="L2697" s="62"/>
      <c r="M2697" s="14"/>
      <c r="N2697" s="14" t="s">
        <v>84</v>
      </c>
      <c r="O2697" s="14"/>
      <c r="P2697" s="15" t="s">
        <v>1893</v>
      </c>
      <c r="Q2697" s="16">
        <v>14499</v>
      </c>
      <c r="R2697" s="17">
        <v>40</v>
      </c>
      <c r="S2697" s="18">
        <v>10004.31</v>
      </c>
      <c r="T2697" s="19" t="s">
        <v>36</v>
      </c>
      <c r="U2697" s="20" t="s">
        <v>1196</v>
      </c>
      <c r="V2697" s="34">
        <v>36.5</v>
      </c>
      <c r="W2697" s="22">
        <v>16</v>
      </c>
      <c r="X2697" s="23"/>
    </row>
    <row r="2698" spans="1:24" s="1" customFormat="1" ht="13.05" customHeight="1" x14ac:dyDescent="0.3">
      <c r="A2698" s="24" t="s">
        <v>23</v>
      </c>
      <c r="B2698" s="24" t="s">
        <v>2400</v>
      </c>
      <c r="C2698" s="12" t="s">
        <v>2401</v>
      </c>
      <c r="D2698" s="60"/>
      <c r="E2698" s="41" t="str">
        <f t="shared" si="123"/>
        <v>Еще фото</v>
      </c>
      <c r="F2698" s="13"/>
      <c r="G2698" s="24" t="s">
        <v>1184</v>
      </c>
      <c r="H2698" s="24" t="s">
        <v>741</v>
      </c>
      <c r="I2698" s="24" t="s">
        <v>1185</v>
      </c>
      <c r="J2698" s="14" t="s">
        <v>29</v>
      </c>
      <c r="K2698" s="15" t="s">
        <v>59</v>
      </c>
      <c r="L2698" s="62"/>
      <c r="M2698" s="14"/>
      <c r="N2698" s="14" t="s">
        <v>84</v>
      </c>
      <c r="O2698" s="14"/>
      <c r="P2698" s="15" t="s">
        <v>1893</v>
      </c>
      <c r="Q2698" s="16">
        <v>14499</v>
      </c>
      <c r="R2698" s="17">
        <v>40</v>
      </c>
      <c r="S2698" s="18">
        <v>10004.31</v>
      </c>
      <c r="T2698" s="19" t="s">
        <v>36</v>
      </c>
      <c r="U2698" s="20" t="s">
        <v>746</v>
      </c>
      <c r="V2698" s="22">
        <v>37</v>
      </c>
      <c r="W2698" s="22">
        <v>20</v>
      </c>
      <c r="X2698" s="23"/>
    </row>
    <row r="2699" spans="1:24" s="1" customFormat="1" ht="13.05" customHeight="1" x14ac:dyDescent="0.3">
      <c r="A2699" s="24" t="s">
        <v>23</v>
      </c>
      <c r="B2699" s="24" t="s">
        <v>2400</v>
      </c>
      <c r="C2699" s="12" t="s">
        <v>2401</v>
      </c>
      <c r="D2699" s="60"/>
      <c r="E2699" s="41" t="str">
        <f t="shared" si="123"/>
        <v>Еще фото</v>
      </c>
      <c r="F2699" s="13"/>
      <c r="G2699" s="24" t="s">
        <v>1184</v>
      </c>
      <c r="H2699" s="24" t="s">
        <v>741</v>
      </c>
      <c r="I2699" s="24" t="s">
        <v>1185</v>
      </c>
      <c r="J2699" s="14" t="s">
        <v>29</v>
      </c>
      <c r="K2699" s="15" t="s">
        <v>59</v>
      </c>
      <c r="L2699" s="62"/>
      <c r="M2699" s="14"/>
      <c r="N2699" s="14" t="s">
        <v>84</v>
      </c>
      <c r="O2699" s="14"/>
      <c r="P2699" s="15" t="s">
        <v>1893</v>
      </c>
      <c r="Q2699" s="16">
        <v>14499</v>
      </c>
      <c r="R2699" s="17">
        <v>40</v>
      </c>
      <c r="S2699" s="18">
        <v>10004.31</v>
      </c>
      <c r="T2699" s="19" t="s">
        <v>36</v>
      </c>
      <c r="U2699" s="20" t="s">
        <v>747</v>
      </c>
      <c r="V2699" s="34">
        <v>37.5</v>
      </c>
      <c r="W2699" s="22">
        <v>18</v>
      </c>
      <c r="X2699" s="23"/>
    </row>
    <row r="2700" spans="1:24" s="1" customFormat="1" ht="13.05" customHeight="1" x14ac:dyDescent="0.3">
      <c r="A2700" s="24" t="s">
        <v>23</v>
      </c>
      <c r="B2700" s="24" t="s">
        <v>2400</v>
      </c>
      <c r="C2700" s="12" t="s">
        <v>2401</v>
      </c>
      <c r="D2700" s="60"/>
      <c r="E2700" s="41" t="str">
        <f t="shared" si="123"/>
        <v>Еще фото</v>
      </c>
      <c r="F2700" s="13"/>
      <c r="G2700" s="24" t="s">
        <v>1184</v>
      </c>
      <c r="H2700" s="24" t="s">
        <v>741</v>
      </c>
      <c r="I2700" s="24" t="s">
        <v>1185</v>
      </c>
      <c r="J2700" s="14" t="s">
        <v>29</v>
      </c>
      <c r="K2700" s="15" t="s">
        <v>59</v>
      </c>
      <c r="L2700" s="62"/>
      <c r="M2700" s="14"/>
      <c r="N2700" s="14" t="s">
        <v>84</v>
      </c>
      <c r="O2700" s="14"/>
      <c r="P2700" s="15" t="s">
        <v>1893</v>
      </c>
      <c r="Q2700" s="16">
        <v>14499</v>
      </c>
      <c r="R2700" s="17">
        <v>40</v>
      </c>
      <c r="S2700" s="18">
        <v>10004.31</v>
      </c>
      <c r="T2700" s="19" t="s">
        <v>36</v>
      </c>
      <c r="U2700" s="20" t="s">
        <v>748</v>
      </c>
      <c r="V2700" s="22">
        <v>38</v>
      </c>
      <c r="W2700" s="22">
        <v>17</v>
      </c>
      <c r="X2700" s="23"/>
    </row>
    <row r="2701" spans="1:24" s="1" customFormat="1" ht="13.05" customHeight="1" x14ac:dyDescent="0.3">
      <c r="A2701" s="24" t="s">
        <v>23</v>
      </c>
      <c r="B2701" s="24" t="s">
        <v>2400</v>
      </c>
      <c r="C2701" s="12" t="s">
        <v>2401</v>
      </c>
      <c r="D2701" s="60"/>
      <c r="E2701" s="41" t="str">
        <f t="shared" si="123"/>
        <v>Еще фото</v>
      </c>
      <c r="F2701" s="13"/>
      <c r="G2701" s="24" t="s">
        <v>1184</v>
      </c>
      <c r="H2701" s="24" t="s">
        <v>741</v>
      </c>
      <c r="I2701" s="24" t="s">
        <v>1185</v>
      </c>
      <c r="J2701" s="14" t="s">
        <v>29</v>
      </c>
      <c r="K2701" s="15" t="s">
        <v>59</v>
      </c>
      <c r="L2701" s="62"/>
      <c r="M2701" s="14"/>
      <c r="N2701" s="14" t="s">
        <v>84</v>
      </c>
      <c r="O2701" s="14"/>
      <c r="P2701" s="15" t="s">
        <v>1893</v>
      </c>
      <c r="Q2701" s="16">
        <v>14499</v>
      </c>
      <c r="R2701" s="17">
        <v>40</v>
      </c>
      <c r="S2701" s="18">
        <v>10004.31</v>
      </c>
      <c r="T2701" s="19" t="s">
        <v>36</v>
      </c>
      <c r="U2701" s="20" t="s">
        <v>749</v>
      </c>
      <c r="V2701" s="22">
        <v>39</v>
      </c>
      <c r="W2701" s="22">
        <v>11</v>
      </c>
      <c r="X2701" s="23"/>
    </row>
    <row r="2702" spans="1:24" s="1" customFormat="1" ht="13.05" customHeight="1" x14ac:dyDescent="0.3">
      <c r="A2702" s="24" t="s">
        <v>23</v>
      </c>
      <c r="B2702" s="24" t="s">
        <v>2400</v>
      </c>
      <c r="C2702" s="12" t="s">
        <v>2401</v>
      </c>
      <c r="D2702" s="60"/>
      <c r="E2702" s="41" t="str">
        <f t="shared" si="123"/>
        <v>Еще фото</v>
      </c>
      <c r="F2702" s="13"/>
      <c r="G2702" s="24" t="s">
        <v>1184</v>
      </c>
      <c r="H2702" s="24" t="s">
        <v>741</v>
      </c>
      <c r="I2702" s="24" t="s">
        <v>1185</v>
      </c>
      <c r="J2702" s="14" t="s">
        <v>29</v>
      </c>
      <c r="K2702" s="15" t="s">
        <v>59</v>
      </c>
      <c r="L2702" s="62"/>
      <c r="M2702" s="14"/>
      <c r="N2702" s="14" t="s">
        <v>84</v>
      </c>
      <c r="O2702" s="14"/>
      <c r="P2702" s="15" t="s">
        <v>1893</v>
      </c>
      <c r="Q2702" s="16">
        <v>14499</v>
      </c>
      <c r="R2702" s="17">
        <v>40</v>
      </c>
      <c r="S2702" s="18">
        <v>10004.31</v>
      </c>
      <c r="T2702" s="19" t="s">
        <v>36</v>
      </c>
      <c r="U2702" s="20" t="s">
        <v>750</v>
      </c>
      <c r="V2702" s="34">
        <v>39.5</v>
      </c>
      <c r="W2702" s="22">
        <v>10</v>
      </c>
      <c r="X2702" s="23"/>
    </row>
    <row r="2703" spans="1:24" s="1" customFormat="1" ht="18" customHeight="1" x14ac:dyDescent="0.3">
      <c r="A2703" s="24" t="s">
        <v>23</v>
      </c>
      <c r="B2703" s="24" t="s">
        <v>2400</v>
      </c>
      <c r="C2703" s="12" t="s">
        <v>2401</v>
      </c>
      <c r="D2703" s="61"/>
      <c r="E2703" s="41" t="str">
        <f t="shared" si="123"/>
        <v>Еще фото</v>
      </c>
      <c r="F2703" s="13"/>
      <c r="G2703" s="24" t="s">
        <v>1184</v>
      </c>
      <c r="H2703" s="24" t="s">
        <v>741</v>
      </c>
      <c r="I2703" s="24" t="s">
        <v>1185</v>
      </c>
      <c r="J2703" s="14" t="s">
        <v>29</v>
      </c>
      <c r="K2703" s="15" t="s">
        <v>59</v>
      </c>
      <c r="L2703" s="58"/>
      <c r="M2703" s="14"/>
      <c r="N2703" s="14" t="s">
        <v>84</v>
      </c>
      <c r="O2703" s="14"/>
      <c r="P2703" s="15" t="s">
        <v>1893</v>
      </c>
      <c r="Q2703" s="16">
        <v>14499</v>
      </c>
      <c r="R2703" s="17">
        <v>40</v>
      </c>
      <c r="S2703" s="18">
        <v>10004.31</v>
      </c>
      <c r="T2703" s="19" t="s">
        <v>36</v>
      </c>
      <c r="U2703" s="20" t="s">
        <v>751</v>
      </c>
      <c r="V2703" s="22">
        <v>40</v>
      </c>
      <c r="W2703" s="22">
        <v>4</v>
      </c>
      <c r="X2703" s="23"/>
    </row>
    <row r="2704" spans="1:24" s="1" customFormat="1" ht="17" customHeight="1" x14ac:dyDescent="0.3">
      <c r="A2704" s="11" t="s">
        <v>23</v>
      </c>
      <c r="B2704" s="11" t="s">
        <v>2402</v>
      </c>
      <c r="C2704" s="12" t="s">
        <v>2403</v>
      </c>
      <c r="D2704" s="59"/>
      <c r="E2704" s="41" t="str">
        <f t="shared" ref="E2704:E2709" si="124">HYPERLINK("https://www.google.ru/search?q=6009827-001&amp;newwindow=1&amp;tbm=isch","Еще фото")</f>
        <v>Еще фото</v>
      </c>
      <c r="F2704" s="13" t="s">
        <v>103</v>
      </c>
      <c r="G2704" s="11" t="s">
        <v>1184</v>
      </c>
      <c r="H2704" s="11" t="s">
        <v>741</v>
      </c>
      <c r="I2704" s="14" t="s">
        <v>1185</v>
      </c>
      <c r="J2704" s="14" t="s">
        <v>29</v>
      </c>
      <c r="K2704" s="15" t="s">
        <v>30</v>
      </c>
      <c r="L2704" s="57" t="s">
        <v>2404</v>
      </c>
      <c r="M2704" s="14"/>
      <c r="N2704" s="14" t="s">
        <v>33</v>
      </c>
      <c r="O2704" s="14"/>
      <c r="P2704" s="15" t="s">
        <v>745</v>
      </c>
      <c r="Q2704" s="16">
        <v>8599</v>
      </c>
      <c r="R2704" s="17">
        <v>40</v>
      </c>
      <c r="S2704" s="18">
        <v>5933.3099999999995</v>
      </c>
      <c r="T2704" s="19" t="s">
        <v>36</v>
      </c>
      <c r="U2704" s="20" t="s">
        <v>747</v>
      </c>
      <c r="V2704" s="34">
        <v>39.5</v>
      </c>
      <c r="W2704" s="22">
        <v>4</v>
      </c>
      <c r="X2704" s="23"/>
    </row>
    <row r="2705" spans="1:24" s="1" customFormat="1" ht="17" customHeight="1" x14ac:dyDescent="0.3">
      <c r="A2705" s="24" t="s">
        <v>23</v>
      </c>
      <c r="B2705" s="24" t="s">
        <v>2402</v>
      </c>
      <c r="C2705" s="12" t="s">
        <v>2403</v>
      </c>
      <c r="D2705" s="60"/>
      <c r="E2705" s="41" t="str">
        <f t="shared" si="124"/>
        <v>Еще фото</v>
      </c>
      <c r="F2705" s="13" t="s">
        <v>103</v>
      </c>
      <c r="G2705" s="24" t="s">
        <v>1184</v>
      </c>
      <c r="H2705" s="24" t="s">
        <v>741</v>
      </c>
      <c r="I2705" s="24" t="s">
        <v>1185</v>
      </c>
      <c r="J2705" s="14" t="s">
        <v>29</v>
      </c>
      <c r="K2705" s="15" t="s">
        <v>30</v>
      </c>
      <c r="L2705" s="62"/>
      <c r="M2705" s="14"/>
      <c r="N2705" s="14" t="s">
        <v>33</v>
      </c>
      <c r="O2705" s="14"/>
      <c r="P2705" s="15" t="s">
        <v>745</v>
      </c>
      <c r="Q2705" s="16">
        <v>8599</v>
      </c>
      <c r="R2705" s="17">
        <v>40</v>
      </c>
      <c r="S2705" s="18">
        <v>5933.3099999999995</v>
      </c>
      <c r="T2705" s="19" t="s">
        <v>36</v>
      </c>
      <c r="U2705" s="20" t="s">
        <v>748</v>
      </c>
      <c r="V2705" s="22">
        <v>40</v>
      </c>
      <c r="W2705" s="22">
        <v>2</v>
      </c>
      <c r="X2705" s="23"/>
    </row>
    <row r="2706" spans="1:24" s="1" customFormat="1" ht="17" customHeight="1" x14ac:dyDescent="0.3">
      <c r="A2706" s="24" t="s">
        <v>23</v>
      </c>
      <c r="B2706" s="24" t="s">
        <v>2402</v>
      </c>
      <c r="C2706" s="12" t="s">
        <v>2403</v>
      </c>
      <c r="D2706" s="60"/>
      <c r="E2706" s="41" t="str">
        <f t="shared" si="124"/>
        <v>Еще фото</v>
      </c>
      <c r="F2706" s="13" t="s">
        <v>103</v>
      </c>
      <c r="G2706" s="24" t="s">
        <v>1184</v>
      </c>
      <c r="H2706" s="24" t="s">
        <v>741</v>
      </c>
      <c r="I2706" s="24" t="s">
        <v>1185</v>
      </c>
      <c r="J2706" s="14" t="s">
        <v>29</v>
      </c>
      <c r="K2706" s="15" t="s">
        <v>30</v>
      </c>
      <c r="L2706" s="62"/>
      <c r="M2706" s="14"/>
      <c r="N2706" s="14" t="s">
        <v>33</v>
      </c>
      <c r="O2706" s="14"/>
      <c r="P2706" s="15" t="s">
        <v>745</v>
      </c>
      <c r="Q2706" s="16">
        <v>8599</v>
      </c>
      <c r="R2706" s="17">
        <v>40</v>
      </c>
      <c r="S2706" s="18">
        <v>5933.3099999999995</v>
      </c>
      <c r="T2706" s="19" t="s">
        <v>36</v>
      </c>
      <c r="U2706" s="20" t="s">
        <v>750</v>
      </c>
      <c r="V2706" s="34">
        <v>41.5</v>
      </c>
      <c r="W2706" s="22">
        <v>4</v>
      </c>
      <c r="X2706" s="23"/>
    </row>
    <row r="2707" spans="1:24" s="1" customFormat="1" ht="17" customHeight="1" x14ac:dyDescent="0.3">
      <c r="A2707" s="24" t="s">
        <v>23</v>
      </c>
      <c r="B2707" s="24" t="s">
        <v>2402</v>
      </c>
      <c r="C2707" s="12" t="s">
        <v>2403</v>
      </c>
      <c r="D2707" s="60"/>
      <c r="E2707" s="41" t="str">
        <f t="shared" si="124"/>
        <v>Еще фото</v>
      </c>
      <c r="F2707" s="13" t="s">
        <v>103</v>
      </c>
      <c r="G2707" s="24" t="s">
        <v>1184</v>
      </c>
      <c r="H2707" s="24" t="s">
        <v>741</v>
      </c>
      <c r="I2707" s="24" t="s">
        <v>1185</v>
      </c>
      <c r="J2707" s="14" t="s">
        <v>29</v>
      </c>
      <c r="K2707" s="15" t="s">
        <v>30</v>
      </c>
      <c r="L2707" s="62"/>
      <c r="M2707" s="14"/>
      <c r="N2707" s="14" t="s">
        <v>33</v>
      </c>
      <c r="O2707" s="14"/>
      <c r="P2707" s="15" t="s">
        <v>745</v>
      </c>
      <c r="Q2707" s="16">
        <v>8599</v>
      </c>
      <c r="R2707" s="17">
        <v>40</v>
      </c>
      <c r="S2707" s="18">
        <v>5933.3099999999995</v>
      </c>
      <c r="T2707" s="19" t="s">
        <v>36</v>
      </c>
      <c r="U2707" s="20" t="s">
        <v>753</v>
      </c>
      <c r="V2707" s="34">
        <v>43.5</v>
      </c>
      <c r="W2707" s="22">
        <v>2</v>
      </c>
      <c r="X2707" s="23"/>
    </row>
    <row r="2708" spans="1:24" s="1" customFormat="1" ht="17" customHeight="1" x14ac:dyDescent="0.3">
      <c r="A2708" s="24" t="s">
        <v>23</v>
      </c>
      <c r="B2708" s="24" t="s">
        <v>2402</v>
      </c>
      <c r="C2708" s="12" t="s">
        <v>2403</v>
      </c>
      <c r="D2708" s="60"/>
      <c r="E2708" s="41" t="str">
        <f t="shared" si="124"/>
        <v>Еще фото</v>
      </c>
      <c r="F2708" s="13" t="s">
        <v>103</v>
      </c>
      <c r="G2708" s="24" t="s">
        <v>1184</v>
      </c>
      <c r="H2708" s="24" t="s">
        <v>741</v>
      </c>
      <c r="I2708" s="24" t="s">
        <v>1185</v>
      </c>
      <c r="J2708" s="14" t="s">
        <v>29</v>
      </c>
      <c r="K2708" s="15" t="s">
        <v>30</v>
      </c>
      <c r="L2708" s="62"/>
      <c r="M2708" s="14"/>
      <c r="N2708" s="14" t="s">
        <v>33</v>
      </c>
      <c r="O2708" s="14"/>
      <c r="P2708" s="15" t="s">
        <v>745</v>
      </c>
      <c r="Q2708" s="16">
        <v>8599</v>
      </c>
      <c r="R2708" s="17">
        <v>40</v>
      </c>
      <c r="S2708" s="18">
        <v>5933.3099999999995</v>
      </c>
      <c r="T2708" s="19" t="s">
        <v>36</v>
      </c>
      <c r="U2708" s="20" t="s">
        <v>754</v>
      </c>
      <c r="V2708" s="22">
        <v>44</v>
      </c>
      <c r="W2708" s="22">
        <v>1</v>
      </c>
      <c r="X2708" s="23"/>
    </row>
    <row r="2709" spans="1:24" s="1" customFormat="1" ht="22.05" customHeight="1" x14ac:dyDescent="0.3">
      <c r="A2709" s="24" t="s">
        <v>23</v>
      </c>
      <c r="B2709" s="24" t="s">
        <v>2402</v>
      </c>
      <c r="C2709" s="12" t="s">
        <v>2403</v>
      </c>
      <c r="D2709" s="61"/>
      <c r="E2709" s="41" t="str">
        <f t="shared" si="124"/>
        <v>Еще фото</v>
      </c>
      <c r="F2709" s="13" t="s">
        <v>103</v>
      </c>
      <c r="G2709" s="24" t="s">
        <v>1184</v>
      </c>
      <c r="H2709" s="24" t="s">
        <v>741</v>
      </c>
      <c r="I2709" s="24" t="s">
        <v>1185</v>
      </c>
      <c r="J2709" s="14" t="s">
        <v>29</v>
      </c>
      <c r="K2709" s="15" t="s">
        <v>30</v>
      </c>
      <c r="L2709" s="58"/>
      <c r="M2709" s="14"/>
      <c r="N2709" s="14" t="s">
        <v>33</v>
      </c>
      <c r="O2709" s="14"/>
      <c r="P2709" s="15" t="s">
        <v>745</v>
      </c>
      <c r="Q2709" s="16">
        <v>8599</v>
      </c>
      <c r="R2709" s="17">
        <v>40</v>
      </c>
      <c r="S2709" s="18">
        <v>5933.3099999999995</v>
      </c>
      <c r="T2709" s="19" t="s">
        <v>36</v>
      </c>
      <c r="U2709" s="20" t="s">
        <v>1337</v>
      </c>
      <c r="V2709" s="22">
        <v>45</v>
      </c>
      <c r="W2709" s="22">
        <v>1</v>
      </c>
      <c r="X2709" s="23"/>
    </row>
    <row r="2710" spans="1:24" s="1" customFormat="1" ht="52.05" customHeight="1" x14ac:dyDescent="0.3">
      <c r="A2710" s="11" t="s">
        <v>23</v>
      </c>
      <c r="B2710" s="11" t="s">
        <v>2402</v>
      </c>
      <c r="C2710" s="12" t="s">
        <v>2405</v>
      </c>
      <c r="D2710" s="55"/>
      <c r="E2710" s="41" t="str">
        <f>HYPERLINK("https://www.google.ru/search?q=6009827-002&amp;newwindow=1&amp;tbm=isch","Еще фото")</f>
        <v>Еще фото</v>
      </c>
      <c r="F2710" s="13"/>
      <c r="G2710" s="11" t="s">
        <v>1184</v>
      </c>
      <c r="H2710" s="11" t="s">
        <v>741</v>
      </c>
      <c r="I2710" s="14" t="s">
        <v>1185</v>
      </c>
      <c r="J2710" s="14" t="s">
        <v>29</v>
      </c>
      <c r="K2710" s="15" t="s">
        <v>30</v>
      </c>
      <c r="L2710" s="57" t="s">
        <v>2406</v>
      </c>
      <c r="M2710" s="14"/>
      <c r="N2710" s="14" t="s">
        <v>33</v>
      </c>
      <c r="O2710" s="14"/>
      <c r="P2710" s="15" t="s">
        <v>745</v>
      </c>
      <c r="Q2710" s="16">
        <v>8599</v>
      </c>
      <c r="R2710" s="17">
        <v>40</v>
      </c>
      <c r="S2710" s="18">
        <v>5933.3099999999995</v>
      </c>
      <c r="T2710" s="19" t="s">
        <v>36</v>
      </c>
      <c r="U2710" s="20" t="s">
        <v>747</v>
      </c>
      <c r="V2710" s="34">
        <v>39.5</v>
      </c>
      <c r="W2710" s="22">
        <v>6</v>
      </c>
      <c r="X2710" s="23"/>
    </row>
    <row r="2711" spans="1:24" s="1" customFormat="1" ht="61.05" customHeight="1" x14ac:dyDescent="0.3">
      <c r="A2711" s="24" t="s">
        <v>23</v>
      </c>
      <c r="B2711" s="24" t="s">
        <v>2402</v>
      </c>
      <c r="C2711" s="12" t="s">
        <v>2405</v>
      </c>
      <c r="D2711" s="56"/>
      <c r="E2711" s="41" t="str">
        <f>HYPERLINK("https://www.google.ru/search?q=6009827-002&amp;newwindow=1&amp;tbm=isch","Еще фото")</f>
        <v>Еще фото</v>
      </c>
      <c r="F2711" s="13"/>
      <c r="G2711" s="24" t="s">
        <v>1184</v>
      </c>
      <c r="H2711" s="24" t="s">
        <v>741</v>
      </c>
      <c r="I2711" s="24" t="s">
        <v>1185</v>
      </c>
      <c r="J2711" s="14" t="s">
        <v>29</v>
      </c>
      <c r="K2711" s="15" t="s">
        <v>30</v>
      </c>
      <c r="L2711" s="58"/>
      <c r="M2711" s="14"/>
      <c r="N2711" s="14" t="s">
        <v>33</v>
      </c>
      <c r="O2711" s="14"/>
      <c r="P2711" s="15" t="s">
        <v>745</v>
      </c>
      <c r="Q2711" s="16">
        <v>8599</v>
      </c>
      <c r="R2711" s="17">
        <v>40</v>
      </c>
      <c r="S2711" s="18">
        <v>5933.3099999999995</v>
      </c>
      <c r="T2711" s="19" t="s">
        <v>36</v>
      </c>
      <c r="U2711" s="20" t="s">
        <v>750</v>
      </c>
      <c r="V2711" s="34">
        <v>41.5</v>
      </c>
      <c r="W2711" s="22">
        <v>1</v>
      </c>
      <c r="X2711" s="23"/>
    </row>
    <row r="2712" spans="1:24" s="1" customFormat="1" ht="14" customHeight="1" x14ac:dyDescent="0.3">
      <c r="A2712" s="11" t="s">
        <v>23</v>
      </c>
      <c r="B2712" s="11" t="s">
        <v>2407</v>
      </c>
      <c r="C2712" s="12" t="s">
        <v>2408</v>
      </c>
      <c r="D2712" s="59"/>
      <c r="E2712" s="41" t="str">
        <f t="shared" ref="E2712:E2718" si="125">HYPERLINK("https://www.google.ru/search?q=6009828-001&amp;newwindow=1&amp;tbm=isch","Еще фото")</f>
        <v>Еще фото</v>
      </c>
      <c r="F2712" s="13"/>
      <c r="G2712" s="11" t="s">
        <v>1184</v>
      </c>
      <c r="H2712" s="11" t="s">
        <v>741</v>
      </c>
      <c r="I2712" s="14" t="s">
        <v>1185</v>
      </c>
      <c r="J2712" s="14" t="s">
        <v>29</v>
      </c>
      <c r="K2712" s="15" t="s">
        <v>59</v>
      </c>
      <c r="L2712" s="57" t="s">
        <v>2409</v>
      </c>
      <c r="M2712" s="14"/>
      <c r="N2712" s="14" t="s">
        <v>33</v>
      </c>
      <c r="O2712" s="14"/>
      <c r="P2712" s="15" t="s">
        <v>745</v>
      </c>
      <c r="Q2712" s="16">
        <v>8599</v>
      </c>
      <c r="R2712" s="17">
        <v>40</v>
      </c>
      <c r="S2712" s="18">
        <v>5933.3099999999995</v>
      </c>
      <c r="T2712" s="19" t="s">
        <v>36</v>
      </c>
      <c r="U2712" s="20" t="s">
        <v>1203</v>
      </c>
      <c r="V2712" s="22">
        <v>36</v>
      </c>
      <c r="W2712" s="22">
        <v>3</v>
      </c>
      <c r="X2712" s="23"/>
    </row>
    <row r="2713" spans="1:24" s="1" customFormat="1" ht="14" customHeight="1" x14ac:dyDescent="0.3">
      <c r="A2713" s="24" t="s">
        <v>23</v>
      </c>
      <c r="B2713" s="24" t="s">
        <v>2407</v>
      </c>
      <c r="C2713" s="12" t="s">
        <v>2408</v>
      </c>
      <c r="D2713" s="60"/>
      <c r="E2713" s="41" t="str">
        <f t="shared" si="125"/>
        <v>Еще фото</v>
      </c>
      <c r="F2713" s="13"/>
      <c r="G2713" s="24" t="s">
        <v>1184</v>
      </c>
      <c r="H2713" s="24" t="s">
        <v>741</v>
      </c>
      <c r="I2713" s="24" t="s">
        <v>1185</v>
      </c>
      <c r="J2713" s="14" t="s">
        <v>29</v>
      </c>
      <c r="K2713" s="15" t="s">
        <v>59</v>
      </c>
      <c r="L2713" s="62"/>
      <c r="M2713" s="14"/>
      <c r="N2713" s="14" t="s">
        <v>33</v>
      </c>
      <c r="O2713" s="14"/>
      <c r="P2713" s="15" t="s">
        <v>745</v>
      </c>
      <c r="Q2713" s="16">
        <v>8599</v>
      </c>
      <c r="R2713" s="17">
        <v>40</v>
      </c>
      <c r="S2713" s="18">
        <v>5933.3099999999995</v>
      </c>
      <c r="T2713" s="19" t="s">
        <v>36</v>
      </c>
      <c r="U2713" s="20" t="s">
        <v>1196</v>
      </c>
      <c r="V2713" s="34">
        <v>36.5</v>
      </c>
      <c r="W2713" s="22">
        <v>8</v>
      </c>
      <c r="X2713" s="23"/>
    </row>
    <row r="2714" spans="1:24" s="1" customFormat="1" ht="14" customHeight="1" x14ac:dyDescent="0.3">
      <c r="A2714" s="24" t="s">
        <v>23</v>
      </c>
      <c r="B2714" s="24" t="s">
        <v>2407</v>
      </c>
      <c r="C2714" s="12" t="s">
        <v>2408</v>
      </c>
      <c r="D2714" s="60"/>
      <c r="E2714" s="41" t="str">
        <f t="shared" si="125"/>
        <v>Еще фото</v>
      </c>
      <c r="F2714" s="13"/>
      <c r="G2714" s="24" t="s">
        <v>1184</v>
      </c>
      <c r="H2714" s="24" t="s">
        <v>741</v>
      </c>
      <c r="I2714" s="24" t="s">
        <v>1185</v>
      </c>
      <c r="J2714" s="14" t="s">
        <v>29</v>
      </c>
      <c r="K2714" s="15" t="s">
        <v>59</v>
      </c>
      <c r="L2714" s="62"/>
      <c r="M2714" s="14"/>
      <c r="N2714" s="14" t="s">
        <v>33</v>
      </c>
      <c r="O2714" s="14"/>
      <c r="P2714" s="15" t="s">
        <v>745</v>
      </c>
      <c r="Q2714" s="16">
        <v>8599</v>
      </c>
      <c r="R2714" s="17">
        <v>40</v>
      </c>
      <c r="S2714" s="18">
        <v>5933.3099999999995</v>
      </c>
      <c r="T2714" s="19" t="s">
        <v>36</v>
      </c>
      <c r="U2714" s="20" t="s">
        <v>746</v>
      </c>
      <c r="V2714" s="22">
        <v>37</v>
      </c>
      <c r="W2714" s="22">
        <v>14</v>
      </c>
      <c r="X2714" s="23"/>
    </row>
    <row r="2715" spans="1:24" s="1" customFormat="1" ht="14" customHeight="1" x14ac:dyDescent="0.3">
      <c r="A2715" s="24" t="s">
        <v>23</v>
      </c>
      <c r="B2715" s="24" t="s">
        <v>2407</v>
      </c>
      <c r="C2715" s="12" t="s">
        <v>2408</v>
      </c>
      <c r="D2715" s="60"/>
      <c r="E2715" s="41" t="str">
        <f t="shared" si="125"/>
        <v>Еще фото</v>
      </c>
      <c r="F2715" s="13"/>
      <c r="G2715" s="24" t="s">
        <v>1184</v>
      </c>
      <c r="H2715" s="24" t="s">
        <v>741</v>
      </c>
      <c r="I2715" s="24" t="s">
        <v>1185</v>
      </c>
      <c r="J2715" s="14" t="s">
        <v>29</v>
      </c>
      <c r="K2715" s="15" t="s">
        <v>59</v>
      </c>
      <c r="L2715" s="62"/>
      <c r="M2715" s="14"/>
      <c r="N2715" s="14" t="s">
        <v>33</v>
      </c>
      <c r="O2715" s="14"/>
      <c r="P2715" s="15" t="s">
        <v>745</v>
      </c>
      <c r="Q2715" s="16">
        <v>8599</v>
      </c>
      <c r="R2715" s="17">
        <v>40</v>
      </c>
      <c r="S2715" s="18">
        <v>5933.3099999999995</v>
      </c>
      <c r="T2715" s="19" t="s">
        <v>36</v>
      </c>
      <c r="U2715" s="20" t="s">
        <v>747</v>
      </c>
      <c r="V2715" s="34">
        <v>37.5</v>
      </c>
      <c r="W2715" s="22">
        <v>15</v>
      </c>
      <c r="X2715" s="23"/>
    </row>
    <row r="2716" spans="1:24" s="1" customFormat="1" ht="14" customHeight="1" x14ac:dyDescent="0.3">
      <c r="A2716" s="24" t="s">
        <v>23</v>
      </c>
      <c r="B2716" s="24" t="s">
        <v>2407</v>
      </c>
      <c r="C2716" s="12" t="s">
        <v>2408</v>
      </c>
      <c r="D2716" s="60"/>
      <c r="E2716" s="41" t="str">
        <f t="shared" si="125"/>
        <v>Еще фото</v>
      </c>
      <c r="F2716" s="13"/>
      <c r="G2716" s="24" t="s">
        <v>1184</v>
      </c>
      <c r="H2716" s="24" t="s">
        <v>741</v>
      </c>
      <c r="I2716" s="24" t="s">
        <v>1185</v>
      </c>
      <c r="J2716" s="14" t="s">
        <v>29</v>
      </c>
      <c r="K2716" s="15" t="s">
        <v>59</v>
      </c>
      <c r="L2716" s="62"/>
      <c r="M2716" s="14"/>
      <c r="N2716" s="14" t="s">
        <v>33</v>
      </c>
      <c r="O2716" s="14"/>
      <c r="P2716" s="15" t="s">
        <v>745</v>
      </c>
      <c r="Q2716" s="16">
        <v>8599</v>
      </c>
      <c r="R2716" s="17">
        <v>40</v>
      </c>
      <c r="S2716" s="18">
        <v>5933.3099999999995</v>
      </c>
      <c r="T2716" s="19" t="s">
        <v>36</v>
      </c>
      <c r="U2716" s="20" t="s">
        <v>748</v>
      </c>
      <c r="V2716" s="22">
        <v>38</v>
      </c>
      <c r="W2716" s="22">
        <v>11</v>
      </c>
      <c r="X2716" s="23"/>
    </row>
    <row r="2717" spans="1:24" s="1" customFormat="1" ht="14" customHeight="1" x14ac:dyDescent="0.3">
      <c r="A2717" s="24" t="s">
        <v>23</v>
      </c>
      <c r="B2717" s="24" t="s">
        <v>2407</v>
      </c>
      <c r="C2717" s="12" t="s">
        <v>2408</v>
      </c>
      <c r="D2717" s="60"/>
      <c r="E2717" s="41" t="str">
        <f t="shared" si="125"/>
        <v>Еще фото</v>
      </c>
      <c r="F2717" s="13"/>
      <c r="G2717" s="24" t="s">
        <v>1184</v>
      </c>
      <c r="H2717" s="24" t="s">
        <v>741</v>
      </c>
      <c r="I2717" s="24" t="s">
        <v>1185</v>
      </c>
      <c r="J2717" s="14" t="s">
        <v>29</v>
      </c>
      <c r="K2717" s="15" t="s">
        <v>59</v>
      </c>
      <c r="L2717" s="62"/>
      <c r="M2717" s="14"/>
      <c r="N2717" s="14" t="s">
        <v>33</v>
      </c>
      <c r="O2717" s="14"/>
      <c r="P2717" s="15" t="s">
        <v>745</v>
      </c>
      <c r="Q2717" s="16">
        <v>8599</v>
      </c>
      <c r="R2717" s="17">
        <v>40</v>
      </c>
      <c r="S2717" s="18">
        <v>5933.3099999999995</v>
      </c>
      <c r="T2717" s="19" t="s">
        <v>36</v>
      </c>
      <c r="U2717" s="20" t="s">
        <v>749</v>
      </c>
      <c r="V2717" s="22">
        <v>39</v>
      </c>
      <c r="W2717" s="22">
        <v>4</v>
      </c>
      <c r="X2717" s="23"/>
    </row>
    <row r="2718" spans="1:24" s="1" customFormat="1" ht="17" customHeight="1" x14ac:dyDescent="0.3">
      <c r="A2718" s="24" t="s">
        <v>23</v>
      </c>
      <c r="B2718" s="24" t="s">
        <v>2407</v>
      </c>
      <c r="C2718" s="12" t="s">
        <v>2408</v>
      </c>
      <c r="D2718" s="61"/>
      <c r="E2718" s="41" t="str">
        <f t="shared" si="125"/>
        <v>Еще фото</v>
      </c>
      <c r="F2718" s="13"/>
      <c r="G2718" s="24" t="s">
        <v>1184</v>
      </c>
      <c r="H2718" s="24" t="s">
        <v>741</v>
      </c>
      <c r="I2718" s="24" t="s">
        <v>1185</v>
      </c>
      <c r="J2718" s="14" t="s">
        <v>29</v>
      </c>
      <c r="K2718" s="15" t="s">
        <v>59</v>
      </c>
      <c r="L2718" s="58"/>
      <c r="M2718" s="14"/>
      <c r="N2718" s="14" t="s">
        <v>33</v>
      </c>
      <c r="O2718" s="14"/>
      <c r="P2718" s="15" t="s">
        <v>745</v>
      </c>
      <c r="Q2718" s="16">
        <v>8599</v>
      </c>
      <c r="R2718" s="17">
        <v>40</v>
      </c>
      <c r="S2718" s="18">
        <v>5933.3099999999995</v>
      </c>
      <c r="T2718" s="19" t="s">
        <v>36</v>
      </c>
      <c r="U2718" s="20" t="s">
        <v>750</v>
      </c>
      <c r="V2718" s="34">
        <v>39.5</v>
      </c>
      <c r="W2718" s="22">
        <v>7</v>
      </c>
      <c r="X2718" s="23"/>
    </row>
    <row r="2719" spans="1:24" s="1" customFormat="1" ht="21" customHeight="1" x14ac:dyDescent="0.3">
      <c r="A2719" s="11" t="s">
        <v>23</v>
      </c>
      <c r="B2719" s="11" t="s">
        <v>2407</v>
      </c>
      <c r="C2719" s="26" t="s">
        <v>2410</v>
      </c>
      <c r="D2719" s="59"/>
      <c r="E2719" s="41" t="str">
        <f>HYPERLINK("https://www.google.ru/search?q=6009828-110&amp;newwindow=1&amp;tbm=isch","Еще фото")</f>
        <v>Еще фото</v>
      </c>
      <c r="F2719" s="13"/>
      <c r="G2719" s="11" t="s">
        <v>1184</v>
      </c>
      <c r="H2719" s="11" t="s">
        <v>741</v>
      </c>
      <c r="I2719" s="14" t="s">
        <v>1185</v>
      </c>
      <c r="J2719" s="14" t="s">
        <v>29</v>
      </c>
      <c r="K2719" s="15" t="s">
        <v>59</v>
      </c>
      <c r="L2719" s="57" t="s">
        <v>2409</v>
      </c>
      <c r="M2719" s="14"/>
      <c r="N2719" s="14" t="s">
        <v>229</v>
      </c>
      <c r="O2719" s="14"/>
      <c r="P2719" s="15" t="s">
        <v>745</v>
      </c>
      <c r="Q2719" s="16">
        <v>8599</v>
      </c>
      <c r="R2719" s="17">
        <v>40</v>
      </c>
      <c r="S2719" s="18">
        <v>5933.3099999999995</v>
      </c>
      <c r="T2719" s="19" t="s">
        <v>36</v>
      </c>
      <c r="U2719" s="20" t="s">
        <v>1203</v>
      </c>
      <c r="V2719" s="22">
        <v>36</v>
      </c>
      <c r="W2719" s="22">
        <v>2</v>
      </c>
      <c r="X2719" s="23"/>
    </row>
    <row r="2720" spans="1:24" s="1" customFormat="1" ht="21" customHeight="1" x14ac:dyDescent="0.3">
      <c r="A2720" s="24" t="s">
        <v>23</v>
      </c>
      <c r="B2720" s="24" t="s">
        <v>2407</v>
      </c>
      <c r="C2720" s="27" t="s">
        <v>2410</v>
      </c>
      <c r="D2720" s="60"/>
      <c r="E2720" s="41" t="str">
        <f>HYPERLINK("https://www.google.ru/search?q=6009828-110&amp;newwindow=1&amp;tbm=isch","Еще фото")</f>
        <v>Еще фото</v>
      </c>
      <c r="F2720" s="13"/>
      <c r="G2720" s="24" t="s">
        <v>1184</v>
      </c>
      <c r="H2720" s="24" t="s">
        <v>741</v>
      </c>
      <c r="I2720" s="24" t="s">
        <v>1185</v>
      </c>
      <c r="J2720" s="14" t="s">
        <v>29</v>
      </c>
      <c r="K2720" s="15" t="s">
        <v>59</v>
      </c>
      <c r="L2720" s="62"/>
      <c r="M2720" s="14"/>
      <c r="N2720" s="14" t="s">
        <v>229</v>
      </c>
      <c r="O2720" s="14"/>
      <c r="P2720" s="15" t="s">
        <v>745</v>
      </c>
      <c r="Q2720" s="16">
        <v>8599</v>
      </c>
      <c r="R2720" s="17">
        <v>40</v>
      </c>
      <c r="S2720" s="18">
        <v>5933.3099999999995</v>
      </c>
      <c r="T2720" s="19" t="s">
        <v>36</v>
      </c>
      <c r="U2720" s="20" t="s">
        <v>1196</v>
      </c>
      <c r="V2720" s="34">
        <v>36.5</v>
      </c>
      <c r="W2720" s="22">
        <v>8</v>
      </c>
      <c r="X2720" s="23"/>
    </row>
    <row r="2721" spans="1:24" s="1" customFormat="1" ht="21" customHeight="1" x14ac:dyDescent="0.3">
      <c r="A2721" s="24" t="s">
        <v>23</v>
      </c>
      <c r="B2721" s="24" t="s">
        <v>2407</v>
      </c>
      <c r="C2721" s="27" t="s">
        <v>2410</v>
      </c>
      <c r="D2721" s="60"/>
      <c r="E2721" s="41" t="str">
        <f>HYPERLINK("https://www.google.ru/search?q=6009828-110&amp;newwindow=1&amp;tbm=isch","Еще фото")</f>
        <v>Еще фото</v>
      </c>
      <c r="F2721" s="13"/>
      <c r="G2721" s="24" t="s">
        <v>1184</v>
      </c>
      <c r="H2721" s="24" t="s">
        <v>741</v>
      </c>
      <c r="I2721" s="24" t="s">
        <v>1185</v>
      </c>
      <c r="J2721" s="14" t="s">
        <v>29</v>
      </c>
      <c r="K2721" s="15" t="s">
        <v>59</v>
      </c>
      <c r="L2721" s="62"/>
      <c r="M2721" s="14"/>
      <c r="N2721" s="14" t="s">
        <v>229</v>
      </c>
      <c r="O2721" s="14"/>
      <c r="P2721" s="15" t="s">
        <v>745</v>
      </c>
      <c r="Q2721" s="16">
        <v>8599</v>
      </c>
      <c r="R2721" s="17">
        <v>40</v>
      </c>
      <c r="S2721" s="18">
        <v>5933.3099999999995</v>
      </c>
      <c r="T2721" s="19" t="s">
        <v>36</v>
      </c>
      <c r="U2721" s="20" t="s">
        <v>746</v>
      </c>
      <c r="V2721" s="22">
        <v>37</v>
      </c>
      <c r="W2721" s="22">
        <v>10</v>
      </c>
      <c r="X2721" s="23"/>
    </row>
    <row r="2722" spans="1:24" s="1" customFormat="1" ht="21" customHeight="1" x14ac:dyDescent="0.3">
      <c r="A2722" s="24" t="s">
        <v>23</v>
      </c>
      <c r="B2722" s="24" t="s">
        <v>2407</v>
      </c>
      <c r="C2722" s="27" t="s">
        <v>2410</v>
      </c>
      <c r="D2722" s="60"/>
      <c r="E2722" s="41" t="str">
        <f>HYPERLINK("https://www.google.ru/search?q=6009828-110&amp;newwindow=1&amp;tbm=isch","Еще фото")</f>
        <v>Еще фото</v>
      </c>
      <c r="F2722" s="13"/>
      <c r="G2722" s="24" t="s">
        <v>1184</v>
      </c>
      <c r="H2722" s="24" t="s">
        <v>741</v>
      </c>
      <c r="I2722" s="24" t="s">
        <v>1185</v>
      </c>
      <c r="J2722" s="14" t="s">
        <v>29</v>
      </c>
      <c r="K2722" s="15" t="s">
        <v>59</v>
      </c>
      <c r="L2722" s="62"/>
      <c r="M2722" s="14"/>
      <c r="N2722" s="14" t="s">
        <v>229</v>
      </c>
      <c r="O2722" s="14"/>
      <c r="P2722" s="15" t="s">
        <v>745</v>
      </c>
      <c r="Q2722" s="16">
        <v>8599</v>
      </c>
      <c r="R2722" s="17">
        <v>40</v>
      </c>
      <c r="S2722" s="18">
        <v>5933.3099999999995</v>
      </c>
      <c r="T2722" s="19" t="s">
        <v>36</v>
      </c>
      <c r="U2722" s="20" t="s">
        <v>747</v>
      </c>
      <c r="V2722" s="34">
        <v>37.5</v>
      </c>
      <c r="W2722" s="22">
        <v>3</v>
      </c>
      <c r="X2722" s="23"/>
    </row>
    <row r="2723" spans="1:24" s="1" customFormat="1" ht="32" customHeight="1" x14ac:dyDescent="0.3">
      <c r="A2723" s="24" t="s">
        <v>23</v>
      </c>
      <c r="B2723" s="24" t="s">
        <v>2407</v>
      </c>
      <c r="C2723" s="27" t="s">
        <v>2410</v>
      </c>
      <c r="D2723" s="61"/>
      <c r="E2723" s="41" t="str">
        <f>HYPERLINK("https://www.google.ru/search?q=6009828-110&amp;newwindow=1&amp;tbm=isch","Еще фото")</f>
        <v>Еще фото</v>
      </c>
      <c r="F2723" s="13"/>
      <c r="G2723" s="24" t="s">
        <v>1184</v>
      </c>
      <c r="H2723" s="24" t="s">
        <v>741</v>
      </c>
      <c r="I2723" s="24" t="s">
        <v>1185</v>
      </c>
      <c r="J2723" s="14" t="s">
        <v>29</v>
      </c>
      <c r="K2723" s="15" t="s">
        <v>59</v>
      </c>
      <c r="L2723" s="58"/>
      <c r="M2723" s="14"/>
      <c r="N2723" s="14" t="s">
        <v>229</v>
      </c>
      <c r="O2723" s="14"/>
      <c r="P2723" s="15" t="s">
        <v>745</v>
      </c>
      <c r="Q2723" s="16">
        <v>8599</v>
      </c>
      <c r="R2723" s="17">
        <v>40</v>
      </c>
      <c r="S2723" s="18">
        <v>5933.3099999999995</v>
      </c>
      <c r="T2723" s="19" t="s">
        <v>36</v>
      </c>
      <c r="U2723" s="20" t="s">
        <v>748</v>
      </c>
      <c r="V2723" s="22">
        <v>38</v>
      </c>
      <c r="W2723" s="22">
        <v>2</v>
      </c>
      <c r="X2723" s="23"/>
    </row>
    <row r="2724" spans="1:24" s="1" customFormat="1" ht="35" customHeight="1" x14ac:dyDescent="0.3">
      <c r="A2724" s="11" t="s">
        <v>23</v>
      </c>
      <c r="B2724" s="11" t="s">
        <v>2411</v>
      </c>
      <c r="C2724" s="12" t="s">
        <v>2412</v>
      </c>
      <c r="D2724" s="59"/>
      <c r="E2724" s="41" t="str">
        <f>HYPERLINK("https://www.google.ru/search?q=1369830-001&amp;newwindow=1&amp;tbm=isch","Еще фото")</f>
        <v>Еще фото</v>
      </c>
      <c r="F2724" s="13" t="s">
        <v>152</v>
      </c>
      <c r="G2724" s="11" t="s">
        <v>2413</v>
      </c>
      <c r="H2724" s="11" t="s">
        <v>721</v>
      </c>
      <c r="I2724" s="14" t="s">
        <v>2413</v>
      </c>
      <c r="J2724" s="14" t="s">
        <v>29</v>
      </c>
      <c r="K2724" s="15" t="s">
        <v>30</v>
      </c>
      <c r="L2724" s="57" t="s">
        <v>2414</v>
      </c>
      <c r="M2724" s="14"/>
      <c r="N2724" s="14" t="s">
        <v>33</v>
      </c>
      <c r="O2724" s="14"/>
      <c r="P2724" s="15" t="s">
        <v>2415</v>
      </c>
      <c r="Q2724" s="16">
        <v>4499</v>
      </c>
      <c r="R2724" s="17">
        <v>40</v>
      </c>
      <c r="S2724" s="18">
        <v>3104.31</v>
      </c>
      <c r="T2724" s="19" t="s">
        <v>36</v>
      </c>
      <c r="U2724" s="20" t="s">
        <v>39</v>
      </c>
      <c r="V2724" s="21" t="s">
        <v>2416</v>
      </c>
      <c r="W2724" s="22">
        <v>1</v>
      </c>
      <c r="X2724" s="23"/>
    </row>
    <row r="2725" spans="1:24" s="1" customFormat="1" ht="35" customHeight="1" x14ac:dyDescent="0.3">
      <c r="A2725" s="24" t="s">
        <v>23</v>
      </c>
      <c r="B2725" s="24" t="s">
        <v>2411</v>
      </c>
      <c r="C2725" s="12" t="s">
        <v>2412</v>
      </c>
      <c r="D2725" s="60"/>
      <c r="E2725" s="41" t="str">
        <f>HYPERLINK("https://www.google.ru/search?q=1369830-001&amp;newwindow=1&amp;tbm=isch","Еще фото")</f>
        <v>Еще фото</v>
      </c>
      <c r="F2725" s="13" t="s">
        <v>152</v>
      </c>
      <c r="G2725" s="24" t="s">
        <v>2413</v>
      </c>
      <c r="H2725" s="24" t="s">
        <v>721</v>
      </c>
      <c r="I2725" s="24" t="s">
        <v>2413</v>
      </c>
      <c r="J2725" s="14" t="s">
        <v>29</v>
      </c>
      <c r="K2725" s="15" t="s">
        <v>30</v>
      </c>
      <c r="L2725" s="62"/>
      <c r="M2725" s="14"/>
      <c r="N2725" s="14" t="s">
        <v>33</v>
      </c>
      <c r="O2725" s="14"/>
      <c r="P2725" s="15" t="s">
        <v>2415</v>
      </c>
      <c r="Q2725" s="16">
        <v>4499</v>
      </c>
      <c r="R2725" s="17">
        <v>40</v>
      </c>
      <c r="S2725" s="18">
        <v>3104.31</v>
      </c>
      <c r="T2725" s="19" t="s">
        <v>36</v>
      </c>
      <c r="U2725" s="20" t="s">
        <v>86</v>
      </c>
      <c r="V2725" s="21" t="s">
        <v>2417</v>
      </c>
      <c r="W2725" s="22">
        <v>19</v>
      </c>
      <c r="X2725" s="23"/>
    </row>
    <row r="2726" spans="1:24" s="1" customFormat="1" ht="37.049999999999997" customHeight="1" x14ac:dyDescent="0.3">
      <c r="A2726" s="24" t="s">
        <v>23</v>
      </c>
      <c r="B2726" s="24" t="s">
        <v>2411</v>
      </c>
      <c r="C2726" s="12" t="s">
        <v>2412</v>
      </c>
      <c r="D2726" s="61"/>
      <c r="E2726" s="41" t="str">
        <f>HYPERLINK("https://www.google.ru/search?q=1369830-001&amp;newwindow=1&amp;tbm=isch","Еще фото")</f>
        <v>Еще фото</v>
      </c>
      <c r="F2726" s="13" t="s">
        <v>152</v>
      </c>
      <c r="G2726" s="24" t="s">
        <v>2413</v>
      </c>
      <c r="H2726" s="24" t="s">
        <v>721</v>
      </c>
      <c r="I2726" s="24" t="s">
        <v>2413</v>
      </c>
      <c r="J2726" s="14" t="s">
        <v>29</v>
      </c>
      <c r="K2726" s="15" t="s">
        <v>30</v>
      </c>
      <c r="L2726" s="58"/>
      <c r="M2726" s="14"/>
      <c r="N2726" s="14" t="s">
        <v>33</v>
      </c>
      <c r="O2726" s="14"/>
      <c r="P2726" s="15" t="s">
        <v>2415</v>
      </c>
      <c r="Q2726" s="16">
        <v>4499</v>
      </c>
      <c r="R2726" s="17">
        <v>40</v>
      </c>
      <c r="S2726" s="18">
        <v>3104.31</v>
      </c>
      <c r="T2726" s="19" t="s">
        <v>36</v>
      </c>
      <c r="U2726" s="20" t="s">
        <v>88</v>
      </c>
      <c r="V2726" s="21" t="s">
        <v>2418</v>
      </c>
      <c r="W2726" s="22">
        <v>2</v>
      </c>
      <c r="X2726" s="23"/>
    </row>
    <row r="2727" spans="1:24" s="1" customFormat="1" ht="26" customHeight="1" x14ac:dyDescent="0.3">
      <c r="A2727" s="11" t="s">
        <v>23</v>
      </c>
      <c r="B2727" s="11" t="s">
        <v>2419</v>
      </c>
      <c r="C2727" s="12" t="s">
        <v>2420</v>
      </c>
      <c r="D2727" s="59"/>
      <c r="E2727" s="41" t="str">
        <f>HYPERLINK("https://www.google.ru/search?q=1373096-002&amp;newwindow=1&amp;tbm=isch","Еще фото")</f>
        <v>Еще фото</v>
      </c>
      <c r="F2727" s="13" t="s">
        <v>103</v>
      </c>
      <c r="G2727" s="11" t="s">
        <v>2413</v>
      </c>
      <c r="H2727" s="11" t="s">
        <v>721</v>
      </c>
      <c r="I2727" s="14" t="s">
        <v>2413</v>
      </c>
      <c r="J2727" s="14" t="s">
        <v>29</v>
      </c>
      <c r="K2727" s="15" t="s">
        <v>30</v>
      </c>
      <c r="L2727" s="57" t="s">
        <v>2421</v>
      </c>
      <c r="M2727" s="14" t="s">
        <v>32</v>
      </c>
      <c r="N2727" s="14" t="s">
        <v>33</v>
      </c>
      <c r="O2727" s="14"/>
      <c r="P2727" s="15" t="s">
        <v>2422</v>
      </c>
      <c r="Q2727" s="16">
        <v>5899</v>
      </c>
      <c r="R2727" s="17">
        <v>40</v>
      </c>
      <c r="S2727" s="18">
        <v>4070.31</v>
      </c>
      <c r="T2727" s="19" t="s">
        <v>36</v>
      </c>
      <c r="U2727" s="20" t="s">
        <v>37</v>
      </c>
      <c r="V2727" s="21" t="s">
        <v>2423</v>
      </c>
      <c r="W2727" s="22">
        <v>4</v>
      </c>
      <c r="X2727" s="23"/>
    </row>
    <row r="2728" spans="1:24" s="1" customFormat="1" ht="26" customHeight="1" x14ac:dyDescent="0.3">
      <c r="A2728" s="24" t="s">
        <v>23</v>
      </c>
      <c r="B2728" s="24" t="s">
        <v>2419</v>
      </c>
      <c r="C2728" s="12" t="s">
        <v>2420</v>
      </c>
      <c r="D2728" s="60"/>
      <c r="E2728" s="41" t="str">
        <f>HYPERLINK("https://www.google.ru/search?q=1373096-002&amp;newwindow=1&amp;tbm=isch","Еще фото")</f>
        <v>Еще фото</v>
      </c>
      <c r="F2728" s="13" t="s">
        <v>103</v>
      </c>
      <c r="G2728" s="24" t="s">
        <v>2413</v>
      </c>
      <c r="H2728" s="24" t="s">
        <v>721</v>
      </c>
      <c r="I2728" s="24" t="s">
        <v>2413</v>
      </c>
      <c r="J2728" s="14" t="s">
        <v>29</v>
      </c>
      <c r="K2728" s="15" t="s">
        <v>30</v>
      </c>
      <c r="L2728" s="62"/>
      <c r="M2728" s="14" t="s">
        <v>32</v>
      </c>
      <c r="N2728" s="14" t="s">
        <v>33</v>
      </c>
      <c r="O2728" s="14"/>
      <c r="P2728" s="15" t="s">
        <v>2422</v>
      </c>
      <c r="Q2728" s="16">
        <v>5899</v>
      </c>
      <c r="R2728" s="17">
        <v>40</v>
      </c>
      <c r="S2728" s="18">
        <v>4070.31</v>
      </c>
      <c r="T2728" s="19" t="s">
        <v>36</v>
      </c>
      <c r="U2728" s="20" t="s">
        <v>39</v>
      </c>
      <c r="V2728" s="21" t="s">
        <v>2416</v>
      </c>
      <c r="W2728" s="22">
        <v>4</v>
      </c>
      <c r="X2728" s="23"/>
    </row>
    <row r="2729" spans="1:24" s="1" customFormat="1" ht="26" customHeight="1" x14ac:dyDescent="0.3">
      <c r="A2729" s="24" t="s">
        <v>23</v>
      </c>
      <c r="B2729" s="24" t="s">
        <v>2419</v>
      </c>
      <c r="C2729" s="12" t="s">
        <v>2420</v>
      </c>
      <c r="D2729" s="60"/>
      <c r="E2729" s="41" t="str">
        <f>HYPERLINK("https://www.google.ru/search?q=1373096-002&amp;newwindow=1&amp;tbm=isch","Еще фото")</f>
        <v>Еще фото</v>
      </c>
      <c r="F2729" s="13" t="s">
        <v>103</v>
      </c>
      <c r="G2729" s="24" t="s">
        <v>2413</v>
      </c>
      <c r="H2729" s="24" t="s">
        <v>721</v>
      </c>
      <c r="I2729" s="24" t="s">
        <v>2413</v>
      </c>
      <c r="J2729" s="14" t="s">
        <v>29</v>
      </c>
      <c r="K2729" s="15" t="s">
        <v>30</v>
      </c>
      <c r="L2729" s="62"/>
      <c r="M2729" s="14" t="s">
        <v>32</v>
      </c>
      <c r="N2729" s="14" t="s">
        <v>33</v>
      </c>
      <c r="O2729" s="14"/>
      <c r="P2729" s="15" t="s">
        <v>2422</v>
      </c>
      <c r="Q2729" s="16">
        <v>5899</v>
      </c>
      <c r="R2729" s="17">
        <v>40</v>
      </c>
      <c r="S2729" s="18">
        <v>4070.31</v>
      </c>
      <c r="T2729" s="19" t="s">
        <v>36</v>
      </c>
      <c r="U2729" s="20" t="s">
        <v>86</v>
      </c>
      <c r="V2729" s="21" t="s">
        <v>2417</v>
      </c>
      <c r="W2729" s="22">
        <v>18</v>
      </c>
      <c r="X2729" s="23"/>
    </row>
    <row r="2730" spans="1:24" s="1" customFormat="1" ht="26" customHeight="1" x14ac:dyDescent="0.3">
      <c r="A2730" s="24" t="s">
        <v>23</v>
      </c>
      <c r="B2730" s="24" t="s">
        <v>2419</v>
      </c>
      <c r="C2730" s="12" t="s">
        <v>2420</v>
      </c>
      <c r="D2730" s="61"/>
      <c r="E2730" s="41" t="str">
        <f>HYPERLINK("https://www.google.ru/search?q=1373096-002&amp;newwindow=1&amp;tbm=isch","Еще фото")</f>
        <v>Еще фото</v>
      </c>
      <c r="F2730" s="13" t="s">
        <v>103</v>
      </c>
      <c r="G2730" s="24" t="s">
        <v>2413</v>
      </c>
      <c r="H2730" s="24" t="s">
        <v>721</v>
      </c>
      <c r="I2730" s="24" t="s">
        <v>2413</v>
      </c>
      <c r="J2730" s="14" t="s">
        <v>29</v>
      </c>
      <c r="K2730" s="15" t="s">
        <v>30</v>
      </c>
      <c r="L2730" s="58"/>
      <c r="M2730" s="14" t="s">
        <v>32</v>
      </c>
      <c r="N2730" s="14" t="s">
        <v>33</v>
      </c>
      <c r="O2730" s="14"/>
      <c r="P2730" s="15" t="s">
        <v>2422</v>
      </c>
      <c r="Q2730" s="16">
        <v>5899</v>
      </c>
      <c r="R2730" s="17">
        <v>40</v>
      </c>
      <c r="S2730" s="18">
        <v>4070.31</v>
      </c>
      <c r="T2730" s="19" t="s">
        <v>36</v>
      </c>
      <c r="U2730" s="20" t="s">
        <v>88</v>
      </c>
      <c r="V2730" s="21" t="s">
        <v>2418</v>
      </c>
      <c r="W2730" s="22">
        <v>1</v>
      </c>
      <c r="X2730" s="23"/>
    </row>
    <row r="2731" spans="1:24" s="1" customFormat="1" ht="52.05" customHeight="1" x14ac:dyDescent="0.3">
      <c r="A2731" s="11" t="s">
        <v>23</v>
      </c>
      <c r="B2731" s="11" t="s">
        <v>2424</v>
      </c>
      <c r="C2731" s="12" t="s">
        <v>2425</v>
      </c>
      <c r="D2731" s="55"/>
      <c r="E2731" s="41" t="str">
        <f>HYPERLINK("https://www.google.ru/search?q=1373157-003&amp;newwindow=1&amp;tbm=isch","Еще фото")</f>
        <v>Еще фото</v>
      </c>
      <c r="F2731" s="28" t="s">
        <v>138</v>
      </c>
      <c r="G2731" s="11" t="s">
        <v>2413</v>
      </c>
      <c r="H2731" s="11" t="s">
        <v>721</v>
      </c>
      <c r="I2731" s="14" t="s">
        <v>2413</v>
      </c>
      <c r="J2731" s="14" t="s">
        <v>43</v>
      </c>
      <c r="K2731" s="15" t="s">
        <v>30</v>
      </c>
      <c r="L2731" s="57" t="s">
        <v>2426</v>
      </c>
      <c r="M2731" s="14"/>
      <c r="N2731" s="14" t="s">
        <v>33</v>
      </c>
      <c r="O2731" s="14"/>
      <c r="P2731" s="15" t="s">
        <v>2427</v>
      </c>
      <c r="Q2731" s="16">
        <v>2599</v>
      </c>
      <c r="R2731" s="17">
        <v>40</v>
      </c>
      <c r="S2731" s="18">
        <v>1793.31</v>
      </c>
      <c r="T2731" s="19" t="s">
        <v>36</v>
      </c>
      <c r="U2731" s="20" t="s">
        <v>829</v>
      </c>
      <c r="V2731" s="21" t="s">
        <v>2428</v>
      </c>
      <c r="W2731" s="22">
        <v>16</v>
      </c>
      <c r="X2731" s="23"/>
    </row>
    <row r="2732" spans="1:24" s="1" customFormat="1" ht="61.05" customHeight="1" x14ac:dyDescent="0.3">
      <c r="A2732" s="24" t="s">
        <v>23</v>
      </c>
      <c r="B2732" s="24" t="s">
        <v>2424</v>
      </c>
      <c r="C2732" s="12" t="s">
        <v>2425</v>
      </c>
      <c r="D2732" s="56"/>
      <c r="E2732" s="41" t="str">
        <f>HYPERLINK("https://www.google.ru/search?q=1373157-003&amp;newwindow=1&amp;tbm=isch","Еще фото")</f>
        <v>Еще фото</v>
      </c>
      <c r="F2732" s="28" t="s">
        <v>138</v>
      </c>
      <c r="G2732" s="24" t="s">
        <v>2413</v>
      </c>
      <c r="H2732" s="24" t="s">
        <v>721</v>
      </c>
      <c r="I2732" s="24" t="s">
        <v>2413</v>
      </c>
      <c r="J2732" s="14" t="s">
        <v>43</v>
      </c>
      <c r="K2732" s="15" t="s">
        <v>30</v>
      </c>
      <c r="L2732" s="58"/>
      <c r="M2732" s="14"/>
      <c r="N2732" s="14" t="s">
        <v>33</v>
      </c>
      <c r="O2732" s="14"/>
      <c r="P2732" s="15" t="s">
        <v>2427</v>
      </c>
      <c r="Q2732" s="16">
        <v>2599</v>
      </c>
      <c r="R2732" s="17">
        <v>40</v>
      </c>
      <c r="S2732" s="18">
        <v>1793.31</v>
      </c>
      <c r="T2732" s="19" t="s">
        <v>36</v>
      </c>
      <c r="U2732" s="20" t="s">
        <v>734</v>
      </c>
      <c r="V2732" s="21" t="s">
        <v>2429</v>
      </c>
      <c r="W2732" s="22">
        <v>8</v>
      </c>
      <c r="X2732" s="23"/>
    </row>
    <row r="2733" spans="1:24" s="1" customFormat="1" ht="52.05" customHeight="1" x14ac:dyDescent="0.3">
      <c r="A2733" s="11" t="s">
        <v>23</v>
      </c>
      <c r="B2733" s="11" t="s">
        <v>2424</v>
      </c>
      <c r="C2733" s="12" t="s">
        <v>2430</v>
      </c>
      <c r="D2733" s="55"/>
      <c r="E2733" s="41" t="str">
        <f>HYPERLINK("https://www.google.ru/search?q=1373157-013&amp;newwindow=1&amp;tbm=isch","Еще фото")</f>
        <v>Еще фото</v>
      </c>
      <c r="F2733" s="13" t="s">
        <v>103</v>
      </c>
      <c r="G2733" s="11" t="s">
        <v>2413</v>
      </c>
      <c r="H2733" s="11" t="s">
        <v>721</v>
      </c>
      <c r="I2733" s="14" t="s">
        <v>2413</v>
      </c>
      <c r="J2733" s="14" t="s">
        <v>43</v>
      </c>
      <c r="K2733" s="15" t="s">
        <v>30</v>
      </c>
      <c r="L2733" s="57" t="s">
        <v>2426</v>
      </c>
      <c r="M2733" s="14"/>
      <c r="N2733" s="14" t="s">
        <v>62</v>
      </c>
      <c r="O2733" s="14"/>
      <c r="P2733" s="15" t="s">
        <v>2427</v>
      </c>
      <c r="Q2733" s="16">
        <v>2699</v>
      </c>
      <c r="R2733" s="17">
        <v>40</v>
      </c>
      <c r="S2733" s="18">
        <v>1862.31</v>
      </c>
      <c r="T2733" s="19" t="s">
        <v>36</v>
      </c>
      <c r="U2733" s="20" t="s">
        <v>829</v>
      </c>
      <c r="V2733" s="21" t="s">
        <v>2428</v>
      </c>
      <c r="W2733" s="22">
        <v>8</v>
      </c>
      <c r="X2733" s="23"/>
    </row>
    <row r="2734" spans="1:24" s="1" customFormat="1" ht="61.05" customHeight="1" x14ac:dyDescent="0.3">
      <c r="A2734" s="24" t="s">
        <v>23</v>
      </c>
      <c r="B2734" s="24" t="s">
        <v>2424</v>
      </c>
      <c r="C2734" s="12" t="s">
        <v>2430</v>
      </c>
      <c r="D2734" s="56"/>
      <c r="E2734" s="41" t="str">
        <f>HYPERLINK("https://www.google.ru/search?q=1373157-013&amp;newwindow=1&amp;tbm=isch","Еще фото")</f>
        <v>Еще фото</v>
      </c>
      <c r="F2734" s="13" t="s">
        <v>103</v>
      </c>
      <c r="G2734" s="24" t="s">
        <v>2413</v>
      </c>
      <c r="H2734" s="24" t="s">
        <v>721</v>
      </c>
      <c r="I2734" s="24" t="s">
        <v>2413</v>
      </c>
      <c r="J2734" s="14" t="s">
        <v>43</v>
      </c>
      <c r="K2734" s="15" t="s">
        <v>30</v>
      </c>
      <c r="L2734" s="58"/>
      <c r="M2734" s="14"/>
      <c r="N2734" s="14" t="s">
        <v>62</v>
      </c>
      <c r="O2734" s="14"/>
      <c r="P2734" s="15" t="s">
        <v>2427</v>
      </c>
      <c r="Q2734" s="16">
        <v>2699</v>
      </c>
      <c r="R2734" s="17">
        <v>40</v>
      </c>
      <c r="S2734" s="18">
        <v>1862.31</v>
      </c>
      <c r="T2734" s="19" t="s">
        <v>36</v>
      </c>
      <c r="U2734" s="20" t="s">
        <v>734</v>
      </c>
      <c r="V2734" s="21" t="s">
        <v>2429</v>
      </c>
      <c r="W2734" s="22">
        <v>8</v>
      </c>
      <c r="X2734" s="23"/>
    </row>
    <row r="2735" spans="1:24" s="1" customFormat="1" ht="108" customHeight="1" x14ac:dyDescent="0.3">
      <c r="A2735" s="11" t="s">
        <v>23</v>
      </c>
      <c r="B2735" s="11" t="s">
        <v>2424</v>
      </c>
      <c r="C2735" s="12" t="s">
        <v>2431</v>
      </c>
      <c r="D2735" s="25"/>
      <c r="E2735" s="41" t="str">
        <f>HYPERLINK("https://www.google.ru/search?q=1373158-002&amp;newwindow=1&amp;tbm=isch","Еще фото")</f>
        <v>Еще фото</v>
      </c>
      <c r="F2735" s="13" t="s">
        <v>103</v>
      </c>
      <c r="G2735" s="11" t="s">
        <v>2413</v>
      </c>
      <c r="H2735" s="11" t="s">
        <v>721</v>
      </c>
      <c r="I2735" s="14" t="s">
        <v>2413</v>
      </c>
      <c r="J2735" s="14" t="s">
        <v>29</v>
      </c>
      <c r="K2735" s="15" t="s">
        <v>59</v>
      </c>
      <c r="L2735" s="14" t="s">
        <v>2432</v>
      </c>
      <c r="M2735" s="14"/>
      <c r="N2735" s="14" t="s">
        <v>33</v>
      </c>
      <c r="O2735" s="14"/>
      <c r="P2735" s="15" t="s">
        <v>2427</v>
      </c>
      <c r="Q2735" s="16">
        <v>2899</v>
      </c>
      <c r="R2735" s="17">
        <v>40</v>
      </c>
      <c r="S2735" s="18">
        <v>2000.31</v>
      </c>
      <c r="T2735" s="19" t="s">
        <v>36</v>
      </c>
      <c r="U2735" s="20" t="s">
        <v>734</v>
      </c>
      <c r="V2735" s="21" t="s">
        <v>734</v>
      </c>
      <c r="W2735" s="22">
        <v>3</v>
      </c>
      <c r="X2735" s="23"/>
    </row>
    <row r="2736" spans="1:24" s="1" customFormat="1" ht="52.05" customHeight="1" x14ac:dyDescent="0.3">
      <c r="A2736" s="11" t="s">
        <v>23</v>
      </c>
      <c r="B2736" s="11" t="s">
        <v>2433</v>
      </c>
      <c r="C2736" s="12" t="s">
        <v>2434</v>
      </c>
      <c r="D2736" s="55"/>
      <c r="E2736" s="41" t="str">
        <f>HYPERLINK("https://www.google.ru/search?q=1378755-001&amp;newwindow=1&amp;tbm=isch","Еще фото")</f>
        <v>Еще фото</v>
      </c>
      <c r="F2736" s="13"/>
      <c r="G2736" s="11" t="s">
        <v>2413</v>
      </c>
      <c r="H2736" s="11" t="s">
        <v>721</v>
      </c>
      <c r="I2736" s="14" t="s">
        <v>2413</v>
      </c>
      <c r="J2736" s="14" t="s">
        <v>29</v>
      </c>
      <c r="K2736" s="15" t="s">
        <v>30</v>
      </c>
      <c r="L2736" s="57" t="s">
        <v>2435</v>
      </c>
      <c r="M2736" s="14"/>
      <c r="N2736" s="14" t="s">
        <v>33</v>
      </c>
      <c r="O2736" s="14"/>
      <c r="P2736" s="15" t="s">
        <v>2436</v>
      </c>
      <c r="Q2736" s="16">
        <v>6199</v>
      </c>
      <c r="R2736" s="17">
        <v>40</v>
      </c>
      <c r="S2736" s="18">
        <v>4277.3099999999995</v>
      </c>
      <c r="T2736" s="19" t="s">
        <v>36</v>
      </c>
      <c r="U2736" s="20" t="s">
        <v>829</v>
      </c>
      <c r="V2736" s="21" t="s">
        <v>2428</v>
      </c>
      <c r="W2736" s="22">
        <v>9</v>
      </c>
      <c r="X2736" s="23"/>
    </row>
    <row r="2737" spans="1:24" s="1" customFormat="1" ht="61.05" customHeight="1" x14ac:dyDescent="0.3">
      <c r="A2737" s="24" t="s">
        <v>23</v>
      </c>
      <c r="B2737" s="24" t="s">
        <v>2433</v>
      </c>
      <c r="C2737" s="12" t="s">
        <v>2434</v>
      </c>
      <c r="D2737" s="56"/>
      <c r="E2737" s="41" t="str">
        <f>HYPERLINK("https://www.google.ru/search?q=1378755-001&amp;newwindow=1&amp;tbm=isch","Еще фото")</f>
        <v>Еще фото</v>
      </c>
      <c r="F2737" s="13"/>
      <c r="G2737" s="24" t="s">
        <v>2413</v>
      </c>
      <c r="H2737" s="24" t="s">
        <v>721</v>
      </c>
      <c r="I2737" s="24" t="s">
        <v>2413</v>
      </c>
      <c r="J2737" s="14" t="s">
        <v>29</v>
      </c>
      <c r="K2737" s="15" t="s">
        <v>30</v>
      </c>
      <c r="L2737" s="58"/>
      <c r="M2737" s="14"/>
      <c r="N2737" s="14" t="s">
        <v>33</v>
      </c>
      <c r="O2737" s="14"/>
      <c r="P2737" s="15" t="s">
        <v>2436</v>
      </c>
      <c r="Q2737" s="16">
        <v>6199</v>
      </c>
      <c r="R2737" s="17">
        <v>40</v>
      </c>
      <c r="S2737" s="18">
        <v>4277.3099999999995</v>
      </c>
      <c r="T2737" s="19" t="s">
        <v>36</v>
      </c>
      <c r="U2737" s="20" t="s">
        <v>734</v>
      </c>
      <c r="V2737" s="21" t="s">
        <v>2429</v>
      </c>
      <c r="W2737" s="22">
        <v>5</v>
      </c>
      <c r="X2737" s="23"/>
    </row>
    <row r="2738" spans="1:24" s="1" customFormat="1" ht="14" customHeight="1" x14ac:dyDescent="0.3">
      <c r="A2738" s="11" t="s">
        <v>23</v>
      </c>
      <c r="B2738" s="11" t="s">
        <v>2437</v>
      </c>
      <c r="C2738" s="12" t="s">
        <v>2438</v>
      </c>
      <c r="D2738" s="59"/>
      <c r="E2738" s="41" t="str">
        <f t="shared" ref="E2738:E2744" si="126">HYPERLINK("https://www.google.ru/search?q=3028424-102&amp;newwindow=1&amp;tbm=isch","Еще фото")</f>
        <v>Еще фото</v>
      </c>
      <c r="F2738" s="13"/>
      <c r="G2738" s="11" t="s">
        <v>1184</v>
      </c>
      <c r="H2738" s="11" t="s">
        <v>741</v>
      </c>
      <c r="I2738" s="14" t="s">
        <v>2439</v>
      </c>
      <c r="J2738" s="14" t="s">
        <v>43</v>
      </c>
      <c r="K2738" s="15" t="s">
        <v>30</v>
      </c>
      <c r="L2738" s="57" t="s">
        <v>2440</v>
      </c>
      <c r="M2738" s="14"/>
      <c r="N2738" s="14" t="s">
        <v>84</v>
      </c>
      <c r="O2738" s="14"/>
      <c r="P2738" s="15" t="s">
        <v>2441</v>
      </c>
      <c r="Q2738" s="16">
        <v>14699</v>
      </c>
      <c r="R2738" s="17">
        <v>55.73</v>
      </c>
      <c r="S2738" s="18">
        <v>7483.9354999999996</v>
      </c>
      <c r="T2738" s="19" t="s">
        <v>36</v>
      </c>
      <c r="U2738" s="20" t="s">
        <v>748</v>
      </c>
      <c r="V2738" s="22">
        <v>40</v>
      </c>
      <c r="W2738" s="22">
        <v>6</v>
      </c>
      <c r="X2738" s="23"/>
    </row>
    <row r="2739" spans="1:24" s="1" customFormat="1" ht="14" customHeight="1" x14ac:dyDescent="0.3">
      <c r="A2739" s="24" t="s">
        <v>23</v>
      </c>
      <c r="B2739" s="24" t="s">
        <v>2437</v>
      </c>
      <c r="C2739" s="12" t="s">
        <v>2438</v>
      </c>
      <c r="D2739" s="60"/>
      <c r="E2739" s="41" t="str">
        <f t="shared" si="126"/>
        <v>Еще фото</v>
      </c>
      <c r="F2739" s="13"/>
      <c r="G2739" s="24" t="s">
        <v>1184</v>
      </c>
      <c r="H2739" s="24" t="s">
        <v>741</v>
      </c>
      <c r="I2739" s="24" t="s">
        <v>2439</v>
      </c>
      <c r="J2739" s="14" t="s">
        <v>43</v>
      </c>
      <c r="K2739" s="15" t="s">
        <v>30</v>
      </c>
      <c r="L2739" s="62"/>
      <c r="M2739" s="14"/>
      <c r="N2739" s="14" t="s">
        <v>84</v>
      </c>
      <c r="O2739" s="14"/>
      <c r="P2739" s="15" t="s">
        <v>2441</v>
      </c>
      <c r="Q2739" s="16">
        <v>14699</v>
      </c>
      <c r="R2739" s="17">
        <v>55.73</v>
      </c>
      <c r="S2739" s="18">
        <v>7483.9354999999996</v>
      </c>
      <c r="T2739" s="19" t="s">
        <v>36</v>
      </c>
      <c r="U2739" s="20" t="s">
        <v>749</v>
      </c>
      <c r="V2739" s="22">
        <v>41</v>
      </c>
      <c r="W2739" s="22">
        <v>13</v>
      </c>
      <c r="X2739" s="23"/>
    </row>
    <row r="2740" spans="1:24" s="1" customFormat="1" ht="14" customHeight="1" x14ac:dyDescent="0.3">
      <c r="A2740" s="24" t="s">
        <v>23</v>
      </c>
      <c r="B2740" s="24" t="s">
        <v>2437</v>
      </c>
      <c r="C2740" s="12" t="s">
        <v>2438</v>
      </c>
      <c r="D2740" s="60"/>
      <c r="E2740" s="41" t="str">
        <f t="shared" si="126"/>
        <v>Еще фото</v>
      </c>
      <c r="F2740" s="13"/>
      <c r="G2740" s="24" t="s">
        <v>1184</v>
      </c>
      <c r="H2740" s="24" t="s">
        <v>741</v>
      </c>
      <c r="I2740" s="24" t="s">
        <v>2439</v>
      </c>
      <c r="J2740" s="14" t="s">
        <v>43</v>
      </c>
      <c r="K2740" s="15" t="s">
        <v>30</v>
      </c>
      <c r="L2740" s="62"/>
      <c r="M2740" s="14"/>
      <c r="N2740" s="14" t="s">
        <v>84</v>
      </c>
      <c r="O2740" s="14"/>
      <c r="P2740" s="15" t="s">
        <v>2441</v>
      </c>
      <c r="Q2740" s="16">
        <v>14699</v>
      </c>
      <c r="R2740" s="17">
        <v>55.73</v>
      </c>
      <c r="S2740" s="18">
        <v>7483.9354999999996</v>
      </c>
      <c r="T2740" s="19" t="s">
        <v>36</v>
      </c>
      <c r="U2740" s="20" t="s">
        <v>750</v>
      </c>
      <c r="V2740" s="34">
        <v>41.5</v>
      </c>
      <c r="W2740" s="22">
        <v>9</v>
      </c>
      <c r="X2740" s="23"/>
    </row>
    <row r="2741" spans="1:24" s="1" customFormat="1" ht="14" customHeight="1" x14ac:dyDescent="0.3">
      <c r="A2741" s="24" t="s">
        <v>23</v>
      </c>
      <c r="B2741" s="24" t="s">
        <v>2437</v>
      </c>
      <c r="C2741" s="12" t="s">
        <v>2438</v>
      </c>
      <c r="D2741" s="60"/>
      <c r="E2741" s="41" t="str">
        <f t="shared" si="126"/>
        <v>Еще фото</v>
      </c>
      <c r="F2741" s="13"/>
      <c r="G2741" s="24" t="s">
        <v>1184</v>
      </c>
      <c r="H2741" s="24" t="s">
        <v>741</v>
      </c>
      <c r="I2741" s="24" t="s">
        <v>2439</v>
      </c>
      <c r="J2741" s="14" t="s">
        <v>43</v>
      </c>
      <c r="K2741" s="15" t="s">
        <v>30</v>
      </c>
      <c r="L2741" s="62"/>
      <c r="M2741" s="14"/>
      <c r="N2741" s="14" t="s">
        <v>84</v>
      </c>
      <c r="O2741" s="14"/>
      <c r="P2741" s="15" t="s">
        <v>2441</v>
      </c>
      <c r="Q2741" s="16">
        <v>14699</v>
      </c>
      <c r="R2741" s="17">
        <v>55.73</v>
      </c>
      <c r="S2741" s="18">
        <v>7483.9354999999996</v>
      </c>
      <c r="T2741" s="19" t="s">
        <v>36</v>
      </c>
      <c r="U2741" s="20" t="s">
        <v>751</v>
      </c>
      <c r="V2741" s="22">
        <v>42</v>
      </c>
      <c r="W2741" s="22">
        <v>6</v>
      </c>
      <c r="X2741" s="23"/>
    </row>
    <row r="2742" spans="1:24" s="1" customFormat="1" ht="14" customHeight="1" x14ac:dyDescent="0.3">
      <c r="A2742" s="24" t="s">
        <v>23</v>
      </c>
      <c r="B2742" s="24" t="s">
        <v>2437</v>
      </c>
      <c r="C2742" s="12" t="s">
        <v>2438</v>
      </c>
      <c r="D2742" s="60"/>
      <c r="E2742" s="41" t="str">
        <f t="shared" si="126"/>
        <v>Еще фото</v>
      </c>
      <c r="F2742" s="13"/>
      <c r="G2742" s="24" t="s">
        <v>1184</v>
      </c>
      <c r="H2742" s="24" t="s">
        <v>741</v>
      </c>
      <c r="I2742" s="24" t="s">
        <v>2439</v>
      </c>
      <c r="J2742" s="14" t="s">
        <v>43</v>
      </c>
      <c r="K2742" s="15" t="s">
        <v>30</v>
      </c>
      <c r="L2742" s="62"/>
      <c r="M2742" s="14"/>
      <c r="N2742" s="14" t="s">
        <v>84</v>
      </c>
      <c r="O2742" s="14"/>
      <c r="P2742" s="15" t="s">
        <v>2441</v>
      </c>
      <c r="Q2742" s="16">
        <v>14699</v>
      </c>
      <c r="R2742" s="17">
        <v>55.73</v>
      </c>
      <c r="S2742" s="18">
        <v>7483.9354999999996</v>
      </c>
      <c r="T2742" s="19" t="s">
        <v>36</v>
      </c>
      <c r="U2742" s="20" t="s">
        <v>752</v>
      </c>
      <c r="V2742" s="22">
        <v>43</v>
      </c>
      <c r="W2742" s="22">
        <v>9</v>
      </c>
      <c r="X2742" s="23"/>
    </row>
    <row r="2743" spans="1:24" s="1" customFormat="1" ht="14" customHeight="1" x14ac:dyDescent="0.3">
      <c r="A2743" s="24" t="s">
        <v>23</v>
      </c>
      <c r="B2743" s="24" t="s">
        <v>2437</v>
      </c>
      <c r="C2743" s="12" t="s">
        <v>2438</v>
      </c>
      <c r="D2743" s="60"/>
      <c r="E2743" s="41" t="str">
        <f t="shared" si="126"/>
        <v>Еще фото</v>
      </c>
      <c r="F2743" s="13"/>
      <c r="G2743" s="24" t="s">
        <v>1184</v>
      </c>
      <c r="H2743" s="24" t="s">
        <v>741</v>
      </c>
      <c r="I2743" s="24" t="s">
        <v>2439</v>
      </c>
      <c r="J2743" s="14" t="s">
        <v>43</v>
      </c>
      <c r="K2743" s="15" t="s">
        <v>30</v>
      </c>
      <c r="L2743" s="62"/>
      <c r="M2743" s="14"/>
      <c r="N2743" s="14" t="s">
        <v>84</v>
      </c>
      <c r="O2743" s="14"/>
      <c r="P2743" s="15" t="s">
        <v>2441</v>
      </c>
      <c r="Q2743" s="16">
        <v>14699</v>
      </c>
      <c r="R2743" s="17">
        <v>55.73</v>
      </c>
      <c r="S2743" s="18">
        <v>7483.9354999999996</v>
      </c>
      <c r="T2743" s="19" t="s">
        <v>36</v>
      </c>
      <c r="U2743" s="20" t="s">
        <v>753</v>
      </c>
      <c r="V2743" s="34">
        <v>43.5</v>
      </c>
      <c r="W2743" s="22">
        <v>4</v>
      </c>
      <c r="X2743" s="23"/>
    </row>
    <row r="2744" spans="1:24" s="1" customFormat="1" ht="17" customHeight="1" x14ac:dyDescent="0.3">
      <c r="A2744" s="24" t="s">
        <v>23</v>
      </c>
      <c r="B2744" s="24" t="s">
        <v>2437</v>
      </c>
      <c r="C2744" s="12" t="s">
        <v>2438</v>
      </c>
      <c r="D2744" s="61"/>
      <c r="E2744" s="41" t="str">
        <f t="shared" si="126"/>
        <v>Еще фото</v>
      </c>
      <c r="F2744" s="13"/>
      <c r="G2744" s="24" t="s">
        <v>1184</v>
      </c>
      <c r="H2744" s="24" t="s">
        <v>741</v>
      </c>
      <c r="I2744" s="24" t="s">
        <v>2439</v>
      </c>
      <c r="J2744" s="14" t="s">
        <v>43</v>
      </c>
      <c r="K2744" s="15" t="s">
        <v>30</v>
      </c>
      <c r="L2744" s="58"/>
      <c r="M2744" s="14"/>
      <c r="N2744" s="14" t="s">
        <v>84</v>
      </c>
      <c r="O2744" s="14"/>
      <c r="P2744" s="15" t="s">
        <v>2441</v>
      </c>
      <c r="Q2744" s="16">
        <v>14699</v>
      </c>
      <c r="R2744" s="17">
        <v>55.73</v>
      </c>
      <c r="S2744" s="18">
        <v>7483.9354999999996</v>
      </c>
      <c r="T2744" s="19" t="s">
        <v>36</v>
      </c>
      <c r="U2744" s="20" t="s">
        <v>754</v>
      </c>
      <c r="V2744" s="22">
        <v>44</v>
      </c>
      <c r="W2744" s="22">
        <v>5</v>
      </c>
      <c r="X2744" s="23"/>
    </row>
    <row r="2745" spans="1:24" s="1" customFormat="1" ht="108" customHeight="1" x14ac:dyDescent="0.3">
      <c r="A2745" s="11" t="s">
        <v>23</v>
      </c>
      <c r="B2745" s="11" t="s">
        <v>2442</v>
      </c>
      <c r="C2745" s="12" t="s">
        <v>2443</v>
      </c>
      <c r="D2745" s="25"/>
      <c r="E2745" s="41" t="str">
        <f>HYPERLINK("https://www.google.ru/search?q=3024189-003&amp;newwindow=1&amp;tbm=isch","Еще фото")</f>
        <v>Еще фото</v>
      </c>
      <c r="F2745" s="13"/>
      <c r="G2745" s="11" t="s">
        <v>1184</v>
      </c>
      <c r="H2745" s="11" t="s">
        <v>741</v>
      </c>
      <c r="I2745" s="14" t="s">
        <v>2439</v>
      </c>
      <c r="J2745" s="14" t="s">
        <v>43</v>
      </c>
      <c r="K2745" s="15" t="s">
        <v>59</v>
      </c>
      <c r="L2745" s="14" t="s">
        <v>2444</v>
      </c>
      <c r="M2745" s="14" t="s">
        <v>1274</v>
      </c>
      <c r="N2745" s="14" t="s">
        <v>33</v>
      </c>
      <c r="O2745" s="14" t="s">
        <v>34</v>
      </c>
      <c r="P2745" s="15" t="s">
        <v>2445</v>
      </c>
      <c r="Q2745" s="16">
        <v>10999</v>
      </c>
      <c r="R2745" s="17">
        <v>55.65</v>
      </c>
      <c r="S2745" s="18">
        <v>5609.4355000000005</v>
      </c>
      <c r="T2745" s="19" t="s">
        <v>36</v>
      </c>
      <c r="U2745" s="20" t="s">
        <v>1196</v>
      </c>
      <c r="V2745" s="34">
        <v>36.5</v>
      </c>
      <c r="W2745" s="22">
        <v>2</v>
      </c>
      <c r="X2745" s="23"/>
    </row>
    <row r="2746" spans="1:24" s="1" customFormat="1" ht="14" customHeight="1" x14ac:dyDescent="0.3">
      <c r="A2746" s="11" t="s">
        <v>23</v>
      </c>
      <c r="B2746" s="11" t="s">
        <v>2446</v>
      </c>
      <c r="C2746" s="12" t="s">
        <v>2447</v>
      </c>
      <c r="D2746" s="59"/>
      <c r="E2746" s="41" t="str">
        <f t="shared" ref="E2746:E2752" si="127">HYPERLINK("https://www.google.ru/search?q=3024911-601&amp;newwindow=1&amp;tbm=isch","Еще фото")</f>
        <v>Еще фото</v>
      </c>
      <c r="F2746" s="13"/>
      <c r="G2746" s="11" t="s">
        <v>1184</v>
      </c>
      <c r="H2746" s="11" t="s">
        <v>741</v>
      </c>
      <c r="I2746" s="14" t="s">
        <v>2439</v>
      </c>
      <c r="J2746" s="14" t="s">
        <v>43</v>
      </c>
      <c r="K2746" s="15" t="s">
        <v>59</v>
      </c>
      <c r="L2746" s="57" t="s">
        <v>2448</v>
      </c>
      <c r="M2746" s="14" t="s">
        <v>2449</v>
      </c>
      <c r="N2746" s="14" t="s">
        <v>69</v>
      </c>
      <c r="O2746" s="14"/>
      <c r="P2746" s="15" t="s">
        <v>2450</v>
      </c>
      <c r="Q2746" s="16">
        <v>17999</v>
      </c>
      <c r="R2746" s="17">
        <v>52.4</v>
      </c>
      <c r="S2746" s="18">
        <v>9852.9354999999996</v>
      </c>
      <c r="T2746" s="19" t="s">
        <v>36</v>
      </c>
      <c r="U2746" s="20" t="s">
        <v>1203</v>
      </c>
      <c r="V2746" s="22">
        <v>36</v>
      </c>
      <c r="W2746" s="22">
        <v>9</v>
      </c>
      <c r="X2746" s="23"/>
    </row>
    <row r="2747" spans="1:24" s="1" customFormat="1" ht="14" customHeight="1" x14ac:dyDescent="0.3">
      <c r="A2747" s="24" t="s">
        <v>23</v>
      </c>
      <c r="B2747" s="24" t="s">
        <v>2446</v>
      </c>
      <c r="C2747" s="12" t="s">
        <v>2447</v>
      </c>
      <c r="D2747" s="60"/>
      <c r="E2747" s="41" t="str">
        <f t="shared" si="127"/>
        <v>Еще фото</v>
      </c>
      <c r="F2747" s="13"/>
      <c r="G2747" s="24" t="s">
        <v>1184</v>
      </c>
      <c r="H2747" s="24" t="s">
        <v>741</v>
      </c>
      <c r="I2747" s="24" t="s">
        <v>2439</v>
      </c>
      <c r="J2747" s="14" t="s">
        <v>43</v>
      </c>
      <c r="K2747" s="15" t="s">
        <v>59</v>
      </c>
      <c r="L2747" s="62"/>
      <c r="M2747" s="14" t="s">
        <v>2449</v>
      </c>
      <c r="N2747" s="14" t="s">
        <v>69</v>
      </c>
      <c r="O2747" s="14"/>
      <c r="P2747" s="15" t="s">
        <v>2450</v>
      </c>
      <c r="Q2747" s="16">
        <v>17999</v>
      </c>
      <c r="R2747" s="17">
        <v>52.4</v>
      </c>
      <c r="S2747" s="18">
        <v>9852.9354999999996</v>
      </c>
      <c r="T2747" s="19" t="s">
        <v>36</v>
      </c>
      <c r="U2747" s="20" t="s">
        <v>1196</v>
      </c>
      <c r="V2747" s="34">
        <v>36.5</v>
      </c>
      <c r="W2747" s="22">
        <v>16</v>
      </c>
      <c r="X2747" s="23"/>
    </row>
    <row r="2748" spans="1:24" s="1" customFormat="1" ht="14" customHeight="1" x14ac:dyDescent="0.3">
      <c r="A2748" s="24" t="s">
        <v>23</v>
      </c>
      <c r="B2748" s="24" t="s">
        <v>2446</v>
      </c>
      <c r="C2748" s="12" t="s">
        <v>2447</v>
      </c>
      <c r="D2748" s="60"/>
      <c r="E2748" s="41" t="str">
        <f t="shared" si="127"/>
        <v>Еще фото</v>
      </c>
      <c r="F2748" s="13"/>
      <c r="G2748" s="24" t="s">
        <v>1184</v>
      </c>
      <c r="H2748" s="24" t="s">
        <v>741</v>
      </c>
      <c r="I2748" s="24" t="s">
        <v>2439</v>
      </c>
      <c r="J2748" s="14" t="s">
        <v>43</v>
      </c>
      <c r="K2748" s="15" t="s">
        <v>59</v>
      </c>
      <c r="L2748" s="62"/>
      <c r="M2748" s="14" t="s">
        <v>2449</v>
      </c>
      <c r="N2748" s="14" t="s">
        <v>69</v>
      </c>
      <c r="O2748" s="14"/>
      <c r="P2748" s="15" t="s">
        <v>2450</v>
      </c>
      <c r="Q2748" s="16">
        <v>17999</v>
      </c>
      <c r="R2748" s="17">
        <v>52.4</v>
      </c>
      <c r="S2748" s="18">
        <v>9852.9354999999996</v>
      </c>
      <c r="T2748" s="19" t="s">
        <v>36</v>
      </c>
      <c r="U2748" s="20" t="s">
        <v>746</v>
      </c>
      <c r="V2748" s="22">
        <v>37</v>
      </c>
      <c r="W2748" s="22">
        <v>16</v>
      </c>
      <c r="X2748" s="23"/>
    </row>
    <row r="2749" spans="1:24" s="1" customFormat="1" ht="14" customHeight="1" x14ac:dyDescent="0.3">
      <c r="A2749" s="24" t="s">
        <v>23</v>
      </c>
      <c r="B2749" s="24" t="s">
        <v>2446</v>
      </c>
      <c r="C2749" s="12" t="s">
        <v>2447</v>
      </c>
      <c r="D2749" s="60"/>
      <c r="E2749" s="41" t="str">
        <f t="shared" si="127"/>
        <v>Еще фото</v>
      </c>
      <c r="F2749" s="13"/>
      <c r="G2749" s="24" t="s">
        <v>1184</v>
      </c>
      <c r="H2749" s="24" t="s">
        <v>741</v>
      </c>
      <c r="I2749" s="24" t="s">
        <v>2439</v>
      </c>
      <c r="J2749" s="14" t="s">
        <v>43</v>
      </c>
      <c r="K2749" s="15" t="s">
        <v>59</v>
      </c>
      <c r="L2749" s="62"/>
      <c r="M2749" s="14" t="s">
        <v>2449</v>
      </c>
      <c r="N2749" s="14" t="s">
        <v>69</v>
      </c>
      <c r="O2749" s="14"/>
      <c r="P2749" s="15" t="s">
        <v>2450</v>
      </c>
      <c r="Q2749" s="16">
        <v>17999</v>
      </c>
      <c r="R2749" s="17">
        <v>52.4</v>
      </c>
      <c r="S2749" s="18">
        <v>9852.9354999999996</v>
      </c>
      <c r="T2749" s="19" t="s">
        <v>36</v>
      </c>
      <c r="U2749" s="20" t="s">
        <v>747</v>
      </c>
      <c r="V2749" s="34">
        <v>37.5</v>
      </c>
      <c r="W2749" s="22">
        <v>17</v>
      </c>
      <c r="X2749" s="23"/>
    </row>
    <row r="2750" spans="1:24" s="1" customFormat="1" ht="14" customHeight="1" x14ac:dyDescent="0.3">
      <c r="A2750" s="24" t="s">
        <v>23</v>
      </c>
      <c r="B2750" s="24" t="s">
        <v>2446</v>
      </c>
      <c r="C2750" s="12" t="s">
        <v>2447</v>
      </c>
      <c r="D2750" s="60"/>
      <c r="E2750" s="41" t="str">
        <f t="shared" si="127"/>
        <v>Еще фото</v>
      </c>
      <c r="F2750" s="13"/>
      <c r="G2750" s="24" t="s">
        <v>1184</v>
      </c>
      <c r="H2750" s="24" t="s">
        <v>741</v>
      </c>
      <c r="I2750" s="24" t="s">
        <v>2439</v>
      </c>
      <c r="J2750" s="14" t="s">
        <v>43</v>
      </c>
      <c r="K2750" s="15" t="s">
        <v>59</v>
      </c>
      <c r="L2750" s="62"/>
      <c r="M2750" s="14" t="s">
        <v>2449</v>
      </c>
      <c r="N2750" s="14" t="s">
        <v>69</v>
      </c>
      <c r="O2750" s="14"/>
      <c r="P2750" s="15" t="s">
        <v>2450</v>
      </c>
      <c r="Q2750" s="16">
        <v>17999</v>
      </c>
      <c r="R2750" s="17">
        <v>52.4</v>
      </c>
      <c r="S2750" s="18">
        <v>9852.9354999999996</v>
      </c>
      <c r="T2750" s="19" t="s">
        <v>36</v>
      </c>
      <c r="U2750" s="20" t="s">
        <v>748</v>
      </c>
      <c r="V2750" s="22">
        <v>38</v>
      </c>
      <c r="W2750" s="22">
        <v>14</v>
      </c>
      <c r="X2750" s="23"/>
    </row>
    <row r="2751" spans="1:24" s="1" customFormat="1" ht="14" customHeight="1" x14ac:dyDescent="0.3">
      <c r="A2751" s="24" t="s">
        <v>23</v>
      </c>
      <c r="B2751" s="24" t="s">
        <v>2446</v>
      </c>
      <c r="C2751" s="12" t="s">
        <v>2447</v>
      </c>
      <c r="D2751" s="60"/>
      <c r="E2751" s="41" t="str">
        <f t="shared" si="127"/>
        <v>Еще фото</v>
      </c>
      <c r="F2751" s="13"/>
      <c r="G2751" s="24" t="s">
        <v>1184</v>
      </c>
      <c r="H2751" s="24" t="s">
        <v>741</v>
      </c>
      <c r="I2751" s="24" t="s">
        <v>2439</v>
      </c>
      <c r="J2751" s="14" t="s">
        <v>43</v>
      </c>
      <c r="K2751" s="15" t="s">
        <v>59</v>
      </c>
      <c r="L2751" s="62"/>
      <c r="M2751" s="14" t="s">
        <v>2449</v>
      </c>
      <c r="N2751" s="14" t="s">
        <v>69</v>
      </c>
      <c r="O2751" s="14"/>
      <c r="P2751" s="15" t="s">
        <v>2450</v>
      </c>
      <c r="Q2751" s="16">
        <v>17999</v>
      </c>
      <c r="R2751" s="17">
        <v>52.4</v>
      </c>
      <c r="S2751" s="18">
        <v>9852.9354999999996</v>
      </c>
      <c r="T2751" s="19" t="s">
        <v>36</v>
      </c>
      <c r="U2751" s="20" t="s">
        <v>749</v>
      </c>
      <c r="V2751" s="22">
        <v>39</v>
      </c>
      <c r="W2751" s="22">
        <v>4</v>
      </c>
      <c r="X2751" s="23"/>
    </row>
    <row r="2752" spans="1:24" s="1" customFormat="1" ht="17" customHeight="1" x14ac:dyDescent="0.3">
      <c r="A2752" s="24" t="s">
        <v>23</v>
      </c>
      <c r="B2752" s="24" t="s">
        <v>2446</v>
      </c>
      <c r="C2752" s="12" t="s">
        <v>2447</v>
      </c>
      <c r="D2752" s="61"/>
      <c r="E2752" s="41" t="str">
        <f t="shared" si="127"/>
        <v>Еще фото</v>
      </c>
      <c r="F2752" s="13"/>
      <c r="G2752" s="24" t="s">
        <v>1184</v>
      </c>
      <c r="H2752" s="24" t="s">
        <v>741</v>
      </c>
      <c r="I2752" s="24" t="s">
        <v>2439</v>
      </c>
      <c r="J2752" s="14" t="s">
        <v>43</v>
      </c>
      <c r="K2752" s="15" t="s">
        <v>59</v>
      </c>
      <c r="L2752" s="58"/>
      <c r="M2752" s="14" t="s">
        <v>2449</v>
      </c>
      <c r="N2752" s="14" t="s">
        <v>69</v>
      </c>
      <c r="O2752" s="14"/>
      <c r="P2752" s="15" t="s">
        <v>2450</v>
      </c>
      <c r="Q2752" s="16">
        <v>17999</v>
      </c>
      <c r="R2752" s="17">
        <v>52.4</v>
      </c>
      <c r="S2752" s="18">
        <v>9852.9354999999996</v>
      </c>
      <c r="T2752" s="19" t="s">
        <v>36</v>
      </c>
      <c r="U2752" s="20" t="s">
        <v>750</v>
      </c>
      <c r="V2752" s="34">
        <v>39.5</v>
      </c>
      <c r="W2752" s="22">
        <v>8</v>
      </c>
      <c r="X2752" s="23"/>
    </row>
    <row r="2753" spans="1:24" s="1" customFormat="1" ht="52.05" customHeight="1" x14ac:dyDescent="0.3">
      <c r="A2753" s="11" t="s">
        <v>23</v>
      </c>
      <c r="B2753" s="11" t="s">
        <v>2451</v>
      </c>
      <c r="C2753" s="12" t="s">
        <v>2452</v>
      </c>
      <c r="D2753" s="55"/>
      <c r="E2753" s="41" t="str">
        <f>HYPERLINK("https://www.google.ru/search?q=3024698-001&amp;newwindow=1&amp;tbm=isch","Еще фото")</f>
        <v>Еще фото</v>
      </c>
      <c r="F2753" s="13"/>
      <c r="G2753" s="11" t="s">
        <v>1184</v>
      </c>
      <c r="H2753" s="11" t="s">
        <v>741</v>
      </c>
      <c r="I2753" s="14" t="s">
        <v>2439</v>
      </c>
      <c r="J2753" s="14" t="s">
        <v>43</v>
      </c>
      <c r="K2753" s="15" t="s">
        <v>59</v>
      </c>
      <c r="L2753" s="57" t="s">
        <v>2453</v>
      </c>
      <c r="M2753" s="14" t="s">
        <v>1211</v>
      </c>
      <c r="N2753" s="14" t="s">
        <v>33</v>
      </c>
      <c r="O2753" s="14" t="s">
        <v>34</v>
      </c>
      <c r="P2753" s="15" t="s">
        <v>2454</v>
      </c>
      <c r="Q2753" s="16">
        <v>17299</v>
      </c>
      <c r="R2753" s="17">
        <v>48.91</v>
      </c>
      <c r="S2753" s="18">
        <v>10163.4355</v>
      </c>
      <c r="T2753" s="19" t="s">
        <v>36</v>
      </c>
      <c r="U2753" s="20" t="s">
        <v>1190</v>
      </c>
      <c r="V2753" s="34">
        <v>35.5</v>
      </c>
      <c r="W2753" s="22">
        <v>1</v>
      </c>
      <c r="X2753" s="23"/>
    </row>
    <row r="2754" spans="1:24" s="1" customFormat="1" ht="61.05" customHeight="1" x14ac:dyDescent="0.3">
      <c r="A2754" s="24" t="s">
        <v>23</v>
      </c>
      <c r="B2754" s="24" t="s">
        <v>2451</v>
      </c>
      <c r="C2754" s="12" t="s">
        <v>2452</v>
      </c>
      <c r="D2754" s="56"/>
      <c r="E2754" s="41" t="str">
        <f>HYPERLINK("https://www.google.ru/search?q=3024698-001&amp;newwindow=1&amp;tbm=isch","Еще фото")</f>
        <v>Еще фото</v>
      </c>
      <c r="F2754" s="13"/>
      <c r="G2754" s="24" t="s">
        <v>1184</v>
      </c>
      <c r="H2754" s="24" t="s">
        <v>741</v>
      </c>
      <c r="I2754" s="24" t="s">
        <v>2439</v>
      </c>
      <c r="J2754" s="14" t="s">
        <v>43</v>
      </c>
      <c r="K2754" s="15" t="s">
        <v>59</v>
      </c>
      <c r="L2754" s="58"/>
      <c r="M2754" s="14" t="s">
        <v>1211</v>
      </c>
      <c r="N2754" s="14" t="s">
        <v>33</v>
      </c>
      <c r="O2754" s="14" t="s">
        <v>34</v>
      </c>
      <c r="P2754" s="15" t="s">
        <v>2454</v>
      </c>
      <c r="Q2754" s="16">
        <v>17299</v>
      </c>
      <c r="R2754" s="17">
        <v>48.91</v>
      </c>
      <c r="S2754" s="18">
        <v>10163.4355</v>
      </c>
      <c r="T2754" s="19" t="s">
        <v>36</v>
      </c>
      <c r="U2754" s="20" t="s">
        <v>1203</v>
      </c>
      <c r="V2754" s="22">
        <v>36</v>
      </c>
      <c r="W2754" s="22">
        <v>1</v>
      </c>
      <c r="X2754" s="23"/>
    </row>
    <row r="2755" spans="1:24" s="1" customFormat="1" ht="35" customHeight="1" x14ac:dyDescent="0.3">
      <c r="A2755" s="11" t="s">
        <v>23</v>
      </c>
      <c r="B2755" s="11" t="s">
        <v>2455</v>
      </c>
      <c r="C2755" s="12" t="s">
        <v>2456</v>
      </c>
      <c r="D2755" s="59"/>
      <c r="E2755" s="41" t="str">
        <f>HYPERLINK("https://www.google.ru/search?q=3027593-390&amp;newwindow=1&amp;tbm=isch","Еще фото")</f>
        <v>Еще фото</v>
      </c>
      <c r="F2755" s="13" t="s">
        <v>103</v>
      </c>
      <c r="G2755" s="11" t="s">
        <v>1184</v>
      </c>
      <c r="H2755" s="11" t="s">
        <v>741</v>
      </c>
      <c r="I2755" s="14" t="s">
        <v>2439</v>
      </c>
      <c r="J2755" s="14" t="s">
        <v>43</v>
      </c>
      <c r="K2755" s="15" t="s">
        <v>30</v>
      </c>
      <c r="L2755" s="57" t="s">
        <v>2457</v>
      </c>
      <c r="M2755" s="14" t="s">
        <v>1211</v>
      </c>
      <c r="N2755" s="14" t="s">
        <v>127</v>
      </c>
      <c r="O2755" s="14"/>
      <c r="P2755" s="15" t="s">
        <v>2458</v>
      </c>
      <c r="Q2755" s="16">
        <v>17699</v>
      </c>
      <c r="R2755" s="17">
        <v>48.88</v>
      </c>
      <c r="S2755" s="18">
        <v>10404.9355</v>
      </c>
      <c r="T2755" s="19" t="s">
        <v>36</v>
      </c>
      <c r="U2755" s="20" t="s">
        <v>749</v>
      </c>
      <c r="V2755" s="22">
        <v>41</v>
      </c>
      <c r="W2755" s="22">
        <v>5</v>
      </c>
      <c r="X2755" s="23"/>
    </row>
    <row r="2756" spans="1:24" s="1" customFormat="1" ht="35" customHeight="1" x14ac:dyDescent="0.3">
      <c r="A2756" s="24" t="s">
        <v>23</v>
      </c>
      <c r="B2756" s="24" t="s">
        <v>2455</v>
      </c>
      <c r="C2756" s="12" t="s">
        <v>2456</v>
      </c>
      <c r="D2756" s="60"/>
      <c r="E2756" s="41" t="str">
        <f>HYPERLINK("https://www.google.ru/search?q=3027593-390&amp;newwindow=1&amp;tbm=isch","Еще фото")</f>
        <v>Еще фото</v>
      </c>
      <c r="F2756" s="13" t="s">
        <v>103</v>
      </c>
      <c r="G2756" s="24" t="s">
        <v>1184</v>
      </c>
      <c r="H2756" s="24" t="s">
        <v>741</v>
      </c>
      <c r="I2756" s="24" t="s">
        <v>2439</v>
      </c>
      <c r="J2756" s="14" t="s">
        <v>43</v>
      </c>
      <c r="K2756" s="15" t="s">
        <v>30</v>
      </c>
      <c r="L2756" s="62"/>
      <c r="M2756" s="14" t="s">
        <v>1211</v>
      </c>
      <c r="N2756" s="14" t="s">
        <v>127</v>
      </c>
      <c r="O2756" s="14"/>
      <c r="P2756" s="15" t="s">
        <v>2458</v>
      </c>
      <c r="Q2756" s="16">
        <v>17699</v>
      </c>
      <c r="R2756" s="17">
        <v>48.88</v>
      </c>
      <c r="S2756" s="18">
        <v>10404.9355</v>
      </c>
      <c r="T2756" s="19" t="s">
        <v>36</v>
      </c>
      <c r="U2756" s="20" t="s">
        <v>750</v>
      </c>
      <c r="V2756" s="34">
        <v>41.5</v>
      </c>
      <c r="W2756" s="22">
        <v>7</v>
      </c>
      <c r="X2756" s="23"/>
    </row>
    <row r="2757" spans="1:24" s="1" customFormat="1" ht="37.049999999999997" customHeight="1" x14ac:dyDescent="0.3">
      <c r="A2757" s="24" t="s">
        <v>23</v>
      </c>
      <c r="B2757" s="24" t="s">
        <v>2455</v>
      </c>
      <c r="C2757" s="12" t="s">
        <v>2456</v>
      </c>
      <c r="D2757" s="61"/>
      <c r="E2757" s="41" t="str">
        <f>HYPERLINK("https://www.google.ru/search?q=3027593-390&amp;newwindow=1&amp;tbm=isch","Еще фото")</f>
        <v>Еще фото</v>
      </c>
      <c r="F2757" s="13" t="s">
        <v>103</v>
      </c>
      <c r="G2757" s="24" t="s">
        <v>1184</v>
      </c>
      <c r="H2757" s="24" t="s">
        <v>741</v>
      </c>
      <c r="I2757" s="24" t="s">
        <v>2439</v>
      </c>
      <c r="J2757" s="14" t="s">
        <v>43</v>
      </c>
      <c r="K2757" s="15" t="s">
        <v>30</v>
      </c>
      <c r="L2757" s="58"/>
      <c r="M2757" s="14" t="s">
        <v>1211</v>
      </c>
      <c r="N2757" s="14" t="s">
        <v>127</v>
      </c>
      <c r="O2757" s="14"/>
      <c r="P2757" s="15" t="s">
        <v>2458</v>
      </c>
      <c r="Q2757" s="16">
        <v>17699</v>
      </c>
      <c r="R2757" s="17">
        <v>48.88</v>
      </c>
      <c r="S2757" s="18">
        <v>10404.9355</v>
      </c>
      <c r="T2757" s="19" t="s">
        <v>36</v>
      </c>
      <c r="U2757" s="20" t="s">
        <v>751</v>
      </c>
      <c r="V2757" s="22">
        <v>42</v>
      </c>
      <c r="W2757" s="22">
        <v>5</v>
      </c>
      <c r="X2757" s="23"/>
    </row>
    <row r="2758" spans="1:24" s="1" customFormat="1" ht="52.05" customHeight="1" x14ac:dyDescent="0.3">
      <c r="A2758" s="11" t="s">
        <v>23</v>
      </c>
      <c r="B2758" s="11" t="s">
        <v>2459</v>
      </c>
      <c r="C2758" s="12" t="s">
        <v>2460</v>
      </c>
      <c r="D2758" s="55"/>
      <c r="E2758" s="41" t="str">
        <f>HYPERLINK("https://www.google.ru/search?q=3027625-102&amp;newwindow=1&amp;tbm=isch","Еще фото")</f>
        <v>Еще фото</v>
      </c>
      <c r="F2758" s="13"/>
      <c r="G2758" s="11" t="s">
        <v>1184</v>
      </c>
      <c r="H2758" s="11" t="s">
        <v>741</v>
      </c>
      <c r="I2758" s="14" t="s">
        <v>2439</v>
      </c>
      <c r="J2758" s="14" t="s">
        <v>43</v>
      </c>
      <c r="K2758" s="15" t="s">
        <v>723</v>
      </c>
      <c r="L2758" s="57" t="s">
        <v>2461</v>
      </c>
      <c r="M2758" s="14" t="s">
        <v>32</v>
      </c>
      <c r="N2758" s="14" t="s">
        <v>62</v>
      </c>
      <c r="O2758" s="14"/>
      <c r="P2758" s="15" t="s">
        <v>1325</v>
      </c>
      <c r="Q2758" s="16">
        <v>24099</v>
      </c>
      <c r="R2758" s="17">
        <v>48.85</v>
      </c>
      <c r="S2758" s="18">
        <v>14176.9355</v>
      </c>
      <c r="T2758" s="19" t="s">
        <v>36</v>
      </c>
      <c r="U2758" s="20" t="s">
        <v>1326</v>
      </c>
      <c r="V2758" s="22">
        <v>42</v>
      </c>
      <c r="W2758" s="22">
        <v>1</v>
      </c>
      <c r="X2758" s="23"/>
    </row>
    <row r="2759" spans="1:24" s="1" customFormat="1" ht="61.05" customHeight="1" x14ac:dyDescent="0.3">
      <c r="A2759" s="24" t="s">
        <v>23</v>
      </c>
      <c r="B2759" s="24" t="s">
        <v>2459</v>
      </c>
      <c r="C2759" s="12" t="s">
        <v>2460</v>
      </c>
      <c r="D2759" s="56"/>
      <c r="E2759" s="41" t="str">
        <f>HYPERLINK("https://www.google.ru/search?q=3027625-102&amp;newwindow=1&amp;tbm=isch","Еще фото")</f>
        <v>Еще фото</v>
      </c>
      <c r="F2759" s="13"/>
      <c r="G2759" s="24" t="s">
        <v>1184</v>
      </c>
      <c r="H2759" s="24" t="s">
        <v>741</v>
      </c>
      <c r="I2759" s="24" t="s">
        <v>2439</v>
      </c>
      <c r="J2759" s="14" t="s">
        <v>43</v>
      </c>
      <c r="K2759" s="15" t="s">
        <v>723</v>
      </c>
      <c r="L2759" s="58"/>
      <c r="M2759" s="14" t="s">
        <v>32</v>
      </c>
      <c r="N2759" s="14" t="s">
        <v>62</v>
      </c>
      <c r="O2759" s="14"/>
      <c r="P2759" s="15" t="s">
        <v>1325</v>
      </c>
      <c r="Q2759" s="16">
        <v>24099</v>
      </c>
      <c r="R2759" s="17">
        <v>48.85</v>
      </c>
      <c r="S2759" s="18">
        <v>14176.9355</v>
      </c>
      <c r="T2759" s="19" t="s">
        <v>36</v>
      </c>
      <c r="U2759" s="20" t="s">
        <v>1348</v>
      </c>
      <c r="V2759" s="34">
        <v>43.5</v>
      </c>
      <c r="W2759" s="22">
        <v>6</v>
      </c>
      <c r="X2759" s="23"/>
    </row>
    <row r="2760" spans="1:24" s="1" customFormat="1" ht="108" customHeight="1" x14ac:dyDescent="0.3">
      <c r="A2760" s="11" t="s">
        <v>23</v>
      </c>
      <c r="B2760" s="11" t="s">
        <v>2462</v>
      </c>
      <c r="C2760" s="12" t="s">
        <v>2463</v>
      </c>
      <c r="D2760" s="25"/>
      <c r="E2760" s="41" t="str">
        <f>HYPERLINK("https://www.google.ru/search?q=1287196-002&amp;newwindow=1&amp;tbm=isch","Еще фото")</f>
        <v>Еще фото</v>
      </c>
      <c r="F2760" s="13"/>
      <c r="G2760" s="11" t="s">
        <v>2464</v>
      </c>
      <c r="H2760" s="11" t="s">
        <v>741</v>
      </c>
      <c r="I2760" s="14" t="s">
        <v>2439</v>
      </c>
      <c r="J2760" s="14" t="s">
        <v>43</v>
      </c>
      <c r="K2760" s="15" t="s">
        <v>59</v>
      </c>
      <c r="L2760" s="14" t="s">
        <v>2465</v>
      </c>
      <c r="M2760" s="14" t="s">
        <v>45</v>
      </c>
      <c r="N2760" s="14" t="s">
        <v>33</v>
      </c>
      <c r="O2760" s="14" t="s">
        <v>34</v>
      </c>
      <c r="P2760" s="15" t="s">
        <v>1406</v>
      </c>
      <c r="Q2760" s="16">
        <v>3899</v>
      </c>
      <c r="R2760" s="17">
        <v>46.14</v>
      </c>
      <c r="S2760" s="18">
        <v>2414.9884999999995</v>
      </c>
      <c r="T2760" s="19" t="s">
        <v>36</v>
      </c>
      <c r="U2760" s="20" t="s">
        <v>1203</v>
      </c>
      <c r="V2760" s="22">
        <v>36</v>
      </c>
      <c r="W2760" s="22">
        <v>4</v>
      </c>
      <c r="X2760" s="23"/>
    </row>
    <row r="2761" spans="1:24" s="1" customFormat="1" ht="108" customHeight="1" x14ac:dyDescent="0.3">
      <c r="A2761" s="11" t="s">
        <v>23</v>
      </c>
      <c r="B2761" s="11" t="s">
        <v>2466</v>
      </c>
      <c r="C2761" s="12" t="s">
        <v>2467</v>
      </c>
      <c r="D2761" s="25"/>
      <c r="E2761" s="41" t="str">
        <f>HYPERLINK("https://www.google.ru/search?q=3028486-001&amp;newwindow=1&amp;tbm=isch","Еще фото")</f>
        <v>Еще фото</v>
      </c>
      <c r="F2761" s="13" t="s">
        <v>103</v>
      </c>
      <c r="G2761" s="11" t="s">
        <v>2464</v>
      </c>
      <c r="H2761" s="11" t="s">
        <v>741</v>
      </c>
      <c r="I2761" s="14" t="s">
        <v>2439</v>
      </c>
      <c r="J2761" s="14" t="s">
        <v>43</v>
      </c>
      <c r="K2761" s="15" t="s">
        <v>30</v>
      </c>
      <c r="L2761" s="14" t="s">
        <v>2468</v>
      </c>
      <c r="M2761" s="14"/>
      <c r="N2761" s="14" t="s">
        <v>33</v>
      </c>
      <c r="O2761" s="14"/>
      <c r="P2761" s="15" t="s">
        <v>2295</v>
      </c>
      <c r="Q2761" s="16">
        <v>8899</v>
      </c>
      <c r="R2761" s="17">
        <v>46.06</v>
      </c>
      <c r="S2761" s="18">
        <v>5519.9884999999995</v>
      </c>
      <c r="T2761" s="19" t="s">
        <v>36</v>
      </c>
      <c r="U2761" s="20" t="s">
        <v>750</v>
      </c>
      <c r="V2761" s="34">
        <v>41.5</v>
      </c>
      <c r="W2761" s="22">
        <v>1</v>
      </c>
      <c r="X2761" s="23"/>
    </row>
    <row r="2762" spans="1:24" s="1" customFormat="1" ht="108" customHeight="1" x14ac:dyDescent="0.3">
      <c r="A2762" s="11" t="s">
        <v>23</v>
      </c>
      <c r="B2762" s="11" t="s">
        <v>2469</v>
      </c>
      <c r="C2762" s="12" t="s">
        <v>2470</v>
      </c>
      <c r="D2762" s="25"/>
      <c r="E2762" s="41" t="str">
        <f>HYPERLINK("https://www.google.ru/search?q=3023565-601&amp;newwindow=1&amp;tbm=isch","Еще фото")</f>
        <v>Еще фото</v>
      </c>
      <c r="F2762" s="13"/>
      <c r="G2762" s="11" t="s">
        <v>1184</v>
      </c>
      <c r="H2762" s="11" t="s">
        <v>741</v>
      </c>
      <c r="I2762" s="14" t="s">
        <v>2439</v>
      </c>
      <c r="J2762" s="14" t="s">
        <v>43</v>
      </c>
      <c r="K2762" s="15" t="s">
        <v>59</v>
      </c>
      <c r="L2762" s="14" t="s">
        <v>2471</v>
      </c>
      <c r="M2762" s="14" t="s">
        <v>1274</v>
      </c>
      <c r="N2762" s="14" t="s">
        <v>69</v>
      </c>
      <c r="O2762" s="14" t="s">
        <v>34</v>
      </c>
      <c r="P2762" s="15" t="s">
        <v>1880</v>
      </c>
      <c r="Q2762" s="16">
        <v>7599</v>
      </c>
      <c r="R2762" s="17">
        <v>46.05</v>
      </c>
      <c r="S2762" s="18">
        <v>4714.9884999999995</v>
      </c>
      <c r="T2762" s="19" t="s">
        <v>36</v>
      </c>
      <c r="U2762" s="20" t="s">
        <v>1203</v>
      </c>
      <c r="V2762" s="22">
        <v>36</v>
      </c>
      <c r="W2762" s="22">
        <v>1</v>
      </c>
      <c r="X2762" s="23"/>
    </row>
    <row r="2763" spans="1:24" s="1" customFormat="1" ht="13.05" customHeight="1" x14ac:dyDescent="0.3">
      <c r="A2763" s="11" t="s">
        <v>23</v>
      </c>
      <c r="B2763" s="11" t="s">
        <v>2472</v>
      </c>
      <c r="C2763" s="12" t="s">
        <v>2473</v>
      </c>
      <c r="D2763" s="59"/>
      <c r="E2763" s="41" t="str">
        <f t="shared" ref="E2763:E2770" si="128">HYPERLINK("https://www.google.ru/search?q=3027596-104&amp;newwindow=1&amp;tbm=isch","Еще фото")</f>
        <v>Еще фото</v>
      </c>
      <c r="F2763" s="13"/>
      <c r="G2763" s="11" t="s">
        <v>1184</v>
      </c>
      <c r="H2763" s="11" t="s">
        <v>741</v>
      </c>
      <c r="I2763" s="14" t="s">
        <v>2439</v>
      </c>
      <c r="J2763" s="14" t="s">
        <v>43</v>
      </c>
      <c r="K2763" s="15" t="s">
        <v>723</v>
      </c>
      <c r="L2763" s="57" t="s">
        <v>2474</v>
      </c>
      <c r="M2763" s="14" t="s">
        <v>1211</v>
      </c>
      <c r="N2763" s="14" t="s">
        <v>84</v>
      </c>
      <c r="O2763" s="14"/>
      <c r="P2763" s="15" t="s">
        <v>2475</v>
      </c>
      <c r="Q2763" s="16">
        <v>17699</v>
      </c>
      <c r="R2763" s="17">
        <v>46</v>
      </c>
      <c r="S2763" s="18">
        <v>10991.078999999998</v>
      </c>
      <c r="T2763" s="19" t="s">
        <v>36</v>
      </c>
      <c r="U2763" s="33" t="s">
        <v>1345</v>
      </c>
      <c r="V2763" s="22">
        <v>41</v>
      </c>
      <c r="W2763" s="22">
        <v>1</v>
      </c>
      <c r="X2763" s="23"/>
    </row>
    <row r="2764" spans="1:24" s="1" customFormat="1" ht="13.05" customHeight="1" x14ac:dyDescent="0.3">
      <c r="A2764" s="24" t="s">
        <v>23</v>
      </c>
      <c r="B2764" s="24" t="s">
        <v>2472</v>
      </c>
      <c r="C2764" s="12" t="s">
        <v>2473</v>
      </c>
      <c r="D2764" s="60"/>
      <c r="E2764" s="41" t="str">
        <f t="shared" si="128"/>
        <v>Еще фото</v>
      </c>
      <c r="F2764" s="13"/>
      <c r="G2764" s="24" t="s">
        <v>1184</v>
      </c>
      <c r="H2764" s="24" t="s">
        <v>741</v>
      </c>
      <c r="I2764" s="24" t="s">
        <v>2439</v>
      </c>
      <c r="J2764" s="14" t="s">
        <v>43</v>
      </c>
      <c r="K2764" s="15" t="s">
        <v>723</v>
      </c>
      <c r="L2764" s="62"/>
      <c r="M2764" s="14" t="s">
        <v>1211</v>
      </c>
      <c r="N2764" s="14" t="s">
        <v>84</v>
      </c>
      <c r="O2764" s="14"/>
      <c r="P2764" s="15" t="s">
        <v>2475</v>
      </c>
      <c r="Q2764" s="16">
        <v>17699</v>
      </c>
      <c r="R2764" s="17">
        <v>46</v>
      </c>
      <c r="S2764" s="18">
        <v>10991.078999999998</v>
      </c>
      <c r="T2764" s="19" t="s">
        <v>36</v>
      </c>
      <c r="U2764" s="20" t="s">
        <v>1346</v>
      </c>
      <c r="V2764" s="34">
        <v>41.5</v>
      </c>
      <c r="W2764" s="22">
        <v>1</v>
      </c>
      <c r="X2764" s="23"/>
    </row>
    <row r="2765" spans="1:24" s="1" customFormat="1" ht="13.05" customHeight="1" x14ac:dyDescent="0.3">
      <c r="A2765" s="24" t="s">
        <v>23</v>
      </c>
      <c r="B2765" s="24" t="s">
        <v>2472</v>
      </c>
      <c r="C2765" s="12" t="s">
        <v>2473</v>
      </c>
      <c r="D2765" s="60"/>
      <c r="E2765" s="41" t="str">
        <f t="shared" si="128"/>
        <v>Еще фото</v>
      </c>
      <c r="F2765" s="13"/>
      <c r="G2765" s="24" t="s">
        <v>1184</v>
      </c>
      <c r="H2765" s="24" t="s">
        <v>741</v>
      </c>
      <c r="I2765" s="24" t="s">
        <v>2439</v>
      </c>
      <c r="J2765" s="14" t="s">
        <v>43</v>
      </c>
      <c r="K2765" s="15" t="s">
        <v>723</v>
      </c>
      <c r="L2765" s="62"/>
      <c r="M2765" s="14" t="s">
        <v>1211</v>
      </c>
      <c r="N2765" s="14" t="s">
        <v>84</v>
      </c>
      <c r="O2765" s="14"/>
      <c r="P2765" s="15" t="s">
        <v>2475</v>
      </c>
      <c r="Q2765" s="16">
        <v>17699</v>
      </c>
      <c r="R2765" s="17">
        <v>46</v>
      </c>
      <c r="S2765" s="18">
        <v>10991.078999999998</v>
      </c>
      <c r="T2765" s="19" t="s">
        <v>36</v>
      </c>
      <c r="U2765" s="20" t="s">
        <v>1326</v>
      </c>
      <c r="V2765" s="22">
        <v>42</v>
      </c>
      <c r="W2765" s="22">
        <v>1</v>
      </c>
      <c r="X2765" s="23"/>
    </row>
    <row r="2766" spans="1:24" s="1" customFormat="1" ht="13.05" customHeight="1" x14ac:dyDescent="0.3">
      <c r="A2766" s="24" t="s">
        <v>23</v>
      </c>
      <c r="B2766" s="24" t="s">
        <v>2472</v>
      </c>
      <c r="C2766" s="12" t="s">
        <v>2473</v>
      </c>
      <c r="D2766" s="60"/>
      <c r="E2766" s="41" t="str">
        <f t="shared" si="128"/>
        <v>Еще фото</v>
      </c>
      <c r="F2766" s="13"/>
      <c r="G2766" s="24" t="s">
        <v>1184</v>
      </c>
      <c r="H2766" s="24" t="s">
        <v>741</v>
      </c>
      <c r="I2766" s="24" t="s">
        <v>2439</v>
      </c>
      <c r="J2766" s="14" t="s">
        <v>43</v>
      </c>
      <c r="K2766" s="15" t="s">
        <v>723</v>
      </c>
      <c r="L2766" s="62"/>
      <c r="M2766" s="14" t="s">
        <v>1211</v>
      </c>
      <c r="N2766" s="14" t="s">
        <v>84</v>
      </c>
      <c r="O2766" s="14"/>
      <c r="P2766" s="15" t="s">
        <v>2475</v>
      </c>
      <c r="Q2766" s="16">
        <v>17699</v>
      </c>
      <c r="R2766" s="17">
        <v>46</v>
      </c>
      <c r="S2766" s="18">
        <v>10991.078999999998</v>
      </c>
      <c r="T2766" s="19" t="s">
        <v>36</v>
      </c>
      <c r="U2766" s="20" t="s">
        <v>1347</v>
      </c>
      <c r="V2766" s="22">
        <v>43</v>
      </c>
      <c r="W2766" s="22">
        <v>2</v>
      </c>
      <c r="X2766" s="23"/>
    </row>
    <row r="2767" spans="1:24" s="1" customFormat="1" ht="13.05" customHeight="1" x14ac:dyDescent="0.3">
      <c r="A2767" s="24" t="s">
        <v>23</v>
      </c>
      <c r="B2767" s="24" t="s">
        <v>2472</v>
      </c>
      <c r="C2767" s="12" t="s">
        <v>2473</v>
      </c>
      <c r="D2767" s="60"/>
      <c r="E2767" s="41" t="str">
        <f t="shared" si="128"/>
        <v>Еще фото</v>
      </c>
      <c r="F2767" s="13"/>
      <c r="G2767" s="24" t="s">
        <v>1184</v>
      </c>
      <c r="H2767" s="24" t="s">
        <v>741</v>
      </c>
      <c r="I2767" s="24" t="s">
        <v>2439</v>
      </c>
      <c r="J2767" s="14" t="s">
        <v>43</v>
      </c>
      <c r="K2767" s="15" t="s">
        <v>723</v>
      </c>
      <c r="L2767" s="62"/>
      <c r="M2767" s="14" t="s">
        <v>1211</v>
      </c>
      <c r="N2767" s="14" t="s">
        <v>84</v>
      </c>
      <c r="O2767" s="14"/>
      <c r="P2767" s="15" t="s">
        <v>2475</v>
      </c>
      <c r="Q2767" s="16">
        <v>17699</v>
      </c>
      <c r="R2767" s="17">
        <v>46</v>
      </c>
      <c r="S2767" s="18">
        <v>10991.078999999998</v>
      </c>
      <c r="T2767" s="19" t="s">
        <v>36</v>
      </c>
      <c r="U2767" s="20" t="s">
        <v>1348</v>
      </c>
      <c r="V2767" s="34">
        <v>43.5</v>
      </c>
      <c r="W2767" s="22">
        <v>2</v>
      </c>
      <c r="X2767" s="23"/>
    </row>
    <row r="2768" spans="1:24" s="1" customFormat="1" ht="13.05" customHeight="1" x14ac:dyDescent="0.3">
      <c r="A2768" s="24" t="s">
        <v>23</v>
      </c>
      <c r="B2768" s="24" t="s">
        <v>2472</v>
      </c>
      <c r="C2768" s="12" t="s">
        <v>2473</v>
      </c>
      <c r="D2768" s="60"/>
      <c r="E2768" s="41" t="str">
        <f t="shared" si="128"/>
        <v>Еще фото</v>
      </c>
      <c r="F2768" s="13"/>
      <c r="G2768" s="24" t="s">
        <v>1184</v>
      </c>
      <c r="H2768" s="24" t="s">
        <v>741</v>
      </c>
      <c r="I2768" s="24" t="s">
        <v>2439</v>
      </c>
      <c r="J2768" s="14" t="s">
        <v>43</v>
      </c>
      <c r="K2768" s="15" t="s">
        <v>723</v>
      </c>
      <c r="L2768" s="62"/>
      <c r="M2768" s="14" t="s">
        <v>1211</v>
      </c>
      <c r="N2768" s="14" t="s">
        <v>84</v>
      </c>
      <c r="O2768" s="14"/>
      <c r="P2768" s="15" t="s">
        <v>2475</v>
      </c>
      <c r="Q2768" s="16">
        <v>17699</v>
      </c>
      <c r="R2768" s="17">
        <v>46</v>
      </c>
      <c r="S2768" s="18">
        <v>10991.078999999998</v>
      </c>
      <c r="T2768" s="19" t="s">
        <v>36</v>
      </c>
      <c r="U2768" s="20" t="s">
        <v>1327</v>
      </c>
      <c r="V2768" s="22">
        <v>44</v>
      </c>
      <c r="W2768" s="22">
        <v>1</v>
      </c>
      <c r="X2768" s="23"/>
    </row>
    <row r="2769" spans="1:24" s="1" customFormat="1" ht="13.05" customHeight="1" x14ac:dyDescent="0.3">
      <c r="A2769" s="24" t="s">
        <v>23</v>
      </c>
      <c r="B2769" s="24" t="s">
        <v>2472</v>
      </c>
      <c r="C2769" s="12" t="s">
        <v>2473</v>
      </c>
      <c r="D2769" s="60"/>
      <c r="E2769" s="41" t="str">
        <f t="shared" si="128"/>
        <v>Еще фото</v>
      </c>
      <c r="F2769" s="13"/>
      <c r="G2769" s="24" t="s">
        <v>1184</v>
      </c>
      <c r="H2769" s="24" t="s">
        <v>741</v>
      </c>
      <c r="I2769" s="24" t="s">
        <v>2439</v>
      </c>
      <c r="J2769" s="14" t="s">
        <v>43</v>
      </c>
      <c r="K2769" s="15" t="s">
        <v>723</v>
      </c>
      <c r="L2769" s="62"/>
      <c r="M2769" s="14" t="s">
        <v>1211</v>
      </c>
      <c r="N2769" s="14" t="s">
        <v>84</v>
      </c>
      <c r="O2769" s="14"/>
      <c r="P2769" s="15" t="s">
        <v>2475</v>
      </c>
      <c r="Q2769" s="16">
        <v>17699</v>
      </c>
      <c r="R2769" s="17">
        <v>46</v>
      </c>
      <c r="S2769" s="18">
        <v>10991.078999999998</v>
      </c>
      <c r="T2769" s="19" t="s">
        <v>36</v>
      </c>
      <c r="U2769" s="20" t="s">
        <v>1349</v>
      </c>
      <c r="V2769" s="34">
        <v>44.5</v>
      </c>
      <c r="W2769" s="22">
        <v>1</v>
      </c>
      <c r="X2769" s="23"/>
    </row>
    <row r="2770" spans="1:24" s="1" customFormat="1" ht="18" customHeight="1" x14ac:dyDescent="0.3">
      <c r="A2770" s="24" t="s">
        <v>23</v>
      </c>
      <c r="B2770" s="24" t="s">
        <v>2472</v>
      </c>
      <c r="C2770" s="12" t="s">
        <v>2473</v>
      </c>
      <c r="D2770" s="61"/>
      <c r="E2770" s="41" t="str">
        <f t="shared" si="128"/>
        <v>Еще фото</v>
      </c>
      <c r="F2770" s="13"/>
      <c r="G2770" s="24" t="s">
        <v>1184</v>
      </c>
      <c r="H2770" s="24" t="s">
        <v>741</v>
      </c>
      <c r="I2770" s="24" t="s">
        <v>2439</v>
      </c>
      <c r="J2770" s="14" t="s">
        <v>43</v>
      </c>
      <c r="K2770" s="15" t="s">
        <v>723</v>
      </c>
      <c r="L2770" s="58"/>
      <c r="M2770" s="14" t="s">
        <v>1211</v>
      </c>
      <c r="N2770" s="14" t="s">
        <v>84</v>
      </c>
      <c r="O2770" s="14"/>
      <c r="P2770" s="15" t="s">
        <v>2475</v>
      </c>
      <c r="Q2770" s="16">
        <v>17699</v>
      </c>
      <c r="R2770" s="17">
        <v>46</v>
      </c>
      <c r="S2770" s="18">
        <v>10991.078999999998</v>
      </c>
      <c r="T2770" s="19" t="s">
        <v>36</v>
      </c>
      <c r="U2770" s="20" t="s">
        <v>2359</v>
      </c>
      <c r="V2770" s="22">
        <v>45</v>
      </c>
      <c r="W2770" s="22">
        <v>1</v>
      </c>
      <c r="X2770" s="23"/>
    </row>
    <row r="2771" spans="1:24" s="1" customFormat="1" ht="26" customHeight="1" x14ac:dyDescent="0.3">
      <c r="A2771" s="11" t="s">
        <v>23</v>
      </c>
      <c r="B2771" s="11" t="s">
        <v>2476</v>
      </c>
      <c r="C2771" s="12" t="s">
        <v>2477</v>
      </c>
      <c r="D2771" s="59"/>
      <c r="E2771" s="41" t="str">
        <f>HYPERLINK("https://www.google.ru/search?q=6008993-001&amp;newwindow=1&amp;tbm=isch","Еще фото")</f>
        <v>Еще фото</v>
      </c>
      <c r="F2771" s="13"/>
      <c r="G2771" s="11" t="s">
        <v>1184</v>
      </c>
      <c r="H2771" s="11" t="s">
        <v>741</v>
      </c>
      <c r="I2771" s="14" t="s">
        <v>2439</v>
      </c>
      <c r="J2771" s="14" t="s">
        <v>43</v>
      </c>
      <c r="K2771" s="15" t="s">
        <v>50</v>
      </c>
      <c r="L2771" s="57" t="s">
        <v>2478</v>
      </c>
      <c r="M2771" s="14"/>
      <c r="N2771" s="14" t="s">
        <v>284</v>
      </c>
      <c r="O2771" s="14"/>
      <c r="P2771" s="15" t="s">
        <v>745</v>
      </c>
      <c r="Q2771" s="16">
        <v>17499</v>
      </c>
      <c r="R2771" s="17">
        <v>46</v>
      </c>
      <c r="S2771" s="18">
        <v>10866.878999999999</v>
      </c>
      <c r="T2771" s="19" t="s">
        <v>36</v>
      </c>
      <c r="U2771" s="20" t="s">
        <v>1241</v>
      </c>
      <c r="V2771" s="34">
        <v>36.5</v>
      </c>
      <c r="W2771" s="22">
        <v>5</v>
      </c>
      <c r="X2771" s="23"/>
    </row>
    <row r="2772" spans="1:24" s="1" customFormat="1" ht="26" customHeight="1" x14ac:dyDescent="0.3">
      <c r="A2772" s="24" t="s">
        <v>23</v>
      </c>
      <c r="B2772" s="24" t="s">
        <v>2476</v>
      </c>
      <c r="C2772" s="12" t="s">
        <v>2477</v>
      </c>
      <c r="D2772" s="60"/>
      <c r="E2772" s="41" t="str">
        <f>HYPERLINK("https://www.google.ru/search?q=6008993-001&amp;newwindow=1&amp;tbm=isch","Еще фото")</f>
        <v>Еще фото</v>
      </c>
      <c r="F2772" s="13"/>
      <c r="G2772" s="24" t="s">
        <v>1184</v>
      </c>
      <c r="H2772" s="24" t="s">
        <v>741</v>
      </c>
      <c r="I2772" s="24" t="s">
        <v>2439</v>
      </c>
      <c r="J2772" s="14" t="s">
        <v>43</v>
      </c>
      <c r="K2772" s="15" t="s">
        <v>50</v>
      </c>
      <c r="L2772" s="62"/>
      <c r="M2772" s="14"/>
      <c r="N2772" s="14" t="s">
        <v>284</v>
      </c>
      <c r="O2772" s="14"/>
      <c r="P2772" s="15" t="s">
        <v>745</v>
      </c>
      <c r="Q2772" s="16">
        <v>17499</v>
      </c>
      <c r="R2772" s="17">
        <v>46</v>
      </c>
      <c r="S2772" s="18">
        <v>10866.878999999999</v>
      </c>
      <c r="T2772" s="19" t="s">
        <v>36</v>
      </c>
      <c r="U2772" s="20" t="s">
        <v>1190</v>
      </c>
      <c r="V2772" s="22">
        <v>37</v>
      </c>
      <c r="W2772" s="22">
        <v>2</v>
      </c>
      <c r="X2772" s="23"/>
    </row>
    <row r="2773" spans="1:24" s="1" customFormat="1" ht="26" customHeight="1" x14ac:dyDescent="0.3">
      <c r="A2773" s="24" t="s">
        <v>23</v>
      </c>
      <c r="B2773" s="24" t="s">
        <v>2476</v>
      </c>
      <c r="C2773" s="12" t="s">
        <v>2477</v>
      </c>
      <c r="D2773" s="60"/>
      <c r="E2773" s="41" t="str">
        <f>HYPERLINK("https://www.google.ru/search?q=6008993-001&amp;newwindow=1&amp;tbm=isch","Еще фото")</f>
        <v>Еще фото</v>
      </c>
      <c r="F2773" s="13"/>
      <c r="G2773" s="24" t="s">
        <v>1184</v>
      </c>
      <c r="H2773" s="24" t="s">
        <v>741</v>
      </c>
      <c r="I2773" s="24" t="s">
        <v>2439</v>
      </c>
      <c r="J2773" s="14" t="s">
        <v>43</v>
      </c>
      <c r="K2773" s="15" t="s">
        <v>50</v>
      </c>
      <c r="L2773" s="62"/>
      <c r="M2773" s="14"/>
      <c r="N2773" s="14" t="s">
        <v>284</v>
      </c>
      <c r="O2773" s="14"/>
      <c r="P2773" s="15" t="s">
        <v>745</v>
      </c>
      <c r="Q2773" s="16">
        <v>17499</v>
      </c>
      <c r="R2773" s="17">
        <v>46</v>
      </c>
      <c r="S2773" s="18">
        <v>10866.878999999999</v>
      </c>
      <c r="T2773" s="19" t="s">
        <v>36</v>
      </c>
      <c r="U2773" s="20" t="s">
        <v>1203</v>
      </c>
      <c r="V2773" s="34">
        <v>37.5</v>
      </c>
      <c r="W2773" s="22">
        <v>2</v>
      </c>
      <c r="X2773" s="23"/>
    </row>
    <row r="2774" spans="1:24" s="1" customFormat="1" ht="26" customHeight="1" x14ac:dyDescent="0.3">
      <c r="A2774" s="24" t="s">
        <v>23</v>
      </c>
      <c r="B2774" s="24" t="s">
        <v>2476</v>
      </c>
      <c r="C2774" s="12" t="s">
        <v>2477</v>
      </c>
      <c r="D2774" s="61"/>
      <c r="E2774" s="41" t="str">
        <f>HYPERLINK("https://www.google.ru/search?q=6008993-001&amp;newwindow=1&amp;tbm=isch","Еще фото")</f>
        <v>Еще фото</v>
      </c>
      <c r="F2774" s="13"/>
      <c r="G2774" s="24" t="s">
        <v>1184</v>
      </c>
      <c r="H2774" s="24" t="s">
        <v>741</v>
      </c>
      <c r="I2774" s="24" t="s">
        <v>2439</v>
      </c>
      <c r="J2774" s="14" t="s">
        <v>43</v>
      </c>
      <c r="K2774" s="15" t="s">
        <v>50</v>
      </c>
      <c r="L2774" s="58"/>
      <c r="M2774" s="14"/>
      <c r="N2774" s="14" t="s">
        <v>284</v>
      </c>
      <c r="O2774" s="14"/>
      <c r="P2774" s="15" t="s">
        <v>745</v>
      </c>
      <c r="Q2774" s="16">
        <v>17499</v>
      </c>
      <c r="R2774" s="17">
        <v>46</v>
      </c>
      <c r="S2774" s="18">
        <v>10866.878999999999</v>
      </c>
      <c r="T2774" s="19" t="s">
        <v>36</v>
      </c>
      <c r="U2774" s="20" t="s">
        <v>746</v>
      </c>
      <c r="V2774" s="22">
        <v>39</v>
      </c>
      <c r="W2774" s="22">
        <v>5</v>
      </c>
      <c r="X2774" s="23"/>
    </row>
    <row r="2775" spans="1:24" s="1" customFormat="1" ht="21" customHeight="1" x14ac:dyDescent="0.3">
      <c r="A2775" s="11" t="s">
        <v>23</v>
      </c>
      <c r="B2775" s="11" t="s">
        <v>2476</v>
      </c>
      <c r="C2775" s="26" t="s">
        <v>2479</v>
      </c>
      <c r="D2775" s="59"/>
      <c r="E2775" s="41" t="str">
        <f>HYPERLINK("https://www.google.ru/search?q=6008993-002&amp;newwindow=1&amp;tbm=isch","Еще фото")</f>
        <v>Еще фото</v>
      </c>
      <c r="F2775" s="13"/>
      <c r="G2775" s="11" t="s">
        <v>1184</v>
      </c>
      <c r="H2775" s="11" t="s">
        <v>741</v>
      </c>
      <c r="I2775" s="14" t="s">
        <v>2439</v>
      </c>
      <c r="J2775" s="14" t="s">
        <v>43</v>
      </c>
      <c r="K2775" s="15" t="s">
        <v>50</v>
      </c>
      <c r="L2775" s="57" t="s">
        <v>2478</v>
      </c>
      <c r="M2775" s="14"/>
      <c r="N2775" s="14" t="s">
        <v>284</v>
      </c>
      <c r="O2775" s="14"/>
      <c r="P2775" s="15" t="s">
        <v>745</v>
      </c>
      <c r="Q2775" s="16">
        <v>17499</v>
      </c>
      <c r="R2775" s="17">
        <v>46</v>
      </c>
      <c r="S2775" s="18">
        <v>10866.878999999999</v>
      </c>
      <c r="T2775" s="19" t="s">
        <v>36</v>
      </c>
      <c r="U2775" s="20" t="s">
        <v>1241</v>
      </c>
      <c r="V2775" s="34">
        <v>36.5</v>
      </c>
      <c r="W2775" s="22">
        <v>6</v>
      </c>
      <c r="X2775" s="23"/>
    </row>
    <row r="2776" spans="1:24" s="1" customFormat="1" ht="21" customHeight="1" x14ac:dyDescent="0.3">
      <c r="A2776" s="24" t="s">
        <v>23</v>
      </c>
      <c r="B2776" s="24" t="s">
        <v>2476</v>
      </c>
      <c r="C2776" s="27" t="s">
        <v>2479</v>
      </c>
      <c r="D2776" s="60"/>
      <c r="E2776" s="41" t="str">
        <f>HYPERLINK("https://www.google.ru/search?q=6008993-002&amp;newwindow=1&amp;tbm=isch","Еще фото")</f>
        <v>Еще фото</v>
      </c>
      <c r="F2776" s="13"/>
      <c r="G2776" s="24" t="s">
        <v>1184</v>
      </c>
      <c r="H2776" s="24" t="s">
        <v>741</v>
      </c>
      <c r="I2776" s="24" t="s">
        <v>2439</v>
      </c>
      <c r="J2776" s="14" t="s">
        <v>43</v>
      </c>
      <c r="K2776" s="15" t="s">
        <v>50</v>
      </c>
      <c r="L2776" s="62"/>
      <c r="M2776" s="14"/>
      <c r="N2776" s="14" t="s">
        <v>284</v>
      </c>
      <c r="O2776" s="14"/>
      <c r="P2776" s="15" t="s">
        <v>745</v>
      </c>
      <c r="Q2776" s="16">
        <v>17499</v>
      </c>
      <c r="R2776" s="17">
        <v>46</v>
      </c>
      <c r="S2776" s="18">
        <v>10866.878999999999</v>
      </c>
      <c r="T2776" s="19" t="s">
        <v>36</v>
      </c>
      <c r="U2776" s="20" t="s">
        <v>1190</v>
      </c>
      <c r="V2776" s="22">
        <v>37</v>
      </c>
      <c r="W2776" s="22">
        <v>6</v>
      </c>
      <c r="X2776" s="23"/>
    </row>
    <row r="2777" spans="1:24" s="1" customFormat="1" ht="21" customHeight="1" x14ac:dyDescent="0.3">
      <c r="A2777" s="24" t="s">
        <v>23</v>
      </c>
      <c r="B2777" s="24" t="s">
        <v>2476</v>
      </c>
      <c r="C2777" s="27" t="s">
        <v>2479</v>
      </c>
      <c r="D2777" s="60"/>
      <c r="E2777" s="41" t="str">
        <f>HYPERLINK("https://www.google.ru/search?q=6008993-002&amp;newwindow=1&amp;tbm=isch","Еще фото")</f>
        <v>Еще фото</v>
      </c>
      <c r="F2777" s="13"/>
      <c r="G2777" s="24" t="s">
        <v>1184</v>
      </c>
      <c r="H2777" s="24" t="s">
        <v>741</v>
      </c>
      <c r="I2777" s="24" t="s">
        <v>2439</v>
      </c>
      <c r="J2777" s="14" t="s">
        <v>43</v>
      </c>
      <c r="K2777" s="15" t="s">
        <v>50</v>
      </c>
      <c r="L2777" s="62"/>
      <c r="M2777" s="14"/>
      <c r="N2777" s="14" t="s">
        <v>284</v>
      </c>
      <c r="O2777" s="14"/>
      <c r="P2777" s="15" t="s">
        <v>745</v>
      </c>
      <c r="Q2777" s="16">
        <v>17499</v>
      </c>
      <c r="R2777" s="17">
        <v>46</v>
      </c>
      <c r="S2777" s="18">
        <v>10866.878999999999</v>
      </c>
      <c r="T2777" s="19" t="s">
        <v>36</v>
      </c>
      <c r="U2777" s="20" t="s">
        <v>1203</v>
      </c>
      <c r="V2777" s="34">
        <v>37.5</v>
      </c>
      <c r="W2777" s="22">
        <v>6</v>
      </c>
      <c r="X2777" s="23"/>
    </row>
    <row r="2778" spans="1:24" s="1" customFormat="1" ht="21" customHeight="1" x14ac:dyDescent="0.3">
      <c r="A2778" s="24" t="s">
        <v>23</v>
      </c>
      <c r="B2778" s="24" t="s">
        <v>2476</v>
      </c>
      <c r="C2778" s="27" t="s">
        <v>2479</v>
      </c>
      <c r="D2778" s="60"/>
      <c r="E2778" s="41" t="str">
        <f>HYPERLINK("https://www.google.ru/search?q=6008993-002&amp;newwindow=1&amp;tbm=isch","Еще фото")</f>
        <v>Еще фото</v>
      </c>
      <c r="F2778" s="13"/>
      <c r="G2778" s="24" t="s">
        <v>1184</v>
      </c>
      <c r="H2778" s="24" t="s">
        <v>741</v>
      </c>
      <c r="I2778" s="24" t="s">
        <v>2439</v>
      </c>
      <c r="J2778" s="14" t="s">
        <v>43</v>
      </c>
      <c r="K2778" s="15" t="s">
        <v>50</v>
      </c>
      <c r="L2778" s="62"/>
      <c r="M2778" s="14"/>
      <c r="N2778" s="14" t="s">
        <v>284</v>
      </c>
      <c r="O2778" s="14"/>
      <c r="P2778" s="15" t="s">
        <v>745</v>
      </c>
      <c r="Q2778" s="16">
        <v>17499</v>
      </c>
      <c r="R2778" s="17">
        <v>46</v>
      </c>
      <c r="S2778" s="18">
        <v>10866.878999999999</v>
      </c>
      <c r="T2778" s="19" t="s">
        <v>36</v>
      </c>
      <c r="U2778" s="20" t="s">
        <v>1196</v>
      </c>
      <c r="V2778" s="22">
        <v>38</v>
      </c>
      <c r="W2778" s="22">
        <v>5</v>
      </c>
      <c r="X2778" s="23"/>
    </row>
    <row r="2779" spans="1:24" s="1" customFormat="1" ht="32" customHeight="1" x14ac:dyDescent="0.3">
      <c r="A2779" s="24" t="s">
        <v>23</v>
      </c>
      <c r="B2779" s="24" t="s">
        <v>2476</v>
      </c>
      <c r="C2779" s="27" t="s">
        <v>2479</v>
      </c>
      <c r="D2779" s="61"/>
      <c r="E2779" s="41" t="str">
        <f>HYPERLINK("https://www.google.ru/search?q=6008993-002&amp;newwindow=1&amp;tbm=isch","Еще фото")</f>
        <v>Еще фото</v>
      </c>
      <c r="F2779" s="13"/>
      <c r="G2779" s="24" t="s">
        <v>1184</v>
      </c>
      <c r="H2779" s="24" t="s">
        <v>741</v>
      </c>
      <c r="I2779" s="24" t="s">
        <v>2439</v>
      </c>
      <c r="J2779" s="14" t="s">
        <v>43</v>
      </c>
      <c r="K2779" s="15" t="s">
        <v>50</v>
      </c>
      <c r="L2779" s="58"/>
      <c r="M2779" s="14"/>
      <c r="N2779" s="14" t="s">
        <v>284</v>
      </c>
      <c r="O2779" s="14"/>
      <c r="P2779" s="15" t="s">
        <v>745</v>
      </c>
      <c r="Q2779" s="16">
        <v>17499</v>
      </c>
      <c r="R2779" s="17">
        <v>46</v>
      </c>
      <c r="S2779" s="18">
        <v>10866.878999999999</v>
      </c>
      <c r="T2779" s="19" t="s">
        <v>36</v>
      </c>
      <c r="U2779" s="20" t="s">
        <v>746</v>
      </c>
      <c r="V2779" s="22">
        <v>39</v>
      </c>
      <c r="W2779" s="22">
        <v>7</v>
      </c>
      <c r="X2779" s="23"/>
    </row>
    <row r="2780" spans="1:24" s="1" customFormat="1" ht="108" customHeight="1" x14ac:dyDescent="0.3">
      <c r="A2780" s="11" t="s">
        <v>23</v>
      </c>
      <c r="B2780" s="11" t="s">
        <v>2480</v>
      </c>
      <c r="C2780" s="12" t="s">
        <v>2481</v>
      </c>
      <c r="D2780" s="25"/>
      <c r="E2780" s="41" t="str">
        <f>HYPERLINK("https://www.google.ru/search?q=3023733-103&amp;newwindow=1&amp;tbm=isch","Еще фото")</f>
        <v>Еще фото</v>
      </c>
      <c r="F2780" s="13"/>
      <c r="G2780" s="11" t="s">
        <v>1184</v>
      </c>
      <c r="H2780" s="11" t="s">
        <v>741</v>
      </c>
      <c r="I2780" s="14" t="s">
        <v>2439</v>
      </c>
      <c r="J2780" s="14" t="s">
        <v>211</v>
      </c>
      <c r="K2780" s="15" t="s">
        <v>59</v>
      </c>
      <c r="L2780" s="14" t="s">
        <v>2482</v>
      </c>
      <c r="M2780" s="14" t="s">
        <v>1274</v>
      </c>
      <c r="N2780" s="14" t="s">
        <v>84</v>
      </c>
      <c r="O2780" s="14" t="s">
        <v>34</v>
      </c>
      <c r="P2780" s="15" t="s">
        <v>2483</v>
      </c>
      <c r="Q2780" s="16">
        <v>9799</v>
      </c>
      <c r="R2780" s="17">
        <v>45.91</v>
      </c>
      <c r="S2780" s="18">
        <v>6094.9884999999995</v>
      </c>
      <c r="T2780" s="19" t="s">
        <v>36</v>
      </c>
      <c r="U2780" s="20" t="s">
        <v>1190</v>
      </c>
      <c r="V2780" s="34">
        <v>35.5</v>
      </c>
      <c r="W2780" s="22">
        <v>1</v>
      </c>
      <c r="X2780" s="23"/>
    </row>
    <row r="2781" spans="1:24" s="1" customFormat="1" ht="108" customHeight="1" x14ac:dyDescent="0.3">
      <c r="A2781" s="11" t="s">
        <v>23</v>
      </c>
      <c r="B2781" s="11" t="s">
        <v>2484</v>
      </c>
      <c r="C2781" s="12" t="s">
        <v>2485</v>
      </c>
      <c r="D2781" s="25"/>
      <c r="E2781" s="41" t="str">
        <f>HYPERLINK("https://www.google.ru/search?q=3022474-103&amp;newwindow=1&amp;tbm=isch","Еще фото")</f>
        <v>Еще фото</v>
      </c>
      <c r="F2781" s="13"/>
      <c r="G2781" s="11" t="s">
        <v>740</v>
      </c>
      <c r="H2781" s="11" t="s">
        <v>741</v>
      </c>
      <c r="I2781" s="14" t="s">
        <v>2439</v>
      </c>
      <c r="J2781" s="14" t="s">
        <v>43</v>
      </c>
      <c r="K2781" s="15" t="s">
        <v>723</v>
      </c>
      <c r="L2781" s="14" t="s">
        <v>2486</v>
      </c>
      <c r="M2781" s="14" t="s">
        <v>1211</v>
      </c>
      <c r="N2781" s="14" t="s">
        <v>62</v>
      </c>
      <c r="O2781" s="14"/>
      <c r="P2781" s="15" t="s">
        <v>2487</v>
      </c>
      <c r="Q2781" s="16">
        <v>11999</v>
      </c>
      <c r="R2781" s="17">
        <v>45.83</v>
      </c>
      <c r="S2781" s="18">
        <v>7474.9884999999995</v>
      </c>
      <c r="T2781" s="19" t="s">
        <v>36</v>
      </c>
      <c r="U2781" s="20" t="s">
        <v>1196</v>
      </c>
      <c r="V2781" s="22">
        <v>38</v>
      </c>
      <c r="W2781" s="22">
        <v>1</v>
      </c>
      <c r="X2781" s="23"/>
    </row>
    <row r="2782" spans="1:24" s="1" customFormat="1" ht="108" customHeight="1" x14ac:dyDescent="0.3">
      <c r="A2782" s="11" t="s">
        <v>23</v>
      </c>
      <c r="B2782" s="11" t="s">
        <v>1555</v>
      </c>
      <c r="C2782" s="12" t="s">
        <v>2488</v>
      </c>
      <c r="D2782" s="25"/>
      <c r="E2782" s="41" t="str">
        <f>HYPERLINK("https://www.google.ru/search?q=3023705-301&amp;newwindow=1&amp;tbm=isch","Еще фото")</f>
        <v>Еще фото</v>
      </c>
      <c r="F2782" s="13"/>
      <c r="G2782" s="11" t="s">
        <v>1184</v>
      </c>
      <c r="H2782" s="11" t="s">
        <v>741</v>
      </c>
      <c r="I2782" s="14" t="s">
        <v>2439</v>
      </c>
      <c r="J2782" s="14" t="s">
        <v>43</v>
      </c>
      <c r="K2782" s="15" t="s">
        <v>59</v>
      </c>
      <c r="L2782" s="14" t="s">
        <v>1557</v>
      </c>
      <c r="M2782" s="14" t="s">
        <v>1274</v>
      </c>
      <c r="N2782" s="14" t="s">
        <v>127</v>
      </c>
      <c r="O2782" s="14" t="s">
        <v>34</v>
      </c>
      <c r="P2782" s="15" t="s">
        <v>2489</v>
      </c>
      <c r="Q2782" s="16">
        <v>13799</v>
      </c>
      <c r="R2782" s="17">
        <v>45.65</v>
      </c>
      <c r="S2782" s="18">
        <v>8624.9884999999995</v>
      </c>
      <c r="T2782" s="19" t="s">
        <v>36</v>
      </c>
      <c r="U2782" s="20" t="s">
        <v>746</v>
      </c>
      <c r="V2782" s="22">
        <v>37</v>
      </c>
      <c r="W2782" s="22">
        <v>1</v>
      </c>
      <c r="X2782" s="23"/>
    </row>
    <row r="2783" spans="1:24" s="1" customFormat="1" ht="108" customHeight="1" x14ac:dyDescent="0.3">
      <c r="A2783" s="11" t="s">
        <v>23</v>
      </c>
      <c r="B2783" s="11" t="s">
        <v>2455</v>
      </c>
      <c r="C2783" s="12" t="s">
        <v>2490</v>
      </c>
      <c r="D2783" s="25"/>
      <c r="E2783" s="41" t="str">
        <f>HYPERLINK("https://www.google.ru/search?q=3027593-234&amp;newwindow=1&amp;tbm=isch","Еще фото")</f>
        <v>Еще фото</v>
      </c>
      <c r="F2783" s="13"/>
      <c r="G2783" s="11" t="s">
        <v>1184</v>
      </c>
      <c r="H2783" s="11" t="s">
        <v>741</v>
      </c>
      <c r="I2783" s="14" t="s">
        <v>2439</v>
      </c>
      <c r="J2783" s="14" t="s">
        <v>43</v>
      </c>
      <c r="K2783" s="15" t="s">
        <v>30</v>
      </c>
      <c r="L2783" s="14" t="s">
        <v>2491</v>
      </c>
      <c r="M2783" s="14" t="s">
        <v>1211</v>
      </c>
      <c r="N2783" s="14" t="s">
        <v>229</v>
      </c>
      <c r="O2783" s="14"/>
      <c r="P2783" s="15" t="s">
        <v>745</v>
      </c>
      <c r="Q2783" s="16">
        <v>16099</v>
      </c>
      <c r="R2783" s="17">
        <v>45.34</v>
      </c>
      <c r="S2783" s="18">
        <v>10119.988499999999</v>
      </c>
      <c r="T2783" s="19" t="s">
        <v>36</v>
      </c>
      <c r="U2783" s="20" t="s">
        <v>754</v>
      </c>
      <c r="V2783" s="22">
        <v>44</v>
      </c>
      <c r="W2783" s="22">
        <v>1</v>
      </c>
      <c r="X2783" s="23"/>
    </row>
    <row r="2784" spans="1:24" s="1" customFormat="1" ht="108" customHeight="1" x14ac:dyDescent="0.3">
      <c r="A2784" s="11" t="s">
        <v>23</v>
      </c>
      <c r="B2784" s="11" t="s">
        <v>2492</v>
      </c>
      <c r="C2784" s="12" t="s">
        <v>2493</v>
      </c>
      <c r="D2784" s="25"/>
      <c r="E2784" s="41" t="str">
        <f>HYPERLINK("https://www.google.ru/search?q=3024429-005&amp;newwindow=1&amp;tbm=isch","Еще фото")</f>
        <v>Еще фото</v>
      </c>
      <c r="F2784" s="13"/>
      <c r="G2784" s="11" t="s">
        <v>1184</v>
      </c>
      <c r="H2784" s="11" t="s">
        <v>741</v>
      </c>
      <c r="I2784" s="14" t="s">
        <v>2439</v>
      </c>
      <c r="J2784" s="14" t="s">
        <v>260</v>
      </c>
      <c r="K2784" s="15" t="s">
        <v>723</v>
      </c>
      <c r="L2784" s="14" t="s">
        <v>2494</v>
      </c>
      <c r="M2784" s="14"/>
      <c r="N2784" s="14" t="s">
        <v>33</v>
      </c>
      <c r="O2784" s="14" t="s">
        <v>34</v>
      </c>
      <c r="P2784" s="15" t="s">
        <v>2495</v>
      </c>
      <c r="Q2784" s="16">
        <v>18290</v>
      </c>
      <c r="R2784" s="17">
        <v>45.33</v>
      </c>
      <c r="S2784" s="18">
        <v>11499.988499999999</v>
      </c>
      <c r="T2784" s="19" t="s">
        <v>36</v>
      </c>
      <c r="U2784" s="20" t="s">
        <v>1446</v>
      </c>
      <c r="V2784" s="22">
        <v>40</v>
      </c>
      <c r="W2784" s="22">
        <v>1</v>
      </c>
      <c r="X2784" s="23"/>
    </row>
    <row r="2785" spans="1:24" s="1" customFormat="1" ht="108" customHeight="1" x14ac:dyDescent="0.3">
      <c r="A2785" s="11" t="s">
        <v>23</v>
      </c>
      <c r="B2785" s="11" t="s">
        <v>2496</v>
      </c>
      <c r="C2785" s="12" t="s">
        <v>2497</v>
      </c>
      <c r="D2785" s="25"/>
      <c r="E2785" s="41" t="str">
        <f>HYPERLINK("https://www.google.ru/search?q=3024915-101&amp;newwindow=1&amp;tbm=isch","Еще фото")</f>
        <v>Еще фото</v>
      </c>
      <c r="F2785" s="13"/>
      <c r="G2785" s="11" t="s">
        <v>1184</v>
      </c>
      <c r="H2785" s="11" t="s">
        <v>741</v>
      </c>
      <c r="I2785" s="14" t="s">
        <v>2439</v>
      </c>
      <c r="J2785" s="14" t="s">
        <v>43</v>
      </c>
      <c r="K2785" s="15" t="s">
        <v>59</v>
      </c>
      <c r="L2785" s="14" t="s">
        <v>2498</v>
      </c>
      <c r="M2785" s="14" t="s">
        <v>765</v>
      </c>
      <c r="N2785" s="14" t="s">
        <v>62</v>
      </c>
      <c r="O2785" s="14" t="s">
        <v>34</v>
      </c>
      <c r="P2785" s="15" t="s">
        <v>2499</v>
      </c>
      <c r="Q2785" s="16">
        <v>18999</v>
      </c>
      <c r="R2785" s="17">
        <v>45.26</v>
      </c>
      <c r="S2785" s="18">
        <v>11959.988499999999</v>
      </c>
      <c r="T2785" s="19" t="s">
        <v>36</v>
      </c>
      <c r="U2785" s="20" t="s">
        <v>1190</v>
      </c>
      <c r="V2785" s="34">
        <v>35.5</v>
      </c>
      <c r="W2785" s="22">
        <v>1</v>
      </c>
      <c r="X2785" s="23"/>
    </row>
    <row r="2786" spans="1:24" s="1" customFormat="1" ht="108" customHeight="1" x14ac:dyDescent="0.3">
      <c r="A2786" s="11" t="s">
        <v>23</v>
      </c>
      <c r="B2786" s="11" t="s">
        <v>2455</v>
      </c>
      <c r="C2786" s="12" t="s">
        <v>2500</v>
      </c>
      <c r="D2786" s="25"/>
      <c r="E2786" s="41" t="str">
        <f>HYPERLINK("https://www.google.ru/search?q=3027593-105&amp;newwindow=1&amp;tbm=isch","Еще фото")</f>
        <v>Еще фото</v>
      </c>
      <c r="F2786" s="13" t="s">
        <v>103</v>
      </c>
      <c r="G2786" s="11" t="s">
        <v>1184</v>
      </c>
      <c r="H2786" s="11" t="s">
        <v>741</v>
      </c>
      <c r="I2786" s="14" t="s">
        <v>2439</v>
      </c>
      <c r="J2786" s="14" t="s">
        <v>43</v>
      </c>
      <c r="K2786" s="15" t="s">
        <v>30</v>
      </c>
      <c r="L2786" s="14" t="s">
        <v>2457</v>
      </c>
      <c r="M2786" s="14" t="s">
        <v>1211</v>
      </c>
      <c r="N2786" s="14" t="s">
        <v>84</v>
      </c>
      <c r="O2786" s="14"/>
      <c r="P2786" s="15" t="s">
        <v>2458</v>
      </c>
      <c r="Q2786" s="16">
        <v>17699</v>
      </c>
      <c r="R2786" s="17">
        <v>45.19</v>
      </c>
      <c r="S2786" s="18">
        <v>11154.988499999999</v>
      </c>
      <c r="T2786" s="19" t="s">
        <v>36</v>
      </c>
      <c r="U2786" s="20" t="s">
        <v>749</v>
      </c>
      <c r="V2786" s="22">
        <v>41</v>
      </c>
      <c r="W2786" s="22">
        <v>5</v>
      </c>
      <c r="X2786" s="23"/>
    </row>
    <row r="2787" spans="1:24" s="1" customFormat="1" ht="108" customHeight="1" x14ac:dyDescent="0.3">
      <c r="A2787" s="11" t="s">
        <v>23</v>
      </c>
      <c r="B2787" s="11" t="s">
        <v>2455</v>
      </c>
      <c r="C2787" s="12" t="s">
        <v>2501</v>
      </c>
      <c r="D2787" s="25"/>
      <c r="E2787" s="41" t="str">
        <f>HYPERLINK("https://www.google.ru/search?q=3027593-498&amp;newwindow=1&amp;tbm=isch","Еще фото")</f>
        <v>Еще фото</v>
      </c>
      <c r="F2787" s="13"/>
      <c r="G2787" s="11" t="s">
        <v>1184</v>
      </c>
      <c r="H2787" s="11" t="s">
        <v>741</v>
      </c>
      <c r="I2787" s="14" t="s">
        <v>2439</v>
      </c>
      <c r="J2787" s="14" t="s">
        <v>43</v>
      </c>
      <c r="K2787" s="15" t="s">
        <v>30</v>
      </c>
      <c r="L2787" s="14" t="s">
        <v>2491</v>
      </c>
      <c r="M2787" s="14" t="s">
        <v>1211</v>
      </c>
      <c r="N2787" s="14" t="s">
        <v>332</v>
      </c>
      <c r="O2787" s="14"/>
      <c r="P2787" s="15" t="s">
        <v>745</v>
      </c>
      <c r="Q2787" s="16">
        <v>17699</v>
      </c>
      <c r="R2787" s="17">
        <v>45.19</v>
      </c>
      <c r="S2787" s="18">
        <v>11154.988499999999</v>
      </c>
      <c r="T2787" s="19" t="s">
        <v>36</v>
      </c>
      <c r="U2787" s="20" t="s">
        <v>755</v>
      </c>
      <c r="V2787" s="34">
        <v>44.5</v>
      </c>
      <c r="W2787" s="22">
        <v>1</v>
      </c>
      <c r="X2787" s="23"/>
    </row>
    <row r="2788" spans="1:24" s="1" customFormat="1" ht="108" customHeight="1" x14ac:dyDescent="0.3">
      <c r="A2788" s="11" t="s">
        <v>23</v>
      </c>
      <c r="B2788" s="11" t="s">
        <v>2502</v>
      </c>
      <c r="C2788" s="12" t="s">
        <v>2503</v>
      </c>
      <c r="D2788" s="25"/>
      <c r="E2788" s="41" t="str">
        <f>HYPERLINK("https://www.google.ru/search?q=6000902-001&amp;newwindow=1&amp;tbm=isch","Еще фото")</f>
        <v>Еще фото</v>
      </c>
      <c r="F2788" s="13" t="s">
        <v>103</v>
      </c>
      <c r="G2788" s="11" t="s">
        <v>1184</v>
      </c>
      <c r="H2788" s="11" t="s">
        <v>741</v>
      </c>
      <c r="I2788" s="14" t="s">
        <v>2439</v>
      </c>
      <c r="J2788" s="14" t="s">
        <v>43</v>
      </c>
      <c r="K2788" s="15" t="s">
        <v>723</v>
      </c>
      <c r="L2788" s="14" t="s">
        <v>2504</v>
      </c>
      <c r="M2788" s="14" t="s">
        <v>1211</v>
      </c>
      <c r="N2788" s="14" t="s">
        <v>33</v>
      </c>
      <c r="O2788" s="14"/>
      <c r="P2788" s="15" t="s">
        <v>1794</v>
      </c>
      <c r="Q2788" s="16">
        <v>17699</v>
      </c>
      <c r="R2788" s="17">
        <v>45.19</v>
      </c>
      <c r="S2788" s="18">
        <v>11154.988499999999</v>
      </c>
      <c r="T2788" s="19" t="s">
        <v>36</v>
      </c>
      <c r="U2788" s="20" t="s">
        <v>1345</v>
      </c>
      <c r="V2788" s="22">
        <v>41</v>
      </c>
      <c r="W2788" s="22">
        <v>1</v>
      </c>
      <c r="X2788" s="23"/>
    </row>
    <row r="2789" spans="1:24" s="1" customFormat="1" ht="108" customHeight="1" x14ac:dyDescent="0.3">
      <c r="A2789" s="11" t="s">
        <v>23</v>
      </c>
      <c r="B2789" s="11" t="s">
        <v>2502</v>
      </c>
      <c r="C2789" s="12" t="s">
        <v>2505</v>
      </c>
      <c r="D2789" s="25"/>
      <c r="E2789" s="41" t="str">
        <f>HYPERLINK("https://www.google.ru/search?q=6000902-100&amp;newwindow=1&amp;tbm=isch","Еще фото")</f>
        <v>Еще фото</v>
      </c>
      <c r="F2789" s="13" t="s">
        <v>103</v>
      </c>
      <c r="G2789" s="11" t="s">
        <v>1184</v>
      </c>
      <c r="H2789" s="11" t="s">
        <v>741</v>
      </c>
      <c r="I2789" s="14" t="s">
        <v>2439</v>
      </c>
      <c r="J2789" s="14" t="s">
        <v>43</v>
      </c>
      <c r="K2789" s="15" t="s">
        <v>723</v>
      </c>
      <c r="L2789" s="14" t="s">
        <v>2504</v>
      </c>
      <c r="M2789" s="14" t="s">
        <v>1211</v>
      </c>
      <c r="N2789" s="14" t="s">
        <v>84</v>
      </c>
      <c r="O2789" s="14"/>
      <c r="P2789" s="15" t="s">
        <v>1794</v>
      </c>
      <c r="Q2789" s="16">
        <v>17699</v>
      </c>
      <c r="R2789" s="17">
        <v>45.19</v>
      </c>
      <c r="S2789" s="18">
        <v>11154.988499999999</v>
      </c>
      <c r="T2789" s="19" t="s">
        <v>36</v>
      </c>
      <c r="U2789" s="20" t="s">
        <v>1327</v>
      </c>
      <c r="V2789" s="22">
        <v>44</v>
      </c>
      <c r="W2789" s="22">
        <v>1</v>
      </c>
      <c r="X2789" s="23"/>
    </row>
    <row r="2790" spans="1:24" s="1" customFormat="1" ht="108" customHeight="1" x14ac:dyDescent="0.3">
      <c r="A2790" s="11" t="s">
        <v>23</v>
      </c>
      <c r="B2790" s="11" t="s">
        <v>2506</v>
      </c>
      <c r="C2790" s="12" t="s">
        <v>2507</v>
      </c>
      <c r="D2790" s="25"/>
      <c r="E2790" s="41" t="str">
        <f>HYPERLINK("https://www.google.ru/search?q=3024130-601&amp;newwindow=1&amp;tbm=isch","Еще фото")</f>
        <v>Еще фото</v>
      </c>
      <c r="F2790" s="13"/>
      <c r="G2790" s="11" t="s">
        <v>1184</v>
      </c>
      <c r="H2790" s="11" t="s">
        <v>741</v>
      </c>
      <c r="I2790" s="14" t="s">
        <v>2439</v>
      </c>
      <c r="J2790" s="14" t="s">
        <v>43</v>
      </c>
      <c r="K2790" s="15" t="s">
        <v>59</v>
      </c>
      <c r="L2790" s="14" t="s">
        <v>2508</v>
      </c>
      <c r="M2790" s="14" t="s">
        <v>45</v>
      </c>
      <c r="N2790" s="14" t="s">
        <v>69</v>
      </c>
      <c r="O2790" s="14" t="s">
        <v>34</v>
      </c>
      <c r="P2790" s="15" t="s">
        <v>2509</v>
      </c>
      <c r="Q2790" s="16">
        <v>10399</v>
      </c>
      <c r="R2790" s="17">
        <v>45.19</v>
      </c>
      <c r="S2790" s="18">
        <v>6554.9884999999995</v>
      </c>
      <c r="T2790" s="19" t="s">
        <v>36</v>
      </c>
      <c r="U2790" s="20" t="s">
        <v>748</v>
      </c>
      <c r="V2790" s="22">
        <v>38</v>
      </c>
      <c r="W2790" s="22">
        <v>1</v>
      </c>
      <c r="X2790" s="23"/>
    </row>
    <row r="2791" spans="1:24" s="1" customFormat="1" ht="108" customHeight="1" x14ac:dyDescent="0.3">
      <c r="A2791" s="11" t="s">
        <v>23</v>
      </c>
      <c r="B2791" s="11" t="s">
        <v>2506</v>
      </c>
      <c r="C2791" s="12" t="s">
        <v>2510</v>
      </c>
      <c r="D2791" s="25"/>
      <c r="E2791" s="41" t="str">
        <f>HYPERLINK("https://www.google.ru/search?q=3024130-001&amp;newwindow=1&amp;tbm=isch","Еще фото")</f>
        <v>Еще фото</v>
      </c>
      <c r="F2791" s="13"/>
      <c r="G2791" s="11" t="s">
        <v>1184</v>
      </c>
      <c r="H2791" s="11" t="s">
        <v>741</v>
      </c>
      <c r="I2791" s="14" t="s">
        <v>2439</v>
      </c>
      <c r="J2791" s="14" t="s">
        <v>43</v>
      </c>
      <c r="K2791" s="15" t="s">
        <v>59</v>
      </c>
      <c r="L2791" s="14" t="s">
        <v>2508</v>
      </c>
      <c r="M2791" s="14" t="s">
        <v>45</v>
      </c>
      <c r="N2791" s="14" t="s">
        <v>33</v>
      </c>
      <c r="O2791" s="14" t="s">
        <v>34</v>
      </c>
      <c r="P2791" s="15" t="s">
        <v>2511</v>
      </c>
      <c r="Q2791" s="16">
        <v>6199</v>
      </c>
      <c r="R2791" s="17">
        <v>45.15</v>
      </c>
      <c r="S2791" s="18">
        <v>3909.9884999999995</v>
      </c>
      <c r="T2791" s="19" t="s">
        <v>36</v>
      </c>
      <c r="U2791" s="20" t="s">
        <v>1241</v>
      </c>
      <c r="V2791" s="22">
        <v>35</v>
      </c>
      <c r="W2791" s="22">
        <v>1</v>
      </c>
      <c r="X2791" s="23"/>
    </row>
    <row r="2792" spans="1:24" s="1" customFormat="1" ht="52.05" customHeight="1" x14ac:dyDescent="0.3">
      <c r="A2792" s="11" t="s">
        <v>23</v>
      </c>
      <c r="B2792" s="11" t="s">
        <v>2512</v>
      </c>
      <c r="C2792" s="12" t="s">
        <v>2513</v>
      </c>
      <c r="D2792" s="55"/>
      <c r="E2792" s="41" t="str">
        <f>HYPERLINK("https://www.google.ru/search?q=3021461-603&amp;newwindow=1&amp;tbm=isch","Еще фото")</f>
        <v>Еще фото</v>
      </c>
      <c r="F2792" s="13"/>
      <c r="G2792" s="11" t="s">
        <v>1184</v>
      </c>
      <c r="H2792" s="11" t="s">
        <v>741</v>
      </c>
      <c r="I2792" s="14" t="s">
        <v>2439</v>
      </c>
      <c r="J2792" s="14" t="s">
        <v>43</v>
      </c>
      <c r="K2792" s="15" t="s">
        <v>59</v>
      </c>
      <c r="L2792" s="57" t="s">
        <v>1875</v>
      </c>
      <c r="M2792" s="14" t="s">
        <v>1211</v>
      </c>
      <c r="N2792" s="14" t="s">
        <v>69</v>
      </c>
      <c r="O2792" s="14"/>
      <c r="P2792" s="15" t="s">
        <v>1615</v>
      </c>
      <c r="Q2792" s="16">
        <v>10999</v>
      </c>
      <c r="R2792" s="17">
        <v>40</v>
      </c>
      <c r="S2792" s="18">
        <v>7589.3099999999986</v>
      </c>
      <c r="T2792" s="19" t="s">
        <v>36</v>
      </c>
      <c r="U2792" s="20" t="s">
        <v>747</v>
      </c>
      <c r="V2792" s="34">
        <v>37.5</v>
      </c>
      <c r="W2792" s="22">
        <v>1</v>
      </c>
      <c r="X2792" s="23"/>
    </row>
    <row r="2793" spans="1:24" s="1" customFormat="1" ht="61.05" customHeight="1" x14ac:dyDescent="0.3">
      <c r="A2793" s="24" t="s">
        <v>23</v>
      </c>
      <c r="B2793" s="24" t="s">
        <v>2512</v>
      </c>
      <c r="C2793" s="12" t="s">
        <v>2513</v>
      </c>
      <c r="D2793" s="56"/>
      <c r="E2793" s="41" t="str">
        <f>HYPERLINK("https://www.google.ru/search?q=3021461-603&amp;newwindow=1&amp;tbm=isch","Еще фото")</f>
        <v>Еще фото</v>
      </c>
      <c r="F2793" s="13"/>
      <c r="G2793" s="24" t="s">
        <v>1184</v>
      </c>
      <c r="H2793" s="24" t="s">
        <v>741</v>
      </c>
      <c r="I2793" s="24" t="s">
        <v>2439</v>
      </c>
      <c r="J2793" s="14" t="s">
        <v>43</v>
      </c>
      <c r="K2793" s="15" t="s">
        <v>59</v>
      </c>
      <c r="L2793" s="58"/>
      <c r="M2793" s="14" t="s">
        <v>1211</v>
      </c>
      <c r="N2793" s="14" t="s">
        <v>69</v>
      </c>
      <c r="O2793" s="14"/>
      <c r="P2793" s="15" t="s">
        <v>1615</v>
      </c>
      <c r="Q2793" s="16">
        <v>10999</v>
      </c>
      <c r="R2793" s="17">
        <v>40</v>
      </c>
      <c r="S2793" s="18">
        <v>7589.3099999999986</v>
      </c>
      <c r="T2793" s="19" t="s">
        <v>36</v>
      </c>
      <c r="U2793" s="20" t="s">
        <v>748</v>
      </c>
      <c r="V2793" s="22">
        <v>38</v>
      </c>
      <c r="W2793" s="22">
        <v>1</v>
      </c>
      <c r="X2793" s="23"/>
    </row>
    <row r="2794" spans="1:24" s="1" customFormat="1" ht="108" customHeight="1" x14ac:dyDescent="0.3">
      <c r="A2794" s="11" t="s">
        <v>23</v>
      </c>
      <c r="B2794" s="11" t="s">
        <v>2514</v>
      </c>
      <c r="C2794" s="12" t="s">
        <v>2515</v>
      </c>
      <c r="D2794" s="25"/>
      <c r="E2794" s="41" t="str">
        <f>HYPERLINK("https://www.google.ru/search?q=3021969-004&amp;newwindow=1&amp;tbm=isch","Еще фото")</f>
        <v>Еще фото</v>
      </c>
      <c r="F2794" s="13"/>
      <c r="G2794" s="11" t="s">
        <v>1184</v>
      </c>
      <c r="H2794" s="11" t="s">
        <v>741</v>
      </c>
      <c r="I2794" s="14" t="s">
        <v>2439</v>
      </c>
      <c r="J2794" s="14" t="s">
        <v>43</v>
      </c>
      <c r="K2794" s="15" t="s">
        <v>59</v>
      </c>
      <c r="L2794" s="14" t="s">
        <v>2516</v>
      </c>
      <c r="M2794" s="14" t="s">
        <v>765</v>
      </c>
      <c r="N2794" s="14" t="s">
        <v>33</v>
      </c>
      <c r="O2794" s="14"/>
      <c r="P2794" s="15" t="s">
        <v>2517</v>
      </c>
      <c r="Q2794" s="16">
        <v>7299</v>
      </c>
      <c r="R2794" s="17">
        <v>40</v>
      </c>
      <c r="S2794" s="18">
        <v>5036.3099999999995</v>
      </c>
      <c r="T2794" s="19" t="s">
        <v>36</v>
      </c>
      <c r="U2794" s="20" t="s">
        <v>1190</v>
      </c>
      <c r="V2794" s="34">
        <v>35.5</v>
      </c>
      <c r="W2794" s="22">
        <v>1</v>
      </c>
      <c r="X2794" s="23"/>
    </row>
    <row r="2795" spans="1:24" s="1" customFormat="1" ht="108" customHeight="1" x14ac:dyDescent="0.3">
      <c r="A2795" s="11" t="s">
        <v>23</v>
      </c>
      <c r="B2795" s="11" t="s">
        <v>2518</v>
      </c>
      <c r="C2795" s="12" t="s">
        <v>2519</v>
      </c>
      <c r="D2795" s="25"/>
      <c r="E2795" s="41" t="str">
        <f>HYPERLINK("https://www.google.ru/search?q=3022946-100&amp;newwindow=1&amp;tbm=isch","Еще фото")</f>
        <v>Еще фото</v>
      </c>
      <c r="F2795" s="13"/>
      <c r="G2795" s="11" t="s">
        <v>1184</v>
      </c>
      <c r="H2795" s="11" t="s">
        <v>741</v>
      </c>
      <c r="I2795" s="14" t="s">
        <v>2439</v>
      </c>
      <c r="J2795" s="14" t="s">
        <v>43</v>
      </c>
      <c r="K2795" s="15" t="s">
        <v>723</v>
      </c>
      <c r="L2795" s="14" t="s">
        <v>2520</v>
      </c>
      <c r="M2795" s="14" t="s">
        <v>1211</v>
      </c>
      <c r="N2795" s="14" t="s">
        <v>84</v>
      </c>
      <c r="O2795" s="14"/>
      <c r="P2795" s="15" t="s">
        <v>2521</v>
      </c>
      <c r="Q2795" s="16">
        <v>23199</v>
      </c>
      <c r="R2795" s="17">
        <v>40</v>
      </c>
      <c r="S2795" s="18">
        <v>16007.309999999998</v>
      </c>
      <c r="T2795" s="19" t="s">
        <v>36</v>
      </c>
      <c r="U2795" s="20" t="s">
        <v>1346</v>
      </c>
      <c r="V2795" s="34">
        <v>41.5</v>
      </c>
      <c r="W2795" s="22">
        <v>1</v>
      </c>
      <c r="X2795" s="23"/>
    </row>
    <row r="2796" spans="1:24" s="1" customFormat="1" ht="52.05" customHeight="1" x14ac:dyDescent="0.3">
      <c r="A2796" s="11" t="s">
        <v>23</v>
      </c>
      <c r="B2796" s="11" t="s">
        <v>2455</v>
      </c>
      <c r="C2796" s="12" t="s">
        <v>2522</v>
      </c>
      <c r="D2796" s="55"/>
      <c r="E2796" s="41" t="str">
        <f>HYPERLINK("https://www.google.ru/search?q=3027593-001&amp;newwindow=1&amp;tbm=isch","Еще фото")</f>
        <v>Еще фото</v>
      </c>
      <c r="F2796" s="13" t="s">
        <v>152</v>
      </c>
      <c r="G2796" s="11" t="s">
        <v>1184</v>
      </c>
      <c r="H2796" s="11" t="s">
        <v>741</v>
      </c>
      <c r="I2796" s="14" t="s">
        <v>2439</v>
      </c>
      <c r="J2796" s="14" t="s">
        <v>43</v>
      </c>
      <c r="K2796" s="15" t="s">
        <v>30</v>
      </c>
      <c r="L2796" s="57" t="s">
        <v>2457</v>
      </c>
      <c r="M2796" s="14" t="s">
        <v>1211</v>
      </c>
      <c r="N2796" s="14" t="s">
        <v>33</v>
      </c>
      <c r="O2796" s="14"/>
      <c r="P2796" s="15" t="s">
        <v>745</v>
      </c>
      <c r="Q2796" s="16">
        <v>17499</v>
      </c>
      <c r="R2796" s="17">
        <v>40</v>
      </c>
      <c r="S2796" s="18">
        <v>12074.31</v>
      </c>
      <c r="T2796" s="19" t="s">
        <v>36</v>
      </c>
      <c r="U2796" s="20" t="s">
        <v>748</v>
      </c>
      <c r="V2796" s="22">
        <v>40</v>
      </c>
      <c r="W2796" s="22">
        <v>3</v>
      </c>
      <c r="X2796" s="23"/>
    </row>
    <row r="2797" spans="1:24" s="1" customFormat="1" ht="61.05" customHeight="1" x14ac:dyDescent="0.3">
      <c r="A2797" s="24" t="s">
        <v>23</v>
      </c>
      <c r="B2797" s="24" t="s">
        <v>2455</v>
      </c>
      <c r="C2797" s="12" t="s">
        <v>2522</v>
      </c>
      <c r="D2797" s="56"/>
      <c r="E2797" s="41" t="str">
        <f>HYPERLINK("https://www.google.ru/search?q=3027593-001&amp;newwindow=1&amp;tbm=isch","Еще фото")</f>
        <v>Еще фото</v>
      </c>
      <c r="F2797" s="13" t="s">
        <v>152</v>
      </c>
      <c r="G2797" s="24" t="s">
        <v>1184</v>
      </c>
      <c r="H2797" s="24" t="s">
        <v>741</v>
      </c>
      <c r="I2797" s="24" t="s">
        <v>2439</v>
      </c>
      <c r="J2797" s="14" t="s">
        <v>43</v>
      </c>
      <c r="K2797" s="15" t="s">
        <v>30</v>
      </c>
      <c r="L2797" s="58"/>
      <c r="M2797" s="14" t="s">
        <v>1211</v>
      </c>
      <c r="N2797" s="14" t="s">
        <v>33</v>
      </c>
      <c r="O2797" s="14"/>
      <c r="P2797" s="15" t="s">
        <v>745</v>
      </c>
      <c r="Q2797" s="16">
        <v>17499</v>
      </c>
      <c r="R2797" s="17">
        <v>40</v>
      </c>
      <c r="S2797" s="18">
        <v>12074.31</v>
      </c>
      <c r="T2797" s="19" t="s">
        <v>36</v>
      </c>
      <c r="U2797" s="20" t="s">
        <v>750</v>
      </c>
      <c r="V2797" s="34">
        <v>41.5</v>
      </c>
      <c r="W2797" s="22">
        <v>1</v>
      </c>
      <c r="X2797" s="23"/>
    </row>
    <row r="2798" spans="1:24" s="1" customFormat="1" ht="108" customHeight="1" x14ac:dyDescent="0.3">
      <c r="A2798" s="11" t="s">
        <v>23</v>
      </c>
      <c r="B2798" s="11" t="s">
        <v>2455</v>
      </c>
      <c r="C2798" s="12" t="s">
        <v>2523</v>
      </c>
      <c r="D2798" s="25"/>
      <c r="E2798" s="41" t="str">
        <f>HYPERLINK("https://www.google.ru/search?q=3027593-002&amp;newwindow=1&amp;tbm=isch","Еще фото")</f>
        <v>Еще фото</v>
      </c>
      <c r="F2798" s="13" t="s">
        <v>152</v>
      </c>
      <c r="G2798" s="11" t="s">
        <v>1184</v>
      </c>
      <c r="H2798" s="11" t="s">
        <v>741</v>
      </c>
      <c r="I2798" s="14" t="s">
        <v>2439</v>
      </c>
      <c r="J2798" s="14" t="s">
        <v>43</v>
      </c>
      <c r="K2798" s="15" t="s">
        <v>30</v>
      </c>
      <c r="L2798" s="14" t="s">
        <v>2457</v>
      </c>
      <c r="M2798" s="14" t="s">
        <v>1211</v>
      </c>
      <c r="N2798" s="14" t="s">
        <v>33</v>
      </c>
      <c r="O2798" s="14"/>
      <c r="P2798" s="15" t="s">
        <v>2458</v>
      </c>
      <c r="Q2798" s="16">
        <v>17499</v>
      </c>
      <c r="R2798" s="17">
        <v>40</v>
      </c>
      <c r="S2798" s="18">
        <v>12074.31</v>
      </c>
      <c r="T2798" s="19" t="s">
        <v>36</v>
      </c>
      <c r="U2798" s="20" t="s">
        <v>748</v>
      </c>
      <c r="V2798" s="22">
        <v>40</v>
      </c>
      <c r="W2798" s="22">
        <v>3</v>
      </c>
      <c r="X2798" s="23"/>
    </row>
    <row r="2799" spans="1:24" s="1" customFormat="1" ht="26" customHeight="1" x14ac:dyDescent="0.3">
      <c r="A2799" s="11" t="s">
        <v>23</v>
      </c>
      <c r="B2799" s="11" t="s">
        <v>2455</v>
      </c>
      <c r="C2799" s="12" t="s">
        <v>2524</v>
      </c>
      <c r="D2799" s="59"/>
      <c r="E2799" s="41" t="str">
        <f>HYPERLINK("https://www.google.ru/search?q=3027593-925&amp;newwindow=1&amp;tbm=isch","Еще фото")</f>
        <v>Еще фото</v>
      </c>
      <c r="F2799" s="28" t="s">
        <v>138</v>
      </c>
      <c r="G2799" s="11" t="s">
        <v>1184</v>
      </c>
      <c r="H2799" s="11" t="s">
        <v>741</v>
      </c>
      <c r="I2799" s="14" t="s">
        <v>2439</v>
      </c>
      <c r="J2799" s="14" t="s">
        <v>43</v>
      </c>
      <c r="K2799" s="15" t="s">
        <v>30</v>
      </c>
      <c r="L2799" s="57" t="s">
        <v>2457</v>
      </c>
      <c r="M2799" s="14" t="s">
        <v>1211</v>
      </c>
      <c r="N2799" s="14" t="s">
        <v>1165</v>
      </c>
      <c r="O2799" s="14"/>
      <c r="P2799" s="15" t="s">
        <v>745</v>
      </c>
      <c r="Q2799" s="16">
        <v>17699</v>
      </c>
      <c r="R2799" s="17">
        <v>40</v>
      </c>
      <c r="S2799" s="18">
        <v>12212.31</v>
      </c>
      <c r="T2799" s="19" t="s">
        <v>36</v>
      </c>
      <c r="U2799" s="20" t="s">
        <v>747</v>
      </c>
      <c r="V2799" s="34">
        <v>39.5</v>
      </c>
      <c r="W2799" s="22">
        <v>6</v>
      </c>
      <c r="X2799" s="23"/>
    </row>
    <row r="2800" spans="1:24" s="1" customFormat="1" ht="26" customHeight="1" x14ac:dyDescent="0.3">
      <c r="A2800" s="24" t="s">
        <v>23</v>
      </c>
      <c r="B2800" s="24" t="s">
        <v>2455</v>
      </c>
      <c r="C2800" s="12" t="s">
        <v>2524</v>
      </c>
      <c r="D2800" s="60"/>
      <c r="E2800" s="41" t="str">
        <f>HYPERLINK("https://www.google.ru/search?q=3027593-925&amp;newwindow=1&amp;tbm=isch","Еще фото")</f>
        <v>Еще фото</v>
      </c>
      <c r="F2800" s="28" t="s">
        <v>138</v>
      </c>
      <c r="G2800" s="24" t="s">
        <v>1184</v>
      </c>
      <c r="H2800" s="24" t="s">
        <v>741</v>
      </c>
      <c r="I2800" s="24" t="s">
        <v>2439</v>
      </c>
      <c r="J2800" s="14" t="s">
        <v>43</v>
      </c>
      <c r="K2800" s="15" t="s">
        <v>30</v>
      </c>
      <c r="L2800" s="62"/>
      <c r="M2800" s="14" t="s">
        <v>1211</v>
      </c>
      <c r="N2800" s="14" t="s">
        <v>1165</v>
      </c>
      <c r="O2800" s="14"/>
      <c r="P2800" s="15" t="s">
        <v>745</v>
      </c>
      <c r="Q2800" s="16">
        <v>17699</v>
      </c>
      <c r="R2800" s="17">
        <v>40</v>
      </c>
      <c r="S2800" s="18">
        <v>12212.31</v>
      </c>
      <c r="T2800" s="19" t="s">
        <v>36</v>
      </c>
      <c r="U2800" s="20" t="s">
        <v>748</v>
      </c>
      <c r="V2800" s="22">
        <v>40</v>
      </c>
      <c r="W2800" s="22">
        <v>1</v>
      </c>
      <c r="X2800" s="23"/>
    </row>
    <row r="2801" spans="1:24" s="1" customFormat="1" ht="26" customHeight="1" x14ac:dyDescent="0.3">
      <c r="A2801" s="24" t="s">
        <v>23</v>
      </c>
      <c r="B2801" s="24" t="s">
        <v>2455</v>
      </c>
      <c r="C2801" s="12" t="s">
        <v>2524</v>
      </c>
      <c r="D2801" s="60"/>
      <c r="E2801" s="41" t="str">
        <f>HYPERLINK("https://www.google.ru/search?q=3027593-925&amp;newwindow=1&amp;tbm=isch","Еще фото")</f>
        <v>Еще фото</v>
      </c>
      <c r="F2801" s="28" t="s">
        <v>138</v>
      </c>
      <c r="G2801" s="24" t="s">
        <v>1184</v>
      </c>
      <c r="H2801" s="24" t="s">
        <v>741</v>
      </c>
      <c r="I2801" s="24" t="s">
        <v>2439</v>
      </c>
      <c r="J2801" s="14" t="s">
        <v>43</v>
      </c>
      <c r="K2801" s="15" t="s">
        <v>30</v>
      </c>
      <c r="L2801" s="62"/>
      <c r="M2801" s="14" t="s">
        <v>1211</v>
      </c>
      <c r="N2801" s="14" t="s">
        <v>1165</v>
      </c>
      <c r="O2801" s="14"/>
      <c r="P2801" s="15" t="s">
        <v>745</v>
      </c>
      <c r="Q2801" s="16">
        <v>17699</v>
      </c>
      <c r="R2801" s="17">
        <v>40</v>
      </c>
      <c r="S2801" s="18">
        <v>12212.31</v>
      </c>
      <c r="T2801" s="19" t="s">
        <v>36</v>
      </c>
      <c r="U2801" s="20" t="s">
        <v>750</v>
      </c>
      <c r="V2801" s="34">
        <v>41.5</v>
      </c>
      <c r="W2801" s="22">
        <v>16</v>
      </c>
      <c r="X2801" s="23"/>
    </row>
    <row r="2802" spans="1:24" s="1" customFormat="1" ht="26" customHeight="1" x14ac:dyDescent="0.3">
      <c r="A2802" s="24" t="s">
        <v>23</v>
      </c>
      <c r="B2802" s="24" t="s">
        <v>2455</v>
      </c>
      <c r="C2802" s="12" t="s">
        <v>2524</v>
      </c>
      <c r="D2802" s="61"/>
      <c r="E2802" s="41" t="str">
        <f>HYPERLINK("https://www.google.ru/search?q=3027593-925&amp;newwindow=1&amp;tbm=isch","Еще фото")</f>
        <v>Еще фото</v>
      </c>
      <c r="F2802" s="28" t="s">
        <v>138</v>
      </c>
      <c r="G2802" s="24" t="s">
        <v>1184</v>
      </c>
      <c r="H2802" s="24" t="s">
        <v>741</v>
      </c>
      <c r="I2802" s="24" t="s">
        <v>2439</v>
      </c>
      <c r="J2802" s="14" t="s">
        <v>43</v>
      </c>
      <c r="K2802" s="15" t="s">
        <v>30</v>
      </c>
      <c r="L2802" s="58"/>
      <c r="M2802" s="14" t="s">
        <v>1211</v>
      </c>
      <c r="N2802" s="14" t="s">
        <v>1165</v>
      </c>
      <c r="O2802" s="14"/>
      <c r="P2802" s="15" t="s">
        <v>745</v>
      </c>
      <c r="Q2802" s="16">
        <v>17699</v>
      </c>
      <c r="R2802" s="17">
        <v>40</v>
      </c>
      <c r="S2802" s="18">
        <v>12212.31</v>
      </c>
      <c r="T2802" s="19" t="s">
        <v>36</v>
      </c>
      <c r="U2802" s="20" t="s">
        <v>751</v>
      </c>
      <c r="V2802" s="22">
        <v>42</v>
      </c>
      <c r="W2802" s="22">
        <v>4</v>
      </c>
      <c r="X2802" s="23"/>
    </row>
    <row r="2803" spans="1:24" s="1" customFormat="1" ht="108" customHeight="1" x14ac:dyDescent="0.3">
      <c r="A2803" s="11" t="s">
        <v>23</v>
      </c>
      <c r="B2803" s="11" t="s">
        <v>2525</v>
      </c>
      <c r="C2803" s="12" t="s">
        <v>2526</v>
      </c>
      <c r="D2803" s="25"/>
      <c r="E2803" s="41" t="str">
        <f>HYPERLINK("https://www.google.ru/search?q=3027594-011&amp;newwindow=1&amp;tbm=isch","Еще фото")</f>
        <v>Еще фото</v>
      </c>
      <c r="F2803" s="13" t="s">
        <v>152</v>
      </c>
      <c r="G2803" s="11" t="s">
        <v>1184</v>
      </c>
      <c r="H2803" s="11" t="s">
        <v>741</v>
      </c>
      <c r="I2803" s="14" t="s">
        <v>2439</v>
      </c>
      <c r="J2803" s="14" t="s">
        <v>43</v>
      </c>
      <c r="K2803" s="15" t="s">
        <v>59</v>
      </c>
      <c r="L2803" s="14" t="s">
        <v>2527</v>
      </c>
      <c r="M2803" s="14" t="s">
        <v>1211</v>
      </c>
      <c r="N2803" s="14" t="s">
        <v>62</v>
      </c>
      <c r="O2803" s="14"/>
      <c r="P2803" s="15" t="s">
        <v>2458</v>
      </c>
      <c r="Q2803" s="16">
        <v>17699</v>
      </c>
      <c r="R2803" s="17">
        <v>40</v>
      </c>
      <c r="S2803" s="18">
        <v>12212.31</v>
      </c>
      <c r="T2803" s="19" t="s">
        <v>36</v>
      </c>
      <c r="U2803" s="20" t="s">
        <v>746</v>
      </c>
      <c r="V2803" s="22">
        <v>37</v>
      </c>
      <c r="W2803" s="22">
        <v>1</v>
      </c>
      <c r="X2803" s="23"/>
    </row>
    <row r="2804" spans="1:24" s="1" customFormat="1" ht="35" customHeight="1" x14ac:dyDescent="0.3">
      <c r="A2804" s="11" t="s">
        <v>23</v>
      </c>
      <c r="B2804" s="11" t="s">
        <v>2525</v>
      </c>
      <c r="C2804" s="12" t="s">
        <v>2528</v>
      </c>
      <c r="D2804" s="59"/>
      <c r="E2804" s="41" t="str">
        <f>HYPERLINK("https://www.google.ru/search?q=3027594-873&amp;newwindow=1&amp;tbm=isch","Еще фото")</f>
        <v>Еще фото</v>
      </c>
      <c r="F2804" s="13"/>
      <c r="G2804" s="11" t="s">
        <v>1184</v>
      </c>
      <c r="H2804" s="11" t="s">
        <v>741</v>
      </c>
      <c r="I2804" s="14" t="s">
        <v>2439</v>
      </c>
      <c r="J2804" s="14" t="s">
        <v>43</v>
      </c>
      <c r="K2804" s="15" t="s">
        <v>59</v>
      </c>
      <c r="L2804" s="57" t="s">
        <v>2527</v>
      </c>
      <c r="M2804" s="14"/>
      <c r="N2804" s="14" t="s">
        <v>2005</v>
      </c>
      <c r="O2804" s="14"/>
      <c r="P2804" s="15" t="s">
        <v>2458</v>
      </c>
      <c r="Q2804" s="16">
        <v>17699</v>
      </c>
      <c r="R2804" s="17">
        <v>40</v>
      </c>
      <c r="S2804" s="18">
        <v>12212.31</v>
      </c>
      <c r="T2804" s="19" t="s">
        <v>36</v>
      </c>
      <c r="U2804" s="20" t="s">
        <v>747</v>
      </c>
      <c r="V2804" s="34">
        <v>37.5</v>
      </c>
      <c r="W2804" s="22">
        <v>5</v>
      </c>
      <c r="X2804" s="23"/>
    </row>
    <row r="2805" spans="1:24" s="1" customFormat="1" ht="35" customHeight="1" x14ac:dyDescent="0.3">
      <c r="A2805" s="24" t="s">
        <v>23</v>
      </c>
      <c r="B2805" s="24" t="s">
        <v>2525</v>
      </c>
      <c r="C2805" s="12" t="s">
        <v>2528</v>
      </c>
      <c r="D2805" s="60"/>
      <c r="E2805" s="41" t="str">
        <f>HYPERLINK("https://www.google.ru/search?q=3027594-873&amp;newwindow=1&amp;tbm=isch","Еще фото")</f>
        <v>Еще фото</v>
      </c>
      <c r="F2805" s="13"/>
      <c r="G2805" s="24" t="s">
        <v>1184</v>
      </c>
      <c r="H2805" s="24" t="s">
        <v>741</v>
      </c>
      <c r="I2805" s="24" t="s">
        <v>2439</v>
      </c>
      <c r="J2805" s="14" t="s">
        <v>43</v>
      </c>
      <c r="K2805" s="15" t="s">
        <v>59</v>
      </c>
      <c r="L2805" s="62"/>
      <c r="M2805" s="14"/>
      <c r="N2805" s="14" t="s">
        <v>2005</v>
      </c>
      <c r="O2805" s="14"/>
      <c r="P2805" s="15" t="s">
        <v>2458</v>
      </c>
      <c r="Q2805" s="16">
        <v>17699</v>
      </c>
      <c r="R2805" s="17">
        <v>40</v>
      </c>
      <c r="S2805" s="18">
        <v>12212.31</v>
      </c>
      <c r="T2805" s="19" t="s">
        <v>36</v>
      </c>
      <c r="U2805" s="20" t="s">
        <v>748</v>
      </c>
      <c r="V2805" s="22">
        <v>38</v>
      </c>
      <c r="W2805" s="22">
        <v>4</v>
      </c>
      <c r="X2805" s="23"/>
    </row>
    <row r="2806" spans="1:24" s="1" customFormat="1" ht="37.049999999999997" customHeight="1" x14ac:dyDescent="0.3">
      <c r="A2806" s="24" t="s">
        <v>23</v>
      </c>
      <c r="B2806" s="24" t="s">
        <v>2525</v>
      </c>
      <c r="C2806" s="12" t="s">
        <v>2528</v>
      </c>
      <c r="D2806" s="61"/>
      <c r="E2806" s="41" t="str">
        <f>HYPERLINK("https://www.google.ru/search?q=3027594-873&amp;newwindow=1&amp;tbm=isch","Еще фото")</f>
        <v>Еще фото</v>
      </c>
      <c r="F2806" s="13"/>
      <c r="G2806" s="24" t="s">
        <v>1184</v>
      </c>
      <c r="H2806" s="24" t="s">
        <v>741</v>
      </c>
      <c r="I2806" s="24" t="s">
        <v>2439</v>
      </c>
      <c r="J2806" s="14" t="s">
        <v>43</v>
      </c>
      <c r="K2806" s="15" t="s">
        <v>59</v>
      </c>
      <c r="L2806" s="58"/>
      <c r="M2806" s="14"/>
      <c r="N2806" s="14" t="s">
        <v>2005</v>
      </c>
      <c r="O2806" s="14"/>
      <c r="P2806" s="15" t="s">
        <v>2458</v>
      </c>
      <c r="Q2806" s="16">
        <v>17699</v>
      </c>
      <c r="R2806" s="17">
        <v>40</v>
      </c>
      <c r="S2806" s="18">
        <v>12212.31</v>
      </c>
      <c r="T2806" s="19" t="s">
        <v>36</v>
      </c>
      <c r="U2806" s="20" t="s">
        <v>749</v>
      </c>
      <c r="V2806" s="22">
        <v>39</v>
      </c>
      <c r="W2806" s="22">
        <v>2</v>
      </c>
      <c r="X2806" s="23"/>
    </row>
    <row r="2807" spans="1:24" s="1" customFormat="1" ht="14" customHeight="1" x14ac:dyDescent="0.3">
      <c r="A2807" s="11" t="s">
        <v>23</v>
      </c>
      <c r="B2807" s="11" t="s">
        <v>2529</v>
      </c>
      <c r="C2807" s="12" t="s">
        <v>2530</v>
      </c>
      <c r="D2807" s="59"/>
      <c r="E2807" s="41" t="str">
        <f t="shared" ref="E2807:E2813" si="129">HYPERLINK("https://www.google.ru/search?q=3027595-100&amp;newwindow=1&amp;tbm=isch","Еще фото")</f>
        <v>Еще фото</v>
      </c>
      <c r="F2807" s="13" t="s">
        <v>103</v>
      </c>
      <c r="G2807" s="11" t="s">
        <v>1184</v>
      </c>
      <c r="H2807" s="11" t="s">
        <v>741</v>
      </c>
      <c r="I2807" s="14" t="s">
        <v>2439</v>
      </c>
      <c r="J2807" s="14" t="s">
        <v>43</v>
      </c>
      <c r="K2807" s="15" t="s">
        <v>723</v>
      </c>
      <c r="L2807" s="57" t="s">
        <v>2531</v>
      </c>
      <c r="M2807" s="14" t="s">
        <v>1211</v>
      </c>
      <c r="N2807" s="14" t="s">
        <v>62</v>
      </c>
      <c r="O2807" s="14"/>
      <c r="P2807" s="15" t="s">
        <v>1457</v>
      </c>
      <c r="Q2807" s="16">
        <v>17099</v>
      </c>
      <c r="R2807" s="17">
        <v>40</v>
      </c>
      <c r="S2807" s="18">
        <v>11798.31</v>
      </c>
      <c r="T2807" s="19" t="s">
        <v>36</v>
      </c>
      <c r="U2807" s="20" t="s">
        <v>1345</v>
      </c>
      <c r="V2807" s="22">
        <v>41</v>
      </c>
      <c r="W2807" s="22">
        <v>15</v>
      </c>
      <c r="X2807" s="23"/>
    </row>
    <row r="2808" spans="1:24" s="1" customFormat="1" ht="14" customHeight="1" x14ac:dyDescent="0.3">
      <c r="A2808" s="24" t="s">
        <v>23</v>
      </c>
      <c r="B2808" s="24" t="s">
        <v>2529</v>
      </c>
      <c r="C2808" s="12" t="s">
        <v>2530</v>
      </c>
      <c r="D2808" s="60"/>
      <c r="E2808" s="41" t="str">
        <f t="shared" si="129"/>
        <v>Еще фото</v>
      </c>
      <c r="F2808" s="13" t="s">
        <v>103</v>
      </c>
      <c r="G2808" s="24" t="s">
        <v>1184</v>
      </c>
      <c r="H2808" s="24" t="s">
        <v>741</v>
      </c>
      <c r="I2808" s="24" t="s">
        <v>2439</v>
      </c>
      <c r="J2808" s="14" t="s">
        <v>43</v>
      </c>
      <c r="K2808" s="15" t="s">
        <v>723</v>
      </c>
      <c r="L2808" s="62"/>
      <c r="M2808" s="14" t="s">
        <v>1211</v>
      </c>
      <c r="N2808" s="14" t="s">
        <v>62</v>
      </c>
      <c r="O2808" s="14"/>
      <c r="P2808" s="15" t="s">
        <v>1457</v>
      </c>
      <c r="Q2808" s="16">
        <v>17099</v>
      </c>
      <c r="R2808" s="17">
        <v>40</v>
      </c>
      <c r="S2808" s="18">
        <v>11798.31</v>
      </c>
      <c r="T2808" s="19" t="s">
        <v>36</v>
      </c>
      <c r="U2808" s="20" t="s">
        <v>1346</v>
      </c>
      <c r="V2808" s="34">
        <v>41.5</v>
      </c>
      <c r="W2808" s="22">
        <v>20</v>
      </c>
      <c r="X2808" s="23"/>
    </row>
    <row r="2809" spans="1:24" s="1" customFormat="1" ht="14" customHeight="1" x14ac:dyDescent="0.3">
      <c r="A2809" s="24" t="s">
        <v>23</v>
      </c>
      <c r="B2809" s="24" t="s">
        <v>2529</v>
      </c>
      <c r="C2809" s="12" t="s">
        <v>2530</v>
      </c>
      <c r="D2809" s="60"/>
      <c r="E2809" s="41" t="str">
        <f t="shared" si="129"/>
        <v>Еще фото</v>
      </c>
      <c r="F2809" s="13" t="s">
        <v>103</v>
      </c>
      <c r="G2809" s="24" t="s">
        <v>1184</v>
      </c>
      <c r="H2809" s="24" t="s">
        <v>741</v>
      </c>
      <c r="I2809" s="24" t="s">
        <v>2439</v>
      </c>
      <c r="J2809" s="14" t="s">
        <v>43</v>
      </c>
      <c r="K2809" s="15" t="s">
        <v>723</v>
      </c>
      <c r="L2809" s="62"/>
      <c r="M2809" s="14" t="s">
        <v>1211</v>
      </c>
      <c r="N2809" s="14" t="s">
        <v>62</v>
      </c>
      <c r="O2809" s="14"/>
      <c r="P2809" s="15" t="s">
        <v>1457</v>
      </c>
      <c r="Q2809" s="16">
        <v>17099</v>
      </c>
      <c r="R2809" s="17">
        <v>40</v>
      </c>
      <c r="S2809" s="18">
        <v>11798.31</v>
      </c>
      <c r="T2809" s="19" t="s">
        <v>36</v>
      </c>
      <c r="U2809" s="20" t="s">
        <v>1326</v>
      </c>
      <c r="V2809" s="22">
        <v>42</v>
      </c>
      <c r="W2809" s="22">
        <v>24</v>
      </c>
      <c r="X2809" s="23"/>
    </row>
    <row r="2810" spans="1:24" s="1" customFormat="1" ht="14" customHeight="1" x14ac:dyDescent="0.3">
      <c r="A2810" s="24" t="s">
        <v>23</v>
      </c>
      <c r="B2810" s="24" t="s">
        <v>2529</v>
      </c>
      <c r="C2810" s="12" t="s">
        <v>2530</v>
      </c>
      <c r="D2810" s="60"/>
      <c r="E2810" s="41" t="str">
        <f t="shared" si="129"/>
        <v>Еще фото</v>
      </c>
      <c r="F2810" s="13" t="s">
        <v>103</v>
      </c>
      <c r="G2810" s="24" t="s">
        <v>1184</v>
      </c>
      <c r="H2810" s="24" t="s">
        <v>741</v>
      </c>
      <c r="I2810" s="24" t="s">
        <v>2439</v>
      </c>
      <c r="J2810" s="14" t="s">
        <v>43</v>
      </c>
      <c r="K2810" s="15" t="s">
        <v>723</v>
      </c>
      <c r="L2810" s="62"/>
      <c r="M2810" s="14" t="s">
        <v>1211</v>
      </c>
      <c r="N2810" s="14" t="s">
        <v>62</v>
      </c>
      <c r="O2810" s="14"/>
      <c r="P2810" s="15" t="s">
        <v>1457</v>
      </c>
      <c r="Q2810" s="16">
        <v>17099</v>
      </c>
      <c r="R2810" s="17">
        <v>40</v>
      </c>
      <c r="S2810" s="18">
        <v>11798.31</v>
      </c>
      <c r="T2810" s="19" t="s">
        <v>36</v>
      </c>
      <c r="U2810" s="20" t="s">
        <v>1347</v>
      </c>
      <c r="V2810" s="22">
        <v>43</v>
      </c>
      <c r="W2810" s="22">
        <v>25</v>
      </c>
      <c r="X2810" s="23"/>
    </row>
    <row r="2811" spans="1:24" s="1" customFormat="1" ht="14" customHeight="1" x14ac:dyDescent="0.3">
      <c r="A2811" s="24" t="s">
        <v>23</v>
      </c>
      <c r="B2811" s="24" t="s">
        <v>2529</v>
      </c>
      <c r="C2811" s="12" t="s">
        <v>2530</v>
      </c>
      <c r="D2811" s="60"/>
      <c r="E2811" s="41" t="str">
        <f t="shared" si="129"/>
        <v>Еще фото</v>
      </c>
      <c r="F2811" s="13" t="s">
        <v>103</v>
      </c>
      <c r="G2811" s="24" t="s">
        <v>1184</v>
      </c>
      <c r="H2811" s="24" t="s">
        <v>741</v>
      </c>
      <c r="I2811" s="24" t="s">
        <v>2439</v>
      </c>
      <c r="J2811" s="14" t="s">
        <v>43</v>
      </c>
      <c r="K2811" s="15" t="s">
        <v>723</v>
      </c>
      <c r="L2811" s="62"/>
      <c r="M2811" s="14" t="s">
        <v>1211</v>
      </c>
      <c r="N2811" s="14" t="s">
        <v>62</v>
      </c>
      <c r="O2811" s="14"/>
      <c r="P2811" s="15" t="s">
        <v>1457</v>
      </c>
      <c r="Q2811" s="16">
        <v>17099</v>
      </c>
      <c r="R2811" s="17">
        <v>40</v>
      </c>
      <c r="S2811" s="18">
        <v>11798.31</v>
      </c>
      <c r="T2811" s="19" t="s">
        <v>36</v>
      </c>
      <c r="U2811" s="20" t="s">
        <v>1348</v>
      </c>
      <c r="V2811" s="34">
        <v>43.5</v>
      </c>
      <c r="W2811" s="22">
        <v>25</v>
      </c>
      <c r="X2811" s="23"/>
    </row>
    <row r="2812" spans="1:24" s="1" customFormat="1" ht="14" customHeight="1" x14ac:dyDescent="0.3">
      <c r="A2812" s="24" t="s">
        <v>23</v>
      </c>
      <c r="B2812" s="24" t="s">
        <v>2529</v>
      </c>
      <c r="C2812" s="12" t="s">
        <v>2530</v>
      </c>
      <c r="D2812" s="60"/>
      <c r="E2812" s="41" t="str">
        <f t="shared" si="129"/>
        <v>Еще фото</v>
      </c>
      <c r="F2812" s="13" t="s">
        <v>103</v>
      </c>
      <c r="G2812" s="24" t="s">
        <v>1184</v>
      </c>
      <c r="H2812" s="24" t="s">
        <v>741</v>
      </c>
      <c r="I2812" s="24" t="s">
        <v>2439</v>
      </c>
      <c r="J2812" s="14" t="s">
        <v>43</v>
      </c>
      <c r="K2812" s="15" t="s">
        <v>723</v>
      </c>
      <c r="L2812" s="62"/>
      <c r="M2812" s="14" t="s">
        <v>1211</v>
      </c>
      <c r="N2812" s="14" t="s">
        <v>62</v>
      </c>
      <c r="O2812" s="14"/>
      <c r="P2812" s="15" t="s">
        <v>1457</v>
      </c>
      <c r="Q2812" s="16">
        <v>17099</v>
      </c>
      <c r="R2812" s="17">
        <v>40</v>
      </c>
      <c r="S2812" s="18">
        <v>11798.31</v>
      </c>
      <c r="T2812" s="19" t="s">
        <v>36</v>
      </c>
      <c r="U2812" s="20" t="s">
        <v>1327</v>
      </c>
      <c r="V2812" s="22">
        <v>44</v>
      </c>
      <c r="W2812" s="22">
        <v>21</v>
      </c>
      <c r="X2812" s="23"/>
    </row>
    <row r="2813" spans="1:24" s="1" customFormat="1" ht="17" customHeight="1" x14ac:dyDescent="0.3">
      <c r="A2813" s="24" t="s">
        <v>23</v>
      </c>
      <c r="B2813" s="24" t="s">
        <v>2529</v>
      </c>
      <c r="C2813" s="12" t="s">
        <v>2530</v>
      </c>
      <c r="D2813" s="61"/>
      <c r="E2813" s="41" t="str">
        <f t="shared" si="129"/>
        <v>Еще фото</v>
      </c>
      <c r="F2813" s="13" t="s">
        <v>103</v>
      </c>
      <c r="G2813" s="24" t="s">
        <v>1184</v>
      </c>
      <c r="H2813" s="24" t="s">
        <v>741</v>
      </c>
      <c r="I2813" s="24" t="s">
        <v>2439</v>
      </c>
      <c r="J2813" s="14" t="s">
        <v>43</v>
      </c>
      <c r="K2813" s="15" t="s">
        <v>723</v>
      </c>
      <c r="L2813" s="58"/>
      <c r="M2813" s="14" t="s">
        <v>1211</v>
      </c>
      <c r="N2813" s="14" t="s">
        <v>62</v>
      </c>
      <c r="O2813" s="14"/>
      <c r="P2813" s="15" t="s">
        <v>1457</v>
      </c>
      <c r="Q2813" s="16">
        <v>17099</v>
      </c>
      <c r="R2813" s="17">
        <v>40</v>
      </c>
      <c r="S2813" s="18">
        <v>11798.31</v>
      </c>
      <c r="T2813" s="19" t="s">
        <v>36</v>
      </c>
      <c r="U2813" s="20" t="s">
        <v>1349</v>
      </c>
      <c r="V2813" s="34">
        <v>44.5</v>
      </c>
      <c r="W2813" s="22">
        <v>11</v>
      </c>
      <c r="X2813" s="23"/>
    </row>
    <row r="2814" spans="1:24" s="1" customFormat="1" ht="108" customHeight="1" x14ac:dyDescent="0.3">
      <c r="A2814" s="11" t="s">
        <v>23</v>
      </c>
      <c r="B2814" s="11" t="s">
        <v>2532</v>
      </c>
      <c r="C2814" s="12" t="s">
        <v>2533</v>
      </c>
      <c r="D2814" s="25"/>
      <c r="E2814" s="41" t="str">
        <f>HYPERLINK("https://www.google.ru/search?q=3027595-102&amp;newwindow=1&amp;tbm=isch","Еще фото")</f>
        <v>Еще фото</v>
      </c>
      <c r="F2814" s="13"/>
      <c r="G2814" s="11" t="s">
        <v>1184</v>
      </c>
      <c r="H2814" s="11" t="s">
        <v>741</v>
      </c>
      <c r="I2814" s="14" t="s">
        <v>2439</v>
      </c>
      <c r="J2814" s="14" t="s">
        <v>43</v>
      </c>
      <c r="K2814" s="15" t="s">
        <v>723</v>
      </c>
      <c r="L2814" s="14" t="s">
        <v>2531</v>
      </c>
      <c r="M2814" s="14" t="s">
        <v>1211</v>
      </c>
      <c r="N2814" s="14" t="s">
        <v>62</v>
      </c>
      <c r="O2814" s="14"/>
      <c r="P2814" s="15" t="s">
        <v>2534</v>
      </c>
      <c r="Q2814" s="16">
        <v>22099</v>
      </c>
      <c r="R2814" s="17">
        <v>40</v>
      </c>
      <c r="S2814" s="18">
        <v>15248.309999999998</v>
      </c>
      <c r="T2814" s="19" t="s">
        <v>36</v>
      </c>
      <c r="U2814" s="20" t="s">
        <v>1347</v>
      </c>
      <c r="V2814" s="22">
        <v>43</v>
      </c>
      <c r="W2814" s="22">
        <v>1</v>
      </c>
      <c r="X2814" s="23"/>
    </row>
    <row r="2815" spans="1:24" s="1" customFormat="1" ht="108" customHeight="1" x14ac:dyDescent="0.3">
      <c r="A2815" s="11" t="s">
        <v>23</v>
      </c>
      <c r="B2815" s="11" t="s">
        <v>2529</v>
      </c>
      <c r="C2815" s="12" t="s">
        <v>2535</v>
      </c>
      <c r="D2815" s="25"/>
      <c r="E2815" s="41" t="str">
        <f>HYPERLINK("https://www.google.ru/search?q=3027595-111&amp;newwindow=1&amp;tbm=isch","Еще фото")</f>
        <v>Еще фото</v>
      </c>
      <c r="F2815" s="13"/>
      <c r="G2815" s="11" t="s">
        <v>1184</v>
      </c>
      <c r="H2815" s="11" t="s">
        <v>741</v>
      </c>
      <c r="I2815" s="14" t="s">
        <v>2439</v>
      </c>
      <c r="J2815" s="14" t="s">
        <v>43</v>
      </c>
      <c r="K2815" s="15" t="s">
        <v>723</v>
      </c>
      <c r="L2815" s="14" t="s">
        <v>2531</v>
      </c>
      <c r="M2815" s="14" t="s">
        <v>1211</v>
      </c>
      <c r="N2815" s="14" t="s">
        <v>84</v>
      </c>
      <c r="O2815" s="14"/>
      <c r="P2815" s="15" t="s">
        <v>2534</v>
      </c>
      <c r="Q2815" s="16">
        <v>17699</v>
      </c>
      <c r="R2815" s="17">
        <v>40</v>
      </c>
      <c r="S2815" s="18">
        <v>12212.31</v>
      </c>
      <c r="T2815" s="19" t="s">
        <v>36</v>
      </c>
      <c r="U2815" s="20" t="s">
        <v>1346</v>
      </c>
      <c r="V2815" s="34">
        <v>41.5</v>
      </c>
      <c r="W2815" s="22">
        <v>3</v>
      </c>
      <c r="X2815" s="23"/>
    </row>
    <row r="2816" spans="1:24" s="1" customFormat="1" ht="11" customHeight="1" x14ac:dyDescent="0.3">
      <c r="A2816" s="11" t="s">
        <v>23</v>
      </c>
      <c r="B2816" s="11" t="s">
        <v>2529</v>
      </c>
      <c r="C2816" s="12" t="s">
        <v>2536</v>
      </c>
      <c r="D2816" s="59"/>
      <c r="E2816" s="41" t="str">
        <f t="shared" ref="E2816:E2830" si="130">HYPERLINK("https://www.google.ru/search?q=3027595-123&amp;newwindow=1&amp;tbm=isch","Еще фото")</f>
        <v>Еще фото</v>
      </c>
      <c r="F2816" s="13"/>
      <c r="G2816" s="11" t="s">
        <v>1184</v>
      </c>
      <c r="H2816" s="11" t="s">
        <v>741</v>
      </c>
      <c r="I2816" s="14" t="s">
        <v>2439</v>
      </c>
      <c r="J2816" s="14" t="s">
        <v>43</v>
      </c>
      <c r="K2816" s="15" t="s">
        <v>723</v>
      </c>
      <c r="L2816" s="57" t="s">
        <v>2531</v>
      </c>
      <c r="M2816" s="14" t="s">
        <v>1211</v>
      </c>
      <c r="N2816" s="14" t="s">
        <v>2537</v>
      </c>
      <c r="O2816" s="14"/>
      <c r="P2816" s="15" t="s">
        <v>2538</v>
      </c>
      <c r="Q2816" s="16">
        <v>17099</v>
      </c>
      <c r="R2816" s="17">
        <v>40</v>
      </c>
      <c r="S2816" s="18">
        <v>11798.31</v>
      </c>
      <c r="T2816" s="19" t="s">
        <v>36</v>
      </c>
      <c r="U2816" s="20" t="s">
        <v>1333</v>
      </c>
      <c r="V2816" s="22">
        <v>36</v>
      </c>
      <c r="W2816" s="22">
        <v>4</v>
      </c>
      <c r="X2816" s="23"/>
    </row>
    <row r="2817" spans="1:24" s="1" customFormat="1" ht="11" customHeight="1" x14ac:dyDescent="0.3">
      <c r="A2817" s="24" t="s">
        <v>23</v>
      </c>
      <c r="B2817" s="24" t="s">
        <v>2529</v>
      </c>
      <c r="C2817" s="12" t="s">
        <v>2536</v>
      </c>
      <c r="D2817" s="60"/>
      <c r="E2817" s="41" t="str">
        <f t="shared" si="130"/>
        <v>Еще фото</v>
      </c>
      <c r="F2817" s="13"/>
      <c r="G2817" s="24" t="s">
        <v>1184</v>
      </c>
      <c r="H2817" s="24" t="s">
        <v>741</v>
      </c>
      <c r="I2817" s="24" t="s">
        <v>2439</v>
      </c>
      <c r="J2817" s="14" t="s">
        <v>43</v>
      </c>
      <c r="K2817" s="15" t="s">
        <v>723</v>
      </c>
      <c r="L2817" s="62"/>
      <c r="M2817" s="14" t="s">
        <v>1211</v>
      </c>
      <c r="N2817" s="14" t="s">
        <v>2537</v>
      </c>
      <c r="O2817" s="14"/>
      <c r="P2817" s="15" t="s">
        <v>2538</v>
      </c>
      <c r="Q2817" s="16">
        <v>17099</v>
      </c>
      <c r="R2817" s="17">
        <v>40</v>
      </c>
      <c r="S2817" s="18">
        <v>11798.31</v>
      </c>
      <c r="T2817" s="19" t="s">
        <v>36</v>
      </c>
      <c r="U2817" s="20" t="s">
        <v>1334</v>
      </c>
      <c r="V2817" s="34">
        <v>36.5</v>
      </c>
      <c r="W2817" s="22">
        <v>3</v>
      </c>
      <c r="X2817" s="23"/>
    </row>
    <row r="2818" spans="1:24" s="1" customFormat="1" ht="11" customHeight="1" x14ac:dyDescent="0.3">
      <c r="A2818" s="24" t="s">
        <v>23</v>
      </c>
      <c r="B2818" s="24" t="s">
        <v>2529</v>
      </c>
      <c r="C2818" s="12" t="s">
        <v>2536</v>
      </c>
      <c r="D2818" s="60"/>
      <c r="E2818" s="41" t="str">
        <f t="shared" si="130"/>
        <v>Еще фото</v>
      </c>
      <c r="F2818" s="13"/>
      <c r="G2818" s="24" t="s">
        <v>1184</v>
      </c>
      <c r="H2818" s="24" t="s">
        <v>741</v>
      </c>
      <c r="I2818" s="24" t="s">
        <v>2439</v>
      </c>
      <c r="J2818" s="14" t="s">
        <v>43</v>
      </c>
      <c r="K2818" s="15" t="s">
        <v>723</v>
      </c>
      <c r="L2818" s="62"/>
      <c r="M2818" s="14" t="s">
        <v>1211</v>
      </c>
      <c r="N2818" s="14" t="s">
        <v>2537</v>
      </c>
      <c r="O2818" s="14"/>
      <c r="P2818" s="15" t="s">
        <v>2538</v>
      </c>
      <c r="Q2818" s="16">
        <v>17099</v>
      </c>
      <c r="R2818" s="17">
        <v>40</v>
      </c>
      <c r="S2818" s="18">
        <v>11798.31</v>
      </c>
      <c r="T2818" s="19" t="s">
        <v>36</v>
      </c>
      <c r="U2818" s="20" t="s">
        <v>1335</v>
      </c>
      <c r="V2818" s="22">
        <v>37</v>
      </c>
      <c r="W2818" s="22">
        <v>3</v>
      </c>
      <c r="X2818" s="23"/>
    </row>
    <row r="2819" spans="1:24" s="1" customFormat="1" ht="11" customHeight="1" x14ac:dyDescent="0.3">
      <c r="A2819" s="24" t="s">
        <v>23</v>
      </c>
      <c r="B2819" s="24" t="s">
        <v>2529</v>
      </c>
      <c r="C2819" s="12" t="s">
        <v>2536</v>
      </c>
      <c r="D2819" s="60"/>
      <c r="E2819" s="41" t="str">
        <f t="shared" si="130"/>
        <v>Еще фото</v>
      </c>
      <c r="F2819" s="13"/>
      <c r="G2819" s="24" t="s">
        <v>1184</v>
      </c>
      <c r="H2819" s="24" t="s">
        <v>741</v>
      </c>
      <c r="I2819" s="24" t="s">
        <v>2439</v>
      </c>
      <c r="J2819" s="14" t="s">
        <v>43</v>
      </c>
      <c r="K2819" s="15" t="s">
        <v>723</v>
      </c>
      <c r="L2819" s="62"/>
      <c r="M2819" s="14" t="s">
        <v>1211</v>
      </c>
      <c r="N2819" s="14" t="s">
        <v>2537</v>
      </c>
      <c r="O2819" s="14"/>
      <c r="P2819" s="15" t="s">
        <v>2538</v>
      </c>
      <c r="Q2819" s="16">
        <v>17099</v>
      </c>
      <c r="R2819" s="17">
        <v>40</v>
      </c>
      <c r="S2819" s="18">
        <v>11798.31</v>
      </c>
      <c r="T2819" s="19" t="s">
        <v>36</v>
      </c>
      <c r="U2819" s="20" t="s">
        <v>2539</v>
      </c>
      <c r="V2819" s="34">
        <v>37.5</v>
      </c>
      <c r="W2819" s="22">
        <v>5</v>
      </c>
      <c r="X2819" s="23"/>
    </row>
    <row r="2820" spans="1:24" s="1" customFormat="1" ht="11" customHeight="1" x14ac:dyDescent="0.3">
      <c r="A2820" s="24" t="s">
        <v>23</v>
      </c>
      <c r="B2820" s="24" t="s">
        <v>2529</v>
      </c>
      <c r="C2820" s="12" t="s">
        <v>2536</v>
      </c>
      <c r="D2820" s="60"/>
      <c r="E2820" s="41" t="str">
        <f t="shared" si="130"/>
        <v>Еще фото</v>
      </c>
      <c r="F2820" s="13"/>
      <c r="G2820" s="24" t="s">
        <v>1184</v>
      </c>
      <c r="H2820" s="24" t="s">
        <v>741</v>
      </c>
      <c r="I2820" s="24" t="s">
        <v>2439</v>
      </c>
      <c r="J2820" s="14" t="s">
        <v>43</v>
      </c>
      <c r="K2820" s="15" t="s">
        <v>723</v>
      </c>
      <c r="L2820" s="62"/>
      <c r="M2820" s="14" t="s">
        <v>1211</v>
      </c>
      <c r="N2820" s="14" t="s">
        <v>2537</v>
      </c>
      <c r="O2820" s="14"/>
      <c r="P2820" s="15" t="s">
        <v>2538</v>
      </c>
      <c r="Q2820" s="16">
        <v>17099</v>
      </c>
      <c r="R2820" s="17">
        <v>40</v>
      </c>
      <c r="S2820" s="18">
        <v>11798.31</v>
      </c>
      <c r="T2820" s="19" t="s">
        <v>36</v>
      </c>
      <c r="U2820" s="20" t="s">
        <v>2540</v>
      </c>
      <c r="V2820" s="22">
        <v>39</v>
      </c>
      <c r="W2820" s="22">
        <v>1</v>
      </c>
      <c r="X2820" s="23"/>
    </row>
    <row r="2821" spans="1:24" s="1" customFormat="1" ht="11" customHeight="1" x14ac:dyDescent="0.3">
      <c r="A2821" s="24" t="s">
        <v>23</v>
      </c>
      <c r="B2821" s="24" t="s">
        <v>2529</v>
      </c>
      <c r="C2821" s="12" t="s">
        <v>2536</v>
      </c>
      <c r="D2821" s="60"/>
      <c r="E2821" s="41" t="str">
        <f t="shared" si="130"/>
        <v>Еще фото</v>
      </c>
      <c r="F2821" s="13"/>
      <c r="G2821" s="24" t="s">
        <v>1184</v>
      </c>
      <c r="H2821" s="24" t="s">
        <v>741</v>
      </c>
      <c r="I2821" s="24" t="s">
        <v>2439</v>
      </c>
      <c r="J2821" s="14" t="s">
        <v>43</v>
      </c>
      <c r="K2821" s="15" t="s">
        <v>723</v>
      </c>
      <c r="L2821" s="62"/>
      <c r="M2821" s="14" t="s">
        <v>1211</v>
      </c>
      <c r="N2821" s="14" t="s">
        <v>2537</v>
      </c>
      <c r="O2821" s="14"/>
      <c r="P2821" s="15" t="s">
        <v>2538</v>
      </c>
      <c r="Q2821" s="16">
        <v>17099</v>
      </c>
      <c r="R2821" s="17">
        <v>40</v>
      </c>
      <c r="S2821" s="18">
        <v>11798.31</v>
      </c>
      <c r="T2821" s="19" t="s">
        <v>36</v>
      </c>
      <c r="U2821" s="20" t="s">
        <v>1445</v>
      </c>
      <c r="V2821" s="34">
        <v>39.5</v>
      </c>
      <c r="W2821" s="22">
        <v>3</v>
      </c>
      <c r="X2821" s="23"/>
    </row>
    <row r="2822" spans="1:24" s="1" customFormat="1" ht="11" customHeight="1" x14ac:dyDescent="0.3">
      <c r="A2822" s="24" t="s">
        <v>23</v>
      </c>
      <c r="B2822" s="24" t="s">
        <v>2529</v>
      </c>
      <c r="C2822" s="12" t="s">
        <v>2536</v>
      </c>
      <c r="D2822" s="60"/>
      <c r="E2822" s="41" t="str">
        <f t="shared" si="130"/>
        <v>Еще фото</v>
      </c>
      <c r="F2822" s="13"/>
      <c r="G2822" s="24" t="s">
        <v>1184</v>
      </c>
      <c r="H2822" s="24" t="s">
        <v>741</v>
      </c>
      <c r="I2822" s="24" t="s">
        <v>2439</v>
      </c>
      <c r="J2822" s="14" t="s">
        <v>43</v>
      </c>
      <c r="K2822" s="15" t="s">
        <v>723</v>
      </c>
      <c r="L2822" s="62"/>
      <c r="M2822" s="14" t="s">
        <v>1211</v>
      </c>
      <c r="N2822" s="14" t="s">
        <v>2537</v>
      </c>
      <c r="O2822" s="14"/>
      <c r="P2822" s="15" t="s">
        <v>2538</v>
      </c>
      <c r="Q2822" s="16">
        <v>17099</v>
      </c>
      <c r="R2822" s="17">
        <v>40</v>
      </c>
      <c r="S2822" s="18">
        <v>11798.31</v>
      </c>
      <c r="T2822" s="19" t="s">
        <v>36</v>
      </c>
      <c r="U2822" s="20" t="s">
        <v>1446</v>
      </c>
      <c r="V2822" s="22">
        <v>40</v>
      </c>
      <c r="W2822" s="22">
        <v>1</v>
      </c>
      <c r="X2822" s="23"/>
    </row>
    <row r="2823" spans="1:24" s="1" customFormat="1" ht="11" customHeight="1" x14ac:dyDescent="0.3">
      <c r="A2823" s="24" t="s">
        <v>23</v>
      </c>
      <c r="B2823" s="24" t="s">
        <v>2529</v>
      </c>
      <c r="C2823" s="12" t="s">
        <v>2536</v>
      </c>
      <c r="D2823" s="60"/>
      <c r="E2823" s="41" t="str">
        <f t="shared" si="130"/>
        <v>Еще фото</v>
      </c>
      <c r="F2823" s="13"/>
      <c r="G2823" s="24" t="s">
        <v>1184</v>
      </c>
      <c r="H2823" s="24" t="s">
        <v>741</v>
      </c>
      <c r="I2823" s="24" t="s">
        <v>2439</v>
      </c>
      <c r="J2823" s="14" t="s">
        <v>43</v>
      </c>
      <c r="K2823" s="15" t="s">
        <v>723</v>
      </c>
      <c r="L2823" s="62"/>
      <c r="M2823" s="14" t="s">
        <v>1211</v>
      </c>
      <c r="N2823" s="14" t="s">
        <v>2537</v>
      </c>
      <c r="O2823" s="14"/>
      <c r="P2823" s="15" t="s">
        <v>2538</v>
      </c>
      <c r="Q2823" s="16">
        <v>17099</v>
      </c>
      <c r="R2823" s="17">
        <v>40</v>
      </c>
      <c r="S2823" s="18">
        <v>11798.31</v>
      </c>
      <c r="T2823" s="19" t="s">
        <v>36</v>
      </c>
      <c r="U2823" s="20" t="s">
        <v>1345</v>
      </c>
      <c r="V2823" s="22">
        <v>41</v>
      </c>
      <c r="W2823" s="22">
        <v>4</v>
      </c>
      <c r="X2823" s="23"/>
    </row>
    <row r="2824" spans="1:24" s="1" customFormat="1" ht="11" customHeight="1" x14ac:dyDescent="0.3">
      <c r="A2824" s="24" t="s">
        <v>23</v>
      </c>
      <c r="B2824" s="24" t="s">
        <v>2529</v>
      </c>
      <c r="C2824" s="12" t="s">
        <v>2536</v>
      </c>
      <c r="D2824" s="60"/>
      <c r="E2824" s="41" t="str">
        <f t="shared" si="130"/>
        <v>Еще фото</v>
      </c>
      <c r="F2824" s="13"/>
      <c r="G2824" s="24" t="s">
        <v>1184</v>
      </c>
      <c r="H2824" s="24" t="s">
        <v>741</v>
      </c>
      <c r="I2824" s="24" t="s">
        <v>2439</v>
      </c>
      <c r="J2824" s="14" t="s">
        <v>43</v>
      </c>
      <c r="K2824" s="15" t="s">
        <v>723</v>
      </c>
      <c r="L2824" s="62"/>
      <c r="M2824" s="14" t="s">
        <v>1211</v>
      </c>
      <c r="N2824" s="14" t="s">
        <v>2537</v>
      </c>
      <c r="O2824" s="14"/>
      <c r="P2824" s="15" t="s">
        <v>2538</v>
      </c>
      <c r="Q2824" s="16">
        <v>17099</v>
      </c>
      <c r="R2824" s="17">
        <v>40</v>
      </c>
      <c r="S2824" s="18">
        <v>11798.31</v>
      </c>
      <c r="T2824" s="19" t="s">
        <v>36</v>
      </c>
      <c r="U2824" s="20" t="s">
        <v>1346</v>
      </c>
      <c r="V2824" s="34">
        <v>41.5</v>
      </c>
      <c r="W2824" s="22">
        <v>5</v>
      </c>
      <c r="X2824" s="23"/>
    </row>
    <row r="2825" spans="1:24" s="1" customFormat="1" ht="11" customHeight="1" x14ac:dyDescent="0.3">
      <c r="A2825" s="14" t="s">
        <v>23</v>
      </c>
      <c r="B2825" s="14" t="s">
        <v>2529</v>
      </c>
      <c r="C2825" s="12" t="s">
        <v>2536</v>
      </c>
      <c r="D2825" s="60"/>
      <c r="E2825" s="41" t="str">
        <f t="shared" si="130"/>
        <v>Еще фото</v>
      </c>
      <c r="F2825" s="29"/>
      <c r="G2825" s="14" t="s">
        <v>1184</v>
      </c>
      <c r="H2825" s="14" t="s">
        <v>741</v>
      </c>
      <c r="I2825" s="14" t="s">
        <v>2439</v>
      </c>
      <c r="J2825" s="14" t="s">
        <v>43</v>
      </c>
      <c r="K2825" s="14" t="s">
        <v>723</v>
      </c>
      <c r="L2825" s="62"/>
      <c r="M2825" s="14" t="s">
        <v>1211</v>
      </c>
      <c r="N2825" s="14" t="s">
        <v>2537</v>
      </c>
      <c r="O2825" s="14"/>
      <c r="P2825" s="14" t="s">
        <v>2538</v>
      </c>
      <c r="Q2825" s="30">
        <v>17099</v>
      </c>
      <c r="R2825" s="31">
        <v>40</v>
      </c>
      <c r="S2825" s="32">
        <v>11798.31</v>
      </c>
      <c r="T2825" s="19" t="s">
        <v>36</v>
      </c>
      <c r="U2825" s="20" t="s">
        <v>1326</v>
      </c>
      <c r="V2825" s="22">
        <v>42</v>
      </c>
      <c r="W2825" s="22">
        <v>7</v>
      </c>
      <c r="X2825" s="23"/>
    </row>
    <row r="2826" spans="1:24" s="1" customFormat="1" ht="11" customHeight="1" x14ac:dyDescent="0.3">
      <c r="A2826" s="14" t="s">
        <v>23</v>
      </c>
      <c r="B2826" s="14" t="s">
        <v>2529</v>
      </c>
      <c r="C2826" s="12" t="s">
        <v>2536</v>
      </c>
      <c r="D2826" s="60"/>
      <c r="E2826" s="41" t="str">
        <f t="shared" si="130"/>
        <v>Еще фото</v>
      </c>
      <c r="F2826" s="29"/>
      <c r="G2826" s="14" t="s">
        <v>1184</v>
      </c>
      <c r="H2826" s="14" t="s">
        <v>741</v>
      </c>
      <c r="I2826" s="14" t="s">
        <v>2439</v>
      </c>
      <c r="J2826" s="14" t="s">
        <v>43</v>
      </c>
      <c r="K2826" s="14" t="s">
        <v>723</v>
      </c>
      <c r="L2826" s="62"/>
      <c r="M2826" s="14" t="s">
        <v>1211</v>
      </c>
      <c r="N2826" s="14" t="s">
        <v>2537</v>
      </c>
      <c r="O2826" s="14"/>
      <c r="P2826" s="14" t="s">
        <v>2538</v>
      </c>
      <c r="Q2826" s="30">
        <v>17099</v>
      </c>
      <c r="R2826" s="31">
        <v>40</v>
      </c>
      <c r="S2826" s="32">
        <v>11798.31</v>
      </c>
      <c r="T2826" s="19" t="s">
        <v>36</v>
      </c>
      <c r="U2826" s="20" t="s">
        <v>1347</v>
      </c>
      <c r="V2826" s="22">
        <v>43</v>
      </c>
      <c r="W2826" s="22">
        <v>8</v>
      </c>
      <c r="X2826" s="23"/>
    </row>
    <row r="2827" spans="1:24" s="1" customFormat="1" ht="11" customHeight="1" x14ac:dyDescent="0.3">
      <c r="A2827" s="14" t="s">
        <v>23</v>
      </c>
      <c r="B2827" s="14" t="s">
        <v>2529</v>
      </c>
      <c r="C2827" s="12" t="s">
        <v>2536</v>
      </c>
      <c r="D2827" s="60"/>
      <c r="E2827" s="41" t="str">
        <f t="shared" si="130"/>
        <v>Еще фото</v>
      </c>
      <c r="F2827" s="29"/>
      <c r="G2827" s="14" t="s">
        <v>1184</v>
      </c>
      <c r="H2827" s="14" t="s">
        <v>741</v>
      </c>
      <c r="I2827" s="14" t="s">
        <v>2439</v>
      </c>
      <c r="J2827" s="14" t="s">
        <v>43</v>
      </c>
      <c r="K2827" s="14" t="s">
        <v>723</v>
      </c>
      <c r="L2827" s="62"/>
      <c r="M2827" s="14" t="s">
        <v>1211</v>
      </c>
      <c r="N2827" s="14" t="s">
        <v>2537</v>
      </c>
      <c r="O2827" s="14"/>
      <c r="P2827" s="14" t="s">
        <v>2538</v>
      </c>
      <c r="Q2827" s="30">
        <v>17099</v>
      </c>
      <c r="R2827" s="31">
        <v>40</v>
      </c>
      <c r="S2827" s="32">
        <v>11798.31</v>
      </c>
      <c r="T2827" s="19" t="s">
        <v>36</v>
      </c>
      <c r="U2827" s="20" t="s">
        <v>1348</v>
      </c>
      <c r="V2827" s="34">
        <v>43.5</v>
      </c>
      <c r="W2827" s="22">
        <v>12</v>
      </c>
      <c r="X2827" s="23"/>
    </row>
    <row r="2828" spans="1:24" s="1" customFormat="1" ht="11" customHeight="1" x14ac:dyDescent="0.3">
      <c r="A2828" s="14" t="s">
        <v>23</v>
      </c>
      <c r="B2828" s="14" t="s">
        <v>2529</v>
      </c>
      <c r="C2828" s="12" t="s">
        <v>2536</v>
      </c>
      <c r="D2828" s="60"/>
      <c r="E2828" s="41" t="str">
        <f t="shared" si="130"/>
        <v>Еще фото</v>
      </c>
      <c r="F2828" s="29"/>
      <c r="G2828" s="14" t="s">
        <v>1184</v>
      </c>
      <c r="H2828" s="14" t="s">
        <v>741</v>
      </c>
      <c r="I2828" s="14" t="s">
        <v>2439</v>
      </c>
      <c r="J2828" s="14" t="s">
        <v>43</v>
      </c>
      <c r="K2828" s="14" t="s">
        <v>723</v>
      </c>
      <c r="L2828" s="62"/>
      <c r="M2828" s="14" t="s">
        <v>1211</v>
      </c>
      <c r="N2828" s="14" t="s">
        <v>2537</v>
      </c>
      <c r="O2828" s="14"/>
      <c r="P2828" s="14" t="s">
        <v>2538</v>
      </c>
      <c r="Q2828" s="30">
        <v>17099</v>
      </c>
      <c r="R2828" s="31">
        <v>40</v>
      </c>
      <c r="S2828" s="32">
        <v>11798.31</v>
      </c>
      <c r="T2828" s="19" t="s">
        <v>36</v>
      </c>
      <c r="U2828" s="20" t="s">
        <v>1327</v>
      </c>
      <c r="V2828" s="22">
        <v>44</v>
      </c>
      <c r="W2828" s="22">
        <v>11</v>
      </c>
      <c r="X2828" s="23"/>
    </row>
    <row r="2829" spans="1:24" s="1" customFormat="1" ht="11" customHeight="1" x14ac:dyDescent="0.3">
      <c r="A2829" s="14" t="s">
        <v>23</v>
      </c>
      <c r="B2829" s="14" t="s">
        <v>2529</v>
      </c>
      <c r="C2829" s="12" t="s">
        <v>2536</v>
      </c>
      <c r="D2829" s="60"/>
      <c r="E2829" s="41" t="str">
        <f t="shared" si="130"/>
        <v>Еще фото</v>
      </c>
      <c r="F2829" s="29"/>
      <c r="G2829" s="14" t="s">
        <v>1184</v>
      </c>
      <c r="H2829" s="14" t="s">
        <v>741</v>
      </c>
      <c r="I2829" s="14" t="s">
        <v>2439</v>
      </c>
      <c r="J2829" s="14" t="s">
        <v>43</v>
      </c>
      <c r="K2829" s="14" t="s">
        <v>723</v>
      </c>
      <c r="L2829" s="62"/>
      <c r="M2829" s="14" t="s">
        <v>1211</v>
      </c>
      <c r="N2829" s="14" t="s">
        <v>2537</v>
      </c>
      <c r="O2829" s="14"/>
      <c r="P2829" s="14" t="s">
        <v>2538</v>
      </c>
      <c r="Q2829" s="30">
        <v>17099</v>
      </c>
      <c r="R2829" s="31">
        <v>40</v>
      </c>
      <c r="S2829" s="32">
        <v>11798.31</v>
      </c>
      <c r="T2829" s="19" t="s">
        <v>36</v>
      </c>
      <c r="U2829" s="20" t="s">
        <v>1349</v>
      </c>
      <c r="V2829" s="34">
        <v>44.5</v>
      </c>
      <c r="W2829" s="22">
        <v>7</v>
      </c>
      <c r="X2829" s="23"/>
    </row>
    <row r="2830" spans="1:24" s="1" customFormat="1" ht="11" customHeight="1" x14ac:dyDescent="0.3">
      <c r="A2830" s="14" t="s">
        <v>23</v>
      </c>
      <c r="B2830" s="14" t="s">
        <v>2529</v>
      </c>
      <c r="C2830" s="12" t="s">
        <v>2536</v>
      </c>
      <c r="D2830" s="61"/>
      <c r="E2830" s="41" t="str">
        <f t="shared" si="130"/>
        <v>Еще фото</v>
      </c>
      <c r="F2830" s="29"/>
      <c r="G2830" s="14" t="s">
        <v>1184</v>
      </c>
      <c r="H2830" s="14" t="s">
        <v>741</v>
      </c>
      <c r="I2830" s="14" t="s">
        <v>2439</v>
      </c>
      <c r="J2830" s="14" t="s">
        <v>43</v>
      </c>
      <c r="K2830" s="14" t="s">
        <v>723</v>
      </c>
      <c r="L2830" s="58"/>
      <c r="M2830" s="14" t="s">
        <v>1211</v>
      </c>
      <c r="N2830" s="14" t="s">
        <v>2537</v>
      </c>
      <c r="O2830" s="14"/>
      <c r="P2830" s="14" t="s">
        <v>2538</v>
      </c>
      <c r="Q2830" s="30">
        <v>17099</v>
      </c>
      <c r="R2830" s="31">
        <v>40</v>
      </c>
      <c r="S2830" s="32">
        <v>11798.31</v>
      </c>
      <c r="T2830" s="19" t="s">
        <v>36</v>
      </c>
      <c r="U2830" s="20" t="s">
        <v>2359</v>
      </c>
      <c r="V2830" s="22">
        <v>45</v>
      </c>
      <c r="W2830" s="22">
        <v>3</v>
      </c>
      <c r="X2830" s="23"/>
    </row>
    <row r="2831" spans="1:24" s="1" customFormat="1" ht="52.05" customHeight="1" x14ac:dyDescent="0.3">
      <c r="A2831" s="11" t="s">
        <v>23</v>
      </c>
      <c r="B2831" s="11" t="s">
        <v>2541</v>
      </c>
      <c r="C2831" s="12" t="s">
        <v>2542</v>
      </c>
      <c r="D2831" s="55"/>
      <c r="E2831" s="41" t="str">
        <f>HYPERLINK("https://www.google.ru/search?q=3027625-308&amp;newwindow=1&amp;tbm=isch","Еще фото")</f>
        <v>Еще фото</v>
      </c>
      <c r="F2831" s="13" t="s">
        <v>152</v>
      </c>
      <c r="G2831" s="11" t="s">
        <v>1184</v>
      </c>
      <c r="H2831" s="11" t="s">
        <v>741</v>
      </c>
      <c r="I2831" s="14" t="s">
        <v>2439</v>
      </c>
      <c r="J2831" s="14" t="s">
        <v>43</v>
      </c>
      <c r="K2831" s="15" t="s">
        <v>723</v>
      </c>
      <c r="L2831" s="57" t="s">
        <v>2461</v>
      </c>
      <c r="M2831" s="14" t="s">
        <v>32</v>
      </c>
      <c r="N2831" s="14" t="s">
        <v>127</v>
      </c>
      <c r="O2831" s="14"/>
      <c r="P2831" s="15" t="s">
        <v>1302</v>
      </c>
      <c r="Q2831" s="16">
        <v>21999</v>
      </c>
      <c r="R2831" s="17">
        <v>40</v>
      </c>
      <c r="S2831" s="18">
        <v>15179.309999999998</v>
      </c>
      <c r="T2831" s="19" t="s">
        <v>36</v>
      </c>
      <c r="U2831" s="20" t="s">
        <v>1326</v>
      </c>
      <c r="V2831" s="22">
        <v>42</v>
      </c>
      <c r="W2831" s="22">
        <v>2</v>
      </c>
      <c r="X2831" s="23"/>
    </row>
    <row r="2832" spans="1:24" s="1" customFormat="1" ht="61.05" customHeight="1" x14ac:dyDescent="0.3">
      <c r="A2832" s="24" t="s">
        <v>23</v>
      </c>
      <c r="B2832" s="24" t="s">
        <v>2541</v>
      </c>
      <c r="C2832" s="12" t="s">
        <v>2542</v>
      </c>
      <c r="D2832" s="56"/>
      <c r="E2832" s="41" t="str">
        <f>HYPERLINK("https://www.google.ru/search?q=3027625-308&amp;newwindow=1&amp;tbm=isch","Еще фото")</f>
        <v>Еще фото</v>
      </c>
      <c r="F2832" s="13" t="s">
        <v>152</v>
      </c>
      <c r="G2832" s="24" t="s">
        <v>1184</v>
      </c>
      <c r="H2832" s="24" t="s">
        <v>741</v>
      </c>
      <c r="I2832" s="24" t="s">
        <v>2439</v>
      </c>
      <c r="J2832" s="14" t="s">
        <v>43</v>
      </c>
      <c r="K2832" s="15" t="s">
        <v>723</v>
      </c>
      <c r="L2832" s="58"/>
      <c r="M2832" s="14" t="s">
        <v>32</v>
      </c>
      <c r="N2832" s="14" t="s">
        <v>127</v>
      </c>
      <c r="O2832" s="14"/>
      <c r="P2832" s="15" t="s">
        <v>1302</v>
      </c>
      <c r="Q2832" s="16">
        <v>21999</v>
      </c>
      <c r="R2832" s="17">
        <v>40</v>
      </c>
      <c r="S2832" s="18">
        <v>15179.309999999998</v>
      </c>
      <c r="T2832" s="19" t="s">
        <v>36</v>
      </c>
      <c r="U2832" s="20" t="s">
        <v>1348</v>
      </c>
      <c r="V2832" s="34">
        <v>43.5</v>
      </c>
      <c r="W2832" s="22">
        <v>2</v>
      </c>
      <c r="X2832" s="23"/>
    </row>
    <row r="2833" spans="1:24" s="1" customFormat="1" ht="108" customHeight="1" x14ac:dyDescent="0.3">
      <c r="A2833" s="11" t="s">
        <v>23</v>
      </c>
      <c r="B2833" s="11" t="s">
        <v>2543</v>
      </c>
      <c r="C2833" s="12" t="s">
        <v>2544</v>
      </c>
      <c r="D2833" s="25"/>
      <c r="E2833" s="41" t="str">
        <f>HYPERLINK("https://www.google.ru/search?q=3027672-001&amp;newwindow=1&amp;tbm=isch","Еще фото")</f>
        <v>Еще фото</v>
      </c>
      <c r="F2833" s="13" t="s">
        <v>152</v>
      </c>
      <c r="G2833" s="11" t="s">
        <v>1184</v>
      </c>
      <c r="H2833" s="11" t="s">
        <v>741</v>
      </c>
      <c r="I2833" s="14" t="s">
        <v>2439</v>
      </c>
      <c r="J2833" s="14" t="s">
        <v>43</v>
      </c>
      <c r="K2833" s="15" t="s">
        <v>723</v>
      </c>
      <c r="L2833" s="14" t="s">
        <v>2545</v>
      </c>
      <c r="M2833" s="14"/>
      <c r="N2833" s="14" t="s">
        <v>33</v>
      </c>
      <c r="O2833" s="14"/>
      <c r="P2833" s="15" t="s">
        <v>2458</v>
      </c>
      <c r="Q2833" s="16">
        <v>19899</v>
      </c>
      <c r="R2833" s="17">
        <v>40</v>
      </c>
      <c r="S2833" s="18">
        <v>13730.309999999998</v>
      </c>
      <c r="T2833" s="19" t="s">
        <v>36</v>
      </c>
      <c r="U2833" s="20" t="s">
        <v>1446</v>
      </c>
      <c r="V2833" s="22">
        <v>40</v>
      </c>
      <c r="W2833" s="22">
        <v>1</v>
      </c>
      <c r="X2833" s="23"/>
    </row>
    <row r="2834" spans="1:24" s="1" customFormat="1" ht="26" customHeight="1" x14ac:dyDescent="0.3">
      <c r="A2834" s="11" t="s">
        <v>23</v>
      </c>
      <c r="B2834" s="11" t="s">
        <v>2543</v>
      </c>
      <c r="C2834" s="12" t="s">
        <v>2546</v>
      </c>
      <c r="D2834" s="59"/>
      <c r="E2834" s="41" t="str">
        <f>HYPERLINK("https://www.google.ru/search?q=3027672-014&amp;newwindow=1&amp;tbm=isch","Еще фото")</f>
        <v>Еще фото</v>
      </c>
      <c r="F2834" s="28" t="s">
        <v>152</v>
      </c>
      <c r="G2834" s="11" t="s">
        <v>1184</v>
      </c>
      <c r="H2834" s="11" t="s">
        <v>741</v>
      </c>
      <c r="I2834" s="14" t="s">
        <v>2439</v>
      </c>
      <c r="J2834" s="14" t="s">
        <v>43</v>
      </c>
      <c r="K2834" s="15" t="s">
        <v>723</v>
      </c>
      <c r="L2834" s="57" t="s">
        <v>2545</v>
      </c>
      <c r="M2834" s="14"/>
      <c r="N2834" s="14" t="s">
        <v>62</v>
      </c>
      <c r="O2834" s="14"/>
      <c r="P2834" s="15" t="s">
        <v>2458</v>
      </c>
      <c r="Q2834" s="16">
        <v>18299</v>
      </c>
      <c r="R2834" s="17">
        <v>40</v>
      </c>
      <c r="S2834" s="18">
        <v>12626.31</v>
      </c>
      <c r="T2834" s="19" t="s">
        <v>36</v>
      </c>
      <c r="U2834" s="20" t="s">
        <v>1345</v>
      </c>
      <c r="V2834" s="22">
        <v>41</v>
      </c>
      <c r="W2834" s="22">
        <v>1</v>
      </c>
      <c r="X2834" s="23"/>
    </row>
    <row r="2835" spans="1:24" s="1" customFormat="1" ht="26" customHeight="1" x14ac:dyDescent="0.3">
      <c r="A2835" s="24" t="s">
        <v>23</v>
      </c>
      <c r="B2835" s="24" t="s">
        <v>2543</v>
      </c>
      <c r="C2835" s="12" t="s">
        <v>2546</v>
      </c>
      <c r="D2835" s="60"/>
      <c r="E2835" s="41" t="str">
        <f>HYPERLINK("https://www.google.ru/search?q=3027672-014&amp;newwindow=1&amp;tbm=isch","Еще фото")</f>
        <v>Еще фото</v>
      </c>
      <c r="F2835" s="28" t="s">
        <v>152</v>
      </c>
      <c r="G2835" s="24" t="s">
        <v>1184</v>
      </c>
      <c r="H2835" s="24" t="s">
        <v>741</v>
      </c>
      <c r="I2835" s="24" t="s">
        <v>2439</v>
      </c>
      <c r="J2835" s="14" t="s">
        <v>43</v>
      </c>
      <c r="K2835" s="15" t="s">
        <v>723</v>
      </c>
      <c r="L2835" s="62"/>
      <c r="M2835" s="14"/>
      <c r="N2835" s="14" t="s">
        <v>62</v>
      </c>
      <c r="O2835" s="14"/>
      <c r="P2835" s="15" t="s">
        <v>2458</v>
      </c>
      <c r="Q2835" s="16">
        <v>18299</v>
      </c>
      <c r="R2835" s="17">
        <v>40</v>
      </c>
      <c r="S2835" s="18">
        <v>12626.31</v>
      </c>
      <c r="T2835" s="19" t="s">
        <v>36</v>
      </c>
      <c r="U2835" s="20" t="s">
        <v>1346</v>
      </c>
      <c r="V2835" s="34">
        <v>41.5</v>
      </c>
      <c r="W2835" s="22">
        <v>4</v>
      </c>
      <c r="X2835" s="23"/>
    </row>
    <row r="2836" spans="1:24" s="1" customFormat="1" ht="26" customHeight="1" x14ac:dyDescent="0.3">
      <c r="A2836" s="24" t="s">
        <v>23</v>
      </c>
      <c r="B2836" s="24" t="s">
        <v>2543</v>
      </c>
      <c r="C2836" s="12" t="s">
        <v>2546</v>
      </c>
      <c r="D2836" s="60"/>
      <c r="E2836" s="41" t="str">
        <f>HYPERLINK("https://www.google.ru/search?q=3027672-014&amp;newwindow=1&amp;tbm=isch","Еще фото")</f>
        <v>Еще фото</v>
      </c>
      <c r="F2836" s="28" t="s">
        <v>152</v>
      </c>
      <c r="G2836" s="24" t="s">
        <v>1184</v>
      </c>
      <c r="H2836" s="24" t="s">
        <v>741</v>
      </c>
      <c r="I2836" s="24" t="s">
        <v>2439</v>
      </c>
      <c r="J2836" s="14" t="s">
        <v>43</v>
      </c>
      <c r="K2836" s="15" t="s">
        <v>723</v>
      </c>
      <c r="L2836" s="62"/>
      <c r="M2836" s="14"/>
      <c r="N2836" s="14" t="s">
        <v>62</v>
      </c>
      <c r="O2836" s="14"/>
      <c r="P2836" s="15" t="s">
        <v>2458</v>
      </c>
      <c r="Q2836" s="16">
        <v>18299</v>
      </c>
      <c r="R2836" s="17">
        <v>40</v>
      </c>
      <c r="S2836" s="18">
        <v>12626.31</v>
      </c>
      <c r="T2836" s="19" t="s">
        <v>36</v>
      </c>
      <c r="U2836" s="20" t="s">
        <v>1347</v>
      </c>
      <c r="V2836" s="22">
        <v>43</v>
      </c>
      <c r="W2836" s="22">
        <v>1</v>
      </c>
      <c r="X2836" s="23"/>
    </row>
    <row r="2837" spans="1:24" s="1" customFormat="1" ht="26" customHeight="1" x14ac:dyDescent="0.3">
      <c r="A2837" s="24" t="s">
        <v>23</v>
      </c>
      <c r="B2837" s="24" t="s">
        <v>2543</v>
      </c>
      <c r="C2837" s="12" t="s">
        <v>2546</v>
      </c>
      <c r="D2837" s="61"/>
      <c r="E2837" s="41" t="str">
        <f>HYPERLINK("https://www.google.ru/search?q=3027672-014&amp;newwindow=1&amp;tbm=isch","Еще фото")</f>
        <v>Еще фото</v>
      </c>
      <c r="F2837" s="28" t="s">
        <v>152</v>
      </c>
      <c r="G2837" s="24" t="s">
        <v>1184</v>
      </c>
      <c r="H2837" s="24" t="s">
        <v>741</v>
      </c>
      <c r="I2837" s="24" t="s">
        <v>2439</v>
      </c>
      <c r="J2837" s="14" t="s">
        <v>43</v>
      </c>
      <c r="K2837" s="15" t="s">
        <v>723</v>
      </c>
      <c r="L2837" s="58"/>
      <c r="M2837" s="14"/>
      <c r="N2837" s="14" t="s">
        <v>62</v>
      </c>
      <c r="O2837" s="14"/>
      <c r="P2837" s="15" t="s">
        <v>2458</v>
      </c>
      <c r="Q2837" s="16">
        <v>18299</v>
      </c>
      <c r="R2837" s="17">
        <v>40</v>
      </c>
      <c r="S2837" s="18">
        <v>12626.31</v>
      </c>
      <c r="T2837" s="19" t="s">
        <v>36</v>
      </c>
      <c r="U2837" s="20" t="s">
        <v>1327</v>
      </c>
      <c r="V2837" s="22">
        <v>44</v>
      </c>
      <c r="W2837" s="22">
        <v>1</v>
      </c>
      <c r="X2837" s="23"/>
    </row>
    <row r="2838" spans="1:24" s="1" customFormat="1" ht="108" customHeight="1" x14ac:dyDescent="0.3">
      <c r="A2838" s="11" t="s">
        <v>23</v>
      </c>
      <c r="B2838" s="11" t="s">
        <v>2547</v>
      </c>
      <c r="C2838" s="12" t="s">
        <v>2548</v>
      </c>
      <c r="D2838" s="25"/>
      <c r="E2838" s="41" t="str">
        <f>HYPERLINK("https://www.google.ru/search?q=3028160-001&amp;newwindow=1&amp;tbm=isch","Еще фото")</f>
        <v>Еще фото</v>
      </c>
      <c r="F2838" s="13"/>
      <c r="G2838" s="11" t="s">
        <v>1184</v>
      </c>
      <c r="H2838" s="11" t="s">
        <v>741</v>
      </c>
      <c r="I2838" s="14" t="s">
        <v>2439</v>
      </c>
      <c r="J2838" s="14" t="s">
        <v>43</v>
      </c>
      <c r="K2838" s="15" t="s">
        <v>723</v>
      </c>
      <c r="L2838" s="14" t="s">
        <v>2549</v>
      </c>
      <c r="M2838" s="14" t="s">
        <v>1211</v>
      </c>
      <c r="N2838" s="14" t="s">
        <v>33</v>
      </c>
      <c r="O2838" s="14"/>
      <c r="P2838" s="15" t="s">
        <v>1444</v>
      </c>
      <c r="Q2838" s="16">
        <v>18799</v>
      </c>
      <c r="R2838" s="17">
        <v>40</v>
      </c>
      <c r="S2838" s="18">
        <v>12971.309999999998</v>
      </c>
      <c r="T2838" s="19" t="s">
        <v>36</v>
      </c>
      <c r="U2838" s="20" t="s">
        <v>1345</v>
      </c>
      <c r="V2838" s="22">
        <v>41</v>
      </c>
      <c r="W2838" s="22">
        <v>1</v>
      </c>
      <c r="X2838" s="23"/>
    </row>
    <row r="2839" spans="1:24" s="1" customFormat="1" ht="108" customHeight="1" x14ac:dyDescent="0.3">
      <c r="A2839" s="11" t="s">
        <v>23</v>
      </c>
      <c r="B2839" s="11" t="s">
        <v>2550</v>
      </c>
      <c r="C2839" s="12" t="s">
        <v>2551</v>
      </c>
      <c r="D2839" s="25"/>
      <c r="E2839" s="41" t="str">
        <f>HYPERLINK("https://www.google.ru/search?q=3028345-004&amp;newwindow=1&amp;tbm=isch","Еще фото")</f>
        <v>Еще фото</v>
      </c>
      <c r="F2839" s="13"/>
      <c r="G2839" s="11" t="s">
        <v>1184</v>
      </c>
      <c r="H2839" s="11" t="s">
        <v>741</v>
      </c>
      <c r="I2839" s="14" t="s">
        <v>2439</v>
      </c>
      <c r="J2839" s="14" t="s">
        <v>43</v>
      </c>
      <c r="K2839" s="15" t="s">
        <v>30</v>
      </c>
      <c r="L2839" s="14" t="s">
        <v>2552</v>
      </c>
      <c r="M2839" s="14"/>
      <c r="N2839" s="14" t="s">
        <v>33</v>
      </c>
      <c r="O2839" s="14"/>
      <c r="P2839" s="15" t="s">
        <v>2553</v>
      </c>
      <c r="Q2839" s="16">
        <v>14199</v>
      </c>
      <c r="R2839" s="17">
        <v>40</v>
      </c>
      <c r="S2839" s="18">
        <v>9797.31</v>
      </c>
      <c r="T2839" s="19" t="s">
        <v>36</v>
      </c>
      <c r="U2839" s="20" t="s">
        <v>750</v>
      </c>
      <c r="V2839" s="34">
        <v>41.5</v>
      </c>
      <c r="W2839" s="22">
        <v>7</v>
      </c>
      <c r="X2839" s="23"/>
    </row>
    <row r="2840" spans="1:24" s="1" customFormat="1" ht="26" customHeight="1" x14ac:dyDescent="0.3">
      <c r="A2840" s="11" t="s">
        <v>23</v>
      </c>
      <c r="B2840" s="11" t="s">
        <v>2550</v>
      </c>
      <c r="C2840" s="12" t="s">
        <v>2554</v>
      </c>
      <c r="D2840" s="59"/>
      <c r="E2840" s="41" t="str">
        <f>HYPERLINK("https://www.google.ru/search?q=3028345-103&amp;newwindow=1&amp;tbm=isch","Еще фото")</f>
        <v>Еще фото</v>
      </c>
      <c r="F2840" s="13" t="s">
        <v>103</v>
      </c>
      <c r="G2840" s="11" t="s">
        <v>1184</v>
      </c>
      <c r="H2840" s="11" t="s">
        <v>741</v>
      </c>
      <c r="I2840" s="14" t="s">
        <v>2439</v>
      </c>
      <c r="J2840" s="14" t="s">
        <v>43</v>
      </c>
      <c r="K2840" s="15" t="s">
        <v>30</v>
      </c>
      <c r="L2840" s="57" t="s">
        <v>2552</v>
      </c>
      <c r="M2840" s="14"/>
      <c r="N2840" s="14" t="s">
        <v>84</v>
      </c>
      <c r="O2840" s="14"/>
      <c r="P2840" s="15" t="s">
        <v>2555</v>
      </c>
      <c r="Q2840" s="16">
        <v>14999</v>
      </c>
      <c r="R2840" s="17">
        <v>40</v>
      </c>
      <c r="S2840" s="18">
        <v>10349.31</v>
      </c>
      <c r="T2840" s="19" t="s">
        <v>36</v>
      </c>
      <c r="U2840" s="20" t="s">
        <v>750</v>
      </c>
      <c r="V2840" s="34">
        <v>41.5</v>
      </c>
      <c r="W2840" s="22">
        <v>3</v>
      </c>
      <c r="X2840" s="23"/>
    </row>
    <row r="2841" spans="1:24" s="1" customFormat="1" ht="26" customHeight="1" x14ac:dyDescent="0.3">
      <c r="A2841" s="24" t="s">
        <v>23</v>
      </c>
      <c r="B2841" s="24" t="s">
        <v>2550</v>
      </c>
      <c r="C2841" s="12" t="s">
        <v>2554</v>
      </c>
      <c r="D2841" s="60"/>
      <c r="E2841" s="41" t="str">
        <f>HYPERLINK("https://www.google.ru/search?q=3028345-103&amp;newwindow=1&amp;tbm=isch","Еще фото")</f>
        <v>Еще фото</v>
      </c>
      <c r="F2841" s="13" t="s">
        <v>103</v>
      </c>
      <c r="G2841" s="24" t="s">
        <v>1184</v>
      </c>
      <c r="H2841" s="24" t="s">
        <v>741</v>
      </c>
      <c r="I2841" s="24" t="s">
        <v>2439</v>
      </c>
      <c r="J2841" s="14" t="s">
        <v>43</v>
      </c>
      <c r="K2841" s="15" t="s">
        <v>30</v>
      </c>
      <c r="L2841" s="62"/>
      <c r="M2841" s="14"/>
      <c r="N2841" s="14" t="s">
        <v>84</v>
      </c>
      <c r="O2841" s="14"/>
      <c r="P2841" s="15" t="s">
        <v>2555</v>
      </c>
      <c r="Q2841" s="16">
        <v>14999</v>
      </c>
      <c r="R2841" s="17">
        <v>40</v>
      </c>
      <c r="S2841" s="18">
        <v>10349.31</v>
      </c>
      <c r="T2841" s="19" t="s">
        <v>36</v>
      </c>
      <c r="U2841" s="20" t="s">
        <v>751</v>
      </c>
      <c r="V2841" s="22">
        <v>42</v>
      </c>
      <c r="W2841" s="22">
        <v>1</v>
      </c>
      <c r="X2841" s="23"/>
    </row>
    <row r="2842" spans="1:24" s="1" customFormat="1" ht="26" customHeight="1" x14ac:dyDescent="0.3">
      <c r="A2842" s="24" t="s">
        <v>23</v>
      </c>
      <c r="B2842" s="24" t="s">
        <v>2550</v>
      </c>
      <c r="C2842" s="12" t="s">
        <v>2554</v>
      </c>
      <c r="D2842" s="60"/>
      <c r="E2842" s="41" t="str">
        <f>HYPERLINK("https://www.google.ru/search?q=3028345-103&amp;newwindow=1&amp;tbm=isch","Еще фото")</f>
        <v>Еще фото</v>
      </c>
      <c r="F2842" s="13" t="s">
        <v>103</v>
      </c>
      <c r="G2842" s="24" t="s">
        <v>1184</v>
      </c>
      <c r="H2842" s="24" t="s">
        <v>741</v>
      </c>
      <c r="I2842" s="24" t="s">
        <v>2439</v>
      </c>
      <c r="J2842" s="14" t="s">
        <v>43</v>
      </c>
      <c r="K2842" s="15" t="s">
        <v>30</v>
      </c>
      <c r="L2842" s="62"/>
      <c r="M2842" s="14"/>
      <c r="N2842" s="14" t="s">
        <v>84</v>
      </c>
      <c r="O2842" s="14"/>
      <c r="P2842" s="15" t="s">
        <v>2555</v>
      </c>
      <c r="Q2842" s="16">
        <v>14999</v>
      </c>
      <c r="R2842" s="17">
        <v>40</v>
      </c>
      <c r="S2842" s="18">
        <v>10349.31</v>
      </c>
      <c r="T2842" s="19" t="s">
        <v>36</v>
      </c>
      <c r="U2842" s="20" t="s">
        <v>752</v>
      </c>
      <c r="V2842" s="22">
        <v>43</v>
      </c>
      <c r="W2842" s="22">
        <v>3</v>
      </c>
      <c r="X2842" s="23"/>
    </row>
    <row r="2843" spans="1:24" s="1" customFormat="1" ht="26" customHeight="1" x14ac:dyDescent="0.3">
      <c r="A2843" s="24" t="s">
        <v>23</v>
      </c>
      <c r="B2843" s="24" t="s">
        <v>2550</v>
      </c>
      <c r="C2843" s="12" t="s">
        <v>2554</v>
      </c>
      <c r="D2843" s="61"/>
      <c r="E2843" s="41" t="str">
        <f>HYPERLINK("https://www.google.ru/search?q=3028345-103&amp;newwindow=1&amp;tbm=isch","Еще фото")</f>
        <v>Еще фото</v>
      </c>
      <c r="F2843" s="13" t="s">
        <v>103</v>
      </c>
      <c r="G2843" s="24" t="s">
        <v>1184</v>
      </c>
      <c r="H2843" s="24" t="s">
        <v>741</v>
      </c>
      <c r="I2843" s="24" t="s">
        <v>2439</v>
      </c>
      <c r="J2843" s="14" t="s">
        <v>43</v>
      </c>
      <c r="K2843" s="15" t="s">
        <v>30</v>
      </c>
      <c r="L2843" s="58"/>
      <c r="M2843" s="14"/>
      <c r="N2843" s="14" t="s">
        <v>84</v>
      </c>
      <c r="O2843" s="14"/>
      <c r="P2843" s="15" t="s">
        <v>2555</v>
      </c>
      <c r="Q2843" s="16">
        <v>14999</v>
      </c>
      <c r="R2843" s="17">
        <v>40</v>
      </c>
      <c r="S2843" s="18">
        <v>10349.31</v>
      </c>
      <c r="T2843" s="19" t="s">
        <v>36</v>
      </c>
      <c r="U2843" s="20" t="s">
        <v>753</v>
      </c>
      <c r="V2843" s="34">
        <v>43.5</v>
      </c>
      <c r="W2843" s="22">
        <v>1</v>
      </c>
      <c r="X2843" s="23"/>
    </row>
    <row r="2844" spans="1:24" s="1" customFormat="1" ht="52.05" customHeight="1" x14ac:dyDescent="0.3">
      <c r="A2844" s="11" t="s">
        <v>23</v>
      </c>
      <c r="B2844" s="11" t="s">
        <v>2556</v>
      </c>
      <c r="C2844" s="12" t="s">
        <v>2557</v>
      </c>
      <c r="D2844" s="55"/>
      <c r="E2844" s="41" t="str">
        <f>HYPERLINK("https://www.google.ru/search?q=3028637-001&amp;newwindow=1&amp;tbm=isch","Еще фото")</f>
        <v>Еще фото</v>
      </c>
      <c r="F2844" s="13"/>
      <c r="G2844" s="11" t="s">
        <v>1184</v>
      </c>
      <c r="H2844" s="11" t="s">
        <v>741</v>
      </c>
      <c r="I2844" s="14" t="s">
        <v>2439</v>
      </c>
      <c r="J2844" s="14" t="s">
        <v>43</v>
      </c>
      <c r="K2844" s="15" t="s">
        <v>59</v>
      </c>
      <c r="L2844" s="57" t="s">
        <v>2558</v>
      </c>
      <c r="M2844" s="14"/>
      <c r="N2844" s="14" t="s">
        <v>33</v>
      </c>
      <c r="O2844" s="14"/>
      <c r="P2844" s="15" t="s">
        <v>2559</v>
      </c>
      <c r="Q2844" s="16">
        <v>12699</v>
      </c>
      <c r="R2844" s="17">
        <v>40</v>
      </c>
      <c r="S2844" s="18">
        <v>8762.31</v>
      </c>
      <c r="T2844" s="19" t="s">
        <v>36</v>
      </c>
      <c r="U2844" s="20" t="s">
        <v>746</v>
      </c>
      <c r="V2844" s="22">
        <v>37</v>
      </c>
      <c r="W2844" s="22">
        <v>1</v>
      </c>
      <c r="X2844" s="23"/>
    </row>
    <row r="2845" spans="1:24" s="1" customFormat="1" ht="61.05" customHeight="1" x14ac:dyDescent="0.3">
      <c r="A2845" s="24" t="s">
        <v>23</v>
      </c>
      <c r="B2845" s="24" t="s">
        <v>2556</v>
      </c>
      <c r="C2845" s="12" t="s">
        <v>2557</v>
      </c>
      <c r="D2845" s="56"/>
      <c r="E2845" s="41" t="str">
        <f>HYPERLINK("https://www.google.ru/search?q=3028637-001&amp;newwindow=1&amp;tbm=isch","Еще фото")</f>
        <v>Еще фото</v>
      </c>
      <c r="F2845" s="13"/>
      <c r="G2845" s="24" t="s">
        <v>1184</v>
      </c>
      <c r="H2845" s="24" t="s">
        <v>741</v>
      </c>
      <c r="I2845" s="24" t="s">
        <v>2439</v>
      </c>
      <c r="J2845" s="14" t="s">
        <v>43</v>
      </c>
      <c r="K2845" s="15" t="s">
        <v>59</v>
      </c>
      <c r="L2845" s="58"/>
      <c r="M2845" s="14"/>
      <c r="N2845" s="14" t="s">
        <v>33</v>
      </c>
      <c r="O2845" s="14"/>
      <c r="P2845" s="15" t="s">
        <v>2559</v>
      </c>
      <c r="Q2845" s="16">
        <v>12699</v>
      </c>
      <c r="R2845" s="17">
        <v>40</v>
      </c>
      <c r="S2845" s="18">
        <v>8762.31</v>
      </c>
      <c r="T2845" s="19" t="s">
        <v>36</v>
      </c>
      <c r="U2845" s="20" t="s">
        <v>748</v>
      </c>
      <c r="V2845" s="22">
        <v>38</v>
      </c>
      <c r="W2845" s="22">
        <v>1</v>
      </c>
      <c r="X2845" s="23"/>
    </row>
    <row r="2846" spans="1:24" s="1" customFormat="1" ht="13.05" customHeight="1" x14ac:dyDescent="0.3">
      <c r="A2846" s="11" t="s">
        <v>23</v>
      </c>
      <c r="B2846" s="11" t="s">
        <v>2560</v>
      </c>
      <c r="C2846" s="12" t="s">
        <v>2561</v>
      </c>
      <c r="D2846" s="59"/>
      <c r="E2846" s="41" t="str">
        <f t="shared" ref="E2846:E2853" si="131">HYPERLINK("https://www.google.ru/search?q=6005280-001&amp;newwindow=1&amp;tbm=isch","Еще фото")</f>
        <v>Еще фото</v>
      </c>
      <c r="F2846" s="13" t="s">
        <v>103</v>
      </c>
      <c r="G2846" s="11" t="s">
        <v>1184</v>
      </c>
      <c r="H2846" s="11" t="s">
        <v>741</v>
      </c>
      <c r="I2846" s="14" t="s">
        <v>2439</v>
      </c>
      <c r="J2846" s="14" t="s">
        <v>43</v>
      </c>
      <c r="K2846" s="15" t="s">
        <v>723</v>
      </c>
      <c r="L2846" s="57" t="s">
        <v>2562</v>
      </c>
      <c r="M2846" s="14" t="s">
        <v>1211</v>
      </c>
      <c r="N2846" s="14" t="s">
        <v>33</v>
      </c>
      <c r="O2846" s="14"/>
      <c r="P2846" s="15" t="s">
        <v>1718</v>
      </c>
      <c r="Q2846" s="16">
        <v>17099</v>
      </c>
      <c r="R2846" s="17">
        <v>40</v>
      </c>
      <c r="S2846" s="18">
        <v>11798.31</v>
      </c>
      <c r="T2846" s="19" t="s">
        <v>36</v>
      </c>
      <c r="U2846" s="33" t="s">
        <v>2563</v>
      </c>
      <c r="V2846" s="22">
        <v>38</v>
      </c>
      <c r="W2846" s="22">
        <v>3</v>
      </c>
      <c r="X2846" s="23"/>
    </row>
    <row r="2847" spans="1:24" s="1" customFormat="1" ht="13.05" customHeight="1" x14ac:dyDescent="0.3">
      <c r="A2847" s="24" t="s">
        <v>23</v>
      </c>
      <c r="B2847" s="24" t="s">
        <v>2560</v>
      </c>
      <c r="C2847" s="12" t="s">
        <v>2561</v>
      </c>
      <c r="D2847" s="60"/>
      <c r="E2847" s="41" t="str">
        <f t="shared" si="131"/>
        <v>Еще фото</v>
      </c>
      <c r="F2847" s="13" t="s">
        <v>103</v>
      </c>
      <c r="G2847" s="24" t="s">
        <v>1184</v>
      </c>
      <c r="H2847" s="24" t="s">
        <v>741</v>
      </c>
      <c r="I2847" s="24" t="s">
        <v>2439</v>
      </c>
      <c r="J2847" s="14" t="s">
        <v>43</v>
      </c>
      <c r="K2847" s="15" t="s">
        <v>723</v>
      </c>
      <c r="L2847" s="62"/>
      <c r="M2847" s="14" t="s">
        <v>1211</v>
      </c>
      <c r="N2847" s="14" t="s">
        <v>33</v>
      </c>
      <c r="O2847" s="14"/>
      <c r="P2847" s="15" t="s">
        <v>1718</v>
      </c>
      <c r="Q2847" s="16">
        <v>17099</v>
      </c>
      <c r="R2847" s="17">
        <v>40</v>
      </c>
      <c r="S2847" s="18">
        <v>11798.31</v>
      </c>
      <c r="T2847" s="19" t="s">
        <v>36</v>
      </c>
      <c r="U2847" s="20" t="s">
        <v>2540</v>
      </c>
      <c r="V2847" s="22">
        <v>39</v>
      </c>
      <c r="W2847" s="22">
        <v>3</v>
      </c>
      <c r="X2847" s="23"/>
    </row>
    <row r="2848" spans="1:24" s="1" customFormat="1" ht="13.05" customHeight="1" x14ac:dyDescent="0.3">
      <c r="A2848" s="24" t="s">
        <v>23</v>
      </c>
      <c r="B2848" s="24" t="s">
        <v>2560</v>
      </c>
      <c r="C2848" s="12" t="s">
        <v>2561</v>
      </c>
      <c r="D2848" s="60"/>
      <c r="E2848" s="41" t="str">
        <f t="shared" si="131"/>
        <v>Еще фото</v>
      </c>
      <c r="F2848" s="13" t="s">
        <v>103</v>
      </c>
      <c r="G2848" s="24" t="s">
        <v>1184</v>
      </c>
      <c r="H2848" s="24" t="s">
        <v>741</v>
      </c>
      <c r="I2848" s="24" t="s">
        <v>2439</v>
      </c>
      <c r="J2848" s="14" t="s">
        <v>43</v>
      </c>
      <c r="K2848" s="15" t="s">
        <v>723</v>
      </c>
      <c r="L2848" s="62"/>
      <c r="M2848" s="14" t="s">
        <v>1211</v>
      </c>
      <c r="N2848" s="14" t="s">
        <v>33</v>
      </c>
      <c r="O2848" s="14"/>
      <c r="P2848" s="15" t="s">
        <v>1718</v>
      </c>
      <c r="Q2848" s="16">
        <v>17099</v>
      </c>
      <c r="R2848" s="17">
        <v>40</v>
      </c>
      <c r="S2848" s="18">
        <v>11798.31</v>
      </c>
      <c r="T2848" s="19" t="s">
        <v>36</v>
      </c>
      <c r="U2848" s="20" t="s">
        <v>1445</v>
      </c>
      <c r="V2848" s="34">
        <v>39.5</v>
      </c>
      <c r="W2848" s="22">
        <v>1</v>
      </c>
      <c r="X2848" s="23"/>
    </row>
    <row r="2849" spans="1:24" s="1" customFormat="1" ht="13.05" customHeight="1" x14ac:dyDescent="0.3">
      <c r="A2849" s="24" t="s">
        <v>23</v>
      </c>
      <c r="B2849" s="24" t="s">
        <v>2560</v>
      </c>
      <c r="C2849" s="12" t="s">
        <v>2561</v>
      </c>
      <c r="D2849" s="60"/>
      <c r="E2849" s="41" t="str">
        <f t="shared" si="131"/>
        <v>Еще фото</v>
      </c>
      <c r="F2849" s="13" t="s">
        <v>103</v>
      </c>
      <c r="G2849" s="24" t="s">
        <v>1184</v>
      </c>
      <c r="H2849" s="24" t="s">
        <v>741</v>
      </c>
      <c r="I2849" s="24" t="s">
        <v>2439</v>
      </c>
      <c r="J2849" s="14" t="s">
        <v>43</v>
      </c>
      <c r="K2849" s="15" t="s">
        <v>723</v>
      </c>
      <c r="L2849" s="62"/>
      <c r="M2849" s="14" t="s">
        <v>1211</v>
      </c>
      <c r="N2849" s="14" t="s">
        <v>33</v>
      </c>
      <c r="O2849" s="14"/>
      <c r="P2849" s="15" t="s">
        <v>1718</v>
      </c>
      <c r="Q2849" s="16">
        <v>17099</v>
      </c>
      <c r="R2849" s="17">
        <v>40</v>
      </c>
      <c r="S2849" s="18">
        <v>11798.31</v>
      </c>
      <c r="T2849" s="19" t="s">
        <v>36</v>
      </c>
      <c r="U2849" s="20" t="s">
        <v>1346</v>
      </c>
      <c r="V2849" s="34">
        <v>41.5</v>
      </c>
      <c r="W2849" s="22">
        <v>6</v>
      </c>
      <c r="X2849" s="23"/>
    </row>
    <row r="2850" spans="1:24" s="1" customFormat="1" ht="13.05" customHeight="1" x14ac:dyDescent="0.3">
      <c r="A2850" s="24" t="s">
        <v>23</v>
      </c>
      <c r="B2850" s="24" t="s">
        <v>2560</v>
      </c>
      <c r="C2850" s="12" t="s">
        <v>2561</v>
      </c>
      <c r="D2850" s="60"/>
      <c r="E2850" s="41" t="str">
        <f t="shared" si="131"/>
        <v>Еще фото</v>
      </c>
      <c r="F2850" s="13" t="s">
        <v>103</v>
      </c>
      <c r="G2850" s="24" t="s">
        <v>1184</v>
      </c>
      <c r="H2850" s="24" t="s">
        <v>741</v>
      </c>
      <c r="I2850" s="24" t="s">
        <v>2439</v>
      </c>
      <c r="J2850" s="14" t="s">
        <v>43</v>
      </c>
      <c r="K2850" s="15" t="s">
        <v>723</v>
      </c>
      <c r="L2850" s="62"/>
      <c r="M2850" s="14" t="s">
        <v>1211</v>
      </c>
      <c r="N2850" s="14" t="s">
        <v>33</v>
      </c>
      <c r="O2850" s="14"/>
      <c r="P2850" s="15" t="s">
        <v>1718</v>
      </c>
      <c r="Q2850" s="16">
        <v>17099</v>
      </c>
      <c r="R2850" s="17">
        <v>40</v>
      </c>
      <c r="S2850" s="18">
        <v>11798.31</v>
      </c>
      <c r="T2850" s="19" t="s">
        <v>36</v>
      </c>
      <c r="U2850" s="20" t="s">
        <v>1326</v>
      </c>
      <c r="V2850" s="22">
        <v>42</v>
      </c>
      <c r="W2850" s="22">
        <v>11</v>
      </c>
      <c r="X2850" s="23"/>
    </row>
    <row r="2851" spans="1:24" s="1" customFormat="1" ht="13.05" customHeight="1" x14ac:dyDescent="0.3">
      <c r="A2851" s="24" t="s">
        <v>23</v>
      </c>
      <c r="B2851" s="24" t="s">
        <v>2560</v>
      </c>
      <c r="C2851" s="12" t="s">
        <v>2561</v>
      </c>
      <c r="D2851" s="60"/>
      <c r="E2851" s="41" t="str">
        <f t="shared" si="131"/>
        <v>Еще фото</v>
      </c>
      <c r="F2851" s="13" t="s">
        <v>103</v>
      </c>
      <c r="G2851" s="24" t="s">
        <v>1184</v>
      </c>
      <c r="H2851" s="24" t="s">
        <v>741</v>
      </c>
      <c r="I2851" s="24" t="s">
        <v>2439</v>
      </c>
      <c r="J2851" s="14" t="s">
        <v>43</v>
      </c>
      <c r="K2851" s="15" t="s">
        <v>723</v>
      </c>
      <c r="L2851" s="62"/>
      <c r="M2851" s="14" t="s">
        <v>1211</v>
      </c>
      <c r="N2851" s="14" t="s">
        <v>33</v>
      </c>
      <c r="O2851" s="14"/>
      <c r="P2851" s="15" t="s">
        <v>1718</v>
      </c>
      <c r="Q2851" s="16">
        <v>17099</v>
      </c>
      <c r="R2851" s="17">
        <v>40</v>
      </c>
      <c r="S2851" s="18">
        <v>11798.31</v>
      </c>
      <c r="T2851" s="19" t="s">
        <v>36</v>
      </c>
      <c r="U2851" s="20" t="s">
        <v>1347</v>
      </c>
      <c r="V2851" s="22">
        <v>43</v>
      </c>
      <c r="W2851" s="22">
        <v>14</v>
      </c>
      <c r="X2851" s="23"/>
    </row>
    <row r="2852" spans="1:24" s="1" customFormat="1" ht="13.05" customHeight="1" x14ac:dyDescent="0.3">
      <c r="A2852" s="24" t="s">
        <v>23</v>
      </c>
      <c r="B2852" s="24" t="s">
        <v>2560</v>
      </c>
      <c r="C2852" s="12" t="s">
        <v>2561</v>
      </c>
      <c r="D2852" s="60"/>
      <c r="E2852" s="41" t="str">
        <f t="shared" si="131"/>
        <v>Еще фото</v>
      </c>
      <c r="F2852" s="13" t="s">
        <v>103</v>
      </c>
      <c r="G2852" s="24" t="s">
        <v>1184</v>
      </c>
      <c r="H2852" s="24" t="s">
        <v>741</v>
      </c>
      <c r="I2852" s="24" t="s">
        <v>2439</v>
      </c>
      <c r="J2852" s="14" t="s">
        <v>43</v>
      </c>
      <c r="K2852" s="15" t="s">
        <v>723</v>
      </c>
      <c r="L2852" s="62"/>
      <c r="M2852" s="14" t="s">
        <v>1211</v>
      </c>
      <c r="N2852" s="14" t="s">
        <v>33</v>
      </c>
      <c r="O2852" s="14"/>
      <c r="P2852" s="15" t="s">
        <v>1718</v>
      </c>
      <c r="Q2852" s="16">
        <v>17099</v>
      </c>
      <c r="R2852" s="17">
        <v>40</v>
      </c>
      <c r="S2852" s="18">
        <v>11798.31</v>
      </c>
      <c r="T2852" s="19" t="s">
        <v>36</v>
      </c>
      <c r="U2852" s="20" t="s">
        <v>1348</v>
      </c>
      <c r="V2852" s="34">
        <v>43.5</v>
      </c>
      <c r="W2852" s="22">
        <v>14</v>
      </c>
      <c r="X2852" s="23"/>
    </row>
    <row r="2853" spans="1:24" s="1" customFormat="1" ht="18" customHeight="1" x14ac:dyDescent="0.3">
      <c r="A2853" s="24" t="s">
        <v>23</v>
      </c>
      <c r="B2853" s="24" t="s">
        <v>2560</v>
      </c>
      <c r="C2853" s="12" t="s">
        <v>2561</v>
      </c>
      <c r="D2853" s="61"/>
      <c r="E2853" s="41" t="str">
        <f t="shared" si="131"/>
        <v>Еще фото</v>
      </c>
      <c r="F2853" s="13" t="s">
        <v>103</v>
      </c>
      <c r="G2853" s="24" t="s">
        <v>1184</v>
      </c>
      <c r="H2853" s="24" t="s">
        <v>741</v>
      </c>
      <c r="I2853" s="24" t="s">
        <v>2439</v>
      </c>
      <c r="J2853" s="14" t="s">
        <v>43</v>
      </c>
      <c r="K2853" s="15" t="s">
        <v>723</v>
      </c>
      <c r="L2853" s="58"/>
      <c r="M2853" s="14" t="s">
        <v>1211</v>
      </c>
      <c r="N2853" s="14" t="s">
        <v>33</v>
      </c>
      <c r="O2853" s="14"/>
      <c r="P2853" s="15" t="s">
        <v>1718</v>
      </c>
      <c r="Q2853" s="16">
        <v>17099</v>
      </c>
      <c r="R2853" s="17">
        <v>40</v>
      </c>
      <c r="S2853" s="18">
        <v>11798.31</v>
      </c>
      <c r="T2853" s="19" t="s">
        <v>36</v>
      </c>
      <c r="U2853" s="20" t="s">
        <v>1349</v>
      </c>
      <c r="V2853" s="34">
        <v>44.5</v>
      </c>
      <c r="W2853" s="22">
        <v>3</v>
      </c>
      <c r="X2853" s="23"/>
    </row>
    <row r="2854" spans="1:24" s="1" customFormat="1" ht="11" customHeight="1" x14ac:dyDescent="0.3">
      <c r="A2854" s="11" t="s">
        <v>23</v>
      </c>
      <c r="B2854" s="11" t="s">
        <v>2560</v>
      </c>
      <c r="C2854" s="12" t="s">
        <v>2564</v>
      </c>
      <c r="D2854" s="59"/>
      <c r="E2854" s="41" t="str">
        <f t="shared" ref="E2854:E2865" si="132">HYPERLINK("https://www.google.ru/search?q=6005280-014&amp;newwindow=1&amp;tbm=isch","Еще фото")</f>
        <v>Еще фото</v>
      </c>
      <c r="F2854" s="13" t="s">
        <v>103</v>
      </c>
      <c r="G2854" s="11" t="s">
        <v>1184</v>
      </c>
      <c r="H2854" s="11" t="s">
        <v>741</v>
      </c>
      <c r="I2854" s="14" t="s">
        <v>2439</v>
      </c>
      <c r="J2854" s="14" t="s">
        <v>43</v>
      </c>
      <c r="K2854" s="15" t="s">
        <v>723</v>
      </c>
      <c r="L2854" s="57" t="s">
        <v>2562</v>
      </c>
      <c r="M2854" s="14"/>
      <c r="N2854" s="14" t="s">
        <v>62</v>
      </c>
      <c r="O2854" s="14"/>
      <c r="P2854" s="15" t="s">
        <v>745</v>
      </c>
      <c r="Q2854" s="16">
        <v>17099</v>
      </c>
      <c r="R2854" s="17">
        <v>40</v>
      </c>
      <c r="S2854" s="18">
        <v>11798.31</v>
      </c>
      <c r="T2854" s="19" t="s">
        <v>36</v>
      </c>
      <c r="U2854" s="20" t="s">
        <v>2563</v>
      </c>
      <c r="V2854" s="22">
        <v>38</v>
      </c>
      <c r="W2854" s="22">
        <v>4</v>
      </c>
      <c r="X2854" s="23"/>
    </row>
    <row r="2855" spans="1:24" s="1" customFormat="1" ht="11" customHeight="1" x14ac:dyDescent="0.3">
      <c r="A2855" s="24" t="s">
        <v>23</v>
      </c>
      <c r="B2855" s="24" t="s">
        <v>2560</v>
      </c>
      <c r="C2855" s="12" t="s">
        <v>2564</v>
      </c>
      <c r="D2855" s="60"/>
      <c r="E2855" s="41" t="str">
        <f t="shared" si="132"/>
        <v>Еще фото</v>
      </c>
      <c r="F2855" s="13" t="s">
        <v>103</v>
      </c>
      <c r="G2855" s="24" t="s">
        <v>1184</v>
      </c>
      <c r="H2855" s="24" t="s">
        <v>741</v>
      </c>
      <c r="I2855" s="24" t="s">
        <v>2439</v>
      </c>
      <c r="J2855" s="14" t="s">
        <v>43</v>
      </c>
      <c r="K2855" s="15" t="s">
        <v>723</v>
      </c>
      <c r="L2855" s="62"/>
      <c r="M2855" s="14"/>
      <c r="N2855" s="14" t="s">
        <v>62</v>
      </c>
      <c r="O2855" s="14"/>
      <c r="P2855" s="15" t="s">
        <v>745</v>
      </c>
      <c r="Q2855" s="16">
        <v>17099</v>
      </c>
      <c r="R2855" s="17">
        <v>40</v>
      </c>
      <c r="S2855" s="18">
        <v>11798.31</v>
      </c>
      <c r="T2855" s="19" t="s">
        <v>36</v>
      </c>
      <c r="U2855" s="20" t="s">
        <v>2540</v>
      </c>
      <c r="V2855" s="22">
        <v>39</v>
      </c>
      <c r="W2855" s="22">
        <v>3</v>
      </c>
      <c r="X2855" s="23"/>
    </row>
    <row r="2856" spans="1:24" s="1" customFormat="1" ht="11" customHeight="1" x14ac:dyDescent="0.3">
      <c r="A2856" s="24" t="s">
        <v>23</v>
      </c>
      <c r="B2856" s="24" t="s">
        <v>2560</v>
      </c>
      <c r="C2856" s="12" t="s">
        <v>2564</v>
      </c>
      <c r="D2856" s="60"/>
      <c r="E2856" s="41" t="str">
        <f t="shared" si="132"/>
        <v>Еще фото</v>
      </c>
      <c r="F2856" s="13" t="s">
        <v>103</v>
      </c>
      <c r="G2856" s="24" t="s">
        <v>1184</v>
      </c>
      <c r="H2856" s="24" t="s">
        <v>741</v>
      </c>
      <c r="I2856" s="24" t="s">
        <v>2439</v>
      </c>
      <c r="J2856" s="14" t="s">
        <v>43</v>
      </c>
      <c r="K2856" s="15" t="s">
        <v>723</v>
      </c>
      <c r="L2856" s="62"/>
      <c r="M2856" s="14"/>
      <c r="N2856" s="14" t="s">
        <v>62</v>
      </c>
      <c r="O2856" s="14"/>
      <c r="P2856" s="15" t="s">
        <v>745</v>
      </c>
      <c r="Q2856" s="16">
        <v>17099</v>
      </c>
      <c r="R2856" s="17">
        <v>40</v>
      </c>
      <c r="S2856" s="18">
        <v>11798.31</v>
      </c>
      <c r="T2856" s="19" t="s">
        <v>36</v>
      </c>
      <c r="U2856" s="20" t="s">
        <v>1445</v>
      </c>
      <c r="V2856" s="34">
        <v>39.5</v>
      </c>
      <c r="W2856" s="22">
        <v>4</v>
      </c>
      <c r="X2856" s="23"/>
    </row>
    <row r="2857" spans="1:24" s="1" customFormat="1" ht="11" customHeight="1" x14ac:dyDescent="0.3">
      <c r="A2857" s="24" t="s">
        <v>23</v>
      </c>
      <c r="B2857" s="24" t="s">
        <v>2560</v>
      </c>
      <c r="C2857" s="12" t="s">
        <v>2564</v>
      </c>
      <c r="D2857" s="60"/>
      <c r="E2857" s="41" t="str">
        <f t="shared" si="132"/>
        <v>Еще фото</v>
      </c>
      <c r="F2857" s="13" t="s">
        <v>103</v>
      </c>
      <c r="G2857" s="24" t="s">
        <v>1184</v>
      </c>
      <c r="H2857" s="24" t="s">
        <v>741</v>
      </c>
      <c r="I2857" s="24" t="s">
        <v>2439</v>
      </c>
      <c r="J2857" s="14" t="s">
        <v>43</v>
      </c>
      <c r="K2857" s="15" t="s">
        <v>723</v>
      </c>
      <c r="L2857" s="62"/>
      <c r="M2857" s="14"/>
      <c r="N2857" s="14" t="s">
        <v>62</v>
      </c>
      <c r="O2857" s="14"/>
      <c r="P2857" s="15" t="s">
        <v>745</v>
      </c>
      <c r="Q2857" s="16">
        <v>17099</v>
      </c>
      <c r="R2857" s="17">
        <v>40</v>
      </c>
      <c r="S2857" s="18">
        <v>11798.31</v>
      </c>
      <c r="T2857" s="19" t="s">
        <v>36</v>
      </c>
      <c r="U2857" s="20" t="s">
        <v>1446</v>
      </c>
      <c r="V2857" s="22">
        <v>40</v>
      </c>
      <c r="W2857" s="22">
        <v>3</v>
      </c>
      <c r="X2857" s="23"/>
    </row>
    <row r="2858" spans="1:24" s="1" customFormat="1" ht="11" customHeight="1" x14ac:dyDescent="0.3">
      <c r="A2858" s="24" t="s">
        <v>23</v>
      </c>
      <c r="B2858" s="24" t="s">
        <v>2560</v>
      </c>
      <c r="C2858" s="12" t="s">
        <v>2564</v>
      </c>
      <c r="D2858" s="60"/>
      <c r="E2858" s="41" t="str">
        <f t="shared" si="132"/>
        <v>Еще фото</v>
      </c>
      <c r="F2858" s="13" t="s">
        <v>103</v>
      </c>
      <c r="G2858" s="24" t="s">
        <v>1184</v>
      </c>
      <c r="H2858" s="24" t="s">
        <v>741</v>
      </c>
      <c r="I2858" s="24" t="s">
        <v>2439</v>
      </c>
      <c r="J2858" s="14" t="s">
        <v>43</v>
      </c>
      <c r="K2858" s="15" t="s">
        <v>723</v>
      </c>
      <c r="L2858" s="62"/>
      <c r="M2858" s="14"/>
      <c r="N2858" s="14" t="s">
        <v>62</v>
      </c>
      <c r="O2858" s="14"/>
      <c r="P2858" s="15" t="s">
        <v>745</v>
      </c>
      <c r="Q2858" s="16">
        <v>17099</v>
      </c>
      <c r="R2858" s="17">
        <v>40</v>
      </c>
      <c r="S2858" s="18">
        <v>11798.31</v>
      </c>
      <c r="T2858" s="19" t="s">
        <v>36</v>
      </c>
      <c r="U2858" s="20" t="s">
        <v>1345</v>
      </c>
      <c r="V2858" s="22">
        <v>41</v>
      </c>
      <c r="W2858" s="22">
        <v>8</v>
      </c>
      <c r="X2858" s="23"/>
    </row>
    <row r="2859" spans="1:24" s="1" customFormat="1" ht="11" customHeight="1" x14ac:dyDescent="0.3">
      <c r="A2859" s="24" t="s">
        <v>23</v>
      </c>
      <c r="B2859" s="24" t="s">
        <v>2560</v>
      </c>
      <c r="C2859" s="12" t="s">
        <v>2564</v>
      </c>
      <c r="D2859" s="60"/>
      <c r="E2859" s="41" t="str">
        <f t="shared" si="132"/>
        <v>Еще фото</v>
      </c>
      <c r="F2859" s="13" t="s">
        <v>103</v>
      </c>
      <c r="G2859" s="24" t="s">
        <v>1184</v>
      </c>
      <c r="H2859" s="24" t="s">
        <v>741</v>
      </c>
      <c r="I2859" s="24" t="s">
        <v>2439</v>
      </c>
      <c r="J2859" s="14" t="s">
        <v>43</v>
      </c>
      <c r="K2859" s="15" t="s">
        <v>723</v>
      </c>
      <c r="L2859" s="62"/>
      <c r="M2859" s="14"/>
      <c r="N2859" s="14" t="s">
        <v>62</v>
      </c>
      <c r="O2859" s="14"/>
      <c r="P2859" s="15" t="s">
        <v>745</v>
      </c>
      <c r="Q2859" s="16">
        <v>17099</v>
      </c>
      <c r="R2859" s="17">
        <v>40</v>
      </c>
      <c r="S2859" s="18">
        <v>11798.31</v>
      </c>
      <c r="T2859" s="19" t="s">
        <v>36</v>
      </c>
      <c r="U2859" s="20" t="s">
        <v>1346</v>
      </c>
      <c r="V2859" s="34">
        <v>41.5</v>
      </c>
      <c r="W2859" s="22">
        <v>7</v>
      </c>
      <c r="X2859" s="23"/>
    </row>
    <row r="2860" spans="1:24" s="1" customFormat="1" ht="11" customHeight="1" x14ac:dyDescent="0.3">
      <c r="A2860" s="24" t="s">
        <v>23</v>
      </c>
      <c r="B2860" s="24" t="s">
        <v>2560</v>
      </c>
      <c r="C2860" s="12" t="s">
        <v>2564</v>
      </c>
      <c r="D2860" s="60"/>
      <c r="E2860" s="41" t="str">
        <f t="shared" si="132"/>
        <v>Еще фото</v>
      </c>
      <c r="F2860" s="13" t="s">
        <v>103</v>
      </c>
      <c r="G2860" s="24" t="s">
        <v>1184</v>
      </c>
      <c r="H2860" s="24" t="s">
        <v>741</v>
      </c>
      <c r="I2860" s="24" t="s">
        <v>2439</v>
      </c>
      <c r="J2860" s="14" t="s">
        <v>43</v>
      </c>
      <c r="K2860" s="15" t="s">
        <v>723</v>
      </c>
      <c r="L2860" s="62"/>
      <c r="M2860" s="14"/>
      <c r="N2860" s="14" t="s">
        <v>62</v>
      </c>
      <c r="O2860" s="14"/>
      <c r="P2860" s="15" t="s">
        <v>745</v>
      </c>
      <c r="Q2860" s="16">
        <v>17099</v>
      </c>
      <c r="R2860" s="17">
        <v>40</v>
      </c>
      <c r="S2860" s="18">
        <v>11798.31</v>
      </c>
      <c r="T2860" s="19" t="s">
        <v>36</v>
      </c>
      <c r="U2860" s="20" t="s">
        <v>1326</v>
      </c>
      <c r="V2860" s="22">
        <v>42</v>
      </c>
      <c r="W2860" s="22">
        <v>12</v>
      </c>
      <c r="X2860" s="23"/>
    </row>
    <row r="2861" spans="1:24" s="1" customFormat="1" ht="11" customHeight="1" x14ac:dyDescent="0.3">
      <c r="A2861" s="24" t="s">
        <v>23</v>
      </c>
      <c r="B2861" s="24" t="s">
        <v>2560</v>
      </c>
      <c r="C2861" s="12" t="s">
        <v>2564</v>
      </c>
      <c r="D2861" s="60"/>
      <c r="E2861" s="41" t="str">
        <f t="shared" si="132"/>
        <v>Еще фото</v>
      </c>
      <c r="F2861" s="13" t="s">
        <v>103</v>
      </c>
      <c r="G2861" s="24" t="s">
        <v>1184</v>
      </c>
      <c r="H2861" s="24" t="s">
        <v>741</v>
      </c>
      <c r="I2861" s="24" t="s">
        <v>2439</v>
      </c>
      <c r="J2861" s="14" t="s">
        <v>43</v>
      </c>
      <c r="K2861" s="15" t="s">
        <v>723</v>
      </c>
      <c r="L2861" s="62"/>
      <c r="M2861" s="14"/>
      <c r="N2861" s="14" t="s">
        <v>62</v>
      </c>
      <c r="O2861" s="14"/>
      <c r="P2861" s="15" t="s">
        <v>745</v>
      </c>
      <c r="Q2861" s="16">
        <v>17099</v>
      </c>
      <c r="R2861" s="17">
        <v>40</v>
      </c>
      <c r="S2861" s="18">
        <v>11798.31</v>
      </c>
      <c r="T2861" s="19" t="s">
        <v>36</v>
      </c>
      <c r="U2861" s="20" t="s">
        <v>1347</v>
      </c>
      <c r="V2861" s="22">
        <v>43</v>
      </c>
      <c r="W2861" s="22">
        <v>12</v>
      </c>
      <c r="X2861" s="23"/>
    </row>
    <row r="2862" spans="1:24" s="1" customFormat="1" ht="11" customHeight="1" x14ac:dyDescent="0.3">
      <c r="A2862" s="24" t="s">
        <v>23</v>
      </c>
      <c r="B2862" s="24" t="s">
        <v>2560</v>
      </c>
      <c r="C2862" s="12" t="s">
        <v>2564</v>
      </c>
      <c r="D2862" s="60"/>
      <c r="E2862" s="41" t="str">
        <f t="shared" si="132"/>
        <v>Еще фото</v>
      </c>
      <c r="F2862" s="13" t="s">
        <v>103</v>
      </c>
      <c r="G2862" s="24" t="s">
        <v>1184</v>
      </c>
      <c r="H2862" s="24" t="s">
        <v>741</v>
      </c>
      <c r="I2862" s="24" t="s">
        <v>2439</v>
      </c>
      <c r="J2862" s="14" t="s">
        <v>43</v>
      </c>
      <c r="K2862" s="15" t="s">
        <v>723</v>
      </c>
      <c r="L2862" s="62"/>
      <c r="M2862" s="14"/>
      <c r="N2862" s="14" t="s">
        <v>62</v>
      </c>
      <c r="O2862" s="14"/>
      <c r="P2862" s="15" t="s">
        <v>745</v>
      </c>
      <c r="Q2862" s="16">
        <v>17099</v>
      </c>
      <c r="R2862" s="17">
        <v>40</v>
      </c>
      <c r="S2862" s="18">
        <v>11798.31</v>
      </c>
      <c r="T2862" s="19" t="s">
        <v>36</v>
      </c>
      <c r="U2862" s="20" t="s">
        <v>1348</v>
      </c>
      <c r="V2862" s="34">
        <v>43.5</v>
      </c>
      <c r="W2862" s="22">
        <v>14</v>
      </c>
      <c r="X2862" s="23"/>
    </row>
    <row r="2863" spans="1:24" s="1" customFormat="1" ht="11" customHeight="1" x14ac:dyDescent="0.3">
      <c r="A2863" s="14" t="s">
        <v>23</v>
      </c>
      <c r="B2863" s="14" t="s">
        <v>2560</v>
      </c>
      <c r="C2863" s="12" t="s">
        <v>2564</v>
      </c>
      <c r="D2863" s="60"/>
      <c r="E2863" s="41" t="str">
        <f t="shared" si="132"/>
        <v>Еще фото</v>
      </c>
      <c r="F2863" s="29" t="s">
        <v>103</v>
      </c>
      <c r="G2863" s="14" t="s">
        <v>1184</v>
      </c>
      <c r="H2863" s="14" t="s">
        <v>741</v>
      </c>
      <c r="I2863" s="14" t="s">
        <v>2439</v>
      </c>
      <c r="J2863" s="14" t="s">
        <v>43</v>
      </c>
      <c r="K2863" s="14" t="s">
        <v>723</v>
      </c>
      <c r="L2863" s="62"/>
      <c r="M2863" s="14"/>
      <c r="N2863" s="14" t="s">
        <v>62</v>
      </c>
      <c r="O2863" s="14"/>
      <c r="P2863" s="14" t="s">
        <v>745</v>
      </c>
      <c r="Q2863" s="30">
        <v>17099</v>
      </c>
      <c r="R2863" s="31">
        <v>40</v>
      </c>
      <c r="S2863" s="32">
        <v>11798.31</v>
      </c>
      <c r="T2863" s="19" t="s">
        <v>36</v>
      </c>
      <c r="U2863" s="20" t="s">
        <v>1327</v>
      </c>
      <c r="V2863" s="22">
        <v>44</v>
      </c>
      <c r="W2863" s="22">
        <v>9</v>
      </c>
      <c r="X2863" s="23"/>
    </row>
    <row r="2864" spans="1:24" s="1" customFormat="1" ht="11" customHeight="1" x14ac:dyDescent="0.3">
      <c r="A2864" s="14" t="s">
        <v>23</v>
      </c>
      <c r="B2864" s="14" t="s">
        <v>2560</v>
      </c>
      <c r="C2864" s="12" t="s">
        <v>2564</v>
      </c>
      <c r="D2864" s="60"/>
      <c r="E2864" s="41" t="str">
        <f t="shared" si="132"/>
        <v>Еще фото</v>
      </c>
      <c r="F2864" s="29" t="s">
        <v>103</v>
      </c>
      <c r="G2864" s="14" t="s">
        <v>1184</v>
      </c>
      <c r="H2864" s="14" t="s">
        <v>741</v>
      </c>
      <c r="I2864" s="14" t="s">
        <v>2439</v>
      </c>
      <c r="J2864" s="14" t="s">
        <v>43</v>
      </c>
      <c r="K2864" s="14" t="s">
        <v>723</v>
      </c>
      <c r="L2864" s="62"/>
      <c r="M2864" s="14"/>
      <c r="N2864" s="14" t="s">
        <v>62</v>
      </c>
      <c r="O2864" s="14"/>
      <c r="P2864" s="14" t="s">
        <v>745</v>
      </c>
      <c r="Q2864" s="30">
        <v>17099</v>
      </c>
      <c r="R2864" s="31">
        <v>40</v>
      </c>
      <c r="S2864" s="32">
        <v>11798.31</v>
      </c>
      <c r="T2864" s="19" t="s">
        <v>36</v>
      </c>
      <c r="U2864" s="20" t="s">
        <v>1349</v>
      </c>
      <c r="V2864" s="34">
        <v>44.5</v>
      </c>
      <c r="W2864" s="22">
        <v>10</v>
      </c>
      <c r="X2864" s="23"/>
    </row>
    <row r="2865" spans="1:24" s="1" customFormat="1" ht="11" customHeight="1" x14ac:dyDescent="0.3">
      <c r="A2865" s="14" t="s">
        <v>23</v>
      </c>
      <c r="B2865" s="14" t="s">
        <v>2560</v>
      </c>
      <c r="C2865" s="12" t="s">
        <v>2564</v>
      </c>
      <c r="D2865" s="61"/>
      <c r="E2865" s="41" t="str">
        <f t="shared" si="132"/>
        <v>Еще фото</v>
      </c>
      <c r="F2865" s="29" t="s">
        <v>103</v>
      </c>
      <c r="G2865" s="14" t="s">
        <v>1184</v>
      </c>
      <c r="H2865" s="14" t="s">
        <v>741</v>
      </c>
      <c r="I2865" s="14" t="s">
        <v>2439</v>
      </c>
      <c r="J2865" s="14" t="s">
        <v>43</v>
      </c>
      <c r="K2865" s="14" t="s">
        <v>723</v>
      </c>
      <c r="L2865" s="58"/>
      <c r="M2865" s="14"/>
      <c r="N2865" s="14" t="s">
        <v>62</v>
      </c>
      <c r="O2865" s="14"/>
      <c r="P2865" s="14" t="s">
        <v>745</v>
      </c>
      <c r="Q2865" s="30">
        <v>17099</v>
      </c>
      <c r="R2865" s="31">
        <v>40</v>
      </c>
      <c r="S2865" s="32">
        <v>11798.31</v>
      </c>
      <c r="T2865" s="19" t="s">
        <v>36</v>
      </c>
      <c r="U2865" s="20" t="s">
        <v>2359</v>
      </c>
      <c r="V2865" s="22">
        <v>45</v>
      </c>
      <c r="W2865" s="22">
        <v>8</v>
      </c>
      <c r="X2865" s="23"/>
    </row>
    <row r="2866" spans="1:24" s="1" customFormat="1" ht="13.05" customHeight="1" x14ac:dyDescent="0.3">
      <c r="A2866" s="11" t="s">
        <v>23</v>
      </c>
      <c r="B2866" s="11" t="s">
        <v>2565</v>
      </c>
      <c r="C2866" s="12" t="s">
        <v>2566</v>
      </c>
      <c r="D2866" s="59"/>
      <c r="E2866" s="41" t="str">
        <f t="shared" ref="E2866:E2873" si="133">HYPERLINK("https://www.google.ru/search?q=6005284-104&amp;newwindow=1&amp;tbm=isch","Еще фото")</f>
        <v>Еще фото</v>
      </c>
      <c r="F2866" s="13" t="s">
        <v>103</v>
      </c>
      <c r="G2866" s="11" t="s">
        <v>1184</v>
      </c>
      <c r="H2866" s="11" t="s">
        <v>741</v>
      </c>
      <c r="I2866" s="14" t="s">
        <v>2439</v>
      </c>
      <c r="J2866" s="14" t="s">
        <v>43</v>
      </c>
      <c r="K2866" s="15" t="s">
        <v>723</v>
      </c>
      <c r="L2866" s="57" t="s">
        <v>2567</v>
      </c>
      <c r="M2866" s="14"/>
      <c r="N2866" s="14" t="s">
        <v>84</v>
      </c>
      <c r="O2866" s="14"/>
      <c r="P2866" s="15" t="s">
        <v>2568</v>
      </c>
      <c r="Q2866" s="16">
        <v>15299</v>
      </c>
      <c r="R2866" s="17">
        <v>40</v>
      </c>
      <c r="S2866" s="18">
        <v>10556.31</v>
      </c>
      <c r="T2866" s="19" t="s">
        <v>36</v>
      </c>
      <c r="U2866" s="33" t="s">
        <v>1333</v>
      </c>
      <c r="V2866" s="22">
        <v>36</v>
      </c>
      <c r="W2866" s="22">
        <v>4</v>
      </c>
      <c r="X2866" s="23"/>
    </row>
    <row r="2867" spans="1:24" s="1" customFormat="1" ht="13.05" customHeight="1" x14ac:dyDescent="0.3">
      <c r="A2867" s="24" t="s">
        <v>23</v>
      </c>
      <c r="B2867" s="24" t="s">
        <v>2565</v>
      </c>
      <c r="C2867" s="12" t="s">
        <v>2566</v>
      </c>
      <c r="D2867" s="60"/>
      <c r="E2867" s="41" t="str">
        <f t="shared" si="133"/>
        <v>Еще фото</v>
      </c>
      <c r="F2867" s="13" t="s">
        <v>103</v>
      </c>
      <c r="G2867" s="24" t="s">
        <v>1184</v>
      </c>
      <c r="H2867" s="24" t="s">
        <v>741</v>
      </c>
      <c r="I2867" s="24" t="s">
        <v>2439</v>
      </c>
      <c r="J2867" s="14" t="s">
        <v>43</v>
      </c>
      <c r="K2867" s="15" t="s">
        <v>723</v>
      </c>
      <c r="L2867" s="62"/>
      <c r="M2867" s="14"/>
      <c r="N2867" s="14" t="s">
        <v>84</v>
      </c>
      <c r="O2867" s="14"/>
      <c r="P2867" s="15" t="s">
        <v>2568</v>
      </c>
      <c r="Q2867" s="16">
        <v>15299</v>
      </c>
      <c r="R2867" s="17">
        <v>40</v>
      </c>
      <c r="S2867" s="18">
        <v>10556.31</v>
      </c>
      <c r="T2867" s="19" t="s">
        <v>36</v>
      </c>
      <c r="U2867" s="20" t="s">
        <v>1334</v>
      </c>
      <c r="V2867" s="34">
        <v>36.5</v>
      </c>
      <c r="W2867" s="22">
        <v>4</v>
      </c>
      <c r="X2867" s="23"/>
    </row>
    <row r="2868" spans="1:24" s="1" customFormat="1" ht="13.05" customHeight="1" x14ac:dyDescent="0.3">
      <c r="A2868" s="24" t="s">
        <v>23</v>
      </c>
      <c r="B2868" s="24" t="s">
        <v>2565</v>
      </c>
      <c r="C2868" s="12" t="s">
        <v>2566</v>
      </c>
      <c r="D2868" s="60"/>
      <c r="E2868" s="41" t="str">
        <f t="shared" si="133"/>
        <v>Еще фото</v>
      </c>
      <c r="F2868" s="13" t="s">
        <v>103</v>
      </c>
      <c r="G2868" s="24" t="s">
        <v>1184</v>
      </c>
      <c r="H2868" s="24" t="s">
        <v>741</v>
      </c>
      <c r="I2868" s="24" t="s">
        <v>2439</v>
      </c>
      <c r="J2868" s="14" t="s">
        <v>43</v>
      </c>
      <c r="K2868" s="15" t="s">
        <v>723</v>
      </c>
      <c r="L2868" s="62"/>
      <c r="M2868" s="14"/>
      <c r="N2868" s="14" t="s">
        <v>84</v>
      </c>
      <c r="O2868" s="14"/>
      <c r="P2868" s="15" t="s">
        <v>2568</v>
      </c>
      <c r="Q2868" s="16">
        <v>15299</v>
      </c>
      <c r="R2868" s="17">
        <v>40</v>
      </c>
      <c r="S2868" s="18">
        <v>10556.31</v>
      </c>
      <c r="T2868" s="19" t="s">
        <v>36</v>
      </c>
      <c r="U2868" s="20" t="s">
        <v>1335</v>
      </c>
      <c r="V2868" s="22">
        <v>37</v>
      </c>
      <c r="W2868" s="22">
        <v>4</v>
      </c>
      <c r="X2868" s="23"/>
    </row>
    <row r="2869" spans="1:24" s="1" customFormat="1" ht="13.05" customHeight="1" x14ac:dyDescent="0.3">
      <c r="A2869" s="24" t="s">
        <v>23</v>
      </c>
      <c r="B2869" s="24" t="s">
        <v>2565</v>
      </c>
      <c r="C2869" s="12" t="s">
        <v>2566</v>
      </c>
      <c r="D2869" s="60"/>
      <c r="E2869" s="41" t="str">
        <f t="shared" si="133"/>
        <v>Еще фото</v>
      </c>
      <c r="F2869" s="13" t="s">
        <v>103</v>
      </c>
      <c r="G2869" s="24" t="s">
        <v>1184</v>
      </c>
      <c r="H2869" s="24" t="s">
        <v>741</v>
      </c>
      <c r="I2869" s="24" t="s">
        <v>2439</v>
      </c>
      <c r="J2869" s="14" t="s">
        <v>43</v>
      </c>
      <c r="K2869" s="15" t="s">
        <v>723</v>
      </c>
      <c r="L2869" s="62"/>
      <c r="M2869" s="14"/>
      <c r="N2869" s="14" t="s">
        <v>84</v>
      </c>
      <c r="O2869" s="14"/>
      <c r="P2869" s="15" t="s">
        <v>2568</v>
      </c>
      <c r="Q2869" s="16">
        <v>15299</v>
      </c>
      <c r="R2869" s="17">
        <v>40</v>
      </c>
      <c r="S2869" s="18">
        <v>10556.31</v>
      </c>
      <c r="T2869" s="19" t="s">
        <v>36</v>
      </c>
      <c r="U2869" s="20" t="s">
        <v>2539</v>
      </c>
      <c r="V2869" s="34">
        <v>37.5</v>
      </c>
      <c r="W2869" s="22">
        <v>4</v>
      </c>
      <c r="X2869" s="23"/>
    </row>
    <row r="2870" spans="1:24" s="1" customFormat="1" ht="13.05" customHeight="1" x14ac:dyDescent="0.3">
      <c r="A2870" s="24" t="s">
        <v>23</v>
      </c>
      <c r="B2870" s="24" t="s">
        <v>2565</v>
      </c>
      <c r="C2870" s="12" t="s">
        <v>2566</v>
      </c>
      <c r="D2870" s="60"/>
      <c r="E2870" s="41" t="str">
        <f t="shared" si="133"/>
        <v>Еще фото</v>
      </c>
      <c r="F2870" s="13" t="s">
        <v>103</v>
      </c>
      <c r="G2870" s="24" t="s">
        <v>1184</v>
      </c>
      <c r="H2870" s="24" t="s">
        <v>741</v>
      </c>
      <c r="I2870" s="24" t="s">
        <v>2439</v>
      </c>
      <c r="J2870" s="14" t="s">
        <v>43</v>
      </c>
      <c r="K2870" s="15" t="s">
        <v>723</v>
      </c>
      <c r="L2870" s="62"/>
      <c r="M2870" s="14"/>
      <c r="N2870" s="14" t="s">
        <v>84</v>
      </c>
      <c r="O2870" s="14"/>
      <c r="P2870" s="15" t="s">
        <v>2568</v>
      </c>
      <c r="Q2870" s="16">
        <v>15299</v>
      </c>
      <c r="R2870" s="17">
        <v>40</v>
      </c>
      <c r="S2870" s="18">
        <v>10556.31</v>
      </c>
      <c r="T2870" s="19" t="s">
        <v>36</v>
      </c>
      <c r="U2870" s="20" t="s">
        <v>2563</v>
      </c>
      <c r="V2870" s="22">
        <v>38</v>
      </c>
      <c r="W2870" s="22">
        <v>1</v>
      </c>
      <c r="X2870" s="23"/>
    </row>
    <row r="2871" spans="1:24" s="1" customFormat="1" ht="13.05" customHeight="1" x14ac:dyDescent="0.3">
      <c r="A2871" s="24" t="s">
        <v>23</v>
      </c>
      <c r="B2871" s="24" t="s">
        <v>2565</v>
      </c>
      <c r="C2871" s="12" t="s">
        <v>2566</v>
      </c>
      <c r="D2871" s="60"/>
      <c r="E2871" s="41" t="str">
        <f t="shared" si="133"/>
        <v>Еще фото</v>
      </c>
      <c r="F2871" s="13" t="s">
        <v>103</v>
      </c>
      <c r="G2871" s="24" t="s">
        <v>1184</v>
      </c>
      <c r="H2871" s="24" t="s">
        <v>741</v>
      </c>
      <c r="I2871" s="24" t="s">
        <v>2439</v>
      </c>
      <c r="J2871" s="14" t="s">
        <v>43</v>
      </c>
      <c r="K2871" s="15" t="s">
        <v>723</v>
      </c>
      <c r="L2871" s="62"/>
      <c r="M2871" s="14"/>
      <c r="N2871" s="14" t="s">
        <v>84</v>
      </c>
      <c r="O2871" s="14"/>
      <c r="P2871" s="15" t="s">
        <v>2568</v>
      </c>
      <c r="Q2871" s="16">
        <v>15299</v>
      </c>
      <c r="R2871" s="17">
        <v>40</v>
      </c>
      <c r="S2871" s="18">
        <v>10556.31</v>
      </c>
      <c r="T2871" s="19" t="s">
        <v>36</v>
      </c>
      <c r="U2871" s="20" t="s">
        <v>1445</v>
      </c>
      <c r="V2871" s="34">
        <v>39.5</v>
      </c>
      <c r="W2871" s="22">
        <v>1</v>
      </c>
      <c r="X2871" s="23"/>
    </row>
    <row r="2872" spans="1:24" s="1" customFormat="1" ht="13.05" customHeight="1" x14ac:dyDescent="0.3">
      <c r="A2872" s="24" t="s">
        <v>23</v>
      </c>
      <c r="B2872" s="24" t="s">
        <v>2565</v>
      </c>
      <c r="C2872" s="12" t="s">
        <v>2566</v>
      </c>
      <c r="D2872" s="60"/>
      <c r="E2872" s="41" t="str">
        <f t="shared" si="133"/>
        <v>Еще фото</v>
      </c>
      <c r="F2872" s="13" t="s">
        <v>103</v>
      </c>
      <c r="G2872" s="24" t="s">
        <v>1184</v>
      </c>
      <c r="H2872" s="24" t="s">
        <v>741</v>
      </c>
      <c r="I2872" s="24" t="s">
        <v>2439</v>
      </c>
      <c r="J2872" s="14" t="s">
        <v>43</v>
      </c>
      <c r="K2872" s="15" t="s">
        <v>723</v>
      </c>
      <c r="L2872" s="62"/>
      <c r="M2872" s="14"/>
      <c r="N2872" s="14" t="s">
        <v>84</v>
      </c>
      <c r="O2872" s="14"/>
      <c r="P2872" s="15" t="s">
        <v>2568</v>
      </c>
      <c r="Q2872" s="16">
        <v>15299</v>
      </c>
      <c r="R2872" s="17">
        <v>40</v>
      </c>
      <c r="S2872" s="18">
        <v>10556.31</v>
      </c>
      <c r="T2872" s="19" t="s">
        <v>36</v>
      </c>
      <c r="U2872" s="20" t="s">
        <v>1348</v>
      </c>
      <c r="V2872" s="34">
        <v>43.5</v>
      </c>
      <c r="W2872" s="22">
        <v>5</v>
      </c>
      <c r="X2872" s="23"/>
    </row>
    <row r="2873" spans="1:24" s="1" customFormat="1" ht="18" customHeight="1" x14ac:dyDescent="0.3">
      <c r="A2873" s="24" t="s">
        <v>23</v>
      </c>
      <c r="B2873" s="24" t="s">
        <v>2565</v>
      </c>
      <c r="C2873" s="12" t="s">
        <v>2566</v>
      </c>
      <c r="D2873" s="61"/>
      <c r="E2873" s="41" t="str">
        <f t="shared" si="133"/>
        <v>Еще фото</v>
      </c>
      <c r="F2873" s="13" t="s">
        <v>103</v>
      </c>
      <c r="G2873" s="24" t="s">
        <v>1184</v>
      </c>
      <c r="H2873" s="24" t="s">
        <v>741</v>
      </c>
      <c r="I2873" s="24" t="s">
        <v>2439</v>
      </c>
      <c r="J2873" s="14" t="s">
        <v>43</v>
      </c>
      <c r="K2873" s="15" t="s">
        <v>723</v>
      </c>
      <c r="L2873" s="58"/>
      <c r="M2873" s="14"/>
      <c r="N2873" s="14" t="s">
        <v>84</v>
      </c>
      <c r="O2873" s="14"/>
      <c r="P2873" s="15" t="s">
        <v>2568</v>
      </c>
      <c r="Q2873" s="16">
        <v>15299</v>
      </c>
      <c r="R2873" s="17">
        <v>40</v>
      </c>
      <c r="S2873" s="18">
        <v>10556.31</v>
      </c>
      <c r="T2873" s="19" t="s">
        <v>36</v>
      </c>
      <c r="U2873" s="20" t="s">
        <v>1349</v>
      </c>
      <c r="V2873" s="34">
        <v>44.5</v>
      </c>
      <c r="W2873" s="22">
        <v>3</v>
      </c>
      <c r="X2873" s="23"/>
    </row>
    <row r="2874" spans="1:24" s="1" customFormat="1" ht="35" customHeight="1" x14ac:dyDescent="0.3">
      <c r="A2874" s="11" t="s">
        <v>23</v>
      </c>
      <c r="B2874" s="11" t="s">
        <v>2569</v>
      </c>
      <c r="C2874" s="12" t="s">
        <v>2570</v>
      </c>
      <c r="D2874" s="59"/>
      <c r="E2874" s="41" t="str">
        <f>HYPERLINK("https://www.google.ru/search?q=6005795-001&amp;newwindow=1&amp;tbm=isch","Еще фото")</f>
        <v>Еще фото</v>
      </c>
      <c r="F2874" s="13" t="s">
        <v>152</v>
      </c>
      <c r="G2874" s="11" t="s">
        <v>2464</v>
      </c>
      <c r="H2874" s="11" t="s">
        <v>741</v>
      </c>
      <c r="I2874" s="14" t="s">
        <v>2439</v>
      </c>
      <c r="J2874" s="14" t="s">
        <v>43</v>
      </c>
      <c r="K2874" s="15" t="s">
        <v>30</v>
      </c>
      <c r="L2874" s="57" t="s">
        <v>2571</v>
      </c>
      <c r="M2874" s="14"/>
      <c r="N2874" s="14" t="s">
        <v>33</v>
      </c>
      <c r="O2874" s="14"/>
      <c r="P2874" s="15" t="s">
        <v>1457</v>
      </c>
      <c r="Q2874" s="16">
        <v>9099</v>
      </c>
      <c r="R2874" s="17">
        <v>40</v>
      </c>
      <c r="S2874" s="18">
        <v>6278.3099999999995</v>
      </c>
      <c r="T2874" s="19" t="s">
        <v>36</v>
      </c>
      <c r="U2874" s="20" t="s">
        <v>748</v>
      </c>
      <c r="V2874" s="22">
        <v>40</v>
      </c>
      <c r="W2874" s="22">
        <v>4</v>
      </c>
      <c r="X2874" s="23"/>
    </row>
    <row r="2875" spans="1:24" s="1" customFormat="1" ht="35" customHeight="1" x14ac:dyDescent="0.3">
      <c r="A2875" s="24" t="s">
        <v>23</v>
      </c>
      <c r="B2875" s="24" t="s">
        <v>2569</v>
      </c>
      <c r="C2875" s="12" t="s">
        <v>2570</v>
      </c>
      <c r="D2875" s="60"/>
      <c r="E2875" s="41" t="str">
        <f>HYPERLINK("https://www.google.ru/search?q=6005795-001&amp;newwindow=1&amp;tbm=isch","Еще фото")</f>
        <v>Еще фото</v>
      </c>
      <c r="F2875" s="13" t="s">
        <v>152</v>
      </c>
      <c r="G2875" s="24" t="s">
        <v>2464</v>
      </c>
      <c r="H2875" s="24" t="s">
        <v>741</v>
      </c>
      <c r="I2875" s="24" t="s">
        <v>2439</v>
      </c>
      <c r="J2875" s="14" t="s">
        <v>43</v>
      </c>
      <c r="K2875" s="15" t="s">
        <v>30</v>
      </c>
      <c r="L2875" s="62"/>
      <c r="M2875" s="14"/>
      <c r="N2875" s="14" t="s">
        <v>33</v>
      </c>
      <c r="O2875" s="14"/>
      <c r="P2875" s="15" t="s">
        <v>1457</v>
      </c>
      <c r="Q2875" s="16">
        <v>9099</v>
      </c>
      <c r="R2875" s="17">
        <v>40</v>
      </c>
      <c r="S2875" s="18">
        <v>6278.3099999999995</v>
      </c>
      <c r="T2875" s="19" t="s">
        <v>36</v>
      </c>
      <c r="U2875" s="20" t="s">
        <v>749</v>
      </c>
      <c r="V2875" s="22">
        <v>41</v>
      </c>
      <c r="W2875" s="22">
        <v>1</v>
      </c>
      <c r="X2875" s="23"/>
    </row>
    <row r="2876" spans="1:24" s="1" customFormat="1" ht="37.049999999999997" customHeight="1" x14ac:dyDescent="0.3">
      <c r="A2876" s="24" t="s">
        <v>23</v>
      </c>
      <c r="B2876" s="24" t="s">
        <v>2569</v>
      </c>
      <c r="C2876" s="12" t="s">
        <v>2570</v>
      </c>
      <c r="D2876" s="61"/>
      <c r="E2876" s="41" t="str">
        <f>HYPERLINK("https://www.google.ru/search?q=6005795-001&amp;newwindow=1&amp;tbm=isch","Еще фото")</f>
        <v>Еще фото</v>
      </c>
      <c r="F2876" s="13" t="s">
        <v>152</v>
      </c>
      <c r="G2876" s="24" t="s">
        <v>2464</v>
      </c>
      <c r="H2876" s="24" t="s">
        <v>741</v>
      </c>
      <c r="I2876" s="24" t="s">
        <v>2439</v>
      </c>
      <c r="J2876" s="14" t="s">
        <v>43</v>
      </c>
      <c r="K2876" s="15" t="s">
        <v>30</v>
      </c>
      <c r="L2876" s="58"/>
      <c r="M2876" s="14"/>
      <c r="N2876" s="14" t="s">
        <v>33</v>
      </c>
      <c r="O2876" s="14"/>
      <c r="P2876" s="15" t="s">
        <v>1457</v>
      </c>
      <c r="Q2876" s="16">
        <v>9099</v>
      </c>
      <c r="R2876" s="17">
        <v>40</v>
      </c>
      <c r="S2876" s="18">
        <v>6278.3099999999995</v>
      </c>
      <c r="T2876" s="19" t="s">
        <v>36</v>
      </c>
      <c r="U2876" s="20" t="s">
        <v>751</v>
      </c>
      <c r="V2876" s="22">
        <v>42</v>
      </c>
      <c r="W2876" s="22">
        <v>1</v>
      </c>
      <c r="X2876" s="23"/>
    </row>
    <row r="2877" spans="1:24" s="1" customFormat="1" ht="17" customHeight="1" x14ac:dyDescent="0.3">
      <c r="A2877" s="11" t="s">
        <v>23</v>
      </c>
      <c r="B2877" s="11" t="s">
        <v>2569</v>
      </c>
      <c r="C2877" s="12" t="s">
        <v>2572</v>
      </c>
      <c r="D2877" s="59"/>
      <c r="E2877" s="41" t="str">
        <f t="shared" ref="E2877:E2882" si="134">HYPERLINK("https://www.google.ru/search?q=6005795-100&amp;newwindow=1&amp;tbm=isch","Еще фото")</f>
        <v>Еще фото</v>
      </c>
      <c r="F2877" s="13" t="s">
        <v>152</v>
      </c>
      <c r="G2877" s="11" t="s">
        <v>2464</v>
      </c>
      <c r="H2877" s="11" t="s">
        <v>741</v>
      </c>
      <c r="I2877" s="14" t="s">
        <v>2439</v>
      </c>
      <c r="J2877" s="14" t="s">
        <v>43</v>
      </c>
      <c r="K2877" s="15" t="s">
        <v>30</v>
      </c>
      <c r="L2877" s="57" t="s">
        <v>2571</v>
      </c>
      <c r="M2877" s="14"/>
      <c r="N2877" s="14" t="s">
        <v>84</v>
      </c>
      <c r="O2877" s="14"/>
      <c r="P2877" s="15" t="s">
        <v>1457</v>
      </c>
      <c r="Q2877" s="16">
        <v>9099</v>
      </c>
      <c r="R2877" s="17">
        <v>40</v>
      </c>
      <c r="S2877" s="18">
        <v>6278.3099999999995</v>
      </c>
      <c r="T2877" s="19" t="s">
        <v>36</v>
      </c>
      <c r="U2877" s="20" t="s">
        <v>748</v>
      </c>
      <c r="V2877" s="22">
        <v>40</v>
      </c>
      <c r="W2877" s="22">
        <v>3</v>
      </c>
      <c r="X2877" s="23"/>
    </row>
    <row r="2878" spans="1:24" s="1" customFormat="1" ht="17" customHeight="1" x14ac:dyDescent="0.3">
      <c r="A2878" s="24" t="s">
        <v>23</v>
      </c>
      <c r="B2878" s="24" t="s">
        <v>2569</v>
      </c>
      <c r="C2878" s="12" t="s">
        <v>2572</v>
      </c>
      <c r="D2878" s="60"/>
      <c r="E2878" s="41" t="str">
        <f t="shared" si="134"/>
        <v>Еще фото</v>
      </c>
      <c r="F2878" s="13" t="s">
        <v>152</v>
      </c>
      <c r="G2878" s="24" t="s">
        <v>2464</v>
      </c>
      <c r="H2878" s="24" t="s">
        <v>741</v>
      </c>
      <c r="I2878" s="24" t="s">
        <v>2439</v>
      </c>
      <c r="J2878" s="14" t="s">
        <v>43</v>
      </c>
      <c r="K2878" s="15" t="s">
        <v>30</v>
      </c>
      <c r="L2878" s="62"/>
      <c r="M2878" s="14"/>
      <c r="N2878" s="14" t="s">
        <v>84</v>
      </c>
      <c r="O2878" s="14"/>
      <c r="P2878" s="15" t="s">
        <v>1457</v>
      </c>
      <c r="Q2878" s="16">
        <v>9099</v>
      </c>
      <c r="R2878" s="17">
        <v>40</v>
      </c>
      <c r="S2878" s="18">
        <v>6278.3099999999995</v>
      </c>
      <c r="T2878" s="19" t="s">
        <v>36</v>
      </c>
      <c r="U2878" s="20" t="s">
        <v>749</v>
      </c>
      <c r="V2878" s="22">
        <v>41</v>
      </c>
      <c r="W2878" s="22">
        <v>3</v>
      </c>
      <c r="X2878" s="23"/>
    </row>
    <row r="2879" spans="1:24" s="1" customFormat="1" ht="17" customHeight="1" x14ac:dyDescent="0.3">
      <c r="A2879" s="24" t="s">
        <v>23</v>
      </c>
      <c r="B2879" s="24" t="s">
        <v>2569</v>
      </c>
      <c r="C2879" s="12" t="s">
        <v>2572</v>
      </c>
      <c r="D2879" s="60"/>
      <c r="E2879" s="41" t="str">
        <f t="shared" si="134"/>
        <v>Еще фото</v>
      </c>
      <c r="F2879" s="13" t="s">
        <v>152</v>
      </c>
      <c r="G2879" s="24" t="s">
        <v>2464</v>
      </c>
      <c r="H2879" s="24" t="s">
        <v>741</v>
      </c>
      <c r="I2879" s="24" t="s">
        <v>2439</v>
      </c>
      <c r="J2879" s="14" t="s">
        <v>43</v>
      </c>
      <c r="K2879" s="15" t="s">
        <v>30</v>
      </c>
      <c r="L2879" s="62"/>
      <c r="M2879" s="14"/>
      <c r="N2879" s="14" t="s">
        <v>84</v>
      </c>
      <c r="O2879" s="14"/>
      <c r="P2879" s="15" t="s">
        <v>1457</v>
      </c>
      <c r="Q2879" s="16">
        <v>9099</v>
      </c>
      <c r="R2879" s="17">
        <v>40</v>
      </c>
      <c r="S2879" s="18">
        <v>6278.3099999999995</v>
      </c>
      <c r="T2879" s="19" t="s">
        <v>36</v>
      </c>
      <c r="U2879" s="20" t="s">
        <v>750</v>
      </c>
      <c r="V2879" s="34">
        <v>41.5</v>
      </c>
      <c r="W2879" s="22">
        <v>3</v>
      </c>
      <c r="X2879" s="23"/>
    </row>
    <row r="2880" spans="1:24" s="1" customFormat="1" ht="17" customHeight="1" x14ac:dyDescent="0.3">
      <c r="A2880" s="24" t="s">
        <v>23</v>
      </c>
      <c r="B2880" s="24" t="s">
        <v>2569</v>
      </c>
      <c r="C2880" s="12" t="s">
        <v>2572</v>
      </c>
      <c r="D2880" s="60"/>
      <c r="E2880" s="41" t="str">
        <f t="shared" si="134"/>
        <v>Еще фото</v>
      </c>
      <c r="F2880" s="13" t="s">
        <v>152</v>
      </c>
      <c r="G2880" s="24" t="s">
        <v>2464</v>
      </c>
      <c r="H2880" s="24" t="s">
        <v>741</v>
      </c>
      <c r="I2880" s="24" t="s">
        <v>2439</v>
      </c>
      <c r="J2880" s="14" t="s">
        <v>43</v>
      </c>
      <c r="K2880" s="15" t="s">
        <v>30</v>
      </c>
      <c r="L2880" s="62"/>
      <c r="M2880" s="14"/>
      <c r="N2880" s="14" t="s">
        <v>84</v>
      </c>
      <c r="O2880" s="14"/>
      <c r="P2880" s="15" t="s">
        <v>1457</v>
      </c>
      <c r="Q2880" s="16">
        <v>9099</v>
      </c>
      <c r="R2880" s="17">
        <v>40</v>
      </c>
      <c r="S2880" s="18">
        <v>6278.3099999999995</v>
      </c>
      <c r="T2880" s="19" t="s">
        <v>36</v>
      </c>
      <c r="U2880" s="20" t="s">
        <v>751</v>
      </c>
      <c r="V2880" s="22">
        <v>42</v>
      </c>
      <c r="W2880" s="22">
        <v>5</v>
      </c>
      <c r="X2880" s="23"/>
    </row>
    <row r="2881" spans="1:24" s="1" customFormat="1" ht="17" customHeight="1" x14ac:dyDescent="0.3">
      <c r="A2881" s="24" t="s">
        <v>23</v>
      </c>
      <c r="B2881" s="24" t="s">
        <v>2569</v>
      </c>
      <c r="C2881" s="12" t="s">
        <v>2572</v>
      </c>
      <c r="D2881" s="60"/>
      <c r="E2881" s="41" t="str">
        <f t="shared" si="134"/>
        <v>Еще фото</v>
      </c>
      <c r="F2881" s="13" t="s">
        <v>152</v>
      </c>
      <c r="G2881" s="24" t="s">
        <v>2464</v>
      </c>
      <c r="H2881" s="24" t="s">
        <v>741</v>
      </c>
      <c r="I2881" s="24" t="s">
        <v>2439</v>
      </c>
      <c r="J2881" s="14" t="s">
        <v>43</v>
      </c>
      <c r="K2881" s="15" t="s">
        <v>30</v>
      </c>
      <c r="L2881" s="62"/>
      <c r="M2881" s="14"/>
      <c r="N2881" s="14" t="s">
        <v>84</v>
      </c>
      <c r="O2881" s="14"/>
      <c r="P2881" s="15" t="s">
        <v>1457</v>
      </c>
      <c r="Q2881" s="16">
        <v>9099</v>
      </c>
      <c r="R2881" s="17">
        <v>40</v>
      </c>
      <c r="S2881" s="18">
        <v>6278.3099999999995</v>
      </c>
      <c r="T2881" s="19" t="s">
        <v>36</v>
      </c>
      <c r="U2881" s="20" t="s">
        <v>755</v>
      </c>
      <c r="V2881" s="34">
        <v>44.5</v>
      </c>
      <c r="W2881" s="22">
        <v>1</v>
      </c>
      <c r="X2881" s="23"/>
    </row>
    <row r="2882" spans="1:24" s="1" customFormat="1" ht="22.05" customHeight="1" x14ac:dyDescent="0.3">
      <c r="A2882" s="24" t="s">
        <v>23</v>
      </c>
      <c r="B2882" s="24" t="s">
        <v>2569</v>
      </c>
      <c r="C2882" s="12" t="s">
        <v>2572</v>
      </c>
      <c r="D2882" s="61"/>
      <c r="E2882" s="41" t="str">
        <f t="shared" si="134"/>
        <v>Еще фото</v>
      </c>
      <c r="F2882" s="13" t="s">
        <v>152</v>
      </c>
      <c r="G2882" s="24" t="s">
        <v>2464</v>
      </c>
      <c r="H2882" s="24" t="s">
        <v>741</v>
      </c>
      <c r="I2882" s="24" t="s">
        <v>2439</v>
      </c>
      <c r="J2882" s="14" t="s">
        <v>43</v>
      </c>
      <c r="K2882" s="15" t="s">
        <v>30</v>
      </c>
      <c r="L2882" s="58"/>
      <c r="M2882" s="14"/>
      <c r="N2882" s="14" t="s">
        <v>84</v>
      </c>
      <c r="O2882" s="14"/>
      <c r="P2882" s="15" t="s">
        <v>1457</v>
      </c>
      <c r="Q2882" s="16">
        <v>9099</v>
      </c>
      <c r="R2882" s="17">
        <v>40</v>
      </c>
      <c r="S2882" s="18">
        <v>6278.3099999999995</v>
      </c>
      <c r="T2882" s="19" t="s">
        <v>36</v>
      </c>
      <c r="U2882" s="20" t="s">
        <v>1907</v>
      </c>
      <c r="V2882" s="22">
        <v>46</v>
      </c>
      <c r="W2882" s="22">
        <v>1</v>
      </c>
      <c r="X2882" s="23"/>
    </row>
    <row r="2883" spans="1:24" s="1" customFormat="1" ht="13.05" customHeight="1" x14ac:dyDescent="0.3">
      <c r="A2883" s="11" t="s">
        <v>23</v>
      </c>
      <c r="B2883" s="11" t="s">
        <v>2573</v>
      </c>
      <c r="C2883" s="12" t="s">
        <v>2574</v>
      </c>
      <c r="D2883" s="59"/>
      <c r="E2883" s="41" t="str">
        <f t="shared" ref="E2883:E2890" si="135">HYPERLINK("https://www.google.ru/search?q=6005797-003&amp;newwindow=1&amp;tbm=isch","Еще фото")</f>
        <v>Еще фото</v>
      </c>
      <c r="F2883" s="13" t="s">
        <v>103</v>
      </c>
      <c r="G2883" s="11" t="s">
        <v>1184</v>
      </c>
      <c r="H2883" s="11" t="s">
        <v>741</v>
      </c>
      <c r="I2883" s="14" t="s">
        <v>2439</v>
      </c>
      <c r="J2883" s="14" t="s">
        <v>43</v>
      </c>
      <c r="K2883" s="15" t="s">
        <v>30</v>
      </c>
      <c r="L2883" s="57" t="s">
        <v>2575</v>
      </c>
      <c r="M2883" s="14"/>
      <c r="N2883" s="14" t="s">
        <v>33</v>
      </c>
      <c r="O2883" s="14"/>
      <c r="P2883" s="15" t="s">
        <v>2576</v>
      </c>
      <c r="Q2883" s="16">
        <v>9899</v>
      </c>
      <c r="R2883" s="17">
        <v>40</v>
      </c>
      <c r="S2883" s="18">
        <v>6830.3099999999995</v>
      </c>
      <c r="T2883" s="19" t="s">
        <v>36</v>
      </c>
      <c r="U2883" s="33" t="s">
        <v>748</v>
      </c>
      <c r="V2883" s="22">
        <v>40</v>
      </c>
      <c r="W2883" s="22">
        <v>4</v>
      </c>
      <c r="X2883" s="23"/>
    </row>
    <row r="2884" spans="1:24" s="1" customFormat="1" ht="13.05" customHeight="1" x14ac:dyDescent="0.3">
      <c r="A2884" s="24" t="s">
        <v>23</v>
      </c>
      <c r="B2884" s="24" t="s">
        <v>2573</v>
      </c>
      <c r="C2884" s="12" t="s">
        <v>2574</v>
      </c>
      <c r="D2884" s="60"/>
      <c r="E2884" s="41" t="str">
        <f t="shared" si="135"/>
        <v>Еще фото</v>
      </c>
      <c r="F2884" s="13" t="s">
        <v>103</v>
      </c>
      <c r="G2884" s="24" t="s">
        <v>1184</v>
      </c>
      <c r="H2884" s="24" t="s">
        <v>741</v>
      </c>
      <c r="I2884" s="24" t="s">
        <v>2439</v>
      </c>
      <c r="J2884" s="14" t="s">
        <v>43</v>
      </c>
      <c r="K2884" s="15" t="s">
        <v>30</v>
      </c>
      <c r="L2884" s="62"/>
      <c r="M2884" s="14"/>
      <c r="N2884" s="14" t="s">
        <v>33</v>
      </c>
      <c r="O2884" s="14"/>
      <c r="P2884" s="15" t="s">
        <v>2576</v>
      </c>
      <c r="Q2884" s="16">
        <v>9899</v>
      </c>
      <c r="R2884" s="17">
        <v>40</v>
      </c>
      <c r="S2884" s="18">
        <v>6830.3099999999995</v>
      </c>
      <c r="T2884" s="19" t="s">
        <v>36</v>
      </c>
      <c r="U2884" s="20" t="s">
        <v>749</v>
      </c>
      <c r="V2884" s="22">
        <v>41</v>
      </c>
      <c r="W2884" s="22">
        <v>1</v>
      </c>
      <c r="X2884" s="23"/>
    </row>
    <row r="2885" spans="1:24" s="1" customFormat="1" ht="13.05" customHeight="1" x14ac:dyDescent="0.3">
      <c r="A2885" s="24" t="s">
        <v>23</v>
      </c>
      <c r="B2885" s="24" t="s">
        <v>2573</v>
      </c>
      <c r="C2885" s="12" t="s">
        <v>2574</v>
      </c>
      <c r="D2885" s="60"/>
      <c r="E2885" s="41" t="str">
        <f t="shared" si="135"/>
        <v>Еще фото</v>
      </c>
      <c r="F2885" s="13" t="s">
        <v>103</v>
      </c>
      <c r="G2885" s="24" t="s">
        <v>1184</v>
      </c>
      <c r="H2885" s="24" t="s">
        <v>741</v>
      </c>
      <c r="I2885" s="24" t="s">
        <v>2439</v>
      </c>
      <c r="J2885" s="14" t="s">
        <v>43</v>
      </c>
      <c r="K2885" s="15" t="s">
        <v>30</v>
      </c>
      <c r="L2885" s="62"/>
      <c r="M2885" s="14"/>
      <c r="N2885" s="14" t="s">
        <v>33</v>
      </c>
      <c r="O2885" s="14"/>
      <c r="P2885" s="15" t="s">
        <v>2576</v>
      </c>
      <c r="Q2885" s="16">
        <v>9899</v>
      </c>
      <c r="R2885" s="17">
        <v>40</v>
      </c>
      <c r="S2885" s="18">
        <v>6830.3099999999995</v>
      </c>
      <c r="T2885" s="19" t="s">
        <v>36</v>
      </c>
      <c r="U2885" s="20" t="s">
        <v>750</v>
      </c>
      <c r="V2885" s="34">
        <v>41.5</v>
      </c>
      <c r="W2885" s="22">
        <v>4</v>
      </c>
      <c r="X2885" s="23"/>
    </row>
    <row r="2886" spans="1:24" s="1" customFormat="1" ht="13.05" customHeight="1" x14ac:dyDescent="0.3">
      <c r="A2886" s="24" t="s">
        <v>23</v>
      </c>
      <c r="B2886" s="24" t="s">
        <v>2573</v>
      </c>
      <c r="C2886" s="12" t="s">
        <v>2574</v>
      </c>
      <c r="D2886" s="60"/>
      <c r="E2886" s="41" t="str">
        <f t="shared" si="135"/>
        <v>Еще фото</v>
      </c>
      <c r="F2886" s="13" t="s">
        <v>103</v>
      </c>
      <c r="G2886" s="24" t="s">
        <v>1184</v>
      </c>
      <c r="H2886" s="24" t="s">
        <v>741</v>
      </c>
      <c r="I2886" s="24" t="s">
        <v>2439</v>
      </c>
      <c r="J2886" s="14" t="s">
        <v>43</v>
      </c>
      <c r="K2886" s="15" t="s">
        <v>30</v>
      </c>
      <c r="L2886" s="62"/>
      <c r="M2886" s="14"/>
      <c r="N2886" s="14" t="s">
        <v>33</v>
      </c>
      <c r="O2886" s="14"/>
      <c r="P2886" s="15" t="s">
        <v>2576</v>
      </c>
      <c r="Q2886" s="16">
        <v>9899</v>
      </c>
      <c r="R2886" s="17">
        <v>40</v>
      </c>
      <c r="S2886" s="18">
        <v>6830.3099999999995</v>
      </c>
      <c r="T2886" s="19" t="s">
        <v>36</v>
      </c>
      <c r="U2886" s="20" t="s">
        <v>751</v>
      </c>
      <c r="V2886" s="22">
        <v>42</v>
      </c>
      <c r="W2886" s="22">
        <v>5</v>
      </c>
      <c r="X2886" s="23"/>
    </row>
    <row r="2887" spans="1:24" s="1" customFormat="1" ht="13.05" customHeight="1" x14ac:dyDescent="0.3">
      <c r="A2887" s="24" t="s">
        <v>23</v>
      </c>
      <c r="B2887" s="24" t="s">
        <v>2573</v>
      </c>
      <c r="C2887" s="12" t="s">
        <v>2574</v>
      </c>
      <c r="D2887" s="60"/>
      <c r="E2887" s="41" t="str">
        <f t="shared" si="135"/>
        <v>Еще фото</v>
      </c>
      <c r="F2887" s="13" t="s">
        <v>103</v>
      </c>
      <c r="G2887" s="24" t="s">
        <v>1184</v>
      </c>
      <c r="H2887" s="24" t="s">
        <v>741</v>
      </c>
      <c r="I2887" s="24" t="s">
        <v>2439</v>
      </c>
      <c r="J2887" s="14" t="s">
        <v>43</v>
      </c>
      <c r="K2887" s="15" t="s">
        <v>30</v>
      </c>
      <c r="L2887" s="62"/>
      <c r="M2887" s="14"/>
      <c r="N2887" s="14" t="s">
        <v>33</v>
      </c>
      <c r="O2887" s="14"/>
      <c r="P2887" s="15" t="s">
        <v>2576</v>
      </c>
      <c r="Q2887" s="16">
        <v>9899</v>
      </c>
      <c r="R2887" s="17">
        <v>40</v>
      </c>
      <c r="S2887" s="18">
        <v>6830.3099999999995</v>
      </c>
      <c r="T2887" s="19" t="s">
        <v>36</v>
      </c>
      <c r="U2887" s="20" t="s">
        <v>752</v>
      </c>
      <c r="V2887" s="22">
        <v>43</v>
      </c>
      <c r="W2887" s="22">
        <v>1</v>
      </c>
      <c r="X2887" s="23"/>
    </row>
    <row r="2888" spans="1:24" s="1" customFormat="1" ht="13.05" customHeight="1" x14ac:dyDescent="0.3">
      <c r="A2888" s="24" t="s">
        <v>23</v>
      </c>
      <c r="B2888" s="24" t="s">
        <v>2573</v>
      </c>
      <c r="C2888" s="12" t="s">
        <v>2574</v>
      </c>
      <c r="D2888" s="60"/>
      <c r="E2888" s="41" t="str">
        <f t="shared" si="135"/>
        <v>Еще фото</v>
      </c>
      <c r="F2888" s="13" t="s">
        <v>103</v>
      </c>
      <c r="G2888" s="24" t="s">
        <v>1184</v>
      </c>
      <c r="H2888" s="24" t="s">
        <v>741</v>
      </c>
      <c r="I2888" s="24" t="s">
        <v>2439</v>
      </c>
      <c r="J2888" s="14" t="s">
        <v>43</v>
      </c>
      <c r="K2888" s="15" t="s">
        <v>30</v>
      </c>
      <c r="L2888" s="62"/>
      <c r="M2888" s="14"/>
      <c r="N2888" s="14" t="s">
        <v>33</v>
      </c>
      <c r="O2888" s="14"/>
      <c r="P2888" s="15" t="s">
        <v>2576</v>
      </c>
      <c r="Q2888" s="16">
        <v>9899</v>
      </c>
      <c r="R2888" s="17">
        <v>40</v>
      </c>
      <c r="S2888" s="18">
        <v>6830.3099999999995</v>
      </c>
      <c r="T2888" s="19" t="s">
        <v>36</v>
      </c>
      <c r="U2888" s="20" t="s">
        <v>753</v>
      </c>
      <c r="V2888" s="34">
        <v>43.5</v>
      </c>
      <c r="W2888" s="22">
        <v>2</v>
      </c>
      <c r="X2888" s="23"/>
    </row>
    <row r="2889" spans="1:24" s="1" customFormat="1" ht="13.05" customHeight="1" x14ac:dyDescent="0.3">
      <c r="A2889" s="24" t="s">
        <v>23</v>
      </c>
      <c r="B2889" s="24" t="s">
        <v>2573</v>
      </c>
      <c r="C2889" s="12" t="s">
        <v>2574</v>
      </c>
      <c r="D2889" s="60"/>
      <c r="E2889" s="41" t="str">
        <f t="shared" si="135"/>
        <v>Еще фото</v>
      </c>
      <c r="F2889" s="13" t="s">
        <v>103</v>
      </c>
      <c r="G2889" s="24" t="s">
        <v>1184</v>
      </c>
      <c r="H2889" s="24" t="s">
        <v>741</v>
      </c>
      <c r="I2889" s="24" t="s">
        <v>2439</v>
      </c>
      <c r="J2889" s="14" t="s">
        <v>43</v>
      </c>
      <c r="K2889" s="15" t="s">
        <v>30</v>
      </c>
      <c r="L2889" s="62"/>
      <c r="M2889" s="14"/>
      <c r="N2889" s="14" t="s">
        <v>33</v>
      </c>
      <c r="O2889" s="14"/>
      <c r="P2889" s="15" t="s">
        <v>2576</v>
      </c>
      <c r="Q2889" s="16">
        <v>9899</v>
      </c>
      <c r="R2889" s="17">
        <v>40</v>
      </c>
      <c r="S2889" s="18">
        <v>6830.3099999999995</v>
      </c>
      <c r="T2889" s="19" t="s">
        <v>36</v>
      </c>
      <c r="U2889" s="20" t="s">
        <v>754</v>
      </c>
      <c r="V2889" s="22">
        <v>44</v>
      </c>
      <c r="W2889" s="22">
        <v>2</v>
      </c>
      <c r="X2889" s="23"/>
    </row>
    <row r="2890" spans="1:24" s="1" customFormat="1" ht="18" customHeight="1" x14ac:dyDescent="0.3">
      <c r="A2890" s="24" t="s">
        <v>23</v>
      </c>
      <c r="B2890" s="24" t="s">
        <v>2573</v>
      </c>
      <c r="C2890" s="12" t="s">
        <v>2574</v>
      </c>
      <c r="D2890" s="61"/>
      <c r="E2890" s="41" t="str">
        <f t="shared" si="135"/>
        <v>Еще фото</v>
      </c>
      <c r="F2890" s="13" t="s">
        <v>103</v>
      </c>
      <c r="G2890" s="24" t="s">
        <v>1184</v>
      </c>
      <c r="H2890" s="24" t="s">
        <v>741</v>
      </c>
      <c r="I2890" s="24" t="s">
        <v>2439</v>
      </c>
      <c r="J2890" s="14" t="s">
        <v>43</v>
      </c>
      <c r="K2890" s="15" t="s">
        <v>30</v>
      </c>
      <c r="L2890" s="58"/>
      <c r="M2890" s="14"/>
      <c r="N2890" s="14" t="s">
        <v>33</v>
      </c>
      <c r="O2890" s="14"/>
      <c r="P2890" s="15" t="s">
        <v>2576</v>
      </c>
      <c r="Q2890" s="16">
        <v>9899</v>
      </c>
      <c r="R2890" s="17">
        <v>40</v>
      </c>
      <c r="S2890" s="18">
        <v>6830.3099999999995</v>
      </c>
      <c r="T2890" s="19" t="s">
        <v>36</v>
      </c>
      <c r="U2890" s="20" t="s">
        <v>755</v>
      </c>
      <c r="V2890" s="34">
        <v>44.5</v>
      </c>
      <c r="W2890" s="22">
        <v>3</v>
      </c>
      <c r="X2890" s="23"/>
    </row>
    <row r="2891" spans="1:24" s="1" customFormat="1" ht="11" customHeight="1" x14ac:dyDescent="0.3">
      <c r="A2891" s="11" t="s">
        <v>23</v>
      </c>
      <c r="B2891" s="11" t="s">
        <v>2573</v>
      </c>
      <c r="C2891" s="12" t="s">
        <v>2577</v>
      </c>
      <c r="D2891" s="59"/>
      <c r="E2891" s="41" t="str">
        <f t="shared" ref="E2891:E2900" si="136">HYPERLINK("https://www.google.ru/search?q=6005797-498&amp;newwindow=1&amp;tbm=isch","Еще фото")</f>
        <v>Еще фото</v>
      </c>
      <c r="F2891" s="13" t="s">
        <v>103</v>
      </c>
      <c r="G2891" s="11" t="s">
        <v>1184</v>
      </c>
      <c r="H2891" s="11" t="s">
        <v>741</v>
      </c>
      <c r="I2891" s="14" t="s">
        <v>2439</v>
      </c>
      <c r="J2891" s="14" t="s">
        <v>43</v>
      </c>
      <c r="K2891" s="15" t="s">
        <v>30</v>
      </c>
      <c r="L2891" s="57" t="s">
        <v>2575</v>
      </c>
      <c r="M2891" s="14"/>
      <c r="N2891" s="14" t="s">
        <v>115</v>
      </c>
      <c r="O2891" s="14"/>
      <c r="P2891" s="15" t="s">
        <v>2576</v>
      </c>
      <c r="Q2891" s="16">
        <v>9899</v>
      </c>
      <c r="R2891" s="17">
        <v>40</v>
      </c>
      <c r="S2891" s="18">
        <v>6830.3099999999995</v>
      </c>
      <c r="T2891" s="19" t="s">
        <v>36</v>
      </c>
      <c r="U2891" s="20" t="s">
        <v>746</v>
      </c>
      <c r="V2891" s="22">
        <v>39</v>
      </c>
      <c r="W2891" s="22">
        <v>5</v>
      </c>
      <c r="X2891" s="23"/>
    </row>
    <row r="2892" spans="1:24" s="1" customFormat="1" ht="11" customHeight="1" x14ac:dyDescent="0.3">
      <c r="A2892" s="24" t="s">
        <v>23</v>
      </c>
      <c r="B2892" s="24" t="s">
        <v>2573</v>
      </c>
      <c r="C2892" s="12" t="s">
        <v>2577</v>
      </c>
      <c r="D2892" s="60"/>
      <c r="E2892" s="41" t="str">
        <f t="shared" si="136"/>
        <v>Еще фото</v>
      </c>
      <c r="F2892" s="13" t="s">
        <v>103</v>
      </c>
      <c r="G2892" s="24" t="s">
        <v>1184</v>
      </c>
      <c r="H2892" s="24" t="s">
        <v>741</v>
      </c>
      <c r="I2892" s="24" t="s">
        <v>2439</v>
      </c>
      <c r="J2892" s="14" t="s">
        <v>43</v>
      </c>
      <c r="K2892" s="15" t="s">
        <v>30</v>
      </c>
      <c r="L2892" s="62"/>
      <c r="M2892" s="14"/>
      <c r="N2892" s="14" t="s">
        <v>115</v>
      </c>
      <c r="O2892" s="14"/>
      <c r="P2892" s="15" t="s">
        <v>2576</v>
      </c>
      <c r="Q2892" s="16">
        <v>9899</v>
      </c>
      <c r="R2892" s="17">
        <v>40</v>
      </c>
      <c r="S2892" s="18">
        <v>6830.3099999999995</v>
      </c>
      <c r="T2892" s="19" t="s">
        <v>36</v>
      </c>
      <c r="U2892" s="20" t="s">
        <v>747</v>
      </c>
      <c r="V2892" s="34">
        <v>39.5</v>
      </c>
      <c r="W2892" s="22">
        <v>5</v>
      </c>
      <c r="X2892" s="23"/>
    </row>
    <row r="2893" spans="1:24" s="1" customFormat="1" ht="11" customHeight="1" x14ac:dyDescent="0.3">
      <c r="A2893" s="24" t="s">
        <v>23</v>
      </c>
      <c r="B2893" s="24" t="s">
        <v>2573</v>
      </c>
      <c r="C2893" s="12" t="s">
        <v>2577</v>
      </c>
      <c r="D2893" s="60"/>
      <c r="E2893" s="41" t="str">
        <f t="shared" si="136"/>
        <v>Еще фото</v>
      </c>
      <c r="F2893" s="13" t="s">
        <v>103</v>
      </c>
      <c r="G2893" s="24" t="s">
        <v>1184</v>
      </c>
      <c r="H2893" s="24" t="s">
        <v>741</v>
      </c>
      <c r="I2893" s="24" t="s">
        <v>2439</v>
      </c>
      <c r="J2893" s="14" t="s">
        <v>43</v>
      </c>
      <c r="K2893" s="15" t="s">
        <v>30</v>
      </c>
      <c r="L2893" s="62"/>
      <c r="M2893" s="14"/>
      <c r="N2893" s="14" t="s">
        <v>115</v>
      </c>
      <c r="O2893" s="14"/>
      <c r="P2893" s="15" t="s">
        <v>2576</v>
      </c>
      <c r="Q2893" s="16">
        <v>9899</v>
      </c>
      <c r="R2893" s="17">
        <v>40</v>
      </c>
      <c r="S2893" s="18">
        <v>6830.3099999999995</v>
      </c>
      <c r="T2893" s="19" t="s">
        <v>36</v>
      </c>
      <c r="U2893" s="20" t="s">
        <v>748</v>
      </c>
      <c r="V2893" s="22">
        <v>40</v>
      </c>
      <c r="W2893" s="22">
        <v>6</v>
      </c>
      <c r="X2893" s="23"/>
    </row>
    <row r="2894" spans="1:24" s="1" customFormat="1" ht="11" customHeight="1" x14ac:dyDescent="0.3">
      <c r="A2894" s="24" t="s">
        <v>23</v>
      </c>
      <c r="B2894" s="24" t="s">
        <v>2573</v>
      </c>
      <c r="C2894" s="12" t="s">
        <v>2577</v>
      </c>
      <c r="D2894" s="60"/>
      <c r="E2894" s="41" t="str">
        <f t="shared" si="136"/>
        <v>Еще фото</v>
      </c>
      <c r="F2894" s="13" t="s">
        <v>103</v>
      </c>
      <c r="G2894" s="24" t="s">
        <v>1184</v>
      </c>
      <c r="H2894" s="24" t="s">
        <v>741</v>
      </c>
      <c r="I2894" s="24" t="s">
        <v>2439</v>
      </c>
      <c r="J2894" s="14" t="s">
        <v>43</v>
      </c>
      <c r="K2894" s="15" t="s">
        <v>30</v>
      </c>
      <c r="L2894" s="62"/>
      <c r="M2894" s="14"/>
      <c r="N2894" s="14" t="s">
        <v>115</v>
      </c>
      <c r="O2894" s="14"/>
      <c r="P2894" s="15" t="s">
        <v>2576</v>
      </c>
      <c r="Q2894" s="16">
        <v>9899</v>
      </c>
      <c r="R2894" s="17">
        <v>40</v>
      </c>
      <c r="S2894" s="18">
        <v>6830.3099999999995</v>
      </c>
      <c r="T2894" s="19" t="s">
        <v>36</v>
      </c>
      <c r="U2894" s="20" t="s">
        <v>749</v>
      </c>
      <c r="V2894" s="22">
        <v>41</v>
      </c>
      <c r="W2894" s="22">
        <v>4</v>
      </c>
      <c r="X2894" s="23"/>
    </row>
    <row r="2895" spans="1:24" s="1" customFormat="1" ht="11" customHeight="1" x14ac:dyDescent="0.3">
      <c r="A2895" s="24" t="s">
        <v>23</v>
      </c>
      <c r="B2895" s="24" t="s">
        <v>2573</v>
      </c>
      <c r="C2895" s="12" t="s">
        <v>2577</v>
      </c>
      <c r="D2895" s="60"/>
      <c r="E2895" s="41" t="str">
        <f t="shared" si="136"/>
        <v>Еще фото</v>
      </c>
      <c r="F2895" s="13" t="s">
        <v>103</v>
      </c>
      <c r="G2895" s="24" t="s">
        <v>1184</v>
      </c>
      <c r="H2895" s="24" t="s">
        <v>741</v>
      </c>
      <c r="I2895" s="24" t="s">
        <v>2439</v>
      </c>
      <c r="J2895" s="14" t="s">
        <v>43</v>
      </c>
      <c r="K2895" s="15" t="s">
        <v>30</v>
      </c>
      <c r="L2895" s="62"/>
      <c r="M2895" s="14"/>
      <c r="N2895" s="14" t="s">
        <v>115</v>
      </c>
      <c r="O2895" s="14"/>
      <c r="P2895" s="15" t="s">
        <v>2576</v>
      </c>
      <c r="Q2895" s="16">
        <v>9899</v>
      </c>
      <c r="R2895" s="17">
        <v>40</v>
      </c>
      <c r="S2895" s="18">
        <v>6830.3099999999995</v>
      </c>
      <c r="T2895" s="19" t="s">
        <v>36</v>
      </c>
      <c r="U2895" s="20" t="s">
        <v>750</v>
      </c>
      <c r="V2895" s="34">
        <v>41.5</v>
      </c>
      <c r="W2895" s="22">
        <v>5</v>
      </c>
      <c r="X2895" s="23"/>
    </row>
    <row r="2896" spans="1:24" s="1" customFormat="1" ht="11" customHeight="1" x14ac:dyDescent="0.3">
      <c r="A2896" s="24" t="s">
        <v>23</v>
      </c>
      <c r="B2896" s="24" t="s">
        <v>2573</v>
      </c>
      <c r="C2896" s="12" t="s">
        <v>2577</v>
      </c>
      <c r="D2896" s="60"/>
      <c r="E2896" s="41" t="str">
        <f t="shared" si="136"/>
        <v>Еще фото</v>
      </c>
      <c r="F2896" s="13" t="s">
        <v>103</v>
      </c>
      <c r="G2896" s="24" t="s">
        <v>1184</v>
      </c>
      <c r="H2896" s="24" t="s">
        <v>741</v>
      </c>
      <c r="I2896" s="24" t="s">
        <v>2439</v>
      </c>
      <c r="J2896" s="14" t="s">
        <v>43</v>
      </c>
      <c r="K2896" s="15" t="s">
        <v>30</v>
      </c>
      <c r="L2896" s="62"/>
      <c r="M2896" s="14"/>
      <c r="N2896" s="14" t="s">
        <v>115</v>
      </c>
      <c r="O2896" s="14"/>
      <c r="P2896" s="15" t="s">
        <v>2576</v>
      </c>
      <c r="Q2896" s="16">
        <v>9899</v>
      </c>
      <c r="R2896" s="17">
        <v>40</v>
      </c>
      <c r="S2896" s="18">
        <v>6830.3099999999995</v>
      </c>
      <c r="T2896" s="19" t="s">
        <v>36</v>
      </c>
      <c r="U2896" s="20" t="s">
        <v>751</v>
      </c>
      <c r="V2896" s="22">
        <v>42</v>
      </c>
      <c r="W2896" s="22">
        <v>4</v>
      </c>
      <c r="X2896" s="23"/>
    </row>
    <row r="2897" spans="1:24" s="1" customFormat="1" ht="11" customHeight="1" x14ac:dyDescent="0.3">
      <c r="A2897" s="24" t="s">
        <v>23</v>
      </c>
      <c r="B2897" s="24" t="s">
        <v>2573</v>
      </c>
      <c r="C2897" s="12" t="s">
        <v>2577</v>
      </c>
      <c r="D2897" s="60"/>
      <c r="E2897" s="41" t="str">
        <f t="shared" si="136"/>
        <v>Еще фото</v>
      </c>
      <c r="F2897" s="13" t="s">
        <v>103</v>
      </c>
      <c r="G2897" s="24" t="s">
        <v>1184</v>
      </c>
      <c r="H2897" s="24" t="s">
        <v>741</v>
      </c>
      <c r="I2897" s="24" t="s">
        <v>2439</v>
      </c>
      <c r="J2897" s="14" t="s">
        <v>43</v>
      </c>
      <c r="K2897" s="15" t="s">
        <v>30</v>
      </c>
      <c r="L2897" s="62"/>
      <c r="M2897" s="14"/>
      <c r="N2897" s="14" t="s">
        <v>115</v>
      </c>
      <c r="O2897" s="14"/>
      <c r="P2897" s="15" t="s">
        <v>2576</v>
      </c>
      <c r="Q2897" s="16">
        <v>9899</v>
      </c>
      <c r="R2897" s="17">
        <v>40</v>
      </c>
      <c r="S2897" s="18">
        <v>6830.3099999999995</v>
      </c>
      <c r="T2897" s="19" t="s">
        <v>36</v>
      </c>
      <c r="U2897" s="20" t="s">
        <v>752</v>
      </c>
      <c r="V2897" s="22">
        <v>43</v>
      </c>
      <c r="W2897" s="22">
        <v>4</v>
      </c>
      <c r="X2897" s="23"/>
    </row>
    <row r="2898" spans="1:24" s="1" customFormat="1" ht="11" customHeight="1" x14ac:dyDescent="0.3">
      <c r="A2898" s="24" t="s">
        <v>23</v>
      </c>
      <c r="B2898" s="24" t="s">
        <v>2573</v>
      </c>
      <c r="C2898" s="12" t="s">
        <v>2577</v>
      </c>
      <c r="D2898" s="60"/>
      <c r="E2898" s="41" t="str">
        <f t="shared" si="136"/>
        <v>Еще фото</v>
      </c>
      <c r="F2898" s="13" t="s">
        <v>103</v>
      </c>
      <c r="G2898" s="24" t="s">
        <v>1184</v>
      </c>
      <c r="H2898" s="24" t="s">
        <v>741</v>
      </c>
      <c r="I2898" s="24" t="s">
        <v>2439</v>
      </c>
      <c r="J2898" s="14" t="s">
        <v>43</v>
      </c>
      <c r="K2898" s="15" t="s">
        <v>30</v>
      </c>
      <c r="L2898" s="62"/>
      <c r="M2898" s="14"/>
      <c r="N2898" s="14" t="s">
        <v>115</v>
      </c>
      <c r="O2898" s="14"/>
      <c r="P2898" s="15" t="s">
        <v>2576</v>
      </c>
      <c r="Q2898" s="16">
        <v>9899</v>
      </c>
      <c r="R2898" s="17">
        <v>40</v>
      </c>
      <c r="S2898" s="18">
        <v>6830.3099999999995</v>
      </c>
      <c r="T2898" s="19" t="s">
        <v>36</v>
      </c>
      <c r="U2898" s="20" t="s">
        <v>753</v>
      </c>
      <c r="V2898" s="34">
        <v>43.5</v>
      </c>
      <c r="W2898" s="22">
        <v>1</v>
      </c>
      <c r="X2898" s="23"/>
    </row>
    <row r="2899" spans="1:24" s="1" customFormat="1" ht="11" customHeight="1" x14ac:dyDescent="0.3">
      <c r="A2899" s="24" t="s">
        <v>23</v>
      </c>
      <c r="B2899" s="24" t="s">
        <v>2573</v>
      </c>
      <c r="C2899" s="12" t="s">
        <v>2577</v>
      </c>
      <c r="D2899" s="60"/>
      <c r="E2899" s="41" t="str">
        <f t="shared" si="136"/>
        <v>Еще фото</v>
      </c>
      <c r="F2899" s="13" t="s">
        <v>103</v>
      </c>
      <c r="G2899" s="24" t="s">
        <v>1184</v>
      </c>
      <c r="H2899" s="24" t="s">
        <v>741</v>
      </c>
      <c r="I2899" s="24" t="s">
        <v>2439</v>
      </c>
      <c r="J2899" s="14" t="s">
        <v>43</v>
      </c>
      <c r="K2899" s="15" t="s">
        <v>30</v>
      </c>
      <c r="L2899" s="62"/>
      <c r="M2899" s="14"/>
      <c r="N2899" s="14" t="s">
        <v>115</v>
      </c>
      <c r="O2899" s="14"/>
      <c r="P2899" s="15" t="s">
        <v>2576</v>
      </c>
      <c r="Q2899" s="16">
        <v>9899</v>
      </c>
      <c r="R2899" s="17">
        <v>40</v>
      </c>
      <c r="S2899" s="18">
        <v>6830.3099999999995</v>
      </c>
      <c r="T2899" s="19" t="s">
        <v>36</v>
      </c>
      <c r="U2899" s="20" t="s">
        <v>754</v>
      </c>
      <c r="V2899" s="22">
        <v>44</v>
      </c>
      <c r="W2899" s="22">
        <v>1</v>
      </c>
      <c r="X2899" s="23"/>
    </row>
    <row r="2900" spans="1:24" s="1" customFormat="1" ht="11" customHeight="1" x14ac:dyDescent="0.3">
      <c r="A2900" s="14" t="s">
        <v>23</v>
      </c>
      <c r="B2900" s="14" t="s">
        <v>2573</v>
      </c>
      <c r="C2900" s="12" t="s">
        <v>2577</v>
      </c>
      <c r="D2900" s="61"/>
      <c r="E2900" s="41" t="str">
        <f t="shared" si="136"/>
        <v>Еще фото</v>
      </c>
      <c r="F2900" s="29" t="s">
        <v>103</v>
      </c>
      <c r="G2900" s="14" t="s">
        <v>1184</v>
      </c>
      <c r="H2900" s="14" t="s">
        <v>741</v>
      </c>
      <c r="I2900" s="14" t="s">
        <v>2439</v>
      </c>
      <c r="J2900" s="14" t="s">
        <v>43</v>
      </c>
      <c r="K2900" s="14" t="s">
        <v>30</v>
      </c>
      <c r="L2900" s="58"/>
      <c r="M2900" s="14"/>
      <c r="N2900" s="14" t="s">
        <v>115</v>
      </c>
      <c r="O2900" s="14"/>
      <c r="P2900" s="14" t="s">
        <v>2576</v>
      </c>
      <c r="Q2900" s="30">
        <v>9899</v>
      </c>
      <c r="R2900" s="31">
        <v>40</v>
      </c>
      <c r="S2900" s="32">
        <v>6830.3099999999995</v>
      </c>
      <c r="T2900" s="19" t="s">
        <v>36</v>
      </c>
      <c r="U2900" s="20" t="s">
        <v>755</v>
      </c>
      <c r="V2900" s="34">
        <v>44.5</v>
      </c>
      <c r="W2900" s="22">
        <v>4</v>
      </c>
      <c r="X2900" s="23"/>
    </row>
    <row r="2901" spans="1:24" s="1" customFormat="1" ht="11" customHeight="1" x14ac:dyDescent="0.3">
      <c r="A2901" s="11" t="s">
        <v>23</v>
      </c>
      <c r="B2901" s="11" t="s">
        <v>2578</v>
      </c>
      <c r="C2901" s="12" t="s">
        <v>2579</v>
      </c>
      <c r="D2901" s="59"/>
      <c r="E2901" s="41" t="str">
        <f t="shared" ref="E2901:E2913" si="137">HYPERLINK("https://www.google.ru/search?q=6005922-108&amp;newwindow=1&amp;tbm=isch","Еще фото")</f>
        <v>Еще фото</v>
      </c>
      <c r="F2901" s="13"/>
      <c r="G2901" s="11" t="s">
        <v>1184</v>
      </c>
      <c r="H2901" s="11" t="s">
        <v>741</v>
      </c>
      <c r="I2901" s="14" t="s">
        <v>2439</v>
      </c>
      <c r="J2901" s="14" t="s">
        <v>43</v>
      </c>
      <c r="K2901" s="15" t="s">
        <v>723</v>
      </c>
      <c r="L2901" s="57" t="s">
        <v>2580</v>
      </c>
      <c r="M2901" s="14"/>
      <c r="N2901" s="14" t="s">
        <v>1957</v>
      </c>
      <c r="O2901" s="14"/>
      <c r="P2901" s="15" t="s">
        <v>1526</v>
      </c>
      <c r="Q2901" s="16">
        <v>17899</v>
      </c>
      <c r="R2901" s="17">
        <v>40</v>
      </c>
      <c r="S2901" s="18">
        <v>12350.31</v>
      </c>
      <c r="T2901" s="19" t="s">
        <v>36</v>
      </c>
      <c r="U2901" s="20" t="s">
        <v>2539</v>
      </c>
      <c r="V2901" s="34">
        <v>37.5</v>
      </c>
      <c r="W2901" s="22">
        <v>4</v>
      </c>
      <c r="X2901" s="23"/>
    </row>
    <row r="2902" spans="1:24" s="1" customFormat="1" ht="11" customHeight="1" x14ac:dyDescent="0.3">
      <c r="A2902" s="24" t="s">
        <v>23</v>
      </c>
      <c r="B2902" s="24" t="s">
        <v>2578</v>
      </c>
      <c r="C2902" s="12" t="s">
        <v>2579</v>
      </c>
      <c r="D2902" s="60"/>
      <c r="E2902" s="41" t="str">
        <f t="shared" si="137"/>
        <v>Еще фото</v>
      </c>
      <c r="F2902" s="13"/>
      <c r="G2902" s="24" t="s">
        <v>1184</v>
      </c>
      <c r="H2902" s="24" t="s">
        <v>741</v>
      </c>
      <c r="I2902" s="24" t="s">
        <v>2439</v>
      </c>
      <c r="J2902" s="14" t="s">
        <v>43</v>
      </c>
      <c r="K2902" s="15" t="s">
        <v>723</v>
      </c>
      <c r="L2902" s="62"/>
      <c r="M2902" s="14"/>
      <c r="N2902" s="14" t="s">
        <v>1957</v>
      </c>
      <c r="O2902" s="14"/>
      <c r="P2902" s="15" t="s">
        <v>1526</v>
      </c>
      <c r="Q2902" s="16">
        <v>17899</v>
      </c>
      <c r="R2902" s="17">
        <v>40</v>
      </c>
      <c r="S2902" s="18">
        <v>12350.31</v>
      </c>
      <c r="T2902" s="19" t="s">
        <v>36</v>
      </c>
      <c r="U2902" s="20" t="s">
        <v>2563</v>
      </c>
      <c r="V2902" s="22">
        <v>38</v>
      </c>
      <c r="W2902" s="22">
        <v>3</v>
      </c>
      <c r="X2902" s="23"/>
    </row>
    <row r="2903" spans="1:24" s="1" customFormat="1" ht="11" customHeight="1" x14ac:dyDescent="0.3">
      <c r="A2903" s="24" t="s">
        <v>23</v>
      </c>
      <c r="B2903" s="24" t="s">
        <v>2578</v>
      </c>
      <c r="C2903" s="12" t="s">
        <v>2579</v>
      </c>
      <c r="D2903" s="60"/>
      <c r="E2903" s="41" t="str">
        <f t="shared" si="137"/>
        <v>Еще фото</v>
      </c>
      <c r="F2903" s="13"/>
      <c r="G2903" s="24" t="s">
        <v>1184</v>
      </c>
      <c r="H2903" s="24" t="s">
        <v>741</v>
      </c>
      <c r="I2903" s="24" t="s">
        <v>2439</v>
      </c>
      <c r="J2903" s="14" t="s">
        <v>43</v>
      </c>
      <c r="K2903" s="15" t="s">
        <v>723</v>
      </c>
      <c r="L2903" s="62"/>
      <c r="M2903" s="14"/>
      <c r="N2903" s="14" t="s">
        <v>1957</v>
      </c>
      <c r="O2903" s="14"/>
      <c r="P2903" s="15" t="s">
        <v>1526</v>
      </c>
      <c r="Q2903" s="16">
        <v>17899</v>
      </c>
      <c r="R2903" s="17">
        <v>40</v>
      </c>
      <c r="S2903" s="18">
        <v>12350.31</v>
      </c>
      <c r="T2903" s="19" t="s">
        <v>36</v>
      </c>
      <c r="U2903" s="20" t="s">
        <v>2540</v>
      </c>
      <c r="V2903" s="22">
        <v>39</v>
      </c>
      <c r="W2903" s="22">
        <v>4</v>
      </c>
      <c r="X2903" s="23"/>
    </row>
    <row r="2904" spans="1:24" s="1" customFormat="1" ht="11" customHeight="1" x14ac:dyDescent="0.3">
      <c r="A2904" s="24" t="s">
        <v>23</v>
      </c>
      <c r="B2904" s="24" t="s">
        <v>2578</v>
      </c>
      <c r="C2904" s="12" t="s">
        <v>2579</v>
      </c>
      <c r="D2904" s="60"/>
      <c r="E2904" s="41" t="str">
        <f t="shared" si="137"/>
        <v>Еще фото</v>
      </c>
      <c r="F2904" s="13"/>
      <c r="G2904" s="24" t="s">
        <v>1184</v>
      </c>
      <c r="H2904" s="24" t="s">
        <v>741</v>
      </c>
      <c r="I2904" s="24" t="s">
        <v>2439</v>
      </c>
      <c r="J2904" s="14" t="s">
        <v>43</v>
      </c>
      <c r="K2904" s="15" t="s">
        <v>723</v>
      </c>
      <c r="L2904" s="62"/>
      <c r="M2904" s="14"/>
      <c r="N2904" s="14" t="s">
        <v>1957</v>
      </c>
      <c r="O2904" s="14"/>
      <c r="P2904" s="15" t="s">
        <v>1526</v>
      </c>
      <c r="Q2904" s="16">
        <v>17899</v>
      </c>
      <c r="R2904" s="17">
        <v>40</v>
      </c>
      <c r="S2904" s="18">
        <v>12350.31</v>
      </c>
      <c r="T2904" s="19" t="s">
        <v>36</v>
      </c>
      <c r="U2904" s="20" t="s">
        <v>1445</v>
      </c>
      <c r="V2904" s="34">
        <v>39.5</v>
      </c>
      <c r="W2904" s="22">
        <v>3</v>
      </c>
      <c r="X2904" s="23"/>
    </row>
    <row r="2905" spans="1:24" s="1" customFormat="1" ht="11" customHeight="1" x14ac:dyDescent="0.3">
      <c r="A2905" s="24" t="s">
        <v>23</v>
      </c>
      <c r="B2905" s="24" t="s">
        <v>2578</v>
      </c>
      <c r="C2905" s="12" t="s">
        <v>2579</v>
      </c>
      <c r="D2905" s="60"/>
      <c r="E2905" s="41" t="str">
        <f t="shared" si="137"/>
        <v>Еще фото</v>
      </c>
      <c r="F2905" s="13"/>
      <c r="G2905" s="24" t="s">
        <v>1184</v>
      </c>
      <c r="H2905" s="24" t="s">
        <v>741</v>
      </c>
      <c r="I2905" s="24" t="s">
        <v>2439</v>
      </c>
      <c r="J2905" s="14" t="s">
        <v>43</v>
      </c>
      <c r="K2905" s="15" t="s">
        <v>723</v>
      </c>
      <c r="L2905" s="62"/>
      <c r="M2905" s="14"/>
      <c r="N2905" s="14" t="s">
        <v>1957</v>
      </c>
      <c r="O2905" s="14"/>
      <c r="P2905" s="15" t="s">
        <v>1526</v>
      </c>
      <c r="Q2905" s="16">
        <v>17899</v>
      </c>
      <c r="R2905" s="17">
        <v>40</v>
      </c>
      <c r="S2905" s="18">
        <v>12350.31</v>
      </c>
      <c r="T2905" s="19" t="s">
        <v>36</v>
      </c>
      <c r="U2905" s="20" t="s">
        <v>1446</v>
      </c>
      <c r="V2905" s="22">
        <v>40</v>
      </c>
      <c r="W2905" s="22">
        <v>4</v>
      </c>
      <c r="X2905" s="23"/>
    </row>
    <row r="2906" spans="1:24" s="1" customFormat="1" ht="11" customHeight="1" x14ac:dyDescent="0.3">
      <c r="A2906" s="24" t="s">
        <v>23</v>
      </c>
      <c r="B2906" s="24" t="s">
        <v>2578</v>
      </c>
      <c r="C2906" s="12" t="s">
        <v>2579</v>
      </c>
      <c r="D2906" s="60"/>
      <c r="E2906" s="41" t="str">
        <f t="shared" si="137"/>
        <v>Еще фото</v>
      </c>
      <c r="F2906" s="13"/>
      <c r="G2906" s="24" t="s">
        <v>1184</v>
      </c>
      <c r="H2906" s="24" t="s">
        <v>741</v>
      </c>
      <c r="I2906" s="24" t="s">
        <v>2439</v>
      </c>
      <c r="J2906" s="14" t="s">
        <v>43</v>
      </c>
      <c r="K2906" s="15" t="s">
        <v>723</v>
      </c>
      <c r="L2906" s="62"/>
      <c r="M2906" s="14"/>
      <c r="N2906" s="14" t="s">
        <v>1957</v>
      </c>
      <c r="O2906" s="14"/>
      <c r="P2906" s="15" t="s">
        <v>1526</v>
      </c>
      <c r="Q2906" s="16">
        <v>17899</v>
      </c>
      <c r="R2906" s="17">
        <v>40</v>
      </c>
      <c r="S2906" s="18">
        <v>12350.31</v>
      </c>
      <c r="T2906" s="19" t="s">
        <v>36</v>
      </c>
      <c r="U2906" s="20" t="s">
        <v>1345</v>
      </c>
      <c r="V2906" s="22">
        <v>41</v>
      </c>
      <c r="W2906" s="22">
        <v>9</v>
      </c>
      <c r="X2906" s="23"/>
    </row>
    <row r="2907" spans="1:24" s="1" customFormat="1" ht="11" customHeight="1" x14ac:dyDescent="0.3">
      <c r="A2907" s="24" t="s">
        <v>23</v>
      </c>
      <c r="B2907" s="24" t="s">
        <v>2578</v>
      </c>
      <c r="C2907" s="12" t="s">
        <v>2579</v>
      </c>
      <c r="D2907" s="60"/>
      <c r="E2907" s="41" t="str">
        <f t="shared" si="137"/>
        <v>Еще фото</v>
      </c>
      <c r="F2907" s="13"/>
      <c r="G2907" s="24" t="s">
        <v>1184</v>
      </c>
      <c r="H2907" s="24" t="s">
        <v>741</v>
      </c>
      <c r="I2907" s="24" t="s">
        <v>2439</v>
      </c>
      <c r="J2907" s="14" t="s">
        <v>43</v>
      </c>
      <c r="K2907" s="15" t="s">
        <v>723</v>
      </c>
      <c r="L2907" s="62"/>
      <c r="M2907" s="14"/>
      <c r="N2907" s="14" t="s">
        <v>1957</v>
      </c>
      <c r="O2907" s="14"/>
      <c r="P2907" s="15" t="s">
        <v>1526</v>
      </c>
      <c r="Q2907" s="16">
        <v>17899</v>
      </c>
      <c r="R2907" s="17">
        <v>40</v>
      </c>
      <c r="S2907" s="18">
        <v>12350.31</v>
      </c>
      <c r="T2907" s="19" t="s">
        <v>36</v>
      </c>
      <c r="U2907" s="20" t="s">
        <v>1346</v>
      </c>
      <c r="V2907" s="34">
        <v>41.5</v>
      </c>
      <c r="W2907" s="22">
        <v>7</v>
      </c>
      <c r="X2907" s="23"/>
    </row>
    <row r="2908" spans="1:24" s="1" customFormat="1" ht="11" customHeight="1" x14ac:dyDescent="0.3">
      <c r="A2908" s="24" t="s">
        <v>23</v>
      </c>
      <c r="B2908" s="24" t="s">
        <v>2578</v>
      </c>
      <c r="C2908" s="12" t="s">
        <v>2579</v>
      </c>
      <c r="D2908" s="60"/>
      <c r="E2908" s="41" t="str">
        <f t="shared" si="137"/>
        <v>Еще фото</v>
      </c>
      <c r="F2908" s="13"/>
      <c r="G2908" s="24" t="s">
        <v>1184</v>
      </c>
      <c r="H2908" s="24" t="s">
        <v>741</v>
      </c>
      <c r="I2908" s="24" t="s">
        <v>2439</v>
      </c>
      <c r="J2908" s="14" t="s">
        <v>43</v>
      </c>
      <c r="K2908" s="15" t="s">
        <v>723</v>
      </c>
      <c r="L2908" s="62"/>
      <c r="M2908" s="14"/>
      <c r="N2908" s="14" t="s">
        <v>1957</v>
      </c>
      <c r="O2908" s="14"/>
      <c r="P2908" s="15" t="s">
        <v>1526</v>
      </c>
      <c r="Q2908" s="16">
        <v>17899</v>
      </c>
      <c r="R2908" s="17">
        <v>40</v>
      </c>
      <c r="S2908" s="18">
        <v>12350.31</v>
      </c>
      <c r="T2908" s="19" t="s">
        <v>36</v>
      </c>
      <c r="U2908" s="20" t="s">
        <v>1326</v>
      </c>
      <c r="V2908" s="22">
        <v>42</v>
      </c>
      <c r="W2908" s="22">
        <v>12</v>
      </c>
      <c r="X2908" s="23"/>
    </row>
    <row r="2909" spans="1:24" s="1" customFormat="1" ht="11" customHeight="1" x14ac:dyDescent="0.3">
      <c r="A2909" s="24" t="s">
        <v>23</v>
      </c>
      <c r="B2909" s="24" t="s">
        <v>2578</v>
      </c>
      <c r="C2909" s="12" t="s">
        <v>2579</v>
      </c>
      <c r="D2909" s="60"/>
      <c r="E2909" s="41" t="str">
        <f t="shared" si="137"/>
        <v>Еще фото</v>
      </c>
      <c r="F2909" s="13"/>
      <c r="G2909" s="24" t="s">
        <v>1184</v>
      </c>
      <c r="H2909" s="24" t="s">
        <v>741</v>
      </c>
      <c r="I2909" s="24" t="s">
        <v>2439</v>
      </c>
      <c r="J2909" s="14" t="s">
        <v>43</v>
      </c>
      <c r="K2909" s="15" t="s">
        <v>723</v>
      </c>
      <c r="L2909" s="62"/>
      <c r="M2909" s="14"/>
      <c r="N2909" s="14" t="s">
        <v>1957</v>
      </c>
      <c r="O2909" s="14"/>
      <c r="P2909" s="15" t="s">
        <v>1526</v>
      </c>
      <c r="Q2909" s="16">
        <v>17899</v>
      </c>
      <c r="R2909" s="17">
        <v>40</v>
      </c>
      <c r="S2909" s="18">
        <v>12350.31</v>
      </c>
      <c r="T2909" s="19" t="s">
        <v>36</v>
      </c>
      <c r="U2909" s="20" t="s">
        <v>1347</v>
      </c>
      <c r="V2909" s="22">
        <v>43</v>
      </c>
      <c r="W2909" s="22">
        <v>16</v>
      </c>
      <c r="X2909" s="23"/>
    </row>
    <row r="2910" spans="1:24" s="1" customFormat="1" ht="11" customHeight="1" x14ac:dyDescent="0.3">
      <c r="A2910" s="14" t="s">
        <v>23</v>
      </c>
      <c r="B2910" s="14" t="s">
        <v>2578</v>
      </c>
      <c r="C2910" s="12" t="s">
        <v>2579</v>
      </c>
      <c r="D2910" s="60"/>
      <c r="E2910" s="41" t="str">
        <f t="shared" si="137"/>
        <v>Еще фото</v>
      </c>
      <c r="F2910" s="29"/>
      <c r="G2910" s="14" t="s">
        <v>1184</v>
      </c>
      <c r="H2910" s="14" t="s">
        <v>741</v>
      </c>
      <c r="I2910" s="14" t="s">
        <v>2439</v>
      </c>
      <c r="J2910" s="14" t="s">
        <v>43</v>
      </c>
      <c r="K2910" s="14" t="s">
        <v>723</v>
      </c>
      <c r="L2910" s="62"/>
      <c r="M2910" s="14"/>
      <c r="N2910" s="14" t="s">
        <v>1957</v>
      </c>
      <c r="O2910" s="14"/>
      <c r="P2910" s="14" t="s">
        <v>1526</v>
      </c>
      <c r="Q2910" s="30">
        <v>17899</v>
      </c>
      <c r="R2910" s="31">
        <v>40</v>
      </c>
      <c r="S2910" s="32">
        <v>12350.31</v>
      </c>
      <c r="T2910" s="19" t="s">
        <v>36</v>
      </c>
      <c r="U2910" s="20" t="s">
        <v>1348</v>
      </c>
      <c r="V2910" s="34">
        <v>43.5</v>
      </c>
      <c r="W2910" s="22">
        <v>16</v>
      </c>
      <c r="X2910" s="23"/>
    </row>
    <row r="2911" spans="1:24" s="1" customFormat="1" ht="11" customHeight="1" x14ac:dyDescent="0.3">
      <c r="A2911" s="14" t="s">
        <v>23</v>
      </c>
      <c r="B2911" s="14" t="s">
        <v>2578</v>
      </c>
      <c r="C2911" s="12" t="s">
        <v>2579</v>
      </c>
      <c r="D2911" s="60"/>
      <c r="E2911" s="41" t="str">
        <f t="shared" si="137"/>
        <v>Еще фото</v>
      </c>
      <c r="F2911" s="29"/>
      <c r="G2911" s="14" t="s">
        <v>1184</v>
      </c>
      <c r="H2911" s="14" t="s">
        <v>741</v>
      </c>
      <c r="I2911" s="14" t="s">
        <v>2439</v>
      </c>
      <c r="J2911" s="14" t="s">
        <v>43</v>
      </c>
      <c r="K2911" s="14" t="s">
        <v>723</v>
      </c>
      <c r="L2911" s="62"/>
      <c r="M2911" s="14"/>
      <c r="N2911" s="14" t="s">
        <v>1957</v>
      </c>
      <c r="O2911" s="14"/>
      <c r="P2911" s="14" t="s">
        <v>1526</v>
      </c>
      <c r="Q2911" s="30">
        <v>17899</v>
      </c>
      <c r="R2911" s="31">
        <v>40</v>
      </c>
      <c r="S2911" s="32">
        <v>12350.31</v>
      </c>
      <c r="T2911" s="19" t="s">
        <v>36</v>
      </c>
      <c r="U2911" s="20" t="s">
        <v>1327</v>
      </c>
      <c r="V2911" s="22">
        <v>44</v>
      </c>
      <c r="W2911" s="22">
        <v>10</v>
      </c>
      <c r="X2911" s="23"/>
    </row>
    <row r="2912" spans="1:24" s="1" customFormat="1" ht="11" customHeight="1" x14ac:dyDescent="0.3">
      <c r="A2912" s="14" t="s">
        <v>23</v>
      </c>
      <c r="B2912" s="14" t="s">
        <v>2578</v>
      </c>
      <c r="C2912" s="12" t="s">
        <v>2579</v>
      </c>
      <c r="D2912" s="60"/>
      <c r="E2912" s="41" t="str">
        <f t="shared" si="137"/>
        <v>Еще фото</v>
      </c>
      <c r="F2912" s="29"/>
      <c r="G2912" s="14" t="s">
        <v>1184</v>
      </c>
      <c r="H2912" s="14" t="s">
        <v>741</v>
      </c>
      <c r="I2912" s="14" t="s">
        <v>2439</v>
      </c>
      <c r="J2912" s="14" t="s">
        <v>43</v>
      </c>
      <c r="K2912" s="14" t="s">
        <v>723</v>
      </c>
      <c r="L2912" s="62"/>
      <c r="M2912" s="14"/>
      <c r="N2912" s="14" t="s">
        <v>1957</v>
      </c>
      <c r="O2912" s="14"/>
      <c r="P2912" s="14" t="s">
        <v>1526</v>
      </c>
      <c r="Q2912" s="30">
        <v>17899</v>
      </c>
      <c r="R2912" s="31">
        <v>40</v>
      </c>
      <c r="S2912" s="32">
        <v>12350.31</v>
      </c>
      <c r="T2912" s="19" t="s">
        <v>36</v>
      </c>
      <c r="U2912" s="20" t="s">
        <v>1349</v>
      </c>
      <c r="V2912" s="34">
        <v>44.5</v>
      </c>
      <c r="W2912" s="22">
        <v>5</v>
      </c>
      <c r="X2912" s="23"/>
    </row>
    <row r="2913" spans="1:24" s="1" customFormat="1" ht="11" customHeight="1" x14ac:dyDescent="0.3">
      <c r="A2913" s="14" t="s">
        <v>23</v>
      </c>
      <c r="B2913" s="14" t="s">
        <v>2578</v>
      </c>
      <c r="C2913" s="12" t="s">
        <v>2579</v>
      </c>
      <c r="D2913" s="61"/>
      <c r="E2913" s="41" t="str">
        <f t="shared" si="137"/>
        <v>Еще фото</v>
      </c>
      <c r="F2913" s="29"/>
      <c r="G2913" s="14" t="s">
        <v>1184</v>
      </c>
      <c r="H2913" s="14" t="s">
        <v>741</v>
      </c>
      <c r="I2913" s="14" t="s">
        <v>2439</v>
      </c>
      <c r="J2913" s="14" t="s">
        <v>43</v>
      </c>
      <c r="K2913" s="14" t="s">
        <v>723</v>
      </c>
      <c r="L2913" s="58"/>
      <c r="M2913" s="14"/>
      <c r="N2913" s="14" t="s">
        <v>1957</v>
      </c>
      <c r="O2913" s="14"/>
      <c r="P2913" s="14" t="s">
        <v>1526</v>
      </c>
      <c r="Q2913" s="30">
        <v>17899</v>
      </c>
      <c r="R2913" s="31">
        <v>40</v>
      </c>
      <c r="S2913" s="32">
        <v>12350.31</v>
      </c>
      <c r="T2913" s="19" t="s">
        <v>36</v>
      </c>
      <c r="U2913" s="20" t="s">
        <v>2359</v>
      </c>
      <c r="V2913" s="22">
        <v>45</v>
      </c>
      <c r="W2913" s="22">
        <v>4</v>
      </c>
      <c r="X2913" s="23"/>
    </row>
    <row r="2914" spans="1:24" s="1" customFormat="1" ht="108" customHeight="1" x14ac:dyDescent="0.3">
      <c r="A2914" s="11" t="s">
        <v>23</v>
      </c>
      <c r="B2914" s="11" t="s">
        <v>2581</v>
      </c>
      <c r="C2914" s="12" t="s">
        <v>2582</v>
      </c>
      <c r="D2914" s="25"/>
      <c r="E2914" s="41" t="str">
        <f>HYPERLINK("https://www.google.ru/search?q=6006061-001&amp;newwindow=1&amp;tbm=isch","Еще фото")</f>
        <v>Еще фото</v>
      </c>
      <c r="F2914" s="13" t="s">
        <v>152</v>
      </c>
      <c r="G2914" s="11" t="s">
        <v>1184</v>
      </c>
      <c r="H2914" s="11" t="s">
        <v>741</v>
      </c>
      <c r="I2914" s="14" t="s">
        <v>2439</v>
      </c>
      <c r="J2914" s="14" t="s">
        <v>43</v>
      </c>
      <c r="K2914" s="15" t="s">
        <v>723</v>
      </c>
      <c r="L2914" s="14" t="s">
        <v>2583</v>
      </c>
      <c r="M2914" s="14" t="s">
        <v>1211</v>
      </c>
      <c r="N2914" s="14" t="s">
        <v>33</v>
      </c>
      <c r="O2914" s="14"/>
      <c r="P2914" s="15" t="s">
        <v>1230</v>
      </c>
      <c r="Q2914" s="16">
        <v>19699</v>
      </c>
      <c r="R2914" s="17">
        <v>40</v>
      </c>
      <c r="S2914" s="18">
        <v>13592.309999999998</v>
      </c>
      <c r="T2914" s="19" t="s">
        <v>36</v>
      </c>
      <c r="U2914" s="20" t="s">
        <v>1347</v>
      </c>
      <c r="V2914" s="22">
        <v>43</v>
      </c>
      <c r="W2914" s="22">
        <v>1</v>
      </c>
      <c r="X2914" s="23"/>
    </row>
    <row r="2915" spans="1:24" s="1" customFormat="1" ht="108" customHeight="1" x14ac:dyDescent="0.3">
      <c r="A2915" s="11" t="s">
        <v>23</v>
      </c>
      <c r="B2915" s="11" t="s">
        <v>2581</v>
      </c>
      <c r="C2915" s="12" t="s">
        <v>2584</v>
      </c>
      <c r="D2915" s="25"/>
      <c r="E2915" s="41" t="str">
        <f>HYPERLINK("https://www.google.ru/search?q=6006061-348&amp;newwindow=1&amp;tbm=isch","Еще фото")</f>
        <v>Еще фото</v>
      </c>
      <c r="F2915" s="13"/>
      <c r="G2915" s="11" t="s">
        <v>1184</v>
      </c>
      <c r="H2915" s="11" t="s">
        <v>741</v>
      </c>
      <c r="I2915" s="14" t="s">
        <v>2439</v>
      </c>
      <c r="J2915" s="14" t="s">
        <v>43</v>
      </c>
      <c r="K2915" s="15" t="s">
        <v>723</v>
      </c>
      <c r="L2915" s="14" t="s">
        <v>2583</v>
      </c>
      <c r="M2915" s="14" t="s">
        <v>1211</v>
      </c>
      <c r="N2915" s="14" t="s">
        <v>127</v>
      </c>
      <c r="O2915" s="14"/>
      <c r="P2915" s="15" t="s">
        <v>1230</v>
      </c>
      <c r="Q2915" s="16">
        <v>23999</v>
      </c>
      <c r="R2915" s="17">
        <v>40</v>
      </c>
      <c r="S2915" s="18">
        <v>16559.309999999998</v>
      </c>
      <c r="T2915" s="19" t="s">
        <v>36</v>
      </c>
      <c r="U2915" s="20" t="s">
        <v>1348</v>
      </c>
      <c r="V2915" s="34">
        <v>43.5</v>
      </c>
      <c r="W2915" s="22">
        <v>1</v>
      </c>
      <c r="X2915" s="23"/>
    </row>
    <row r="2916" spans="1:24" s="1" customFormat="1" ht="11" customHeight="1" x14ac:dyDescent="0.3">
      <c r="A2916" s="11" t="s">
        <v>23</v>
      </c>
      <c r="B2916" s="11" t="s">
        <v>2585</v>
      </c>
      <c r="C2916" s="12" t="s">
        <v>2586</v>
      </c>
      <c r="D2916" s="59"/>
      <c r="E2916" s="41" t="str">
        <f t="shared" ref="E2916:E2926" si="138">HYPERLINK("https://www.google.ru/search?q=6007037-001&amp;newwindow=1&amp;tbm=isch","Еще фото")</f>
        <v>Еще фото</v>
      </c>
      <c r="F2916" s="13"/>
      <c r="G2916" s="11" t="s">
        <v>2464</v>
      </c>
      <c r="H2916" s="11" t="s">
        <v>741</v>
      </c>
      <c r="I2916" s="14" t="s">
        <v>2439</v>
      </c>
      <c r="J2916" s="14" t="s">
        <v>43</v>
      </c>
      <c r="K2916" s="15" t="s">
        <v>30</v>
      </c>
      <c r="L2916" s="57" t="s">
        <v>2587</v>
      </c>
      <c r="M2916" s="14"/>
      <c r="N2916" s="14" t="s">
        <v>33</v>
      </c>
      <c r="O2916" s="14"/>
      <c r="P2916" s="15" t="s">
        <v>2588</v>
      </c>
      <c r="Q2916" s="16">
        <v>11899</v>
      </c>
      <c r="R2916" s="17">
        <v>40</v>
      </c>
      <c r="S2916" s="18">
        <v>8210.31</v>
      </c>
      <c r="T2916" s="19" t="s">
        <v>36</v>
      </c>
      <c r="U2916" s="20" t="s">
        <v>746</v>
      </c>
      <c r="V2916" s="22">
        <v>39</v>
      </c>
      <c r="W2916" s="22">
        <v>4</v>
      </c>
      <c r="X2916" s="23"/>
    </row>
    <row r="2917" spans="1:24" s="1" customFormat="1" ht="11" customHeight="1" x14ac:dyDescent="0.3">
      <c r="A2917" s="24" t="s">
        <v>23</v>
      </c>
      <c r="B2917" s="24" t="s">
        <v>2585</v>
      </c>
      <c r="C2917" s="12" t="s">
        <v>2586</v>
      </c>
      <c r="D2917" s="60"/>
      <c r="E2917" s="41" t="str">
        <f t="shared" si="138"/>
        <v>Еще фото</v>
      </c>
      <c r="F2917" s="13"/>
      <c r="G2917" s="24" t="s">
        <v>2464</v>
      </c>
      <c r="H2917" s="24" t="s">
        <v>741</v>
      </c>
      <c r="I2917" s="24" t="s">
        <v>2439</v>
      </c>
      <c r="J2917" s="14" t="s">
        <v>43</v>
      </c>
      <c r="K2917" s="15" t="s">
        <v>30</v>
      </c>
      <c r="L2917" s="62"/>
      <c r="M2917" s="14"/>
      <c r="N2917" s="14" t="s">
        <v>33</v>
      </c>
      <c r="O2917" s="14"/>
      <c r="P2917" s="15" t="s">
        <v>2588</v>
      </c>
      <c r="Q2917" s="16">
        <v>11899</v>
      </c>
      <c r="R2917" s="17">
        <v>40</v>
      </c>
      <c r="S2917" s="18">
        <v>8210.31</v>
      </c>
      <c r="T2917" s="19" t="s">
        <v>36</v>
      </c>
      <c r="U2917" s="20" t="s">
        <v>747</v>
      </c>
      <c r="V2917" s="34">
        <v>39.5</v>
      </c>
      <c r="W2917" s="22">
        <v>4</v>
      </c>
      <c r="X2917" s="23"/>
    </row>
    <row r="2918" spans="1:24" s="1" customFormat="1" ht="11" customHeight="1" x14ac:dyDescent="0.3">
      <c r="A2918" s="24" t="s">
        <v>23</v>
      </c>
      <c r="B2918" s="24" t="s">
        <v>2585</v>
      </c>
      <c r="C2918" s="12" t="s">
        <v>2586</v>
      </c>
      <c r="D2918" s="60"/>
      <c r="E2918" s="41" t="str">
        <f t="shared" si="138"/>
        <v>Еще фото</v>
      </c>
      <c r="F2918" s="13"/>
      <c r="G2918" s="24" t="s">
        <v>2464</v>
      </c>
      <c r="H2918" s="24" t="s">
        <v>741</v>
      </c>
      <c r="I2918" s="24" t="s">
        <v>2439</v>
      </c>
      <c r="J2918" s="14" t="s">
        <v>43</v>
      </c>
      <c r="K2918" s="15" t="s">
        <v>30</v>
      </c>
      <c r="L2918" s="62"/>
      <c r="M2918" s="14"/>
      <c r="N2918" s="14" t="s">
        <v>33</v>
      </c>
      <c r="O2918" s="14"/>
      <c r="P2918" s="15" t="s">
        <v>2588</v>
      </c>
      <c r="Q2918" s="16">
        <v>11899</v>
      </c>
      <c r="R2918" s="17">
        <v>40</v>
      </c>
      <c r="S2918" s="18">
        <v>8210.31</v>
      </c>
      <c r="T2918" s="19" t="s">
        <v>36</v>
      </c>
      <c r="U2918" s="20" t="s">
        <v>748</v>
      </c>
      <c r="V2918" s="22">
        <v>40</v>
      </c>
      <c r="W2918" s="22">
        <v>3</v>
      </c>
      <c r="X2918" s="23"/>
    </row>
    <row r="2919" spans="1:24" s="1" customFormat="1" ht="11" customHeight="1" x14ac:dyDescent="0.3">
      <c r="A2919" s="24" t="s">
        <v>23</v>
      </c>
      <c r="B2919" s="24" t="s">
        <v>2585</v>
      </c>
      <c r="C2919" s="12" t="s">
        <v>2586</v>
      </c>
      <c r="D2919" s="60"/>
      <c r="E2919" s="41" t="str">
        <f t="shared" si="138"/>
        <v>Еще фото</v>
      </c>
      <c r="F2919" s="13"/>
      <c r="G2919" s="24" t="s">
        <v>2464</v>
      </c>
      <c r="H2919" s="24" t="s">
        <v>741</v>
      </c>
      <c r="I2919" s="24" t="s">
        <v>2439</v>
      </c>
      <c r="J2919" s="14" t="s">
        <v>43</v>
      </c>
      <c r="K2919" s="15" t="s">
        <v>30</v>
      </c>
      <c r="L2919" s="62"/>
      <c r="M2919" s="14"/>
      <c r="N2919" s="14" t="s">
        <v>33</v>
      </c>
      <c r="O2919" s="14"/>
      <c r="P2919" s="15" t="s">
        <v>2588</v>
      </c>
      <c r="Q2919" s="16">
        <v>11899</v>
      </c>
      <c r="R2919" s="17">
        <v>40</v>
      </c>
      <c r="S2919" s="18">
        <v>8210.31</v>
      </c>
      <c r="T2919" s="19" t="s">
        <v>36</v>
      </c>
      <c r="U2919" s="20" t="s">
        <v>749</v>
      </c>
      <c r="V2919" s="22">
        <v>41</v>
      </c>
      <c r="W2919" s="22">
        <v>6</v>
      </c>
      <c r="X2919" s="23"/>
    </row>
    <row r="2920" spans="1:24" s="1" customFormat="1" ht="11" customHeight="1" x14ac:dyDescent="0.3">
      <c r="A2920" s="24" t="s">
        <v>23</v>
      </c>
      <c r="B2920" s="24" t="s">
        <v>2585</v>
      </c>
      <c r="C2920" s="12" t="s">
        <v>2586</v>
      </c>
      <c r="D2920" s="60"/>
      <c r="E2920" s="41" t="str">
        <f t="shared" si="138"/>
        <v>Еще фото</v>
      </c>
      <c r="F2920" s="13"/>
      <c r="G2920" s="24" t="s">
        <v>2464</v>
      </c>
      <c r="H2920" s="24" t="s">
        <v>741</v>
      </c>
      <c r="I2920" s="24" t="s">
        <v>2439</v>
      </c>
      <c r="J2920" s="14" t="s">
        <v>43</v>
      </c>
      <c r="K2920" s="15" t="s">
        <v>30</v>
      </c>
      <c r="L2920" s="62"/>
      <c r="M2920" s="14"/>
      <c r="N2920" s="14" t="s">
        <v>33</v>
      </c>
      <c r="O2920" s="14"/>
      <c r="P2920" s="15" t="s">
        <v>2588</v>
      </c>
      <c r="Q2920" s="16">
        <v>11899</v>
      </c>
      <c r="R2920" s="17">
        <v>40</v>
      </c>
      <c r="S2920" s="18">
        <v>8210.31</v>
      </c>
      <c r="T2920" s="19" t="s">
        <v>36</v>
      </c>
      <c r="U2920" s="20" t="s">
        <v>750</v>
      </c>
      <c r="V2920" s="34">
        <v>41.5</v>
      </c>
      <c r="W2920" s="22">
        <v>3</v>
      </c>
      <c r="X2920" s="23"/>
    </row>
    <row r="2921" spans="1:24" s="1" customFormat="1" ht="11" customHeight="1" x14ac:dyDescent="0.3">
      <c r="A2921" s="24" t="s">
        <v>23</v>
      </c>
      <c r="B2921" s="24" t="s">
        <v>2585</v>
      </c>
      <c r="C2921" s="12" t="s">
        <v>2586</v>
      </c>
      <c r="D2921" s="60"/>
      <c r="E2921" s="41" t="str">
        <f t="shared" si="138"/>
        <v>Еще фото</v>
      </c>
      <c r="F2921" s="13"/>
      <c r="G2921" s="24" t="s">
        <v>2464</v>
      </c>
      <c r="H2921" s="24" t="s">
        <v>741</v>
      </c>
      <c r="I2921" s="24" t="s">
        <v>2439</v>
      </c>
      <c r="J2921" s="14" t="s">
        <v>43</v>
      </c>
      <c r="K2921" s="15" t="s">
        <v>30</v>
      </c>
      <c r="L2921" s="62"/>
      <c r="M2921" s="14"/>
      <c r="N2921" s="14" t="s">
        <v>33</v>
      </c>
      <c r="O2921" s="14"/>
      <c r="P2921" s="15" t="s">
        <v>2588</v>
      </c>
      <c r="Q2921" s="16">
        <v>11899</v>
      </c>
      <c r="R2921" s="17">
        <v>40</v>
      </c>
      <c r="S2921" s="18">
        <v>8210.31</v>
      </c>
      <c r="T2921" s="19" t="s">
        <v>36</v>
      </c>
      <c r="U2921" s="20" t="s">
        <v>751</v>
      </c>
      <c r="V2921" s="22">
        <v>42</v>
      </c>
      <c r="W2921" s="22">
        <v>6</v>
      </c>
      <c r="X2921" s="23"/>
    </row>
    <row r="2922" spans="1:24" s="1" customFormat="1" ht="11" customHeight="1" x14ac:dyDescent="0.3">
      <c r="A2922" s="24" t="s">
        <v>23</v>
      </c>
      <c r="B2922" s="24" t="s">
        <v>2585</v>
      </c>
      <c r="C2922" s="12" t="s">
        <v>2586</v>
      </c>
      <c r="D2922" s="60"/>
      <c r="E2922" s="41" t="str">
        <f t="shared" si="138"/>
        <v>Еще фото</v>
      </c>
      <c r="F2922" s="13"/>
      <c r="G2922" s="24" t="s">
        <v>2464</v>
      </c>
      <c r="H2922" s="24" t="s">
        <v>741</v>
      </c>
      <c r="I2922" s="24" t="s">
        <v>2439</v>
      </c>
      <c r="J2922" s="14" t="s">
        <v>43</v>
      </c>
      <c r="K2922" s="15" t="s">
        <v>30</v>
      </c>
      <c r="L2922" s="62"/>
      <c r="M2922" s="14"/>
      <c r="N2922" s="14" t="s">
        <v>33</v>
      </c>
      <c r="O2922" s="14"/>
      <c r="P2922" s="15" t="s">
        <v>2588</v>
      </c>
      <c r="Q2922" s="16">
        <v>11899</v>
      </c>
      <c r="R2922" s="17">
        <v>40</v>
      </c>
      <c r="S2922" s="18">
        <v>8210.31</v>
      </c>
      <c r="T2922" s="19" t="s">
        <v>36</v>
      </c>
      <c r="U2922" s="20" t="s">
        <v>752</v>
      </c>
      <c r="V2922" s="22">
        <v>43</v>
      </c>
      <c r="W2922" s="22">
        <v>1</v>
      </c>
      <c r="X2922" s="23"/>
    </row>
    <row r="2923" spans="1:24" s="1" customFormat="1" ht="11" customHeight="1" x14ac:dyDescent="0.3">
      <c r="A2923" s="24" t="s">
        <v>23</v>
      </c>
      <c r="B2923" s="24" t="s">
        <v>2585</v>
      </c>
      <c r="C2923" s="12" t="s">
        <v>2586</v>
      </c>
      <c r="D2923" s="60"/>
      <c r="E2923" s="41" t="str">
        <f t="shared" si="138"/>
        <v>Еще фото</v>
      </c>
      <c r="F2923" s="13"/>
      <c r="G2923" s="24" t="s">
        <v>2464</v>
      </c>
      <c r="H2923" s="24" t="s">
        <v>741</v>
      </c>
      <c r="I2923" s="24" t="s">
        <v>2439</v>
      </c>
      <c r="J2923" s="14" t="s">
        <v>43</v>
      </c>
      <c r="K2923" s="15" t="s">
        <v>30</v>
      </c>
      <c r="L2923" s="62"/>
      <c r="M2923" s="14"/>
      <c r="N2923" s="14" t="s">
        <v>33</v>
      </c>
      <c r="O2923" s="14"/>
      <c r="P2923" s="15" t="s">
        <v>2588</v>
      </c>
      <c r="Q2923" s="16">
        <v>11899</v>
      </c>
      <c r="R2923" s="17">
        <v>40</v>
      </c>
      <c r="S2923" s="18">
        <v>8210.31</v>
      </c>
      <c r="T2923" s="19" t="s">
        <v>36</v>
      </c>
      <c r="U2923" s="20" t="s">
        <v>753</v>
      </c>
      <c r="V2923" s="34">
        <v>43.5</v>
      </c>
      <c r="W2923" s="22">
        <v>5</v>
      </c>
      <c r="X2923" s="23"/>
    </row>
    <row r="2924" spans="1:24" s="1" customFormat="1" ht="11" customHeight="1" x14ac:dyDescent="0.3">
      <c r="A2924" s="24" t="s">
        <v>23</v>
      </c>
      <c r="B2924" s="24" t="s">
        <v>2585</v>
      </c>
      <c r="C2924" s="12" t="s">
        <v>2586</v>
      </c>
      <c r="D2924" s="60"/>
      <c r="E2924" s="41" t="str">
        <f t="shared" si="138"/>
        <v>Еще фото</v>
      </c>
      <c r="F2924" s="13"/>
      <c r="G2924" s="24" t="s">
        <v>2464</v>
      </c>
      <c r="H2924" s="24" t="s">
        <v>741</v>
      </c>
      <c r="I2924" s="24" t="s">
        <v>2439</v>
      </c>
      <c r="J2924" s="14" t="s">
        <v>43</v>
      </c>
      <c r="K2924" s="15" t="s">
        <v>30</v>
      </c>
      <c r="L2924" s="62"/>
      <c r="M2924" s="14"/>
      <c r="N2924" s="14" t="s">
        <v>33</v>
      </c>
      <c r="O2924" s="14"/>
      <c r="P2924" s="15" t="s">
        <v>2588</v>
      </c>
      <c r="Q2924" s="16">
        <v>11899</v>
      </c>
      <c r="R2924" s="17">
        <v>40</v>
      </c>
      <c r="S2924" s="18">
        <v>8210.31</v>
      </c>
      <c r="T2924" s="19" t="s">
        <v>36</v>
      </c>
      <c r="U2924" s="20" t="s">
        <v>754</v>
      </c>
      <c r="V2924" s="22">
        <v>44</v>
      </c>
      <c r="W2924" s="22">
        <v>3</v>
      </c>
      <c r="X2924" s="23"/>
    </row>
    <row r="2925" spans="1:24" s="1" customFormat="1" ht="11" customHeight="1" x14ac:dyDescent="0.3">
      <c r="A2925" s="14" t="s">
        <v>23</v>
      </c>
      <c r="B2925" s="14" t="s">
        <v>2585</v>
      </c>
      <c r="C2925" s="12" t="s">
        <v>2586</v>
      </c>
      <c r="D2925" s="60"/>
      <c r="E2925" s="41" t="str">
        <f t="shared" si="138"/>
        <v>Еще фото</v>
      </c>
      <c r="F2925" s="29"/>
      <c r="G2925" s="14" t="s">
        <v>2464</v>
      </c>
      <c r="H2925" s="14" t="s">
        <v>741</v>
      </c>
      <c r="I2925" s="14" t="s">
        <v>2439</v>
      </c>
      <c r="J2925" s="14" t="s">
        <v>43</v>
      </c>
      <c r="K2925" s="14" t="s">
        <v>30</v>
      </c>
      <c r="L2925" s="62"/>
      <c r="M2925" s="14"/>
      <c r="N2925" s="14" t="s">
        <v>33</v>
      </c>
      <c r="O2925" s="14"/>
      <c r="P2925" s="14" t="s">
        <v>2588</v>
      </c>
      <c r="Q2925" s="30">
        <v>11899</v>
      </c>
      <c r="R2925" s="31">
        <v>40</v>
      </c>
      <c r="S2925" s="32">
        <v>8210.31</v>
      </c>
      <c r="T2925" s="19" t="s">
        <v>36</v>
      </c>
      <c r="U2925" s="20" t="s">
        <v>755</v>
      </c>
      <c r="V2925" s="34">
        <v>44.5</v>
      </c>
      <c r="W2925" s="22">
        <v>5</v>
      </c>
      <c r="X2925" s="23"/>
    </row>
    <row r="2926" spans="1:24" s="1" customFormat="1" ht="11" customHeight="1" x14ac:dyDescent="0.3">
      <c r="A2926" s="14" t="s">
        <v>23</v>
      </c>
      <c r="B2926" s="14" t="s">
        <v>2585</v>
      </c>
      <c r="C2926" s="12" t="s">
        <v>2586</v>
      </c>
      <c r="D2926" s="61"/>
      <c r="E2926" s="41" t="str">
        <f t="shared" si="138"/>
        <v>Еще фото</v>
      </c>
      <c r="F2926" s="29"/>
      <c r="G2926" s="14" t="s">
        <v>2464</v>
      </c>
      <c r="H2926" s="14" t="s">
        <v>741</v>
      </c>
      <c r="I2926" s="14" t="s">
        <v>2439</v>
      </c>
      <c r="J2926" s="14" t="s">
        <v>43</v>
      </c>
      <c r="K2926" s="14" t="s">
        <v>30</v>
      </c>
      <c r="L2926" s="58"/>
      <c r="M2926" s="14"/>
      <c r="N2926" s="14" t="s">
        <v>33</v>
      </c>
      <c r="O2926" s="14"/>
      <c r="P2926" s="14" t="s">
        <v>2588</v>
      </c>
      <c r="Q2926" s="30">
        <v>11899</v>
      </c>
      <c r="R2926" s="31">
        <v>40</v>
      </c>
      <c r="S2926" s="32">
        <v>8210.31</v>
      </c>
      <c r="T2926" s="19" t="s">
        <v>36</v>
      </c>
      <c r="U2926" s="20" t="s">
        <v>1337</v>
      </c>
      <c r="V2926" s="22">
        <v>45</v>
      </c>
      <c r="W2926" s="22">
        <v>4</v>
      </c>
      <c r="X2926" s="23"/>
    </row>
    <row r="2927" spans="1:24" s="1" customFormat="1" ht="11" customHeight="1" x14ac:dyDescent="0.3">
      <c r="A2927" s="11" t="s">
        <v>23</v>
      </c>
      <c r="B2927" s="11" t="s">
        <v>2589</v>
      </c>
      <c r="C2927" s="12" t="s">
        <v>2590</v>
      </c>
      <c r="D2927" s="59"/>
      <c r="E2927" s="41" t="str">
        <f t="shared" ref="E2927:E2937" si="139">HYPERLINK("https://www.google.ru/search?q=6007183-001&amp;newwindow=1&amp;tbm=isch","Еще фото")</f>
        <v>Еще фото</v>
      </c>
      <c r="F2927" s="13" t="s">
        <v>103</v>
      </c>
      <c r="G2927" s="11" t="s">
        <v>1184</v>
      </c>
      <c r="H2927" s="11" t="s">
        <v>741</v>
      </c>
      <c r="I2927" s="14" t="s">
        <v>2439</v>
      </c>
      <c r="J2927" s="14" t="s">
        <v>43</v>
      </c>
      <c r="K2927" s="15" t="s">
        <v>30</v>
      </c>
      <c r="L2927" s="57" t="s">
        <v>2591</v>
      </c>
      <c r="M2927" s="14"/>
      <c r="N2927" s="14" t="s">
        <v>33</v>
      </c>
      <c r="O2927" s="14"/>
      <c r="P2927" s="15" t="s">
        <v>745</v>
      </c>
      <c r="Q2927" s="16">
        <v>17399</v>
      </c>
      <c r="R2927" s="17">
        <v>40</v>
      </c>
      <c r="S2927" s="18">
        <v>12005.31</v>
      </c>
      <c r="T2927" s="19" t="s">
        <v>36</v>
      </c>
      <c r="U2927" s="20" t="s">
        <v>746</v>
      </c>
      <c r="V2927" s="22">
        <v>39</v>
      </c>
      <c r="W2927" s="22">
        <v>3</v>
      </c>
      <c r="X2927" s="23"/>
    </row>
    <row r="2928" spans="1:24" s="1" customFormat="1" ht="11" customHeight="1" x14ac:dyDescent="0.3">
      <c r="A2928" s="24" t="s">
        <v>23</v>
      </c>
      <c r="B2928" s="24" t="s">
        <v>2589</v>
      </c>
      <c r="C2928" s="12" t="s">
        <v>2590</v>
      </c>
      <c r="D2928" s="60"/>
      <c r="E2928" s="41" t="str">
        <f t="shared" si="139"/>
        <v>Еще фото</v>
      </c>
      <c r="F2928" s="13" t="s">
        <v>103</v>
      </c>
      <c r="G2928" s="24" t="s">
        <v>1184</v>
      </c>
      <c r="H2928" s="24" t="s">
        <v>741</v>
      </c>
      <c r="I2928" s="24" t="s">
        <v>2439</v>
      </c>
      <c r="J2928" s="14" t="s">
        <v>43</v>
      </c>
      <c r="K2928" s="15" t="s">
        <v>30</v>
      </c>
      <c r="L2928" s="62"/>
      <c r="M2928" s="14"/>
      <c r="N2928" s="14" t="s">
        <v>33</v>
      </c>
      <c r="O2928" s="14"/>
      <c r="P2928" s="15" t="s">
        <v>745</v>
      </c>
      <c r="Q2928" s="16">
        <v>17399</v>
      </c>
      <c r="R2928" s="17">
        <v>40</v>
      </c>
      <c r="S2928" s="18">
        <v>12005.31</v>
      </c>
      <c r="T2928" s="19" t="s">
        <v>36</v>
      </c>
      <c r="U2928" s="20" t="s">
        <v>747</v>
      </c>
      <c r="V2928" s="34">
        <v>39.5</v>
      </c>
      <c r="W2928" s="22">
        <v>1</v>
      </c>
      <c r="X2928" s="23"/>
    </row>
    <row r="2929" spans="1:24" s="1" customFormat="1" ht="11" customHeight="1" x14ac:dyDescent="0.3">
      <c r="A2929" s="24" t="s">
        <v>23</v>
      </c>
      <c r="B2929" s="24" t="s">
        <v>2589</v>
      </c>
      <c r="C2929" s="12" t="s">
        <v>2590</v>
      </c>
      <c r="D2929" s="60"/>
      <c r="E2929" s="41" t="str">
        <f t="shared" si="139"/>
        <v>Еще фото</v>
      </c>
      <c r="F2929" s="13" t="s">
        <v>103</v>
      </c>
      <c r="G2929" s="24" t="s">
        <v>1184</v>
      </c>
      <c r="H2929" s="24" t="s">
        <v>741</v>
      </c>
      <c r="I2929" s="24" t="s">
        <v>2439</v>
      </c>
      <c r="J2929" s="14" t="s">
        <v>43</v>
      </c>
      <c r="K2929" s="15" t="s">
        <v>30</v>
      </c>
      <c r="L2929" s="62"/>
      <c r="M2929" s="14"/>
      <c r="N2929" s="14" t="s">
        <v>33</v>
      </c>
      <c r="O2929" s="14"/>
      <c r="P2929" s="15" t="s">
        <v>745</v>
      </c>
      <c r="Q2929" s="16">
        <v>17399</v>
      </c>
      <c r="R2929" s="17">
        <v>40</v>
      </c>
      <c r="S2929" s="18">
        <v>12005.31</v>
      </c>
      <c r="T2929" s="19" t="s">
        <v>36</v>
      </c>
      <c r="U2929" s="20" t="s">
        <v>748</v>
      </c>
      <c r="V2929" s="22">
        <v>40</v>
      </c>
      <c r="W2929" s="22">
        <v>7</v>
      </c>
      <c r="X2929" s="23"/>
    </row>
    <row r="2930" spans="1:24" s="1" customFormat="1" ht="11" customHeight="1" x14ac:dyDescent="0.3">
      <c r="A2930" s="24" t="s">
        <v>23</v>
      </c>
      <c r="B2930" s="24" t="s">
        <v>2589</v>
      </c>
      <c r="C2930" s="12" t="s">
        <v>2590</v>
      </c>
      <c r="D2930" s="60"/>
      <c r="E2930" s="41" t="str">
        <f t="shared" si="139"/>
        <v>Еще фото</v>
      </c>
      <c r="F2930" s="13" t="s">
        <v>103</v>
      </c>
      <c r="G2930" s="24" t="s">
        <v>1184</v>
      </c>
      <c r="H2930" s="24" t="s">
        <v>741</v>
      </c>
      <c r="I2930" s="24" t="s">
        <v>2439</v>
      </c>
      <c r="J2930" s="14" t="s">
        <v>43</v>
      </c>
      <c r="K2930" s="15" t="s">
        <v>30</v>
      </c>
      <c r="L2930" s="62"/>
      <c r="M2930" s="14"/>
      <c r="N2930" s="14" t="s">
        <v>33</v>
      </c>
      <c r="O2930" s="14"/>
      <c r="P2930" s="15" t="s">
        <v>745</v>
      </c>
      <c r="Q2930" s="16">
        <v>17399</v>
      </c>
      <c r="R2930" s="17">
        <v>40</v>
      </c>
      <c r="S2930" s="18">
        <v>12005.31</v>
      </c>
      <c r="T2930" s="19" t="s">
        <v>36</v>
      </c>
      <c r="U2930" s="20" t="s">
        <v>749</v>
      </c>
      <c r="V2930" s="22">
        <v>41</v>
      </c>
      <c r="W2930" s="22">
        <v>5</v>
      </c>
      <c r="X2930" s="23"/>
    </row>
    <row r="2931" spans="1:24" s="1" customFormat="1" ht="11" customHeight="1" x14ac:dyDescent="0.3">
      <c r="A2931" s="24" t="s">
        <v>23</v>
      </c>
      <c r="B2931" s="24" t="s">
        <v>2589</v>
      </c>
      <c r="C2931" s="12" t="s">
        <v>2590</v>
      </c>
      <c r="D2931" s="60"/>
      <c r="E2931" s="41" t="str">
        <f t="shared" si="139"/>
        <v>Еще фото</v>
      </c>
      <c r="F2931" s="13" t="s">
        <v>103</v>
      </c>
      <c r="G2931" s="24" t="s">
        <v>1184</v>
      </c>
      <c r="H2931" s="24" t="s">
        <v>741</v>
      </c>
      <c r="I2931" s="24" t="s">
        <v>2439</v>
      </c>
      <c r="J2931" s="14" t="s">
        <v>43</v>
      </c>
      <c r="K2931" s="15" t="s">
        <v>30</v>
      </c>
      <c r="L2931" s="62"/>
      <c r="M2931" s="14"/>
      <c r="N2931" s="14" t="s">
        <v>33</v>
      </c>
      <c r="O2931" s="14"/>
      <c r="P2931" s="15" t="s">
        <v>745</v>
      </c>
      <c r="Q2931" s="16">
        <v>17399</v>
      </c>
      <c r="R2931" s="17">
        <v>40</v>
      </c>
      <c r="S2931" s="18">
        <v>12005.31</v>
      </c>
      <c r="T2931" s="19" t="s">
        <v>36</v>
      </c>
      <c r="U2931" s="20" t="s">
        <v>750</v>
      </c>
      <c r="V2931" s="34">
        <v>41.5</v>
      </c>
      <c r="W2931" s="22">
        <v>6</v>
      </c>
      <c r="X2931" s="23"/>
    </row>
    <row r="2932" spans="1:24" s="1" customFormat="1" ht="11" customHeight="1" x14ac:dyDescent="0.3">
      <c r="A2932" s="24" t="s">
        <v>23</v>
      </c>
      <c r="B2932" s="24" t="s">
        <v>2589</v>
      </c>
      <c r="C2932" s="12" t="s">
        <v>2590</v>
      </c>
      <c r="D2932" s="60"/>
      <c r="E2932" s="41" t="str">
        <f t="shared" si="139"/>
        <v>Еще фото</v>
      </c>
      <c r="F2932" s="13" t="s">
        <v>103</v>
      </c>
      <c r="G2932" s="24" t="s">
        <v>1184</v>
      </c>
      <c r="H2932" s="24" t="s">
        <v>741</v>
      </c>
      <c r="I2932" s="24" t="s">
        <v>2439</v>
      </c>
      <c r="J2932" s="14" t="s">
        <v>43</v>
      </c>
      <c r="K2932" s="15" t="s">
        <v>30</v>
      </c>
      <c r="L2932" s="62"/>
      <c r="M2932" s="14"/>
      <c r="N2932" s="14" t="s">
        <v>33</v>
      </c>
      <c r="O2932" s="14"/>
      <c r="P2932" s="15" t="s">
        <v>745</v>
      </c>
      <c r="Q2932" s="16">
        <v>17399</v>
      </c>
      <c r="R2932" s="17">
        <v>40</v>
      </c>
      <c r="S2932" s="18">
        <v>12005.31</v>
      </c>
      <c r="T2932" s="19" t="s">
        <v>36</v>
      </c>
      <c r="U2932" s="20" t="s">
        <v>751</v>
      </c>
      <c r="V2932" s="22">
        <v>42</v>
      </c>
      <c r="W2932" s="22">
        <v>14</v>
      </c>
      <c r="X2932" s="23"/>
    </row>
    <row r="2933" spans="1:24" s="1" customFormat="1" ht="11" customHeight="1" x14ac:dyDescent="0.3">
      <c r="A2933" s="24" t="s">
        <v>23</v>
      </c>
      <c r="B2933" s="24" t="s">
        <v>2589</v>
      </c>
      <c r="C2933" s="12" t="s">
        <v>2590</v>
      </c>
      <c r="D2933" s="60"/>
      <c r="E2933" s="41" t="str">
        <f t="shared" si="139"/>
        <v>Еще фото</v>
      </c>
      <c r="F2933" s="13" t="s">
        <v>103</v>
      </c>
      <c r="G2933" s="24" t="s">
        <v>1184</v>
      </c>
      <c r="H2933" s="24" t="s">
        <v>741</v>
      </c>
      <c r="I2933" s="24" t="s">
        <v>2439</v>
      </c>
      <c r="J2933" s="14" t="s">
        <v>43</v>
      </c>
      <c r="K2933" s="15" t="s">
        <v>30</v>
      </c>
      <c r="L2933" s="62"/>
      <c r="M2933" s="14"/>
      <c r="N2933" s="14" t="s">
        <v>33</v>
      </c>
      <c r="O2933" s="14"/>
      <c r="P2933" s="15" t="s">
        <v>745</v>
      </c>
      <c r="Q2933" s="16">
        <v>17399</v>
      </c>
      <c r="R2933" s="17">
        <v>40</v>
      </c>
      <c r="S2933" s="18">
        <v>12005.31</v>
      </c>
      <c r="T2933" s="19" t="s">
        <v>36</v>
      </c>
      <c r="U2933" s="20" t="s">
        <v>752</v>
      </c>
      <c r="V2933" s="22">
        <v>43</v>
      </c>
      <c r="W2933" s="22">
        <v>1</v>
      </c>
      <c r="X2933" s="23"/>
    </row>
    <row r="2934" spans="1:24" s="1" customFormat="1" ht="11" customHeight="1" x14ac:dyDescent="0.3">
      <c r="A2934" s="24" t="s">
        <v>23</v>
      </c>
      <c r="B2934" s="24" t="s">
        <v>2589</v>
      </c>
      <c r="C2934" s="12" t="s">
        <v>2590</v>
      </c>
      <c r="D2934" s="60"/>
      <c r="E2934" s="41" t="str">
        <f t="shared" si="139"/>
        <v>Еще фото</v>
      </c>
      <c r="F2934" s="13" t="s">
        <v>103</v>
      </c>
      <c r="G2934" s="24" t="s">
        <v>1184</v>
      </c>
      <c r="H2934" s="24" t="s">
        <v>741</v>
      </c>
      <c r="I2934" s="24" t="s">
        <v>2439</v>
      </c>
      <c r="J2934" s="14" t="s">
        <v>43</v>
      </c>
      <c r="K2934" s="15" t="s">
        <v>30</v>
      </c>
      <c r="L2934" s="62"/>
      <c r="M2934" s="14"/>
      <c r="N2934" s="14" t="s">
        <v>33</v>
      </c>
      <c r="O2934" s="14"/>
      <c r="P2934" s="15" t="s">
        <v>745</v>
      </c>
      <c r="Q2934" s="16">
        <v>17399</v>
      </c>
      <c r="R2934" s="17">
        <v>40</v>
      </c>
      <c r="S2934" s="18">
        <v>12005.31</v>
      </c>
      <c r="T2934" s="19" t="s">
        <v>36</v>
      </c>
      <c r="U2934" s="20" t="s">
        <v>753</v>
      </c>
      <c r="V2934" s="34">
        <v>43.5</v>
      </c>
      <c r="W2934" s="22">
        <v>2</v>
      </c>
      <c r="X2934" s="23"/>
    </row>
    <row r="2935" spans="1:24" s="1" customFormat="1" ht="11" customHeight="1" x14ac:dyDescent="0.3">
      <c r="A2935" s="24" t="s">
        <v>23</v>
      </c>
      <c r="B2935" s="24" t="s">
        <v>2589</v>
      </c>
      <c r="C2935" s="12" t="s">
        <v>2590</v>
      </c>
      <c r="D2935" s="60"/>
      <c r="E2935" s="41" t="str">
        <f t="shared" si="139"/>
        <v>Еще фото</v>
      </c>
      <c r="F2935" s="13" t="s">
        <v>103</v>
      </c>
      <c r="G2935" s="24" t="s">
        <v>1184</v>
      </c>
      <c r="H2935" s="24" t="s">
        <v>741</v>
      </c>
      <c r="I2935" s="24" t="s">
        <v>2439</v>
      </c>
      <c r="J2935" s="14" t="s">
        <v>43</v>
      </c>
      <c r="K2935" s="15" t="s">
        <v>30</v>
      </c>
      <c r="L2935" s="62"/>
      <c r="M2935" s="14"/>
      <c r="N2935" s="14" t="s">
        <v>33</v>
      </c>
      <c r="O2935" s="14"/>
      <c r="P2935" s="15" t="s">
        <v>745</v>
      </c>
      <c r="Q2935" s="16">
        <v>17399</v>
      </c>
      <c r="R2935" s="17">
        <v>40</v>
      </c>
      <c r="S2935" s="18">
        <v>12005.31</v>
      </c>
      <c r="T2935" s="19" t="s">
        <v>36</v>
      </c>
      <c r="U2935" s="20" t="s">
        <v>754</v>
      </c>
      <c r="V2935" s="22">
        <v>44</v>
      </c>
      <c r="W2935" s="22">
        <v>5</v>
      </c>
      <c r="X2935" s="23"/>
    </row>
    <row r="2936" spans="1:24" s="1" customFormat="1" ht="11" customHeight="1" x14ac:dyDescent="0.3">
      <c r="A2936" s="14" t="s">
        <v>23</v>
      </c>
      <c r="B2936" s="14" t="s">
        <v>2589</v>
      </c>
      <c r="C2936" s="12" t="s">
        <v>2590</v>
      </c>
      <c r="D2936" s="60"/>
      <c r="E2936" s="41" t="str">
        <f t="shared" si="139"/>
        <v>Еще фото</v>
      </c>
      <c r="F2936" s="29" t="s">
        <v>103</v>
      </c>
      <c r="G2936" s="14" t="s">
        <v>1184</v>
      </c>
      <c r="H2936" s="14" t="s">
        <v>741</v>
      </c>
      <c r="I2936" s="14" t="s">
        <v>2439</v>
      </c>
      <c r="J2936" s="14" t="s">
        <v>43</v>
      </c>
      <c r="K2936" s="14" t="s">
        <v>30</v>
      </c>
      <c r="L2936" s="62"/>
      <c r="M2936" s="14"/>
      <c r="N2936" s="14" t="s">
        <v>33</v>
      </c>
      <c r="O2936" s="14"/>
      <c r="P2936" s="14" t="s">
        <v>745</v>
      </c>
      <c r="Q2936" s="30">
        <v>17399</v>
      </c>
      <c r="R2936" s="31">
        <v>40</v>
      </c>
      <c r="S2936" s="32">
        <v>12005.31</v>
      </c>
      <c r="T2936" s="19" t="s">
        <v>36</v>
      </c>
      <c r="U2936" s="20" t="s">
        <v>755</v>
      </c>
      <c r="V2936" s="34">
        <v>44.5</v>
      </c>
      <c r="W2936" s="22">
        <v>5</v>
      </c>
      <c r="X2936" s="23"/>
    </row>
    <row r="2937" spans="1:24" s="1" customFormat="1" ht="11" customHeight="1" x14ac:dyDescent="0.3">
      <c r="A2937" s="14" t="s">
        <v>23</v>
      </c>
      <c r="B2937" s="14" t="s">
        <v>2589</v>
      </c>
      <c r="C2937" s="12" t="s">
        <v>2590</v>
      </c>
      <c r="D2937" s="61"/>
      <c r="E2937" s="41" t="str">
        <f t="shared" si="139"/>
        <v>Еще фото</v>
      </c>
      <c r="F2937" s="29" t="s">
        <v>103</v>
      </c>
      <c r="G2937" s="14" t="s">
        <v>1184</v>
      </c>
      <c r="H2937" s="14" t="s">
        <v>741</v>
      </c>
      <c r="I2937" s="14" t="s">
        <v>2439</v>
      </c>
      <c r="J2937" s="14" t="s">
        <v>43</v>
      </c>
      <c r="K2937" s="14" t="s">
        <v>30</v>
      </c>
      <c r="L2937" s="58"/>
      <c r="M2937" s="14"/>
      <c r="N2937" s="14" t="s">
        <v>33</v>
      </c>
      <c r="O2937" s="14"/>
      <c r="P2937" s="14" t="s">
        <v>745</v>
      </c>
      <c r="Q2937" s="30">
        <v>17399</v>
      </c>
      <c r="R2937" s="31">
        <v>40</v>
      </c>
      <c r="S2937" s="32">
        <v>12005.31</v>
      </c>
      <c r="T2937" s="19" t="s">
        <v>36</v>
      </c>
      <c r="U2937" s="20" t="s">
        <v>1908</v>
      </c>
      <c r="V2937" s="34">
        <v>46.5</v>
      </c>
      <c r="W2937" s="22">
        <v>3</v>
      </c>
      <c r="X2937" s="23"/>
    </row>
    <row r="2938" spans="1:24" s="1" customFormat="1" ht="11" customHeight="1" x14ac:dyDescent="0.3">
      <c r="A2938" s="11" t="s">
        <v>23</v>
      </c>
      <c r="B2938" s="11" t="s">
        <v>2589</v>
      </c>
      <c r="C2938" s="12" t="s">
        <v>2592</v>
      </c>
      <c r="D2938" s="59"/>
      <c r="E2938" s="41" t="str">
        <f t="shared" ref="E2938:E2946" si="140">HYPERLINK("https://www.google.ru/search?q=6007183-008&amp;newwindow=1&amp;tbm=isch","Еще фото")</f>
        <v>Еще фото</v>
      </c>
      <c r="F2938" s="13" t="s">
        <v>103</v>
      </c>
      <c r="G2938" s="11" t="s">
        <v>1184</v>
      </c>
      <c r="H2938" s="11" t="s">
        <v>741</v>
      </c>
      <c r="I2938" s="14" t="s">
        <v>2439</v>
      </c>
      <c r="J2938" s="14" t="s">
        <v>43</v>
      </c>
      <c r="K2938" s="15" t="s">
        <v>30</v>
      </c>
      <c r="L2938" s="57" t="s">
        <v>2591</v>
      </c>
      <c r="M2938" s="14"/>
      <c r="N2938" s="14" t="s">
        <v>33</v>
      </c>
      <c r="O2938" s="14"/>
      <c r="P2938" s="15" t="s">
        <v>745</v>
      </c>
      <c r="Q2938" s="16">
        <v>17399</v>
      </c>
      <c r="R2938" s="17">
        <v>40</v>
      </c>
      <c r="S2938" s="18">
        <v>12005.31</v>
      </c>
      <c r="T2938" s="19" t="s">
        <v>36</v>
      </c>
      <c r="U2938" s="20" t="s">
        <v>746</v>
      </c>
      <c r="V2938" s="22">
        <v>39</v>
      </c>
      <c r="W2938" s="22">
        <v>1</v>
      </c>
      <c r="X2938" s="23"/>
    </row>
    <row r="2939" spans="1:24" s="1" customFormat="1" ht="11" customHeight="1" x14ac:dyDescent="0.3">
      <c r="A2939" s="24" t="s">
        <v>23</v>
      </c>
      <c r="B2939" s="24" t="s">
        <v>2589</v>
      </c>
      <c r="C2939" s="12" t="s">
        <v>2592</v>
      </c>
      <c r="D2939" s="60"/>
      <c r="E2939" s="41" t="str">
        <f t="shared" si="140"/>
        <v>Еще фото</v>
      </c>
      <c r="F2939" s="13" t="s">
        <v>103</v>
      </c>
      <c r="G2939" s="24" t="s">
        <v>1184</v>
      </c>
      <c r="H2939" s="24" t="s">
        <v>741</v>
      </c>
      <c r="I2939" s="24" t="s">
        <v>2439</v>
      </c>
      <c r="J2939" s="14" t="s">
        <v>43</v>
      </c>
      <c r="K2939" s="15" t="s">
        <v>30</v>
      </c>
      <c r="L2939" s="62"/>
      <c r="M2939" s="14"/>
      <c r="N2939" s="14" t="s">
        <v>33</v>
      </c>
      <c r="O2939" s="14"/>
      <c r="P2939" s="15" t="s">
        <v>745</v>
      </c>
      <c r="Q2939" s="16">
        <v>17399</v>
      </c>
      <c r="R2939" s="17">
        <v>40</v>
      </c>
      <c r="S2939" s="18">
        <v>12005.31</v>
      </c>
      <c r="T2939" s="19" t="s">
        <v>36</v>
      </c>
      <c r="U2939" s="20" t="s">
        <v>747</v>
      </c>
      <c r="V2939" s="34">
        <v>39.5</v>
      </c>
      <c r="W2939" s="22">
        <v>2</v>
      </c>
      <c r="X2939" s="23"/>
    </row>
    <row r="2940" spans="1:24" s="1" customFormat="1" ht="11" customHeight="1" x14ac:dyDescent="0.3">
      <c r="A2940" s="24" t="s">
        <v>23</v>
      </c>
      <c r="B2940" s="24" t="s">
        <v>2589</v>
      </c>
      <c r="C2940" s="12" t="s">
        <v>2592</v>
      </c>
      <c r="D2940" s="60"/>
      <c r="E2940" s="41" t="str">
        <f t="shared" si="140"/>
        <v>Еще фото</v>
      </c>
      <c r="F2940" s="13" t="s">
        <v>103</v>
      </c>
      <c r="G2940" s="24" t="s">
        <v>1184</v>
      </c>
      <c r="H2940" s="24" t="s">
        <v>741</v>
      </c>
      <c r="I2940" s="24" t="s">
        <v>2439</v>
      </c>
      <c r="J2940" s="14" t="s">
        <v>43</v>
      </c>
      <c r="K2940" s="15" t="s">
        <v>30</v>
      </c>
      <c r="L2940" s="62"/>
      <c r="M2940" s="14"/>
      <c r="N2940" s="14" t="s">
        <v>33</v>
      </c>
      <c r="O2940" s="14"/>
      <c r="P2940" s="15" t="s">
        <v>745</v>
      </c>
      <c r="Q2940" s="16">
        <v>17399</v>
      </c>
      <c r="R2940" s="17">
        <v>40</v>
      </c>
      <c r="S2940" s="18">
        <v>12005.31</v>
      </c>
      <c r="T2940" s="19" t="s">
        <v>36</v>
      </c>
      <c r="U2940" s="20" t="s">
        <v>749</v>
      </c>
      <c r="V2940" s="22">
        <v>41</v>
      </c>
      <c r="W2940" s="22">
        <v>5</v>
      </c>
      <c r="X2940" s="23"/>
    </row>
    <row r="2941" spans="1:24" s="1" customFormat="1" ht="11" customHeight="1" x14ac:dyDescent="0.3">
      <c r="A2941" s="24" t="s">
        <v>23</v>
      </c>
      <c r="B2941" s="24" t="s">
        <v>2589</v>
      </c>
      <c r="C2941" s="12" t="s">
        <v>2592</v>
      </c>
      <c r="D2941" s="60"/>
      <c r="E2941" s="41" t="str">
        <f t="shared" si="140"/>
        <v>Еще фото</v>
      </c>
      <c r="F2941" s="13" t="s">
        <v>103</v>
      </c>
      <c r="G2941" s="24" t="s">
        <v>1184</v>
      </c>
      <c r="H2941" s="24" t="s">
        <v>741</v>
      </c>
      <c r="I2941" s="24" t="s">
        <v>2439</v>
      </c>
      <c r="J2941" s="14" t="s">
        <v>43</v>
      </c>
      <c r="K2941" s="15" t="s">
        <v>30</v>
      </c>
      <c r="L2941" s="62"/>
      <c r="M2941" s="14"/>
      <c r="N2941" s="14" t="s">
        <v>33</v>
      </c>
      <c r="O2941" s="14"/>
      <c r="P2941" s="15" t="s">
        <v>745</v>
      </c>
      <c r="Q2941" s="16">
        <v>17399</v>
      </c>
      <c r="R2941" s="17">
        <v>40</v>
      </c>
      <c r="S2941" s="18">
        <v>12005.31</v>
      </c>
      <c r="T2941" s="19" t="s">
        <v>36</v>
      </c>
      <c r="U2941" s="20" t="s">
        <v>750</v>
      </c>
      <c r="V2941" s="34">
        <v>41.5</v>
      </c>
      <c r="W2941" s="22">
        <v>1</v>
      </c>
      <c r="X2941" s="23"/>
    </row>
    <row r="2942" spans="1:24" s="1" customFormat="1" ht="11" customHeight="1" x14ac:dyDescent="0.3">
      <c r="A2942" s="24" t="s">
        <v>23</v>
      </c>
      <c r="B2942" s="24" t="s">
        <v>2589</v>
      </c>
      <c r="C2942" s="12" t="s">
        <v>2592</v>
      </c>
      <c r="D2942" s="60"/>
      <c r="E2942" s="41" t="str">
        <f t="shared" si="140"/>
        <v>Еще фото</v>
      </c>
      <c r="F2942" s="13" t="s">
        <v>103</v>
      </c>
      <c r="G2942" s="24" t="s">
        <v>1184</v>
      </c>
      <c r="H2942" s="24" t="s">
        <v>741</v>
      </c>
      <c r="I2942" s="24" t="s">
        <v>2439</v>
      </c>
      <c r="J2942" s="14" t="s">
        <v>43</v>
      </c>
      <c r="K2942" s="15" t="s">
        <v>30</v>
      </c>
      <c r="L2942" s="62"/>
      <c r="M2942" s="14"/>
      <c r="N2942" s="14" t="s">
        <v>33</v>
      </c>
      <c r="O2942" s="14"/>
      <c r="P2942" s="15" t="s">
        <v>745</v>
      </c>
      <c r="Q2942" s="16">
        <v>17399</v>
      </c>
      <c r="R2942" s="17">
        <v>40</v>
      </c>
      <c r="S2942" s="18">
        <v>12005.31</v>
      </c>
      <c r="T2942" s="19" t="s">
        <v>36</v>
      </c>
      <c r="U2942" s="20" t="s">
        <v>751</v>
      </c>
      <c r="V2942" s="22">
        <v>42</v>
      </c>
      <c r="W2942" s="22">
        <v>1</v>
      </c>
      <c r="X2942" s="23"/>
    </row>
    <row r="2943" spans="1:24" s="1" customFormat="1" ht="11" customHeight="1" x14ac:dyDescent="0.3">
      <c r="A2943" s="24" t="s">
        <v>23</v>
      </c>
      <c r="B2943" s="24" t="s">
        <v>2589</v>
      </c>
      <c r="C2943" s="12" t="s">
        <v>2592</v>
      </c>
      <c r="D2943" s="60"/>
      <c r="E2943" s="41" t="str">
        <f t="shared" si="140"/>
        <v>Еще фото</v>
      </c>
      <c r="F2943" s="13" t="s">
        <v>103</v>
      </c>
      <c r="G2943" s="24" t="s">
        <v>1184</v>
      </c>
      <c r="H2943" s="24" t="s">
        <v>741</v>
      </c>
      <c r="I2943" s="24" t="s">
        <v>2439</v>
      </c>
      <c r="J2943" s="14" t="s">
        <v>43</v>
      </c>
      <c r="K2943" s="15" t="s">
        <v>30</v>
      </c>
      <c r="L2943" s="62"/>
      <c r="M2943" s="14"/>
      <c r="N2943" s="14" t="s">
        <v>33</v>
      </c>
      <c r="O2943" s="14"/>
      <c r="P2943" s="15" t="s">
        <v>745</v>
      </c>
      <c r="Q2943" s="16">
        <v>17399</v>
      </c>
      <c r="R2943" s="17">
        <v>40</v>
      </c>
      <c r="S2943" s="18">
        <v>12005.31</v>
      </c>
      <c r="T2943" s="19" t="s">
        <v>36</v>
      </c>
      <c r="U2943" s="20" t="s">
        <v>752</v>
      </c>
      <c r="V2943" s="22">
        <v>43</v>
      </c>
      <c r="W2943" s="22">
        <v>2</v>
      </c>
      <c r="X2943" s="23"/>
    </row>
    <row r="2944" spans="1:24" s="1" customFormat="1" ht="11" customHeight="1" x14ac:dyDescent="0.3">
      <c r="A2944" s="24" t="s">
        <v>23</v>
      </c>
      <c r="B2944" s="24" t="s">
        <v>2589</v>
      </c>
      <c r="C2944" s="12" t="s">
        <v>2592</v>
      </c>
      <c r="D2944" s="60"/>
      <c r="E2944" s="41" t="str">
        <f t="shared" si="140"/>
        <v>Еще фото</v>
      </c>
      <c r="F2944" s="13" t="s">
        <v>103</v>
      </c>
      <c r="G2944" s="24" t="s">
        <v>1184</v>
      </c>
      <c r="H2944" s="24" t="s">
        <v>741</v>
      </c>
      <c r="I2944" s="24" t="s">
        <v>2439</v>
      </c>
      <c r="J2944" s="14" t="s">
        <v>43</v>
      </c>
      <c r="K2944" s="15" t="s">
        <v>30</v>
      </c>
      <c r="L2944" s="62"/>
      <c r="M2944" s="14"/>
      <c r="N2944" s="14" t="s">
        <v>33</v>
      </c>
      <c r="O2944" s="14"/>
      <c r="P2944" s="15" t="s">
        <v>745</v>
      </c>
      <c r="Q2944" s="16">
        <v>17399</v>
      </c>
      <c r="R2944" s="17">
        <v>40</v>
      </c>
      <c r="S2944" s="18">
        <v>12005.31</v>
      </c>
      <c r="T2944" s="19" t="s">
        <v>36</v>
      </c>
      <c r="U2944" s="20" t="s">
        <v>753</v>
      </c>
      <c r="V2944" s="34">
        <v>43.5</v>
      </c>
      <c r="W2944" s="22">
        <v>1</v>
      </c>
      <c r="X2944" s="23"/>
    </row>
    <row r="2945" spans="1:24" s="1" customFormat="1" ht="11" customHeight="1" x14ac:dyDescent="0.3">
      <c r="A2945" s="24" t="s">
        <v>23</v>
      </c>
      <c r="B2945" s="24" t="s">
        <v>2589</v>
      </c>
      <c r="C2945" s="12" t="s">
        <v>2592</v>
      </c>
      <c r="D2945" s="60"/>
      <c r="E2945" s="41" t="str">
        <f t="shared" si="140"/>
        <v>Еще фото</v>
      </c>
      <c r="F2945" s="13" t="s">
        <v>103</v>
      </c>
      <c r="G2945" s="24" t="s">
        <v>1184</v>
      </c>
      <c r="H2945" s="24" t="s">
        <v>741</v>
      </c>
      <c r="I2945" s="24" t="s">
        <v>2439</v>
      </c>
      <c r="J2945" s="14" t="s">
        <v>43</v>
      </c>
      <c r="K2945" s="15" t="s">
        <v>30</v>
      </c>
      <c r="L2945" s="62"/>
      <c r="M2945" s="14"/>
      <c r="N2945" s="14" t="s">
        <v>33</v>
      </c>
      <c r="O2945" s="14"/>
      <c r="P2945" s="15" t="s">
        <v>745</v>
      </c>
      <c r="Q2945" s="16">
        <v>17399</v>
      </c>
      <c r="R2945" s="17">
        <v>40</v>
      </c>
      <c r="S2945" s="18">
        <v>12005.31</v>
      </c>
      <c r="T2945" s="19" t="s">
        <v>36</v>
      </c>
      <c r="U2945" s="20" t="s">
        <v>754</v>
      </c>
      <c r="V2945" s="22">
        <v>44</v>
      </c>
      <c r="W2945" s="22">
        <v>1</v>
      </c>
      <c r="X2945" s="23"/>
    </row>
    <row r="2946" spans="1:24" s="1" customFormat="1" ht="11" customHeight="1" x14ac:dyDescent="0.3">
      <c r="A2946" s="24" t="s">
        <v>23</v>
      </c>
      <c r="B2946" s="24" t="s">
        <v>2589</v>
      </c>
      <c r="C2946" s="12" t="s">
        <v>2592</v>
      </c>
      <c r="D2946" s="61"/>
      <c r="E2946" s="41" t="str">
        <f t="shared" si="140"/>
        <v>Еще фото</v>
      </c>
      <c r="F2946" s="13" t="s">
        <v>103</v>
      </c>
      <c r="G2946" s="24" t="s">
        <v>1184</v>
      </c>
      <c r="H2946" s="24" t="s">
        <v>741</v>
      </c>
      <c r="I2946" s="24" t="s">
        <v>2439</v>
      </c>
      <c r="J2946" s="14" t="s">
        <v>43</v>
      </c>
      <c r="K2946" s="15" t="s">
        <v>30</v>
      </c>
      <c r="L2946" s="58"/>
      <c r="M2946" s="14"/>
      <c r="N2946" s="14" t="s">
        <v>33</v>
      </c>
      <c r="O2946" s="14"/>
      <c r="P2946" s="15" t="s">
        <v>745</v>
      </c>
      <c r="Q2946" s="16">
        <v>17399</v>
      </c>
      <c r="R2946" s="17">
        <v>40</v>
      </c>
      <c r="S2946" s="18">
        <v>12005.31</v>
      </c>
      <c r="T2946" s="19" t="s">
        <v>36</v>
      </c>
      <c r="U2946" s="20" t="s">
        <v>1908</v>
      </c>
      <c r="V2946" s="34">
        <v>46.5</v>
      </c>
      <c r="W2946" s="22">
        <v>1</v>
      </c>
      <c r="X2946" s="23"/>
    </row>
    <row r="2947" spans="1:24" s="1" customFormat="1" ht="11" customHeight="1" x14ac:dyDescent="0.3">
      <c r="A2947" s="11" t="s">
        <v>23</v>
      </c>
      <c r="B2947" s="11" t="s">
        <v>2589</v>
      </c>
      <c r="C2947" s="12" t="s">
        <v>2593</v>
      </c>
      <c r="D2947" s="59"/>
      <c r="E2947" s="41" t="str">
        <f t="shared" ref="E2947:E2958" si="141">HYPERLINK("https://www.google.ru/search?q=6007183-069&amp;newwindow=1&amp;tbm=isch","Еще фото")</f>
        <v>Еще фото</v>
      </c>
      <c r="F2947" s="13" t="s">
        <v>103</v>
      </c>
      <c r="G2947" s="11" t="s">
        <v>1184</v>
      </c>
      <c r="H2947" s="11" t="s">
        <v>741</v>
      </c>
      <c r="I2947" s="14" t="s">
        <v>2439</v>
      </c>
      <c r="J2947" s="14" t="s">
        <v>43</v>
      </c>
      <c r="K2947" s="15" t="s">
        <v>30</v>
      </c>
      <c r="L2947" s="57" t="s">
        <v>2591</v>
      </c>
      <c r="M2947" s="14"/>
      <c r="N2947" s="14" t="s">
        <v>62</v>
      </c>
      <c r="O2947" s="14"/>
      <c r="P2947" s="15" t="s">
        <v>745</v>
      </c>
      <c r="Q2947" s="16">
        <v>17399</v>
      </c>
      <c r="R2947" s="17">
        <v>40</v>
      </c>
      <c r="S2947" s="18">
        <v>12005.31</v>
      </c>
      <c r="T2947" s="19" t="s">
        <v>36</v>
      </c>
      <c r="U2947" s="20" t="s">
        <v>746</v>
      </c>
      <c r="V2947" s="22">
        <v>39</v>
      </c>
      <c r="W2947" s="22">
        <v>2</v>
      </c>
      <c r="X2947" s="23"/>
    </row>
    <row r="2948" spans="1:24" s="1" customFormat="1" ht="11" customHeight="1" x14ac:dyDescent="0.3">
      <c r="A2948" s="24" t="s">
        <v>23</v>
      </c>
      <c r="B2948" s="24" t="s">
        <v>2589</v>
      </c>
      <c r="C2948" s="12" t="s">
        <v>2593</v>
      </c>
      <c r="D2948" s="60"/>
      <c r="E2948" s="41" t="str">
        <f t="shared" si="141"/>
        <v>Еще фото</v>
      </c>
      <c r="F2948" s="13" t="s">
        <v>103</v>
      </c>
      <c r="G2948" s="24" t="s">
        <v>1184</v>
      </c>
      <c r="H2948" s="24" t="s">
        <v>741</v>
      </c>
      <c r="I2948" s="24" t="s">
        <v>2439</v>
      </c>
      <c r="J2948" s="14" t="s">
        <v>43</v>
      </c>
      <c r="K2948" s="15" t="s">
        <v>30</v>
      </c>
      <c r="L2948" s="62"/>
      <c r="M2948" s="14"/>
      <c r="N2948" s="14" t="s">
        <v>62</v>
      </c>
      <c r="O2948" s="14"/>
      <c r="P2948" s="15" t="s">
        <v>745</v>
      </c>
      <c r="Q2948" s="16">
        <v>17399</v>
      </c>
      <c r="R2948" s="17">
        <v>40</v>
      </c>
      <c r="S2948" s="18">
        <v>12005.31</v>
      </c>
      <c r="T2948" s="19" t="s">
        <v>36</v>
      </c>
      <c r="U2948" s="20" t="s">
        <v>747</v>
      </c>
      <c r="V2948" s="34">
        <v>39.5</v>
      </c>
      <c r="W2948" s="22">
        <v>1</v>
      </c>
      <c r="X2948" s="23"/>
    </row>
    <row r="2949" spans="1:24" s="1" customFormat="1" ht="11" customHeight="1" x14ac:dyDescent="0.3">
      <c r="A2949" s="24" t="s">
        <v>23</v>
      </c>
      <c r="B2949" s="24" t="s">
        <v>2589</v>
      </c>
      <c r="C2949" s="12" t="s">
        <v>2593</v>
      </c>
      <c r="D2949" s="60"/>
      <c r="E2949" s="41" t="str">
        <f t="shared" si="141"/>
        <v>Еще фото</v>
      </c>
      <c r="F2949" s="13" t="s">
        <v>103</v>
      </c>
      <c r="G2949" s="24" t="s">
        <v>1184</v>
      </c>
      <c r="H2949" s="24" t="s">
        <v>741</v>
      </c>
      <c r="I2949" s="24" t="s">
        <v>2439</v>
      </c>
      <c r="J2949" s="14" t="s">
        <v>43</v>
      </c>
      <c r="K2949" s="15" t="s">
        <v>30</v>
      </c>
      <c r="L2949" s="62"/>
      <c r="M2949" s="14"/>
      <c r="N2949" s="14" t="s">
        <v>62</v>
      </c>
      <c r="O2949" s="14"/>
      <c r="P2949" s="15" t="s">
        <v>745</v>
      </c>
      <c r="Q2949" s="16">
        <v>17399</v>
      </c>
      <c r="R2949" s="17">
        <v>40</v>
      </c>
      <c r="S2949" s="18">
        <v>12005.31</v>
      </c>
      <c r="T2949" s="19" t="s">
        <v>36</v>
      </c>
      <c r="U2949" s="20" t="s">
        <v>748</v>
      </c>
      <c r="V2949" s="22">
        <v>40</v>
      </c>
      <c r="W2949" s="22">
        <v>4</v>
      </c>
      <c r="X2949" s="23"/>
    </row>
    <row r="2950" spans="1:24" s="1" customFormat="1" ht="11" customHeight="1" x14ac:dyDescent="0.3">
      <c r="A2950" s="24" t="s">
        <v>23</v>
      </c>
      <c r="B2950" s="24" t="s">
        <v>2589</v>
      </c>
      <c r="C2950" s="12" t="s">
        <v>2593</v>
      </c>
      <c r="D2950" s="60"/>
      <c r="E2950" s="41" t="str">
        <f t="shared" si="141"/>
        <v>Еще фото</v>
      </c>
      <c r="F2950" s="13" t="s">
        <v>103</v>
      </c>
      <c r="G2950" s="24" t="s">
        <v>1184</v>
      </c>
      <c r="H2950" s="24" t="s">
        <v>741</v>
      </c>
      <c r="I2950" s="24" t="s">
        <v>2439</v>
      </c>
      <c r="J2950" s="14" t="s">
        <v>43</v>
      </c>
      <c r="K2950" s="15" t="s">
        <v>30</v>
      </c>
      <c r="L2950" s="62"/>
      <c r="M2950" s="14"/>
      <c r="N2950" s="14" t="s">
        <v>62</v>
      </c>
      <c r="O2950" s="14"/>
      <c r="P2950" s="15" t="s">
        <v>745</v>
      </c>
      <c r="Q2950" s="16">
        <v>17399</v>
      </c>
      <c r="R2950" s="17">
        <v>40</v>
      </c>
      <c r="S2950" s="18">
        <v>12005.31</v>
      </c>
      <c r="T2950" s="19" t="s">
        <v>36</v>
      </c>
      <c r="U2950" s="20" t="s">
        <v>749</v>
      </c>
      <c r="V2950" s="22">
        <v>41</v>
      </c>
      <c r="W2950" s="22">
        <v>5</v>
      </c>
      <c r="X2950" s="23"/>
    </row>
    <row r="2951" spans="1:24" s="1" customFormat="1" ht="11" customHeight="1" x14ac:dyDescent="0.3">
      <c r="A2951" s="24" t="s">
        <v>23</v>
      </c>
      <c r="B2951" s="24" t="s">
        <v>2589</v>
      </c>
      <c r="C2951" s="12" t="s">
        <v>2593</v>
      </c>
      <c r="D2951" s="60"/>
      <c r="E2951" s="41" t="str">
        <f t="shared" si="141"/>
        <v>Еще фото</v>
      </c>
      <c r="F2951" s="13" t="s">
        <v>103</v>
      </c>
      <c r="G2951" s="24" t="s">
        <v>1184</v>
      </c>
      <c r="H2951" s="24" t="s">
        <v>741</v>
      </c>
      <c r="I2951" s="24" t="s">
        <v>2439</v>
      </c>
      <c r="J2951" s="14" t="s">
        <v>43</v>
      </c>
      <c r="K2951" s="15" t="s">
        <v>30</v>
      </c>
      <c r="L2951" s="62"/>
      <c r="M2951" s="14"/>
      <c r="N2951" s="14" t="s">
        <v>62</v>
      </c>
      <c r="O2951" s="14"/>
      <c r="P2951" s="15" t="s">
        <v>745</v>
      </c>
      <c r="Q2951" s="16">
        <v>17399</v>
      </c>
      <c r="R2951" s="17">
        <v>40</v>
      </c>
      <c r="S2951" s="18">
        <v>12005.31</v>
      </c>
      <c r="T2951" s="19" t="s">
        <v>36</v>
      </c>
      <c r="U2951" s="20" t="s">
        <v>750</v>
      </c>
      <c r="V2951" s="34">
        <v>41.5</v>
      </c>
      <c r="W2951" s="22">
        <v>6</v>
      </c>
      <c r="X2951" s="23"/>
    </row>
    <row r="2952" spans="1:24" s="1" customFormat="1" ht="11" customHeight="1" x14ac:dyDescent="0.3">
      <c r="A2952" s="24" t="s">
        <v>23</v>
      </c>
      <c r="B2952" s="24" t="s">
        <v>2589</v>
      </c>
      <c r="C2952" s="12" t="s">
        <v>2593</v>
      </c>
      <c r="D2952" s="60"/>
      <c r="E2952" s="41" t="str">
        <f t="shared" si="141"/>
        <v>Еще фото</v>
      </c>
      <c r="F2952" s="13" t="s">
        <v>103</v>
      </c>
      <c r="G2952" s="24" t="s">
        <v>1184</v>
      </c>
      <c r="H2952" s="24" t="s">
        <v>741</v>
      </c>
      <c r="I2952" s="24" t="s">
        <v>2439</v>
      </c>
      <c r="J2952" s="14" t="s">
        <v>43</v>
      </c>
      <c r="K2952" s="15" t="s">
        <v>30</v>
      </c>
      <c r="L2952" s="62"/>
      <c r="M2952" s="14"/>
      <c r="N2952" s="14" t="s">
        <v>62</v>
      </c>
      <c r="O2952" s="14"/>
      <c r="P2952" s="15" t="s">
        <v>745</v>
      </c>
      <c r="Q2952" s="16">
        <v>17399</v>
      </c>
      <c r="R2952" s="17">
        <v>40</v>
      </c>
      <c r="S2952" s="18">
        <v>12005.31</v>
      </c>
      <c r="T2952" s="19" t="s">
        <v>36</v>
      </c>
      <c r="U2952" s="20" t="s">
        <v>751</v>
      </c>
      <c r="V2952" s="22">
        <v>42</v>
      </c>
      <c r="W2952" s="22">
        <v>8</v>
      </c>
      <c r="X2952" s="23"/>
    </row>
    <row r="2953" spans="1:24" s="1" customFormat="1" ht="11" customHeight="1" x14ac:dyDescent="0.3">
      <c r="A2953" s="24" t="s">
        <v>23</v>
      </c>
      <c r="B2953" s="24" t="s">
        <v>2589</v>
      </c>
      <c r="C2953" s="12" t="s">
        <v>2593</v>
      </c>
      <c r="D2953" s="60"/>
      <c r="E2953" s="41" t="str">
        <f t="shared" si="141"/>
        <v>Еще фото</v>
      </c>
      <c r="F2953" s="13" t="s">
        <v>103</v>
      </c>
      <c r="G2953" s="24" t="s">
        <v>1184</v>
      </c>
      <c r="H2953" s="24" t="s">
        <v>741</v>
      </c>
      <c r="I2953" s="24" t="s">
        <v>2439</v>
      </c>
      <c r="J2953" s="14" t="s">
        <v>43</v>
      </c>
      <c r="K2953" s="15" t="s">
        <v>30</v>
      </c>
      <c r="L2953" s="62"/>
      <c r="M2953" s="14"/>
      <c r="N2953" s="14" t="s">
        <v>62</v>
      </c>
      <c r="O2953" s="14"/>
      <c r="P2953" s="15" t="s">
        <v>745</v>
      </c>
      <c r="Q2953" s="16">
        <v>17399</v>
      </c>
      <c r="R2953" s="17">
        <v>40</v>
      </c>
      <c r="S2953" s="18">
        <v>12005.31</v>
      </c>
      <c r="T2953" s="19" t="s">
        <v>36</v>
      </c>
      <c r="U2953" s="20" t="s">
        <v>752</v>
      </c>
      <c r="V2953" s="22">
        <v>43</v>
      </c>
      <c r="W2953" s="22">
        <v>5</v>
      </c>
      <c r="X2953" s="23"/>
    </row>
    <row r="2954" spans="1:24" s="1" customFormat="1" ht="11" customHeight="1" x14ac:dyDescent="0.3">
      <c r="A2954" s="24" t="s">
        <v>23</v>
      </c>
      <c r="B2954" s="24" t="s">
        <v>2589</v>
      </c>
      <c r="C2954" s="12" t="s">
        <v>2593</v>
      </c>
      <c r="D2954" s="60"/>
      <c r="E2954" s="41" t="str">
        <f t="shared" si="141"/>
        <v>Еще фото</v>
      </c>
      <c r="F2954" s="13" t="s">
        <v>103</v>
      </c>
      <c r="G2954" s="24" t="s">
        <v>1184</v>
      </c>
      <c r="H2954" s="24" t="s">
        <v>741</v>
      </c>
      <c r="I2954" s="24" t="s">
        <v>2439</v>
      </c>
      <c r="J2954" s="14" t="s">
        <v>43</v>
      </c>
      <c r="K2954" s="15" t="s">
        <v>30</v>
      </c>
      <c r="L2954" s="62"/>
      <c r="M2954" s="14"/>
      <c r="N2954" s="14" t="s">
        <v>62</v>
      </c>
      <c r="O2954" s="14"/>
      <c r="P2954" s="15" t="s">
        <v>745</v>
      </c>
      <c r="Q2954" s="16">
        <v>17399</v>
      </c>
      <c r="R2954" s="17">
        <v>40</v>
      </c>
      <c r="S2954" s="18">
        <v>12005.31</v>
      </c>
      <c r="T2954" s="19" t="s">
        <v>36</v>
      </c>
      <c r="U2954" s="20" t="s">
        <v>754</v>
      </c>
      <c r="V2954" s="22">
        <v>44</v>
      </c>
      <c r="W2954" s="22">
        <v>2</v>
      </c>
      <c r="X2954" s="23"/>
    </row>
    <row r="2955" spans="1:24" s="1" customFormat="1" ht="11" customHeight="1" x14ac:dyDescent="0.3">
      <c r="A2955" s="24" t="s">
        <v>23</v>
      </c>
      <c r="B2955" s="24" t="s">
        <v>2589</v>
      </c>
      <c r="C2955" s="12" t="s">
        <v>2593</v>
      </c>
      <c r="D2955" s="60"/>
      <c r="E2955" s="41" t="str">
        <f t="shared" si="141"/>
        <v>Еще фото</v>
      </c>
      <c r="F2955" s="13" t="s">
        <v>103</v>
      </c>
      <c r="G2955" s="24" t="s">
        <v>1184</v>
      </c>
      <c r="H2955" s="24" t="s">
        <v>741</v>
      </c>
      <c r="I2955" s="24" t="s">
        <v>2439</v>
      </c>
      <c r="J2955" s="14" t="s">
        <v>43</v>
      </c>
      <c r="K2955" s="15" t="s">
        <v>30</v>
      </c>
      <c r="L2955" s="62"/>
      <c r="M2955" s="14"/>
      <c r="N2955" s="14" t="s">
        <v>62</v>
      </c>
      <c r="O2955" s="14"/>
      <c r="P2955" s="15" t="s">
        <v>745</v>
      </c>
      <c r="Q2955" s="16">
        <v>17399</v>
      </c>
      <c r="R2955" s="17">
        <v>40</v>
      </c>
      <c r="S2955" s="18">
        <v>12005.31</v>
      </c>
      <c r="T2955" s="19" t="s">
        <v>36</v>
      </c>
      <c r="U2955" s="20" t="s">
        <v>755</v>
      </c>
      <c r="V2955" s="34">
        <v>44.5</v>
      </c>
      <c r="W2955" s="22">
        <v>5</v>
      </c>
      <c r="X2955" s="23"/>
    </row>
    <row r="2956" spans="1:24" s="1" customFormat="1" ht="11" customHeight="1" x14ac:dyDescent="0.3">
      <c r="A2956" s="14" t="s">
        <v>23</v>
      </c>
      <c r="B2956" s="14" t="s">
        <v>2589</v>
      </c>
      <c r="C2956" s="12" t="s">
        <v>2593</v>
      </c>
      <c r="D2956" s="60"/>
      <c r="E2956" s="41" t="str">
        <f t="shared" si="141"/>
        <v>Еще фото</v>
      </c>
      <c r="F2956" s="29" t="s">
        <v>103</v>
      </c>
      <c r="G2956" s="14" t="s">
        <v>1184</v>
      </c>
      <c r="H2956" s="14" t="s">
        <v>741</v>
      </c>
      <c r="I2956" s="14" t="s">
        <v>2439</v>
      </c>
      <c r="J2956" s="14" t="s">
        <v>43</v>
      </c>
      <c r="K2956" s="14" t="s">
        <v>30</v>
      </c>
      <c r="L2956" s="62"/>
      <c r="M2956" s="14"/>
      <c r="N2956" s="14" t="s">
        <v>62</v>
      </c>
      <c r="O2956" s="14"/>
      <c r="P2956" s="14" t="s">
        <v>745</v>
      </c>
      <c r="Q2956" s="30">
        <v>17399</v>
      </c>
      <c r="R2956" s="31">
        <v>40</v>
      </c>
      <c r="S2956" s="32">
        <v>12005.31</v>
      </c>
      <c r="T2956" s="19" t="s">
        <v>36</v>
      </c>
      <c r="U2956" s="20" t="s">
        <v>1337</v>
      </c>
      <c r="V2956" s="22">
        <v>45</v>
      </c>
      <c r="W2956" s="22">
        <v>1</v>
      </c>
      <c r="X2956" s="23"/>
    </row>
    <row r="2957" spans="1:24" s="1" customFormat="1" ht="11" customHeight="1" x14ac:dyDescent="0.3">
      <c r="A2957" s="14" t="s">
        <v>23</v>
      </c>
      <c r="B2957" s="14" t="s">
        <v>2589</v>
      </c>
      <c r="C2957" s="12" t="s">
        <v>2593</v>
      </c>
      <c r="D2957" s="60"/>
      <c r="E2957" s="41" t="str">
        <f t="shared" si="141"/>
        <v>Еще фото</v>
      </c>
      <c r="F2957" s="29" t="s">
        <v>103</v>
      </c>
      <c r="G2957" s="14" t="s">
        <v>1184</v>
      </c>
      <c r="H2957" s="14" t="s">
        <v>741</v>
      </c>
      <c r="I2957" s="14" t="s">
        <v>2439</v>
      </c>
      <c r="J2957" s="14" t="s">
        <v>43</v>
      </c>
      <c r="K2957" s="14" t="s">
        <v>30</v>
      </c>
      <c r="L2957" s="62"/>
      <c r="M2957" s="14"/>
      <c r="N2957" s="14" t="s">
        <v>62</v>
      </c>
      <c r="O2957" s="14"/>
      <c r="P2957" s="14" t="s">
        <v>745</v>
      </c>
      <c r="Q2957" s="30">
        <v>17399</v>
      </c>
      <c r="R2957" s="31">
        <v>40</v>
      </c>
      <c r="S2957" s="32">
        <v>12005.31</v>
      </c>
      <c r="T2957" s="19" t="s">
        <v>36</v>
      </c>
      <c r="U2957" s="20" t="s">
        <v>1907</v>
      </c>
      <c r="V2957" s="22">
        <v>46</v>
      </c>
      <c r="W2957" s="22">
        <v>1</v>
      </c>
      <c r="X2957" s="23"/>
    </row>
    <row r="2958" spans="1:24" s="1" customFormat="1" ht="11" customHeight="1" x14ac:dyDescent="0.3">
      <c r="A2958" s="14" t="s">
        <v>23</v>
      </c>
      <c r="B2958" s="14" t="s">
        <v>2589</v>
      </c>
      <c r="C2958" s="12" t="s">
        <v>2593</v>
      </c>
      <c r="D2958" s="61"/>
      <c r="E2958" s="41" t="str">
        <f t="shared" si="141"/>
        <v>Еще фото</v>
      </c>
      <c r="F2958" s="29" t="s">
        <v>103</v>
      </c>
      <c r="G2958" s="14" t="s">
        <v>1184</v>
      </c>
      <c r="H2958" s="14" t="s">
        <v>741</v>
      </c>
      <c r="I2958" s="14" t="s">
        <v>2439</v>
      </c>
      <c r="J2958" s="14" t="s">
        <v>43</v>
      </c>
      <c r="K2958" s="14" t="s">
        <v>30</v>
      </c>
      <c r="L2958" s="58"/>
      <c r="M2958" s="14"/>
      <c r="N2958" s="14" t="s">
        <v>62</v>
      </c>
      <c r="O2958" s="14"/>
      <c r="P2958" s="14" t="s">
        <v>745</v>
      </c>
      <c r="Q2958" s="30">
        <v>17399</v>
      </c>
      <c r="R2958" s="31">
        <v>40</v>
      </c>
      <c r="S2958" s="32">
        <v>12005.31</v>
      </c>
      <c r="T2958" s="19" t="s">
        <v>36</v>
      </c>
      <c r="U2958" s="20" t="s">
        <v>1908</v>
      </c>
      <c r="V2958" s="34">
        <v>46.5</v>
      </c>
      <c r="W2958" s="22">
        <v>3</v>
      </c>
      <c r="X2958" s="23"/>
    </row>
    <row r="2959" spans="1:24" s="1" customFormat="1" ht="11" customHeight="1" x14ac:dyDescent="0.3">
      <c r="A2959" s="11" t="s">
        <v>23</v>
      </c>
      <c r="B2959" s="11" t="s">
        <v>2589</v>
      </c>
      <c r="C2959" s="12" t="s">
        <v>2594</v>
      </c>
      <c r="D2959" s="59"/>
      <c r="E2959" s="41" t="str">
        <f t="shared" ref="E2959:E2967" si="142">HYPERLINK("https://www.google.ru/search?q=6007183-600&amp;newwindow=1&amp;tbm=isch","Еще фото")</f>
        <v>Еще фото</v>
      </c>
      <c r="F2959" s="13" t="s">
        <v>103</v>
      </c>
      <c r="G2959" s="11" t="s">
        <v>1184</v>
      </c>
      <c r="H2959" s="11" t="s">
        <v>741</v>
      </c>
      <c r="I2959" s="14" t="s">
        <v>2439</v>
      </c>
      <c r="J2959" s="14" t="s">
        <v>43</v>
      </c>
      <c r="K2959" s="15" t="s">
        <v>30</v>
      </c>
      <c r="L2959" s="57" t="s">
        <v>2591</v>
      </c>
      <c r="M2959" s="14"/>
      <c r="N2959" s="14" t="s">
        <v>198</v>
      </c>
      <c r="O2959" s="14"/>
      <c r="P2959" s="15" t="s">
        <v>745</v>
      </c>
      <c r="Q2959" s="16">
        <v>17399</v>
      </c>
      <c r="R2959" s="17">
        <v>40</v>
      </c>
      <c r="S2959" s="18">
        <v>12005.31</v>
      </c>
      <c r="T2959" s="19" t="s">
        <v>36</v>
      </c>
      <c r="U2959" s="20" t="s">
        <v>746</v>
      </c>
      <c r="V2959" s="22">
        <v>39</v>
      </c>
      <c r="W2959" s="22">
        <v>4</v>
      </c>
      <c r="X2959" s="23"/>
    </row>
    <row r="2960" spans="1:24" s="1" customFormat="1" ht="11" customHeight="1" x14ac:dyDescent="0.3">
      <c r="A2960" s="24" t="s">
        <v>23</v>
      </c>
      <c r="B2960" s="24" t="s">
        <v>2589</v>
      </c>
      <c r="C2960" s="12" t="s">
        <v>2594</v>
      </c>
      <c r="D2960" s="60"/>
      <c r="E2960" s="41" t="str">
        <f t="shared" si="142"/>
        <v>Еще фото</v>
      </c>
      <c r="F2960" s="13" t="s">
        <v>103</v>
      </c>
      <c r="G2960" s="24" t="s">
        <v>1184</v>
      </c>
      <c r="H2960" s="24" t="s">
        <v>741</v>
      </c>
      <c r="I2960" s="24" t="s">
        <v>2439</v>
      </c>
      <c r="J2960" s="14" t="s">
        <v>43</v>
      </c>
      <c r="K2960" s="15" t="s">
        <v>30</v>
      </c>
      <c r="L2960" s="62"/>
      <c r="M2960" s="14"/>
      <c r="N2960" s="14" t="s">
        <v>198</v>
      </c>
      <c r="O2960" s="14"/>
      <c r="P2960" s="15" t="s">
        <v>745</v>
      </c>
      <c r="Q2960" s="16">
        <v>17399</v>
      </c>
      <c r="R2960" s="17">
        <v>40</v>
      </c>
      <c r="S2960" s="18">
        <v>12005.31</v>
      </c>
      <c r="T2960" s="19" t="s">
        <v>36</v>
      </c>
      <c r="U2960" s="20" t="s">
        <v>747</v>
      </c>
      <c r="V2960" s="34">
        <v>39.5</v>
      </c>
      <c r="W2960" s="22">
        <v>3</v>
      </c>
      <c r="X2960" s="23"/>
    </row>
    <row r="2961" spans="1:24" s="1" customFormat="1" ht="11" customHeight="1" x14ac:dyDescent="0.3">
      <c r="A2961" s="24" t="s">
        <v>23</v>
      </c>
      <c r="B2961" s="24" t="s">
        <v>2589</v>
      </c>
      <c r="C2961" s="12" t="s">
        <v>2594</v>
      </c>
      <c r="D2961" s="60"/>
      <c r="E2961" s="41" t="str">
        <f t="shared" si="142"/>
        <v>Еще фото</v>
      </c>
      <c r="F2961" s="13" t="s">
        <v>103</v>
      </c>
      <c r="G2961" s="24" t="s">
        <v>1184</v>
      </c>
      <c r="H2961" s="24" t="s">
        <v>741</v>
      </c>
      <c r="I2961" s="24" t="s">
        <v>2439</v>
      </c>
      <c r="J2961" s="14" t="s">
        <v>43</v>
      </c>
      <c r="K2961" s="15" t="s">
        <v>30</v>
      </c>
      <c r="L2961" s="62"/>
      <c r="M2961" s="14"/>
      <c r="N2961" s="14" t="s">
        <v>198</v>
      </c>
      <c r="O2961" s="14"/>
      <c r="P2961" s="15" t="s">
        <v>745</v>
      </c>
      <c r="Q2961" s="16">
        <v>17399</v>
      </c>
      <c r="R2961" s="17">
        <v>40</v>
      </c>
      <c r="S2961" s="18">
        <v>12005.31</v>
      </c>
      <c r="T2961" s="19" t="s">
        <v>36</v>
      </c>
      <c r="U2961" s="20" t="s">
        <v>748</v>
      </c>
      <c r="V2961" s="22">
        <v>40</v>
      </c>
      <c r="W2961" s="22">
        <v>4</v>
      </c>
      <c r="X2961" s="23"/>
    </row>
    <row r="2962" spans="1:24" s="1" customFormat="1" ht="11" customHeight="1" x14ac:dyDescent="0.3">
      <c r="A2962" s="24" t="s">
        <v>23</v>
      </c>
      <c r="B2962" s="24" t="s">
        <v>2589</v>
      </c>
      <c r="C2962" s="12" t="s">
        <v>2594</v>
      </c>
      <c r="D2962" s="60"/>
      <c r="E2962" s="41" t="str">
        <f t="shared" si="142"/>
        <v>Еще фото</v>
      </c>
      <c r="F2962" s="13" t="s">
        <v>103</v>
      </c>
      <c r="G2962" s="24" t="s">
        <v>1184</v>
      </c>
      <c r="H2962" s="24" t="s">
        <v>741</v>
      </c>
      <c r="I2962" s="24" t="s">
        <v>2439</v>
      </c>
      <c r="J2962" s="14" t="s">
        <v>43</v>
      </c>
      <c r="K2962" s="15" t="s">
        <v>30</v>
      </c>
      <c r="L2962" s="62"/>
      <c r="M2962" s="14"/>
      <c r="N2962" s="14" t="s">
        <v>198</v>
      </c>
      <c r="O2962" s="14"/>
      <c r="P2962" s="15" t="s">
        <v>745</v>
      </c>
      <c r="Q2962" s="16">
        <v>17399</v>
      </c>
      <c r="R2962" s="17">
        <v>40</v>
      </c>
      <c r="S2962" s="18">
        <v>12005.31</v>
      </c>
      <c r="T2962" s="19" t="s">
        <v>36</v>
      </c>
      <c r="U2962" s="20" t="s">
        <v>749</v>
      </c>
      <c r="V2962" s="22">
        <v>41</v>
      </c>
      <c r="W2962" s="22">
        <v>2</v>
      </c>
      <c r="X2962" s="23"/>
    </row>
    <row r="2963" spans="1:24" s="1" customFormat="1" ht="11" customHeight="1" x14ac:dyDescent="0.3">
      <c r="A2963" s="24" t="s">
        <v>23</v>
      </c>
      <c r="B2963" s="24" t="s">
        <v>2589</v>
      </c>
      <c r="C2963" s="12" t="s">
        <v>2594</v>
      </c>
      <c r="D2963" s="60"/>
      <c r="E2963" s="41" t="str">
        <f t="shared" si="142"/>
        <v>Еще фото</v>
      </c>
      <c r="F2963" s="13" t="s">
        <v>103</v>
      </c>
      <c r="G2963" s="24" t="s">
        <v>1184</v>
      </c>
      <c r="H2963" s="24" t="s">
        <v>741</v>
      </c>
      <c r="I2963" s="24" t="s">
        <v>2439</v>
      </c>
      <c r="J2963" s="14" t="s">
        <v>43</v>
      </c>
      <c r="K2963" s="15" t="s">
        <v>30</v>
      </c>
      <c r="L2963" s="62"/>
      <c r="M2963" s="14"/>
      <c r="N2963" s="14" t="s">
        <v>198</v>
      </c>
      <c r="O2963" s="14"/>
      <c r="P2963" s="15" t="s">
        <v>745</v>
      </c>
      <c r="Q2963" s="16">
        <v>17399</v>
      </c>
      <c r="R2963" s="17">
        <v>40</v>
      </c>
      <c r="S2963" s="18">
        <v>12005.31</v>
      </c>
      <c r="T2963" s="19" t="s">
        <v>36</v>
      </c>
      <c r="U2963" s="20" t="s">
        <v>750</v>
      </c>
      <c r="V2963" s="34">
        <v>41.5</v>
      </c>
      <c r="W2963" s="22">
        <v>1</v>
      </c>
      <c r="X2963" s="23"/>
    </row>
    <row r="2964" spans="1:24" s="1" customFormat="1" ht="11" customHeight="1" x14ac:dyDescent="0.3">
      <c r="A2964" s="24" t="s">
        <v>23</v>
      </c>
      <c r="B2964" s="24" t="s">
        <v>2589</v>
      </c>
      <c r="C2964" s="12" t="s">
        <v>2594</v>
      </c>
      <c r="D2964" s="60"/>
      <c r="E2964" s="41" t="str">
        <f t="shared" si="142"/>
        <v>Еще фото</v>
      </c>
      <c r="F2964" s="13" t="s">
        <v>103</v>
      </c>
      <c r="G2964" s="24" t="s">
        <v>1184</v>
      </c>
      <c r="H2964" s="24" t="s">
        <v>741</v>
      </c>
      <c r="I2964" s="24" t="s">
        <v>2439</v>
      </c>
      <c r="J2964" s="14" t="s">
        <v>43</v>
      </c>
      <c r="K2964" s="15" t="s">
        <v>30</v>
      </c>
      <c r="L2964" s="62"/>
      <c r="M2964" s="14"/>
      <c r="N2964" s="14" t="s">
        <v>198</v>
      </c>
      <c r="O2964" s="14"/>
      <c r="P2964" s="15" t="s">
        <v>745</v>
      </c>
      <c r="Q2964" s="16">
        <v>17399</v>
      </c>
      <c r="R2964" s="17">
        <v>40</v>
      </c>
      <c r="S2964" s="18">
        <v>12005.31</v>
      </c>
      <c r="T2964" s="19" t="s">
        <v>36</v>
      </c>
      <c r="U2964" s="20" t="s">
        <v>751</v>
      </c>
      <c r="V2964" s="22">
        <v>42</v>
      </c>
      <c r="W2964" s="22">
        <v>3</v>
      </c>
      <c r="X2964" s="23"/>
    </row>
    <row r="2965" spans="1:24" s="1" customFormat="1" ht="11" customHeight="1" x14ac:dyDescent="0.3">
      <c r="A2965" s="24" t="s">
        <v>23</v>
      </c>
      <c r="B2965" s="24" t="s">
        <v>2589</v>
      </c>
      <c r="C2965" s="12" t="s">
        <v>2594</v>
      </c>
      <c r="D2965" s="60"/>
      <c r="E2965" s="41" t="str">
        <f t="shared" si="142"/>
        <v>Еще фото</v>
      </c>
      <c r="F2965" s="13" t="s">
        <v>103</v>
      </c>
      <c r="G2965" s="24" t="s">
        <v>1184</v>
      </c>
      <c r="H2965" s="24" t="s">
        <v>741</v>
      </c>
      <c r="I2965" s="24" t="s">
        <v>2439</v>
      </c>
      <c r="J2965" s="14" t="s">
        <v>43</v>
      </c>
      <c r="K2965" s="15" t="s">
        <v>30</v>
      </c>
      <c r="L2965" s="62"/>
      <c r="M2965" s="14"/>
      <c r="N2965" s="14" t="s">
        <v>198</v>
      </c>
      <c r="O2965" s="14"/>
      <c r="P2965" s="15" t="s">
        <v>745</v>
      </c>
      <c r="Q2965" s="16">
        <v>17399</v>
      </c>
      <c r="R2965" s="17">
        <v>40</v>
      </c>
      <c r="S2965" s="18">
        <v>12005.31</v>
      </c>
      <c r="T2965" s="19" t="s">
        <v>36</v>
      </c>
      <c r="U2965" s="20" t="s">
        <v>753</v>
      </c>
      <c r="V2965" s="34">
        <v>43.5</v>
      </c>
      <c r="W2965" s="22">
        <v>1</v>
      </c>
      <c r="X2965" s="23"/>
    </row>
    <row r="2966" spans="1:24" s="1" customFormat="1" ht="11" customHeight="1" x14ac:dyDescent="0.3">
      <c r="A2966" s="24" t="s">
        <v>23</v>
      </c>
      <c r="B2966" s="24" t="s">
        <v>2589</v>
      </c>
      <c r="C2966" s="12" t="s">
        <v>2594</v>
      </c>
      <c r="D2966" s="60"/>
      <c r="E2966" s="41" t="str">
        <f t="shared" si="142"/>
        <v>Еще фото</v>
      </c>
      <c r="F2966" s="13" t="s">
        <v>103</v>
      </c>
      <c r="G2966" s="24" t="s">
        <v>1184</v>
      </c>
      <c r="H2966" s="24" t="s">
        <v>741</v>
      </c>
      <c r="I2966" s="24" t="s">
        <v>2439</v>
      </c>
      <c r="J2966" s="14" t="s">
        <v>43</v>
      </c>
      <c r="K2966" s="15" t="s">
        <v>30</v>
      </c>
      <c r="L2966" s="62"/>
      <c r="M2966" s="14"/>
      <c r="N2966" s="14" t="s">
        <v>198</v>
      </c>
      <c r="O2966" s="14"/>
      <c r="P2966" s="15" t="s">
        <v>745</v>
      </c>
      <c r="Q2966" s="16">
        <v>17399</v>
      </c>
      <c r="R2966" s="17">
        <v>40</v>
      </c>
      <c r="S2966" s="18">
        <v>12005.31</v>
      </c>
      <c r="T2966" s="19" t="s">
        <v>36</v>
      </c>
      <c r="U2966" s="20" t="s">
        <v>754</v>
      </c>
      <c r="V2966" s="22">
        <v>44</v>
      </c>
      <c r="W2966" s="22">
        <v>1</v>
      </c>
      <c r="X2966" s="23"/>
    </row>
    <row r="2967" spans="1:24" s="1" customFormat="1" ht="11" customHeight="1" x14ac:dyDescent="0.3">
      <c r="A2967" s="24" t="s">
        <v>23</v>
      </c>
      <c r="B2967" s="24" t="s">
        <v>2589</v>
      </c>
      <c r="C2967" s="12" t="s">
        <v>2594</v>
      </c>
      <c r="D2967" s="61"/>
      <c r="E2967" s="41" t="str">
        <f t="shared" si="142"/>
        <v>Еще фото</v>
      </c>
      <c r="F2967" s="13" t="s">
        <v>103</v>
      </c>
      <c r="G2967" s="24" t="s">
        <v>1184</v>
      </c>
      <c r="H2967" s="24" t="s">
        <v>741</v>
      </c>
      <c r="I2967" s="24" t="s">
        <v>2439</v>
      </c>
      <c r="J2967" s="14" t="s">
        <v>43</v>
      </c>
      <c r="K2967" s="15" t="s">
        <v>30</v>
      </c>
      <c r="L2967" s="58"/>
      <c r="M2967" s="14"/>
      <c r="N2967" s="14" t="s">
        <v>198</v>
      </c>
      <c r="O2967" s="14"/>
      <c r="P2967" s="15" t="s">
        <v>745</v>
      </c>
      <c r="Q2967" s="16">
        <v>17399</v>
      </c>
      <c r="R2967" s="17">
        <v>40</v>
      </c>
      <c r="S2967" s="18">
        <v>12005.31</v>
      </c>
      <c r="T2967" s="19" t="s">
        <v>36</v>
      </c>
      <c r="U2967" s="20" t="s">
        <v>755</v>
      </c>
      <c r="V2967" s="34">
        <v>44.5</v>
      </c>
      <c r="W2967" s="22">
        <v>2</v>
      </c>
      <c r="X2967" s="23"/>
    </row>
    <row r="2968" spans="1:24" s="1" customFormat="1" ht="13.05" customHeight="1" x14ac:dyDescent="0.3">
      <c r="A2968" s="11" t="s">
        <v>23</v>
      </c>
      <c r="B2968" s="11" t="s">
        <v>2595</v>
      </c>
      <c r="C2968" s="12" t="s">
        <v>2596</v>
      </c>
      <c r="D2968" s="59"/>
      <c r="E2968" s="41" t="str">
        <f t="shared" ref="E2968:E2975" si="143">HYPERLINK("https://www.google.ru/search?q=6007184-001&amp;newwindow=1&amp;tbm=isch","Еще фото")</f>
        <v>Еще фото</v>
      </c>
      <c r="F2968" s="13" t="s">
        <v>103</v>
      </c>
      <c r="G2968" s="11" t="s">
        <v>1184</v>
      </c>
      <c r="H2968" s="11" t="s">
        <v>741</v>
      </c>
      <c r="I2968" s="14" t="s">
        <v>2439</v>
      </c>
      <c r="J2968" s="14" t="s">
        <v>43</v>
      </c>
      <c r="K2968" s="15" t="s">
        <v>59</v>
      </c>
      <c r="L2968" s="57" t="s">
        <v>2591</v>
      </c>
      <c r="M2968" s="14"/>
      <c r="N2968" s="14" t="s">
        <v>33</v>
      </c>
      <c r="O2968" s="14"/>
      <c r="P2968" s="15" t="s">
        <v>745</v>
      </c>
      <c r="Q2968" s="16">
        <v>17399</v>
      </c>
      <c r="R2968" s="17">
        <v>40</v>
      </c>
      <c r="S2968" s="18">
        <v>12005.31</v>
      </c>
      <c r="T2968" s="19" t="s">
        <v>36</v>
      </c>
      <c r="U2968" s="33" t="s">
        <v>1203</v>
      </c>
      <c r="V2968" s="22">
        <v>36</v>
      </c>
      <c r="W2968" s="22">
        <v>3</v>
      </c>
      <c r="X2968" s="23"/>
    </row>
    <row r="2969" spans="1:24" s="1" customFormat="1" ht="13.05" customHeight="1" x14ac:dyDescent="0.3">
      <c r="A2969" s="24" t="s">
        <v>23</v>
      </c>
      <c r="B2969" s="24" t="s">
        <v>2595</v>
      </c>
      <c r="C2969" s="12" t="s">
        <v>2596</v>
      </c>
      <c r="D2969" s="60"/>
      <c r="E2969" s="41" t="str">
        <f t="shared" si="143"/>
        <v>Еще фото</v>
      </c>
      <c r="F2969" s="13" t="s">
        <v>103</v>
      </c>
      <c r="G2969" s="24" t="s">
        <v>1184</v>
      </c>
      <c r="H2969" s="24" t="s">
        <v>741</v>
      </c>
      <c r="I2969" s="24" t="s">
        <v>2439</v>
      </c>
      <c r="J2969" s="14" t="s">
        <v>43</v>
      </c>
      <c r="K2969" s="15" t="s">
        <v>59</v>
      </c>
      <c r="L2969" s="62"/>
      <c r="M2969" s="14"/>
      <c r="N2969" s="14" t="s">
        <v>33</v>
      </c>
      <c r="O2969" s="14"/>
      <c r="P2969" s="15" t="s">
        <v>745</v>
      </c>
      <c r="Q2969" s="16">
        <v>17399</v>
      </c>
      <c r="R2969" s="17">
        <v>40</v>
      </c>
      <c r="S2969" s="18">
        <v>12005.31</v>
      </c>
      <c r="T2969" s="19" t="s">
        <v>36</v>
      </c>
      <c r="U2969" s="20" t="s">
        <v>1196</v>
      </c>
      <c r="V2969" s="34">
        <v>36.5</v>
      </c>
      <c r="W2969" s="22">
        <v>4</v>
      </c>
      <c r="X2969" s="23"/>
    </row>
    <row r="2970" spans="1:24" s="1" customFormat="1" ht="13.05" customHeight="1" x14ac:dyDescent="0.3">
      <c r="A2970" s="24" t="s">
        <v>23</v>
      </c>
      <c r="B2970" s="24" t="s">
        <v>2595</v>
      </c>
      <c r="C2970" s="12" t="s">
        <v>2596</v>
      </c>
      <c r="D2970" s="60"/>
      <c r="E2970" s="41" t="str">
        <f t="shared" si="143"/>
        <v>Еще фото</v>
      </c>
      <c r="F2970" s="13" t="s">
        <v>103</v>
      </c>
      <c r="G2970" s="24" t="s">
        <v>1184</v>
      </c>
      <c r="H2970" s="24" t="s">
        <v>741</v>
      </c>
      <c r="I2970" s="24" t="s">
        <v>2439</v>
      </c>
      <c r="J2970" s="14" t="s">
        <v>43</v>
      </c>
      <c r="K2970" s="15" t="s">
        <v>59</v>
      </c>
      <c r="L2970" s="62"/>
      <c r="M2970" s="14"/>
      <c r="N2970" s="14" t="s">
        <v>33</v>
      </c>
      <c r="O2970" s="14"/>
      <c r="P2970" s="15" t="s">
        <v>745</v>
      </c>
      <c r="Q2970" s="16">
        <v>17399</v>
      </c>
      <c r="R2970" s="17">
        <v>40</v>
      </c>
      <c r="S2970" s="18">
        <v>12005.31</v>
      </c>
      <c r="T2970" s="19" t="s">
        <v>36</v>
      </c>
      <c r="U2970" s="20" t="s">
        <v>746</v>
      </c>
      <c r="V2970" s="22">
        <v>37</v>
      </c>
      <c r="W2970" s="22">
        <v>11</v>
      </c>
      <c r="X2970" s="23"/>
    </row>
    <row r="2971" spans="1:24" s="1" customFormat="1" ht="13.05" customHeight="1" x14ac:dyDescent="0.3">
      <c r="A2971" s="24" t="s">
        <v>23</v>
      </c>
      <c r="B2971" s="24" t="s">
        <v>2595</v>
      </c>
      <c r="C2971" s="12" t="s">
        <v>2596</v>
      </c>
      <c r="D2971" s="60"/>
      <c r="E2971" s="41" t="str">
        <f t="shared" si="143"/>
        <v>Еще фото</v>
      </c>
      <c r="F2971" s="13" t="s">
        <v>103</v>
      </c>
      <c r="G2971" s="24" t="s">
        <v>1184</v>
      </c>
      <c r="H2971" s="24" t="s">
        <v>741</v>
      </c>
      <c r="I2971" s="24" t="s">
        <v>2439</v>
      </c>
      <c r="J2971" s="14" t="s">
        <v>43</v>
      </c>
      <c r="K2971" s="15" t="s">
        <v>59</v>
      </c>
      <c r="L2971" s="62"/>
      <c r="M2971" s="14"/>
      <c r="N2971" s="14" t="s">
        <v>33</v>
      </c>
      <c r="O2971" s="14"/>
      <c r="P2971" s="15" t="s">
        <v>745</v>
      </c>
      <c r="Q2971" s="16">
        <v>17399</v>
      </c>
      <c r="R2971" s="17">
        <v>40</v>
      </c>
      <c r="S2971" s="18">
        <v>12005.31</v>
      </c>
      <c r="T2971" s="19" t="s">
        <v>36</v>
      </c>
      <c r="U2971" s="20" t="s">
        <v>747</v>
      </c>
      <c r="V2971" s="34">
        <v>37.5</v>
      </c>
      <c r="W2971" s="22">
        <v>4</v>
      </c>
      <c r="X2971" s="23"/>
    </row>
    <row r="2972" spans="1:24" s="1" customFormat="1" ht="13.05" customHeight="1" x14ac:dyDescent="0.3">
      <c r="A2972" s="24" t="s">
        <v>23</v>
      </c>
      <c r="B2972" s="24" t="s">
        <v>2595</v>
      </c>
      <c r="C2972" s="12" t="s">
        <v>2596</v>
      </c>
      <c r="D2972" s="60"/>
      <c r="E2972" s="41" t="str">
        <f t="shared" si="143"/>
        <v>Еще фото</v>
      </c>
      <c r="F2972" s="13" t="s">
        <v>103</v>
      </c>
      <c r="G2972" s="24" t="s">
        <v>1184</v>
      </c>
      <c r="H2972" s="24" t="s">
        <v>741</v>
      </c>
      <c r="I2972" s="24" t="s">
        <v>2439</v>
      </c>
      <c r="J2972" s="14" t="s">
        <v>43</v>
      </c>
      <c r="K2972" s="15" t="s">
        <v>59</v>
      </c>
      <c r="L2972" s="62"/>
      <c r="M2972" s="14"/>
      <c r="N2972" s="14" t="s">
        <v>33</v>
      </c>
      <c r="O2972" s="14"/>
      <c r="P2972" s="15" t="s">
        <v>745</v>
      </c>
      <c r="Q2972" s="16">
        <v>17399</v>
      </c>
      <c r="R2972" s="17">
        <v>40</v>
      </c>
      <c r="S2972" s="18">
        <v>12005.31</v>
      </c>
      <c r="T2972" s="19" t="s">
        <v>36</v>
      </c>
      <c r="U2972" s="20" t="s">
        <v>748</v>
      </c>
      <c r="V2972" s="22">
        <v>38</v>
      </c>
      <c r="W2972" s="22">
        <v>8</v>
      </c>
      <c r="X2972" s="23"/>
    </row>
    <row r="2973" spans="1:24" s="1" customFormat="1" ht="13.05" customHeight="1" x14ac:dyDescent="0.3">
      <c r="A2973" s="24" t="s">
        <v>23</v>
      </c>
      <c r="B2973" s="24" t="s">
        <v>2595</v>
      </c>
      <c r="C2973" s="12" t="s">
        <v>2596</v>
      </c>
      <c r="D2973" s="60"/>
      <c r="E2973" s="41" t="str">
        <f t="shared" si="143"/>
        <v>Еще фото</v>
      </c>
      <c r="F2973" s="13" t="s">
        <v>103</v>
      </c>
      <c r="G2973" s="24" t="s">
        <v>1184</v>
      </c>
      <c r="H2973" s="24" t="s">
        <v>741</v>
      </c>
      <c r="I2973" s="24" t="s">
        <v>2439</v>
      </c>
      <c r="J2973" s="14" t="s">
        <v>43</v>
      </c>
      <c r="K2973" s="15" t="s">
        <v>59</v>
      </c>
      <c r="L2973" s="62"/>
      <c r="M2973" s="14"/>
      <c r="N2973" s="14" t="s">
        <v>33</v>
      </c>
      <c r="O2973" s="14"/>
      <c r="P2973" s="15" t="s">
        <v>745</v>
      </c>
      <c r="Q2973" s="16">
        <v>17399</v>
      </c>
      <c r="R2973" s="17">
        <v>40</v>
      </c>
      <c r="S2973" s="18">
        <v>12005.31</v>
      </c>
      <c r="T2973" s="19" t="s">
        <v>36</v>
      </c>
      <c r="U2973" s="20" t="s">
        <v>749</v>
      </c>
      <c r="V2973" s="22">
        <v>39</v>
      </c>
      <c r="W2973" s="22">
        <v>4</v>
      </c>
      <c r="X2973" s="23"/>
    </row>
    <row r="2974" spans="1:24" s="1" customFormat="1" ht="13.05" customHeight="1" x14ac:dyDescent="0.3">
      <c r="A2974" s="24" t="s">
        <v>23</v>
      </c>
      <c r="B2974" s="24" t="s">
        <v>2595</v>
      </c>
      <c r="C2974" s="12" t="s">
        <v>2596</v>
      </c>
      <c r="D2974" s="60"/>
      <c r="E2974" s="41" t="str">
        <f t="shared" si="143"/>
        <v>Еще фото</v>
      </c>
      <c r="F2974" s="13" t="s">
        <v>103</v>
      </c>
      <c r="G2974" s="24" t="s">
        <v>1184</v>
      </c>
      <c r="H2974" s="24" t="s">
        <v>741</v>
      </c>
      <c r="I2974" s="24" t="s">
        <v>2439</v>
      </c>
      <c r="J2974" s="14" t="s">
        <v>43</v>
      </c>
      <c r="K2974" s="15" t="s">
        <v>59</v>
      </c>
      <c r="L2974" s="62"/>
      <c r="M2974" s="14"/>
      <c r="N2974" s="14" t="s">
        <v>33</v>
      </c>
      <c r="O2974" s="14"/>
      <c r="P2974" s="15" t="s">
        <v>745</v>
      </c>
      <c r="Q2974" s="16">
        <v>17399</v>
      </c>
      <c r="R2974" s="17">
        <v>40</v>
      </c>
      <c r="S2974" s="18">
        <v>12005.31</v>
      </c>
      <c r="T2974" s="19" t="s">
        <v>36</v>
      </c>
      <c r="U2974" s="20" t="s">
        <v>750</v>
      </c>
      <c r="V2974" s="34">
        <v>39.5</v>
      </c>
      <c r="W2974" s="22">
        <v>4</v>
      </c>
      <c r="X2974" s="23"/>
    </row>
    <row r="2975" spans="1:24" s="1" customFormat="1" ht="18" customHeight="1" x14ac:dyDescent="0.3">
      <c r="A2975" s="24" t="s">
        <v>23</v>
      </c>
      <c r="B2975" s="24" t="s">
        <v>2595</v>
      </c>
      <c r="C2975" s="12" t="s">
        <v>2596</v>
      </c>
      <c r="D2975" s="61"/>
      <c r="E2975" s="41" t="str">
        <f t="shared" si="143"/>
        <v>Еще фото</v>
      </c>
      <c r="F2975" s="13" t="s">
        <v>103</v>
      </c>
      <c r="G2975" s="24" t="s">
        <v>1184</v>
      </c>
      <c r="H2975" s="24" t="s">
        <v>741</v>
      </c>
      <c r="I2975" s="24" t="s">
        <v>2439</v>
      </c>
      <c r="J2975" s="14" t="s">
        <v>43</v>
      </c>
      <c r="K2975" s="15" t="s">
        <v>59</v>
      </c>
      <c r="L2975" s="58"/>
      <c r="M2975" s="14"/>
      <c r="N2975" s="14" t="s">
        <v>33</v>
      </c>
      <c r="O2975" s="14"/>
      <c r="P2975" s="15" t="s">
        <v>745</v>
      </c>
      <c r="Q2975" s="16">
        <v>17399</v>
      </c>
      <c r="R2975" s="17">
        <v>40</v>
      </c>
      <c r="S2975" s="18">
        <v>12005.31</v>
      </c>
      <c r="T2975" s="19" t="s">
        <v>36</v>
      </c>
      <c r="U2975" s="20" t="s">
        <v>751</v>
      </c>
      <c r="V2975" s="22">
        <v>40</v>
      </c>
      <c r="W2975" s="22">
        <v>1</v>
      </c>
      <c r="X2975" s="23"/>
    </row>
    <row r="2976" spans="1:24" s="1" customFormat="1" ht="14" customHeight="1" x14ac:dyDescent="0.3">
      <c r="A2976" s="11" t="s">
        <v>23</v>
      </c>
      <c r="B2976" s="11" t="s">
        <v>2595</v>
      </c>
      <c r="C2976" s="12" t="s">
        <v>2597</v>
      </c>
      <c r="D2976" s="59"/>
      <c r="E2976" s="41" t="str">
        <f t="shared" ref="E2976:E2982" si="144">HYPERLINK("https://www.google.ru/search?q=6007184-101&amp;newwindow=1&amp;tbm=isch","Еще фото")</f>
        <v>Еще фото</v>
      </c>
      <c r="F2976" s="13" t="s">
        <v>103</v>
      </c>
      <c r="G2976" s="11" t="s">
        <v>1184</v>
      </c>
      <c r="H2976" s="11" t="s">
        <v>741</v>
      </c>
      <c r="I2976" s="14" t="s">
        <v>2439</v>
      </c>
      <c r="J2976" s="14" t="s">
        <v>43</v>
      </c>
      <c r="K2976" s="15" t="s">
        <v>59</v>
      </c>
      <c r="L2976" s="57" t="s">
        <v>2591</v>
      </c>
      <c r="M2976" s="14"/>
      <c r="N2976" s="14" t="s">
        <v>1957</v>
      </c>
      <c r="O2976" s="14"/>
      <c r="P2976" s="15" t="s">
        <v>745</v>
      </c>
      <c r="Q2976" s="16">
        <v>17399</v>
      </c>
      <c r="R2976" s="17">
        <v>40</v>
      </c>
      <c r="S2976" s="18">
        <v>12005.31</v>
      </c>
      <c r="T2976" s="19" t="s">
        <v>36</v>
      </c>
      <c r="U2976" s="20" t="s">
        <v>1203</v>
      </c>
      <c r="V2976" s="22">
        <v>36</v>
      </c>
      <c r="W2976" s="22">
        <v>6</v>
      </c>
      <c r="X2976" s="23"/>
    </row>
    <row r="2977" spans="1:24" s="1" customFormat="1" ht="14" customHeight="1" x14ac:dyDescent="0.3">
      <c r="A2977" s="24" t="s">
        <v>23</v>
      </c>
      <c r="B2977" s="24" t="s">
        <v>2595</v>
      </c>
      <c r="C2977" s="12" t="s">
        <v>2597</v>
      </c>
      <c r="D2977" s="60"/>
      <c r="E2977" s="41" t="str">
        <f t="shared" si="144"/>
        <v>Еще фото</v>
      </c>
      <c r="F2977" s="13" t="s">
        <v>103</v>
      </c>
      <c r="G2977" s="24" t="s">
        <v>1184</v>
      </c>
      <c r="H2977" s="24" t="s">
        <v>741</v>
      </c>
      <c r="I2977" s="24" t="s">
        <v>2439</v>
      </c>
      <c r="J2977" s="14" t="s">
        <v>43</v>
      </c>
      <c r="K2977" s="15" t="s">
        <v>59</v>
      </c>
      <c r="L2977" s="62"/>
      <c r="M2977" s="14"/>
      <c r="N2977" s="14" t="s">
        <v>1957</v>
      </c>
      <c r="O2977" s="14"/>
      <c r="P2977" s="15" t="s">
        <v>745</v>
      </c>
      <c r="Q2977" s="16">
        <v>17399</v>
      </c>
      <c r="R2977" s="17">
        <v>40</v>
      </c>
      <c r="S2977" s="18">
        <v>12005.31</v>
      </c>
      <c r="T2977" s="19" t="s">
        <v>36</v>
      </c>
      <c r="U2977" s="20" t="s">
        <v>1196</v>
      </c>
      <c r="V2977" s="34">
        <v>36.5</v>
      </c>
      <c r="W2977" s="22">
        <v>5</v>
      </c>
      <c r="X2977" s="23"/>
    </row>
    <row r="2978" spans="1:24" s="1" customFormat="1" ht="14" customHeight="1" x14ac:dyDescent="0.3">
      <c r="A2978" s="24" t="s">
        <v>23</v>
      </c>
      <c r="B2978" s="24" t="s">
        <v>2595</v>
      </c>
      <c r="C2978" s="12" t="s">
        <v>2597</v>
      </c>
      <c r="D2978" s="60"/>
      <c r="E2978" s="41" t="str">
        <f t="shared" si="144"/>
        <v>Еще фото</v>
      </c>
      <c r="F2978" s="13" t="s">
        <v>103</v>
      </c>
      <c r="G2978" s="24" t="s">
        <v>1184</v>
      </c>
      <c r="H2978" s="24" t="s">
        <v>741</v>
      </c>
      <c r="I2978" s="24" t="s">
        <v>2439</v>
      </c>
      <c r="J2978" s="14" t="s">
        <v>43</v>
      </c>
      <c r="K2978" s="15" t="s">
        <v>59</v>
      </c>
      <c r="L2978" s="62"/>
      <c r="M2978" s="14"/>
      <c r="N2978" s="14" t="s">
        <v>1957</v>
      </c>
      <c r="O2978" s="14"/>
      <c r="P2978" s="15" t="s">
        <v>745</v>
      </c>
      <c r="Q2978" s="16">
        <v>17399</v>
      </c>
      <c r="R2978" s="17">
        <v>40</v>
      </c>
      <c r="S2978" s="18">
        <v>12005.31</v>
      </c>
      <c r="T2978" s="19" t="s">
        <v>36</v>
      </c>
      <c r="U2978" s="20" t="s">
        <v>746</v>
      </c>
      <c r="V2978" s="22">
        <v>37</v>
      </c>
      <c r="W2978" s="22">
        <v>5</v>
      </c>
      <c r="X2978" s="23"/>
    </row>
    <row r="2979" spans="1:24" s="1" customFormat="1" ht="14" customHeight="1" x14ac:dyDescent="0.3">
      <c r="A2979" s="24" t="s">
        <v>23</v>
      </c>
      <c r="B2979" s="24" t="s">
        <v>2595</v>
      </c>
      <c r="C2979" s="12" t="s">
        <v>2597</v>
      </c>
      <c r="D2979" s="60"/>
      <c r="E2979" s="41" t="str">
        <f t="shared" si="144"/>
        <v>Еще фото</v>
      </c>
      <c r="F2979" s="13" t="s">
        <v>103</v>
      </c>
      <c r="G2979" s="24" t="s">
        <v>1184</v>
      </c>
      <c r="H2979" s="24" t="s">
        <v>741</v>
      </c>
      <c r="I2979" s="24" t="s">
        <v>2439</v>
      </c>
      <c r="J2979" s="14" t="s">
        <v>43</v>
      </c>
      <c r="K2979" s="15" t="s">
        <v>59</v>
      </c>
      <c r="L2979" s="62"/>
      <c r="M2979" s="14"/>
      <c r="N2979" s="14" t="s">
        <v>1957</v>
      </c>
      <c r="O2979" s="14"/>
      <c r="P2979" s="15" t="s">
        <v>745</v>
      </c>
      <c r="Q2979" s="16">
        <v>17399</v>
      </c>
      <c r="R2979" s="17">
        <v>40</v>
      </c>
      <c r="S2979" s="18">
        <v>12005.31</v>
      </c>
      <c r="T2979" s="19" t="s">
        <v>36</v>
      </c>
      <c r="U2979" s="20" t="s">
        <v>747</v>
      </c>
      <c r="V2979" s="34">
        <v>37.5</v>
      </c>
      <c r="W2979" s="22">
        <v>5</v>
      </c>
      <c r="X2979" s="23"/>
    </row>
    <row r="2980" spans="1:24" s="1" customFormat="1" ht="14" customHeight="1" x14ac:dyDescent="0.3">
      <c r="A2980" s="24" t="s">
        <v>23</v>
      </c>
      <c r="B2980" s="24" t="s">
        <v>2595</v>
      </c>
      <c r="C2980" s="12" t="s">
        <v>2597</v>
      </c>
      <c r="D2980" s="60"/>
      <c r="E2980" s="41" t="str">
        <f t="shared" si="144"/>
        <v>Еще фото</v>
      </c>
      <c r="F2980" s="13" t="s">
        <v>103</v>
      </c>
      <c r="G2980" s="24" t="s">
        <v>1184</v>
      </c>
      <c r="H2980" s="24" t="s">
        <v>741</v>
      </c>
      <c r="I2980" s="24" t="s">
        <v>2439</v>
      </c>
      <c r="J2980" s="14" t="s">
        <v>43</v>
      </c>
      <c r="K2980" s="15" t="s">
        <v>59</v>
      </c>
      <c r="L2980" s="62"/>
      <c r="M2980" s="14"/>
      <c r="N2980" s="14" t="s">
        <v>1957</v>
      </c>
      <c r="O2980" s="14"/>
      <c r="P2980" s="15" t="s">
        <v>745</v>
      </c>
      <c r="Q2980" s="16">
        <v>17399</v>
      </c>
      <c r="R2980" s="17">
        <v>40</v>
      </c>
      <c r="S2980" s="18">
        <v>12005.31</v>
      </c>
      <c r="T2980" s="19" t="s">
        <v>36</v>
      </c>
      <c r="U2980" s="20" t="s">
        <v>748</v>
      </c>
      <c r="V2980" s="22">
        <v>38</v>
      </c>
      <c r="W2980" s="22">
        <v>3</v>
      </c>
      <c r="X2980" s="23"/>
    </row>
    <row r="2981" spans="1:24" s="1" customFormat="1" ht="14" customHeight="1" x14ac:dyDescent="0.3">
      <c r="A2981" s="24" t="s">
        <v>23</v>
      </c>
      <c r="B2981" s="24" t="s">
        <v>2595</v>
      </c>
      <c r="C2981" s="12" t="s">
        <v>2597</v>
      </c>
      <c r="D2981" s="60"/>
      <c r="E2981" s="41" t="str">
        <f t="shared" si="144"/>
        <v>Еще фото</v>
      </c>
      <c r="F2981" s="13" t="s">
        <v>103</v>
      </c>
      <c r="G2981" s="24" t="s">
        <v>1184</v>
      </c>
      <c r="H2981" s="24" t="s">
        <v>741</v>
      </c>
      <c r="I2981" s="24" t="s">
        <v>2439</v>
      </c>
      <c r="J2981" s="14" t="s">
        <v>43</v>
      </c>
      <c r="K2981" s="15" t="s">
        <v>59</v>
      </c>
      <c r="L2981" s="62"/>
      <c r="M2981" s="14"/>
      <c r="N2981" s="14" t="s">
        <v>1957</v>
      </c>
      <c r="O2981" s="14"/>
      <c r="P2981" s="15" t="s">
        <v>745</v>
      </c>
      <c r="Q2981" s="16">
        <v>17399</v>
      </c>
      <c r="R2981" s="17">
        <v>40</v>
      </c>
      <c r="S2981" s="18">
        <v>12005.31</v>
      </c>
      <c r="T2981" s="19" t="s">
        <v>36</v>
      </c>
      <c r="U2981" s="20" t="s">
        <v>749</v>
      </c>
      <c r="V2981" s="22">
        <v>39</v>
      </c>
      <c r="W2981" s="22">
        <v>2</v>
      </c>
      <c r="X2981" s="23"/>
    </row>
    <row r="2982" spans="1:24" s="1" customFormat="1" ht="17" customHeight="1" x14ac:dyDescent="0.3">
      <c r="A2982" s="24" t="s">
        <v>23</v>
      </c>
      <c r="B2982" s="24" t="s">
        <v>2595</v>
      </c>
      <c r="C2982" s="12" t="s">
        <v>2597</v>
      </c>
      <c r="D2982" s="61"/>
      <c r="E2982" s="41" t="str">
        <f t="shared" si="144"/>
        <v>Еще фото</v>
      </c>
      <c r="F2982" s="13" t="s">
        <v>103</v>
      </c>
      <c r="G2982" s="24" t="s">
        <v>1184</v>
      </c>
      <c r="H2982" s="24" t="s">
        <v>741</v>
      </c>
      <c r="I2982" s="24" t="s">
        <v>2439</v>
      </c>
      <c r="J2982" s="14" t="s">
        <v>43</v>
      </c>
      <c r="K2982" s="15" t="s">
        <v>59</v>
      </c>
      <c r="L2982" s="58"/>
      <c r="M2982" s="14"/>
      <c r="N2982" s="14" t="s">
        <v>1957</v>
      </c>
      <c r="O2982" s="14"/>
      <c r="P2982" s="15" t="s">
        <v>745</v>
      </c>
      <c r="Q2982" s="16">
        <v>17399</v>
      </c>
      <c r="R2982" s="17">
        <v>40</v>
      </c>
      <c r="S2982" s="18">
        <v>12005.31</v>
      </c>
      <c r="T2982" s="19" t="s">
        <v>36</v>
      </c>
      <c r="U2982" s="20" t="s">
        <v>750</v>
      </c>
      <c r="V2982" s="34">
        <v>39.5</v>
      </c>
      <c r="W2982" s="22">
        <v>3</v>
      </c>
      <c r="X2982" s="23"/>
    </row>
    <row r="2983" spans="1:24" s="1" customFormat="1" ht="14" customHeight="1" x14ac:dyDescent="0.3">
      <c r="A2983" s="11" t="s">
        <v>23</v>
      </c>
      <c r="B2983" s="11" t="s">
        <v>2598</v>
      </c>
      <c r="C2983" s="12" t="s">
        <v>2599</v>
      </c>
      <c r="D2983" s="59"/>
      <c r="E2983" s="41" t="str">
        <f t="shared" ref="E2983:E2989" si="145">HYPERLINK("https://www.google.ru/search?q=6007575-001&amp;newwindow=1&amp;tbm=isch","Еще фото")</f>
        <v>Еще фото</v>
      </c>
      <c r="F2983" s="13"/>
      <c r="G2983" s="11" t="s">
        <v>1184</v>
      </c>
      <c r="H2983" s="11" t="s">
        <v>741</v>
      </c>
      <c r="I2983" s="14" t="s">
        <v>2439</v>
      </c>
      <c r="J2983" s="14" t="s">
        <v>43</v>
      </c>
      <c r="K2983" s="15" t="s">
        <v>59</v>
      </c>
      <c r="L2983" s="57" t="s">
        <v>2600</v>
      </c>
      <c r="M2983" s="14"/>
      <c r="N2983" s="14" t="s">
        <v>33</v>
      </c>
      <c r="O2983" s="14"/>
      <c r="P2983" s="15" t="s">
        <v>1457</v>
      </c>
      <c r="Q2983" s="16">
        <v>11899</v>
      </c>
      <c r="R2983" s="17">
        <v>40</v>
      </c>
      <c r="S2983" s="18">
        <v>8210.31</v>
      </c>
      <c r="T2983" s="19" t="s">
        <v>36</v>
      </c>
      <c r="U2983" s="20" t="s">
        <v>1203</v>
      </c>
      <c r="V2983" s="22">
        <v>36</v>
      </c>
      <c r="W2983" s="22">
        <v>4</v>
      </c>
      <c r="X2983" s="23"/>
    </row>
    <row r="2984" spans="1:24" s="1" customFormat="1" ht="14" customHeight="1" x14ac:dyDescent="0.3">
      <c r="A2984" s="24" t="s">
        <v>23</v>
      </c>
      <c r="B2984" s="24" t="s">
        <v>2598</v>
      </c>
      <c r="C2984" s="12" t="s">
        <v>2599</v>
      </c>
      <c r="D2984" s="60"/>
      <c r="E2984" s="41" t="str">
        <f t="shared" si="145"/>
        <v>Еще фото</v>
      </c>
      <c r="F2984" s="13"/>
      <c r="G2984" s="24" t="s">
        <v>1184</v>
      </c>
      <c r="H2984" s="24" t="s">
        <v>741</v>
      </c>
      <c r="I2984" s="24" t="s">
        <v>2439</v>
      </c>
      <c r="J2984" s="14" t="s">
        <v>43</v>
      </c>
      <c r="K2984" s="15" t="s">
        <v>59</v>
      </c>
      <c r="L2984" s="62"/>
      <c r="M2984" s="14"/>
      <c r="N2984" s="14" t="s">
        <v>33</v>
      </c>
      <c r="O2984" s="14"/>
      <c r="P2984" s="15" t="s">
        <v>1457</v>
      </c>
      <c r="Q2984" s="16">
        <v>11899</v>
      </c>
      <c r="R2984" s="17">
        <v>40</v>
      </c>
      <c r="S2984" s="18">
        <v>8210.31</v>
      </c>
      <c r="T2984" s="19" t="s">
        <v>36</v>
      </c>
      <c r="U2984" s="20" t="s">
        <v>1196</v>
      </c>
      <c r="V2984" s="34">
        <v>36.5</v>
      </c>
      <c r="W2984" s="22">
        <v>5</v>
      </c>
      <c r="X2984" s="23"/>
    </row>
    <row r="2985" spans="1:24" s="1" customFormat="1" ht="14" customHeight="1" x14ac:dyDescent="0.3">
      <c r="A2985" s="24" t="s">
        <v>23</v>
      </c>
      <c r="B2985" s="24" t="s">
        <v>2598</v>
      </c>
      <c r="C2985" s="12" t="s">
        <v>2599</v>
      </c>
      <c r="D2985" s="60"/>
      <c r="E2985" s="41" t="str">
        <f t="shared" si="145"/>
        <v>Еще фото</v>
      </c>
      <c r="F2985" s="13"/>
      <c r="G2985" s="24" t="s">
        <v>1184</v>
      </c>
      <c r="H2985" s="24" t="s">
        <v>741</v>
      </c>
      <c r="I2985" s="24" t="s">
        <v>2439</v>
      </c>
      <c r="J2985" s="14" t="s">
        <v>43</v>
      </c>
      <c r="K2985" s="15" t="s">
        <v>59</v>
      </c>
      <c r="L2985" s="62"/>
      <c r="M2985" s="14"/>
      <c r="N2985" s="14" t="s">
        <v>33</v>
      </c>
      <c r="O2985" s="14"/>
      <c r="P2985" s="15" t="s">
        <v>1457</v>
      </c>
      <c r="Q2985" s="16">
        <v>11899</v>
      </c>
      <c r="R2985" s="17">
        <v>40</v>
      </c>
      <c r="S2985" s="18">
        <v>8210.31</v>
      </c>
      <c r="T2985" s="19" t="s">
        <v>36</v>
      </c>
      <c r="U2985" s="20" t="s">
        <v>746</v>
      </c>
      <c r="V2985" s="22">
        <v>37</v>
      </c>
      <c r="W2985" s="22">
        <v>11</v>
      </c>
      <c r="X2985" s="23"/>
    </row>
    <row r="2986" spans="1:24" s="1" customFormat="1" ht="14" customHeight="1" x14ac:dyDescent="0.3">
      <c r="A2986" s="24" t="s">
        <v>23</v>
      </c>
      <c r="B2986" s="24" t="s">
        <v>2598</v>
      </c>
      <c r="C2986" s="12" t="s">
        <v>2599</v>
      </c>
      <c r="D2986" s="60"/>
      <c r="E2986" s="41" t="str">
        <f t="shared" si="145"/>
        <v>Еще фото</v>
      </c>
      <c r="F2986" s="13"/>
      <c r="G2986" s="24" t="s">
        <v>1184</v>
      </c>
      <c r="H2986" s="24" t="s">
        <v>741</v>
      </c>
      <c r="I2986" s="24" t="s">
        <v>2439</v>
      </c>
      <c r="J2986" s="14" t="s">
        <v>43</v>
      </c>
      <c r="K2986" s="15" t="s">
        <v>59</v>
      </c>
      <c r="L2986" s="62"/>
      <c r="M2986" s="14"/>
      <c r="N2986" s="14" t="s">
        <v>33</v>
      </c>
      <c r="O2986" s="14"/>
      <c r="P2986" s="15" t="s">
        <v>1457</v>
      </c>
      <c r="Q2986" s="16">
        <v>11899</v>
      </c>
      <c r="R2986" s="17">
        <v>40</v>
      </c>
      <c r="S2986" s="18">
        <v>8210.31</v>
      </c>
      <c r="T2986" s="19" t="s">
        <v>36</v>
      </c>
      <c r="U2986" s="20" t="s">
        <v>747</v>
      </c>
      <c r="V2986" s="34">
        <v>37.5</v>
      </c>
      <c r="W2986" s="22">
        <v>10</v>
      </c>
      <c r="X2986" s="23"/>
    </row>
    <row r="2987" spans="1:24" s="1" customFormat="1" ht="14" customHeight="1" x14ac:dyDescent="0.3">
      <c r="A2987" s="24" t="s">
        <v>23</v>
      </c>
      <c r="B2987" s="24" t="s">
        <v>2598</v>
      </c>
      <c r="C2987" s="12" t="s">
        <v>2599</v>
      </c>
      <c r="D2987" s="60"/>
      <c r="E2987" s="41" t="str">
        <f t="shared" si="145"/>
        <v>Еще фото</v>
      </c>
      <c r="F2987" s="13"/>
      <c r="G2987" s="24" t="s">
        <v>1184</v>
      </c>
      <c r="H2987" s="24" t="s">
        <v>741</v>
      </c>
      <c r="I2987" s="24" t="s">
        <v>2439</v>
      </c>
      <c r="J2987" s="14" t="s">
        <v>43</v>
      </c>
      <c r="K2987" s="15" t="s">
        <v>59</v>
      </c>
      <c r="L2987" s="62"/>
      <c r="M2987" s="14"/>
      <c r="N2987" s="14" t="s">
        <v>33</v>
      </c>
      <c r="O2987" s="14"/>
      <c r="P2987" s="15" t="s">
        <v>1457</v>
      </c>
      <c r="Q2987" s="16">
        <v>11899</v>
      </c>
      <c r="R2987" s="17">
        <v>40</v>
      </c>
      <c r="S2987" s="18">
        <v>8210.31</v>
      </c>
      <c r="T2987" s="19" t="s">
        <v>36</v>
      </c>
      <c r="U2987" s="20" t="s">
        <v>748</v>
      </c>
      <c r="V2987" s="22">
        <v>38</v>
      </c>
      <c r="W2987" s="22">
        <v>7</v>
      </c>
      <c r="X2987" s="23"/>
    </row>
    <row r="2988" spans="1:24" s="1" customFormat="1" ht="14" customHeight="1" x14ac:dyDescent="0.3">
      <c r="A2988" s="24" t="s">
        <v>23</v>
      </c>
      <c r="B2988" s="24" t="s">
        <v>2598</v>
      </c>
      <c r="C2988" s="12" t="s">
        <v>2599</v>
      </c>
      <c r="D2988" s="60"/>
      <c r="E2988" s="41" t="str">
        <f t="shared" si="145"/>
        <v>Еще фото</v>
      </c>
      <c r="F2988" s="13"/>
      <c r="G2988" s="24" t="s">
        <v>1184</v>
      </c>
      <c r="H2988" s="24" t="s">
        <v>741</v>
      </c>
      <c r="I2988" s="24" t="s">
        <v>2439</v>
      </c>
      <c r="J2988" s="14" t="s">
        <v>43</v>
      </c>
      <c r="K2988" s="15" t="s">
        <v>59</v>
      </c>
      <c r="L2988" s="62"/>
      <c r="M2988" s="14"/>
      <c r="N2988" s="14" t="s">
        <v>33</v>
      </c>
      <c r="O2988" s="14"/>
      <c r="P2988" s="15" t="s">
        <v>1457</v>
      </c>
      <c r="Q2988" s="16">
        <v>11899</v>
      </c>
      <c r="R2988" s="17">
        <v>40</v>
      </c>
      <c r="S2988" s="18">
        <v>8210.31</v>
      </c>
      <c r="T2988" s="19" t="s">
        <v>36</v>
      </c>
      <c r="U2988" s="20" t="s">
        <v>750</v>
      </c>
      <c r="V2988" s="34">
        <v>39.5</v>
      </c>
      <c r="W2988" s="22">
        <v>3</v>
      </c>
      <c r="X2988" s="23"/>
    </row>
    <row r="2989" spans="1:24" s="1" customFormat="1" ht="17" customHeight="1" x14ac:dyDescent="0.3">
      <c r="A2989" s="24" t="s">
        <v>23</v>
      </c>
      <c r="B2989" s="24" t="s">
        <v>2598</v>
      </c>
      <c r="C2989" s="12" t="s">
        <v>2599</v>
      </c>
      <c r="D2989" s="61"/>
      <c r="E2989" s="41" t="str">
        <f t="shared" si="145"/>
        <v>Еще фото</v>
      </c>
      <c r="F2989" s="13"/>
      <c r="G2989" s="24" t="s">
        <v>1184</v>
      </c>
      <c r="H2989" s="24" t="s">
        <v>741</v>
      </c>
      <c r="I2989" s="24" t="s">
        <v>2439</v>
      </c>
      <c r="J2989" s="14" t="s">
        <v>43</v>
      </c>
      <c r="K2989" s="15" t="s">
        <v>59</v>
      </c>
      <c r="L2989" s="58"/>
      <c r="M2989" s="14"/>
      <c r="N2989" s="14" t="s">
        <v>33</v>
      </c>
      <c r="O2989" s="14"/>
      <c r="P2989" s="15" t="s">
        <v>1457</v>
      </c>
      <c r="Q2989" s="16">
        <v>11899</v>
      </c>
      <c r="R2989" s="17">
        <v>40</v>
      </c>
      <c r="S2989" s="18">
        <v>8210.31</v>
      </c>
      <c r="T2989" s="19" t="s">
        <v>36</v>
      </c>
      <c r="U2989" s="20" t="s">
        <v>751</v>
      </c>
      <c r="V2989" s="22">
        <v>40</v>
      </c>
      <c r="W2989" s="22">
        <v>2</v>
      </c>
      <c r="X2989" s="23"/>
    </row>
    <row r="2990" spans="1:24" s="1" customFormat="1" ht="108" customHeight="1" x14ac:dyDescent="0.3">
      <c r="A2990" s="11" t="s">
        <v>23</v>
      </c>
      <c r="B2990" s="11" t="s">
        <v>2598</v>
      </c>
      <c r="C2990" s="12" t="s">
        <v>2601</v>
      </c>
      <c r="D2990" s="25"/>
      <c r="E2990" s="41" t="str">
        <f>HYPERLINK("https://www.google.ru/search?q=6007575-110&amp;newwindow=1&amp;tbm=isch","Еще фото")</f>
        <v>Еще фото</v>
      </c>
      <c r="F2990" s="13"/>
      <c r="G2990" s="11" t="s">
        <v>1184</v>
      </c>
      <c r="H2990" s="11" t="s">
        <v>741</v>
      </c>
      <c r="I2990" s="14" t="s">
        <v>2439</v>
      </c>
      <c r="J2990" s="14" t="s">
        <v>43</v>
      </c>
      <c r="K2990" s="15" t="s">
        <v>59</v>
      </c>
      <c r="L2990" s="14" t="s">
        <v>2600</v>
      </c>
      <c r="M2990" s="14"/>
      <c r="N2990" s="14" t="s">
        <v>229</v>
      </c>
      <c r="O2990" s="14"/>
      <c r="P2990" s="15" t="s">
        <v>1457</v>
      </c>
      <c r="Q2990" s="16">
        <v>11899</v>
      </c>
      <c r="R2990" s="17">
        <v>40</v>
      </c>
      <c r="S2990" s="18">
        <v>8210.31</v>
      </c>
      <c r="T2990" s="19" t="s">
        <v>36</v>
      </c>
      <c r="U2990" s="20" t="s">
        <v>746</v>
      </c>
      <c r="V2990" s="22">
        <v>37</v>
      </c>
      <c r="W2990" s="22">
        <v>1</v>
      </c>
      <c r="X2990" s="23"/>
    </row>
    <row r="2991" spans="1:24" s="1" customFormat="1" ht="11" customHeight="1" x14ac:dyDescent="0.3">
      <c r="A2991" s="11" t="s">
        <v>23</v>
      </c>
      <c r="B2991" s="11" t="s">
        <v>2602</v>
      </c>
      <c r="C2991" s="12" t="s">
        <v>2603</v>
      </c>
      <c r="D2991" s="59"/>
      <c r="E2991" s="41" t="str">
        <f t="shared" ref="E2991:E2999" si="146">HYPERLINK("https://www.google.ru/search?q=6008992-002&amp;newwindow=1&amp;tbm=isch","Еще фото")</f>
        <v>Еще фото</v>
      </c>
      <c r="F2991" s="13"/>
      <c r="G2991" s="11" t="s">
        <v>1184</v>
      </c>
      <c r="H2991" s="11" t="s">
        <v>741</v>
      </c>
      <c r="I2991" s="14" t="s">
        <v>2439</v>
      </c>
      <c r="J2991" s="14" t="s">
        <v>43</v>
      </c>
      <c r="K2991" s="15" t="s">
        <v>723</v>
      </c>
      <c r="L2991" s="57" t="s">
        <v>2604</v>
      </c>
      <c r="M2991" s="14"/>
      <c r="N2991" s="14" t="s">
        <v>33</v>
      </c>
      <c r="O2991" s="14"/>
      <c r="P2991" s="15" t="s">
        <v>745</v>
      </c>
      <c r="Q2991" s="16">
        <v>15799</v>
      </c>
      <c r="R2991" s="17">
        <v>40</v>
      </c>
      <c r="S2991" s="18">
        <v>10901.31</v>
      </c>
      <c r="T2991" s="19" t="s">
        <v>36</v>
      </c>
      <c r="U2991" s="20" t="s">
        <v>1445</v>
      </c>
      <c r="V2991" s="34">
        <v>39.5</v>
      </c>
      <c r="W2991" s="22">
        <v>4</v>
      </c>
      <c r="X2991" s="23"/>
    </row>
    <row r="2992" spans="1:24" s="1" customFormat="1" ht="11" customHeight="1" x14ac:dyDescent="0.3">
      <c r="A2992" s="24" t="s">
        <v>23</v>
      </c>
      <c r="B2992" s="24" t="s">
        <v>2602</v>
      </c>
      <c r="C2992" s="12" t="s">
        <v>2603</v>
      </c>
      <c r="D2992" s="60"/>
      <c r="E2992" s="41" t="str">
        <f t="shared" si="146"/>
        <v>Еще фото</v>
      </c>
      <c r="F2992" s="13"/>
      <c r="G2992" s="24" t="s">
        <v>1184</v>
      </c>
      <c r="H2992" s="24" t="s">
        <v>741</v>
      </c>
      <c r="I2992" s="24" t="s">
        <v>2439</v>
      </c>
      <c r="J2992" s="14" t="s">
        <v>43</v>
      </c>
      <c r="K2992" s="15" t="s">
        <v>723</v>
      </c>
      <c r="L2992" s="62"/>
      <c r="M2992" s="14"/>
      <c r="N2992" s="14" t="s">
        <v>33</v>
      </c>
      <c r="O2992" s="14"/>
      <c r="P2992" s="15" t="s">
        <v>745</v>
      </c>
      <c r="Q2992" s="16">
        <v>15799</v>
      </c>
      <c r="R2992" s="17">
        <v>40</v>
      </c>
      <c r="S2992" s="18">
        <v>10901.31</v>
      </c>
      <c r="T2992" s="19" t="s">
        <v>36</v>
      </c>
      <c r="U2992" s="20" t="s">
        <v>1345</v>
      </c>
      <c r="V2992" s="22">
        <v>41</v>
      </c>
      <c r="W2992" s="22">
        <v>4</v>
      </c>
      <c r="X2992" s="23"/>
    </row>
    <row r="2993" spans="1:24" s="1" customFormat="1" ht="11" customHeight="1" x14ac:dyDescent="0.3">
      <c r="A2993" s="24" t="s">
        <v>23</v>
      </c>
      <c r="B2993" s="24" t="s">
        <v>2602</v>
      </c>
      <c r="C2993" s="12" t="s">
        <v>2603</v>
      </c>
      <c r="D2993" s="60"/>
      <c r="E2993" s="41" t="str">
        <f t="shared" si="146"/>
        <v>Еще фото</v>
      </c>
      <c r="F2993" s="13"/>
      <c r="G2993" s="24" t="s">
        <v>1184</v>
      </c>
      <c r="H2993" s="24" t="s">
        <v>741</v>
      </c>
      <c r="I2993" s="24" t="s">
        <v>2439</v>
      </c>
      <c r="J2993" s="14" t="s">
        <v>43</v>
      </c>
      <c r="K2993" s="15" t="s">
        <v>723</v>
      </c>
      <c r="L2993" s="62"/>
      <c r="M2993" s="14"/>
      <c r="N2993" s="14" t="s">
        <v>33</v>
      </c>
      <c r="O2993" s="14"/>
      <c r="P2993" s="15" t="s">
        <v>745</v>
      </c>
      <c r="Q2993" s="16">
        <v>15799</v>
      </c>
      <c r="R2993" s="17">
        <v>40</v>
      </c>
      <c r="S2993" s="18">
        <v>10901.31</v>
      </c>
      <c r="T2993" s="19" t="s">
        <v>36</v>
      </c>
      <c r="U2993" s="20" t="s">
        <v>1346</v>
      </c>
      <c r="V2993" s="34">
        <v>41.5</v>
      </c>
      <c r="W2993" s="22">
        <v>5</v>
      </c>
      <c r="X2993" s="23"/>
    </row>
    <row r="2994" spans="1:24" s="1" customFormat="1" ht="11" customHeight="1" x14ac:dyDescent="0.3">
      <c r="A2994" s="24" t="s">
        <v>23</v>
      </c>
      <c r="B2994" s="24" t="s">
        <v>2602</v>
      </c>
      <c r="C2994" s="12" t="s">
        <v>2603</v>
      </c>
      <c r="D2994" s="60"/>
      <c r="E2994" s="41" t="str">
        <f t="shared" si="146"/>
        <v>Еще фото</v>
      </c>
      <c r="F2994" s="13"/>
      <c r="G2994" s="24" t="s">
        <v>1184</v>
      </c>
      <c r="H2994" s="24" t="s">
        <v>741</v>
      </c>
      <c r="I2994" s="24" t="s">
        <v>2439</v>
      </c>
      <c r="J2994" s="14" t="s">
        <v>43</v>
      </c>
      <c r="K2994" s="15" t="s">
        <v>723</v>
      </c>
      <c r="L2994" s="62"/>
      <c r="M2994" s="14"/>
      <c r="N2994" s="14" t="s">
        <v>33</v>
      </c>
      <c r="O2994" s="14"/>
      <c r="P2994" s="15" t="s">
        <v>745</v>
      </c>
      <c r="Q2994" s="16">
        <v>15799</v>
      </c>
      <c r="R2994" s="17">
        <v>40</v>
      </c>
      <c r="S2994" s="18">
        <v>10901.31</v>
      </c>
      <c r="T2994" s="19" t="s">
        <v>36</v>
      </c>
      <c r="U2994" s="20" t="s">
        <v>1326</v>
      </c>
      <c r="V2994" s="22">
        <v>42</v>
      </c>
      <c r="W2994" s="22">
        <v>8</v>
      </c>
      <c r="X2994" s="23"/>
    </row>
    <row r="2995" spans="1:24" s="1" customFormat="1" ht="11" customHeight="1" x14ac:dyDescent="0.3">
      <c r="A2995" s="24" t="s">
        <v>23</v>
      </c>
      <c r="B2995" s="24" t="s">
        <v>2602</v>
      </c>
      <c r="C2995" s="12" t="s">
        <v>2603</v>
      </c>
      <c r="D2995" s="60"/>
      <c r="E2995" s="41" t="str">
        <f t="shared" si="146"/>
        <v>Еще фото</v>
      </c>
      <c r="F2995" s="13"/>
      <c r="G2995" s="24" t="s">
        <v>1184</v>
      </c>
      <c r="H2995" s="24" t="s">
        <v>741</v>
      </c>
      <c r="I2995" s="24" t="s">
        <v>2439</v>
      </c>
      <c r="J2995" s="14" t="s">
        <v>43</v>
      </c>
      <c r="K2995" s="15" t="s">
        <v>723</v>
      </c>
      <c r="L2995" s="62"/>
      <c r="M2995" s="14"/>
      <c r="N2995" s="14" t="s">
        <v>33</v>
      </c>
      <c r="O2995" s="14"/>
      <c r="P2995" s="15" t="s">
        <v>745</v>
      </c>
      <c r="Q2995" s="16">
        <v>15799</v>
      </c>
      <c r="R2995" s="17">
        <v>40</v>
      </c>
      <c r="S2995" s="18">
        <v>10901.31</v>
      </c>
      <c r="T2995" s="19" t="s">
        <v>36</v>
      </c>
      <c r="U2995" s="20" t="s">
        <v>1347</v>
      </c>
      <c r="V2995" s="22">
        <v>43</v>
      </c>
      <c r="W2995" s="22">
        <v>8</v>
      </c>
      <c r="X2995" s="23"/>
    </row>
    <row r="2996" spans="1:24" s="1" customFormat="1" ht="11" customHeight="1" x14ac:dyDescent="0.3">
      <c r="A2996" s="24" t="s">
        <v>23</v>
      </c>
      <c r="B2996" s="24" t="s">
        <v>2602</v>
      </c>
      <c r="C2996" s="12" t="s">
        <v>2603</v>
      </c>
      <c r="D2996" s="60"/>
      <c r="E2996" s="41" t="str">
        <f t="shared" si="146"/>
        <v>Еще фото</v>
      </c>
      <c r="F2996" s="13"/>
      <c r="G2996" s="24" t="s">
        <v>1184</v>
      </c>
      <c r="H2996" s="24" t="s">
        <v>741</v>
      </c>
      <c r="I2996" s="24" t="s">
        <v>2439</v>
      </c>
      <c r="J2996" s="14" t="s">
        <v>43</v>
      </c>
      <c r="K2996" s="15" t="s">
        <v>723</v>
      </c>
      <c r="L2996" s="62"/>
      <c r="M2996" s="14"/>
      <c r="N2996" s="14" t="s">
        <v>33</v>
      </c>
      <c r="O2996" s="14"/>
      <c r="P2996" s="15" t="s">
        <v>745</v>
      </c>
      <c r="Q2996" s="16">
        <v>15799</v>
      </c>
      <c r="R2996" s="17">
        <v>40</v>
      </c>
      <c r="S2996" s="18">
        <v>10901.31</v>
      </c>
      <c r="T2996" s="19" t="s">
        <v>36</v>
      </c>
      <c r="U2996" s="20" t="s">
        <v>1348</v>
      </c>
      <c r="V2996" s="34">
        <v>43.5</v>
      </c>
      <c r="W2996" s="22">
        <v>10</v>
      </c>
      <c r="X2996" s="23"/>
    </row>
    <row r="2997" spans="1:24" s="1" customFormat="1" ht="11" customHeight="1" x14ac:dyDescent="0.3">
      <c r="A2997" s="24" t="s">
        <v>23</v>
      </c>
      <c r="B2997" s="24" t="s">
        <v>2602</v>
      </c>
      <c r="C2997" s="12" t="s">
        <v>2603</v>
      </c>
      <c r="D2997" s="60"/>
      <c r="E2997" s="41" t="str">
        <f t="shared" si="146"/>
        <v>Еще фото</v>
      </c>
      <c r="F2997" s="13"/>
      <c r="G2997" s="24" t="s">
        <v>1184</v>
      </c>
      <c r="H2997" s="24" t="s">
        <v>741</v>
      </c>
      <c r="I2997" s="24" t="s">
        <v>2439</v>
      </c>
      <c r="J2997" s="14" t="s">
        <v>43</v>
      </c>
      <c r="K2997" s="15" t="s">
        <v>723</v>
      </c>
      <c r="L2997" s="62"/>
      <c r="M2997" s="14"/>
      <c r="N2997" s="14" t="s">
        <v>33</v>
      </c>
      <c r="O2997" s="14"/>
      <c r="P2997" s="15" t="s">
        <v>745</v>
      </c>
      <c r="Q2997" s="16">
        <v>15799</v>
      </c>
      <c r="R2997" s="17">
        <v>40</v>
      </c>
      <c r="S2997" s="18">
        <v>10901.31</v>
      </c>
      <c r="T2997" s="19" t="s">
        <v>36</v>
      </c>
      <c r="U2997" s="20" t="s">
        <v>1327</v>
      </c>
      <c r="V2997" s="22">
        <v>44</v>
      </c>
      <c r="W2997" s="22">
        <v>13</v>
      </c>
      <c r="X2997" s="23"/>
    </row>
    <row r="2998" spans="1:24" s="1" customFormat="1" ht="11" customHeight="1" x14ac:dyDescent="0.3">
      <c r="A2998" s="24" t="s">
        <v>23</v>
      </c>
      <c r="B2998" s="24" t="s">
        <v>2602</v>
      </c>
      <c r="C2998" s="12" t="s">
        <v>2603</v>
      </c>
      <c r="D2998" s="60"/>
      <c r="E2998" s="41" t="str">
        <f t="shared" si="146"/>
        <v>Еще фото</v>
      </c>
      <c r="F2998" s="13"/>
      <c r="G2998" s="24" t="s">
        <v>1184</v>
      </c>
      <c r="H2998" s="24" t="s">
        <v>741</v>
      </c>
      <c r="I2998" s="24" t="s">
        <v>2439</v>
      </c>
      <c r="J2998" s="14" t="s">
        <v>43</v>
      </c>
      <c r="K2998" s="15" t="s">
        <v>723</v>
      </c>
      <c r="L2998" s="62"/>
      <c r="M2998" s="14"/>
      <c r="N2998" s="14" t="s">
        <v>33</v>
      </c>
      <c r="O2998" s="14"/>
      <c r="P2998" s="15" t="s">
        <v>745</v>
      </c>
      <c r="Q2998" s="16">
        <v>15799</v>
      </c>
      <c r="R2998" s="17">
        <v>40</v>
      </c>
      <c r="S2998" s="18">
        <v>10901.31</v>
      </c>
      <c r="T2998" s="19" t="s">
        <v>36</v>
      </c>
      <c r="U2998" s="20" t="s">
        <v>1349</v>
      </c>
      <c r="V2998" s="34">
        <v>44.5</v>
      </c>
      <c r="W2998" s="22">
        <v>6</v>
      </c>
      <c r="X2998" s="23"/>
    </row>
    <row r="2999" spans="1:24" s="1" customFormat="1" ht="11" customHeight="1" x14ac:dyDescent="0.3">
      <c r="A2999" s="24" t="s">
        <v>23</v>
      </c>
      <c r="B2999" s="24" t="s">
        <v>2602</v>
      </c>
      <c r="C2999" s="12" t="s">
        <v>2603</v>
      </c>
      <c r="D2999" s="61"/>
      <c r="E2999" s="41" t="str">
        <f t="shared" si="146"/>
        <v>Еще фото</v>
      </c>
      <c r="F2999" s="13"/>
      <c r="G2999" s="24" t="s">
        <v>1184</v>
      </c>
      <c r="H2999" s="24" t="s">
        <v>741</v>
      </c>
      <c r="I2999" s="24" t="s">
        <v>2439</v>
      </c>
      <c r="J2999" s="14" t="s">
        <v>43</v>
      </c>
      <c r="K2999" s="15" t="s">
        <v>723</v>
      </c>
      <c r="L2999" s="58"/>
      <c r="M2999" s="14"/>
      <c r="N2999" s="14" t="s">
        <v>33</v>
      </c>
      <c r="O2999" s="14"/>
      <c r="P2999" s="15" t="s">
        <v>745</v>
      </c>
      <c r="Q2999" s="16">
        <v>15799</v>
      </c>
      <c r="R2999" s="17">
        <v>40</v>
      </c>
      <c r="S2999" s="18">
        <v>10901.31</v>
      </c>
      <c r="T2999" s="19" t="s">
        <v>36</v>
      </c>
      <c r="U2999" s="20" t="s">
        <v>2359</v>
      </c>
      <c r="V2999" s="22">
        <v>45</v>
      </c>
      <c r="W2999" s="22">
        <v>5</v>
      </c>
      <c r="X2999" s="23"/>
    </row>
    <row r="3000" spans="1:24" s="1" customFormat="1" ht="13.05" customHeight="1" x14ac:dyDescent="0.3">
      <c r="A3000" s="11" t="s">
        <v>23</v>
      </c>
      <c r="B3000" s="11" t="s">
        <v>2602</v>
      </c>
      <c r="C3000" s="12" t="s">
        <v>2605</v>
      </c>
      <c r="D3000" s="59"/>
      <c r="E3000" s="41" t="str">
        <f t="shared" ref="E3000:E3007" si="147">HYPERLINK("https://www.google.ru/search?q=6008992-338&amp;newwindow=1&amp;tbm=isch","Еще фото")</f>
        <v>Еще фото</v>
      </c>
      <c r="F3000" s="13"/>
      <c r="G3000" s="11" t="s">
        <v>1184</v>
      </c>
      <c r="H3000" s="11" t="s">
        <v>741</v>
      </c>
      <c r="I3000" s="14" t="s">
        <v>2439</v>
      </c>
      <c r="J3000" s="14" t="s">
        <v>43</v>
      </c>
      <c r="K3000" s="15" t="s">
        <v>723</v>
      </c>
      <c r="L3000" s="57" t="s">
        <v>2604</v>
      </c>
      <c r="M3000" s="14"/>
      <c r="N3000" s="14" t="s">
        <v>127</v>
      </c>
      <c r="O3000" s="14"/>
      <c r="P3000" s="15" t="s">
        <v>745</v>
      </c>
      <c r="Q3000" s="16">
        <v>15799</v>
      </c>
      <c r="R3000" s="17">
        <v>40</v>
      </c>
      <c r="S3000" s="18">
        <v>10901.31</v>
      </c>
      <c r="T3000" s="19" t="s">
        <v>36</v>
      </c>
      <c r="U3000" s="33" t="s">
        <v>1445</v>
      </c>
      <c r="V3000" s="34">
        <v>39.5</v>
      </c>
      <c r="W3000" s="22">
        <v>3</v>
      </c>
      <c r="X3000" s="23"/>
    </row>
    <row r="3001" spans="1:24" s="1" customFormat="1" ht="13.05" customHeight="1" x14ac:dyDescent="0.3">
      <c r="A3001" s="24" t="s">
        <v>23</v>
      </c>
      <c r="B3001" s="24" t="s">
        <v>2602</v>
      </c>
      <c r="C3001" s="12" t="s">
        <v>2605</v>
      </c>
      <c r="D3001" s="60"/>
      <c r="E3001" s="41" t="str">
        <f t="shared" si="147"/>
        <v>Еще фото</v>
      </c>
      <c r="F3001" s="13"/>
      <c r="G3001" s="24" t="s">
        <v>1184</v>
      </c>
      <c r="H3001" s="24" t="s">
        <v>741</v>
      </c>
      <c r="I3001" s="24" t="s">
        <v>2439</v>
      </c>
      <c r="J3001" s="14" t="s">
        <v>43</v>
      </c>
      <c r="K3001" s="15" t="s">
        <v>723</v>
      </c>
      <c r="L3001" s="62"/>
      <c r="M3001" s="14"/>
      <c r="N3001" s="14" t="s">
        <v>127</v>
      </c>
      <c r="O3001" s="14"/>
      <c r="P3001" s="15" t="s">
        <v>745</v>
      </c>
      <c r="Q3001" s="16">
        <v>15799</v>
      </c>
      <c r="R3001" s="17">
        <v>40</v>
      </c>
      <c r="S3001" s="18">
        <v>10901.31</v>
      </c>
      <c r="T3001" s="19" t="s">
        <v>36</v>
      </c>
      <c r="U3001" s="20" t="s">
        <v>1345</v>
      </c>
      <c r="V3001" s="22">
        <v>41</v>
      </c>
      <c r="W3001" s="22">
        <v>4</v>
      </c>
      <c r="X3001" s="23"/>
    </row>
    <row r="3002" spans="1:24" s="1" customFormat="1" ht="13.05" customHeight="1" x14ac:dyDescent="0.3">
      <c r="A3002" s="24" t="s">
        <v>23</v>
      </c>
      <c r="B3002" s="24" t="s">
        <v>2602</v>
      </c>
      <c r="C3002" s="12" t="s">
        <v>2605</v>
      </c>
      <c r="D3002" s="60"/>
      <c r="E3002" s="41" t="str">
        <f t="shared" si="147"/>
        <v>Еще фото</v>
      </c>
      <c r="F3002" s="13"/>
      <c r="G3002" s="24" t="s">
        <v>1184</v>
      </c>
      <c r="H3002" s="24" t="s">
        <v>741</v>
      </c>
      <c r="I3002" s="24" t="s">
        <v>2439</v>
      </c>
      <c r="J3002" s="14" t="s">
        <v>43</v>
      </c>
      <c r="K3002" s="15" t="s">
        <v>723</v>
      </c>
      <c r="L3002" s="62"/>
      <c r="M3002" s="14"/>
      <c r="N3002" s="14" t="s">
        <v>127</v>
      </c>
      <c r="O3002" s="14"/>
      <c r="P3002" s="15" t="s">
        <v>745</v>
      </c>
      <c r="Q3002" s="16">
        <v>15799</v>
      </c>
      <c r="R3002" s="17">
        <v>40</v>
      </c>
      <c r="S3002" s="18">
        <v>10901.31</v>
      </c>
      <c r="T3002" s="19" t="s">
        <v>36</v>
      </c>
      <c r="U3002" s="20" t="s">
        <v>1346</v>
      </c>
      <c r="V3002" s="34">
        <v>41.5</v>
      </c>
      <c r="W3002" s="22">
        <v>4</v>
      </c>
      <c r="X3002" s="23"/>
    </row>
    <row r="3003" spans="1:24" s="1" customFormat="1" ht="13.05" customHeight="1" x14ac:dyDescent="0.3">
      <c r="A3003" s="24" t="s">
        <v>23</v>
      </c>
      <c r="B3003" s="24" t="s">
        <v>2602</v>
      </c>
      <c r="C3003" s="12" t="s">
        <v>2605</v>
      </c>
      <c r="D3003" s="60"/>
      <c r="E3003" s="41" t="str">
        <f t="shared" si="147"/>
        <v>Еще фото</v>
      </c>
      <c r="F3003" s="13"/>
      <c r="G3003" s="24" t="s">
        <v>1184</v>
      </c>
      <c r="H3003" s="24" t="s">
        <v>741</v>
      </c>
      <c r="I3003" s="24" t="s">
        <v>2439</v>
      </c>
      <c r="J3003" s="14" t="s">
        <v>43</v>
      </c>
      <c r="K3003" s="15" t="s">
        <v>723</v>
      </c>
      <c r="L3003" s="62"/>
      <c r="M3003" s="14"/>
      <c r="N3003" s="14" t="s">
        <v>127</v>
      </c>
      <c r="O3003" s="14"/>
      <c r="P3003" s="15" t="s">
        <v>745</v>
      </c>
      <c r="Q3003" s="16">
        <v>15799</v>
      </c>
      <c r="R3003" s="17">
        <v>40</v>
      </c>
      <c r="S3003" s="18">
        <v>10901.31</v>
      </c>
      <c r="T3003" s="19" t="s">
        <v>36</v>
      </c>
      <c r="U3003" s="20" t="s">
        <v>1347</v>
      </c>
      <c r="V3003" s="22">
        <v>43</v>
      </c>
      <c r="W3003" s="22">
        <v>9</v>
      </c>
      <c r="X3003" s="23"/>
    </row>
    <row r="3004" spans="1:24" s="1" customFormat="1" ht="13.05" customHeight="1" x14ac:dyDescent="0.3">
      <c r="A3004" s="24" t="s">
        <v>23</v>
      </c>
      <c r="B3004" s="24" t="s">
        <v>2602</v>
      </c>
      <c r="C3004" s="12" t="s">
        <v>2605</v>
      </c>
      <c r="D3004" s="60"/>
      <c r="E3004" s="41" t="str">
        <f t="shared" si="147"/>
        <v>Еще фото</v>
      </c>
      <c r="F3004" s="13"/>
      <c r="G3004" s="24" t="s">
        <v>1184</v>
      </c>
      <c r="H3004" s="24" t="s">
        <v>741</v>
      </c>
      <c r="I3004" s="24" t="s">
        <v>2439</v>
      </c>
      <c r="J3004" s="14" t="s">
        <v>43</v>
      </c>
      <c r="K3004" s="15" t="s">
        <v>723</v>
      </c>
      <c r="L3004" s="62"/>
      <c r="M3004" s="14"/>
      <c r="N3004" s="14" t="s">
        <v>127</v>
      </c>
      <c r="O3004" s="14"/>
      <c r="P3004" s="15" t="s">
        <v>745</v>
      </c>
      <c r="Q3004" s="16">
        <v>15799</v>
      </c>
      <c r="R3004" s="17">
        <v>40</v>
      </c>
      <c r="S3004" s="18">
        <v>10901.31</v>
      </c>
      <c r="T3004" s="19" t="s">
        <v>36</v>
      </c>
      <c r="U3004" s="20" t="s">
        <v>1348</v>
      </c>
      <c r="V3004" s="34">
        <v>43.5</v>
      </c>
      <c r="W3004" s="22">
        <v>2</v>
      </c>
      <c r="X3004" s="23"/>
    </row>
    <row r="3005" spans="1:24" s="1" customFormat="1" ht="13.05" customHeight="1" x14ac:dyDescent="0.3">
      <c r="A3005" s="24" t="s">
        <v>23</v>
      </c>
      <c r="B3005" s="24" t="s">
        <v>2602</v>
      </c>
      <c r="C3005" s="12" t="s">
        <v>2605</v>
      </c>
      <c r="D3005" s="60"/>
      <c r="E3005" s="41" t="str">
        <f t="shared" si="147"/>
        <v>Еще фото</v>
      </c>
      <c r="F3005" s="13"/>
      <c r="G3005" s="24" t="s">
        <v>1184</v>
      </c>
      <c r="H3005" s="24" t="s">
        <v>741</v>
      </c>
      <c r="I3005" s="24" t="s">
        <v>2439</v>
      </c>
      <c r="J3005" s="14" t="s">
        <v>43</v>
      </c>
      <c r="K3005" s="15" t="s">
        <v>723</v>
      </c>
      <c r="L3005" s="62"/>
      <c r="M3005" s="14"/>
      <c r="N3005" s="14" t="s">
        <v>127</v>
      </c>
      <c r="O3005" s="14"/>
      <c r="P3005" s="15" t="s">
        <v>745</v>
      </c>
      <c r="Q3005" s="16">
        <v>15799</v>
      </c>
      <c r="R3005" s="17">
        <v>40</v>
      </c>
      <c r="S3005" s="18">
        <v>10901.31</v>
      </c>
      <c r="T3005" s="19" t="s">
        <v>36</v>
      </c>
      <c r="U3005" s="20" t="s">
        <v>1327</v>
      </c>
      <c r="V3005" s="22">
        <v>44</v>
      </c>
      <c r="W3005" s="22">
        <v>13</v>
      </c>
      <c r="X3005" s="23"/>
    </row>
    <row r="3006" spans="1:24" s="1" customFormat="1" ht="13.05" customHeight="1" x14ac:dyDescent="0.3">
      <c r="A3006" s="24" t="s">
        <v>23</v>
      </c>
      <c r="B3006" s="24" t="s">
        <v>2602</v>
      </c>
      <c r="C3006" s="12" t="s">
        <v>2605</v>
      </c>
      <c r="D3006" s="60"/>
      <c r="E3006" s="41" t="str">
        <f t="shared" si="147"/>
        <v>Еще фото</v>
      </c>
      <c r="F3006" s="13"/>
      <c r="G3006" s="24" t="s">
        <v>1184</v>
      </c>
      <c r="H3006" s="24" t="s">
        <v>741</v>
      </c>
      <c r="I3006" s="24" t="s">
        <v>2439</v>
      </c>
      <c r="J3006" s="14" t="s">
        <v>43</v>
      </c>
      <c r="K3006" s="15" t="s">
        <v>723</v>
      </c>
      <c r="L3006" s="62"/>
      <c r="M3006" s="14"/>
      <c r="N3006" s="14" t="s">
        <v>127</v>
      </c>
      <c r="O3006" s="14"/>
      <c r="P3006" s="15" t="s">
        <v>745</v>
      </c>
      <c r="Q3006" s="16">
        <v>15799</v>
      </c>
      <c r="R3006" s="17">
        <v>40</v>
      </c>
      <c r="S3006" s="18">
        <v>10901.31</v>
      </c>
      <c r="T3006" s="19" t="s">
        <v>36</v>
      </c>
      <c r="U3006" s="20" t="s">
        <v>1349</v>
      </c>
      <c r="V3006" s="34">
        <v>44.5</v>
      </c>
      <c r="W3006" s="22">
        <v>5</v>
      </c>
      <c r="X3006" s="23"/>
    </row>
    <row r="3007" spans="1:24" s="1" customFormat="1" ht="18" customHeight="1" x14ac:dyDescent="0.3">
      <c r="A3007" s="24" t="s">
        <v>23</v>
      </c>
      <c r="B3007" s="24" t="s">
        <v>2602</v>
      </c>
      <c r="C3007" s="12" t="s">
        <v>2605</v>
      </c>
      <c r="D3007" s="61"/>
      <c r="E3007" s="41" t="str">
        <f t="shared" si="147"/>
        <v>Еще фото</v>
      </c>
      <c r="F3007" s="13"/>
      <c r="G3007" s="24" t="s">
        <v>1184</v>
      </c>
      <c r="H3007" s="24" t="s">
        <v>741</v>
      </c>
      <c r="I3007" s="24" t="s">
        <v>2439</v>
      </c>
      <c r="J3007" s="14" t="s">
        <v>43</v>
      </c>
      <c r="K3007" s="15" t="s">
        <v>723</v>
      </c>
      <c r="L3007" s="58"/>
      <c r="M3007" s="14"/>
      <c r="N3007" s="14" t="s">
        <v>127</v>
      </c>
      <c r="O3007" s="14"/>
      <c r="P3007" s="15" t="s">
        <v>745</v>
      </c>
      <c r="Q3007" s="16">
        <v>15799</v>
      </c>
      <c r="R3007" s="17">
        <v>40</v>
      </c>
      <c r="S3007" s="18">
        <v>10901.31</v>
      </c>
      <c r="T3007" s="19" t="s">
        <v>36</v>
      </c>
      <c r="U3007" s="20" t="s">
        <v>2359</v>
      </c>
      <c r="V3007" s="22">
        <v>45</v>
      </c>
      <c r="W3007" s="22">
        <v>6</v>
      </c>
      <c r="X3007" s="23"/>
    </row>
    <row r="3008" spans="1:24" s="1" customFormat="1" ht="26" customHeight="1" x14ac:dyDescent="0.3">
      <c r="A3008" s="11" t="s">
        <v>23</v>
      </c>
      <c r="B3008" s="11" t="s">
        <v>2606</v>
      </c>
      <c r="C3008" s="12" t="s">
        <v>2607</v>
      </c>
      <c r="D3008" s="59"/>
      <c r="E3008" s="41" t="str">
        <f>HYPERLINK("https://www.google.ru/search?q=6011293-001&amp;newwindow=1&amp;tbm=isch","Еще фото")</f>
        <v>Еще фото</v>
      </c>
      <c r="F3008" s="13" t="s">
        <v>103</v>
      </c>
      <c r="G3008" s="11" t="s">
        <v>1184</v>
      </c>
      <c r="H3008" s="11" t="s">
        <v>741</v>
      </c>
      <c r="I3008" s="14" t="s">
        <v>2439</v>
      </c>
      <c r="J3008" s="14" t="s">
        <v>43</v>
      </c>
      <c r="K3008" s="15" t="s">
        <v>30</v>
      </c>
      <c r="L3008" s="57" t="s">
        <v>2608</v>
      </c>
      <c r="M3008" s="14"/>
      <c r="N3008" s="14" t="s">
        <v>33</v>
      </c>
      <c r="O3008" s="14"/>
      <c r="P3008" s="15" t="s">
        <v>1457</v>
      </c>
      <c r="Q3008" s="16">
        <v>11899</v>
      </c>
      <c r="R3008" s="17">
        <v>40</v>
      </c>
      <c r="S3008" s="18">
        <v>8210.31</v>
      </c>
      <c r="T3008" s="19" t="s">
        <v>36</v>
      </c>
      <c r="U3008" s="20" t="s">
        <v>749</v>
      </c>
      <c r="V3008" s="22">
        <v>41</v>
      </c>
      <c r="W3008" s="22">
        <v>5</v>
      </c>
      <c r="X3008" s="23"/>
    </row>
    <row r="3009" spans="1:24" s="1" customFormat="1" ht="26" customHeight="1" x14ac:dyDescent="0.3">
      <c r="A3009" s="24" t="s">
        <v>23</v>
      </c>
      <c r="B3009" s="24" t="s">
        <v>2606</v>
      </c>
      <c r="C3009" s="12" t="s">
        <v>2607</v>
      </c>
      <c r="D3009" s="60"/>
      <c r="E3009" s="41" t="str">
        <f>HYPERLINK("https://www.google.ru/search?q=6011293-001&amp;newwindow=1&amp;tbm=isch","Еще фото")</f>
        <v>Еще фото</v>
      </c>
      <c r="F3009" s="13" t="s">
        <v>103</v>
      </c>
      <c r="G3009" s="24" t="s">
        <v>1184</v>
      </c>
      <c r="H3009" s="24" t="s">
        <v>741</v>
      </c>
      <c r="I3009" s="24" t="s">
        <v>2439</v>
      </c>
      <c r="J3009" s="14" t="s">
        <v>43</v>
      </c>
      <c r="K3009" s="15" t="s">
        <v>30</v>
      </c>
      <c r="L3009" s="62"/>
      <c r="M3009" s="14"/>
      <c r="N3009" s="14" t="s">
        <v>33</v>
      </c>
      <c r="O3009" s="14"/>
      <c r="P3009" s="15" t="s">
        <v>1457</v>
      </c>
      <c r="Q3009" s="16">
        <v>11899</v>
      </c>
      <c r="R3009" s="17">
        <v>40</v>
      </c>
      <c r="S3009" s="18">
        <v>8210.31</v>
      </c>
      <c r="T3009" s="19" t="s">
        <v>36</v>
      </c>
      <c r="U3009" s="20" t="s">
        <v>750</v>
      </c>
      <c r="V3009" s="34">
        <v>41.5</v>
      </c>
      <c r="W3009" s="22">
        <v>8</v>
      </c>
      <c r="X3009" s="23"/>
    </row>
    <row r="3010" spans="1:24" s="1" customFormat="1" ht="26" customHeight="1" x14ac:dyDescent="0.3">
      <c r="A3010" s="24" t="s">
        <v>23</v>
      </c>
      <c r="B3010" s="24" t="s">
        <v>2606</v>
      </c>
      <c r="C3010" s="12" t="s">
        <v>2607</v>
      </c>
      <c r="D3010" s="60"/>
      <c r="E3010" s="41" t="str">
        <f>HYPERLINK("https://www.google.ru/search?q=6011293-001&amp;newwindow=1&amp;tbm=isch","Еще фото")</f>
        <v>Еще фото</v>
      </c>
      <c r="F3010" s="13" t="s">
        <v>103</v>
      </c>
      <c r="G3010" s="24" t="s">
        <v>1184</v>
      </c>
      <c r="H3010" s="24" t="s">
        <v>741</v>
      </c>
      <c r="I3010" s="24" t="s">
        <v>2439</v>
      </c>
      <c r="J3010" s="14" t="s">
        <v>43</v>
      </c>
      <c r="K3010" s="15" t="s">
        <v>30</v>
      </c>
      <c r="L3010" s="62"/>
      <c r="M3010" s="14"/>
      <c r="N3010" s="14" t="s">
        <v>33</v>
      </c>
      <c r="O3010" s="14"/>
      <c r="P3010" s="15" t="s">
        <v>1457</v>
      </c>
      <c r="Q3010" s="16">
        <v>11899</v>
      </c>
      <c r="R3010" s="17">
        <v>40</v>
      </c>
      <c r="S3010" s="18">
        <v>8210.31</v>
      </c>
      <c r="T3010" s="19" t="s">
        <v>36</v>
      </c>
      <c r="U3010" s="20" t="s">
        <v>753</v>
      </c>
      <c r="V3010" s="34">
        <v>43.5</v>
      </c>
      <c r="W3010" s="22">
        <v>3</v>
      </c>
      <c r="X3010" s="23"/>
    </row>
    <row r="3011" spans="1:24" s="1" customFormat="1" ht="26" customHeight="1" x14ac:dyDescent="0.3">
      <c r="A3011" s="24" t="s">
        <v>23</v>
      </c>
      <c r="B3011" s="24" t="s">
        <v>2606</v>
      </c>
      <c r="C3011" s="12" t="s">
        <v>2607</v>
      </c>
      <c r="D3011" s="61"/>
      <c r="E3011" s="41" t="str">
        <f>HYPERLINK("https://www.google.ru/search?q=6011293-001&amp;newwindow=1&amp;tbm=isch","Еще фото")</f>
        <v>Еще фото</v>
      </c>
      <c r="F3011" s="13" t="s">
        <v>103</v>
      </c>
      <c r="G3011" s="24" t="s">
        <v>1184</v>
      </c>
      <c r="H3011" s="24" t="s">
        <v>741</v>
      </c>
      <c r="I3011" s="24" t="s">
        <v>2439</v>
      </c>
      <c r="J3011" s="14" t="s">
        <v>43</v>
      </c>
      <c r="K3011" s="15" t="s">
        <v>30</v>
      </c>
      <c r="L3011" s="58"/>
      <c r="M3011" s="14"/>
      <c r="N3011" s="14" t="s">
        <v>33</v>
      </c>
      <c r="O3011" s="14"/>
      <c r="P3011" s="15" t="s">
        <v>1457</v>
      </c>
      <c r="Q3011" s="16">
        <v>11899</v>
      </c>
      <c r="R3011" s="17">
        <v>40</v>
      </c>
      <c r="S3011" s="18">
        <v>8210.31</v>
      </c>
      <c r="T3011" s="19" t="s">
        <v>36</v>
      </c>
      <c r="U3011" s="20" t="s">
        <v>755</v>
      </c>
      <c r="V3011" s="34">
        <v>44.5</v>
      </c>
      <c r="W3011" s="22">
        <v>4</v>
      </c>
      <c r="X3011" s="23"/>
    </row>
    <row r="3012" spans="1:24" s="1" customFormat="1" ht="11" customHeight="1" x14ac:dyDescent="0.3">
      <c r="A3012" s="11" t="s">
        <v>23</v>
      </c>
      <c r="B3012" s="11" t="s">
        <v>2606</v>
      </c>
      <c r="C3012" s="12" t="s">
        <v>2609</v>
      </c>
      <c r="D3012" s="59"/>
      <c r="E3012" s="41" t="str">
        <f t="shared" ref="E3012:E3021" si="148">HYPERLINK("https://www.google.ru/search?q=6011293-002&amp;newwindow=1&amp;tbm=isch","Еще фото")</f>
        <v>Еще фото</v>
      </c>
      <c r="F3012" s="13"/>
      <c r="G3012" s="11" t="s">
        <v>1184</v>
      </c>
      <c r="H3012" s="11" t="s">
        <v>741</v>
      </c>
      <c r="I3012" s="14" t="s">
        <v>2439</v>
      </c>
      <c r="J3012" s="14" t="s">
        <v>43</v>
      </c>
      <c r="K3012" s="15" t="s">
        <v>30</v>
      </c>
      <c r="L3012" s="57" t="s">
        <v>2608</v>
      </c>
      <c r="M3012" s="14"/>
      <c r="N3012" s="14" t="s">
        <v>33</v>
      </c>
      <c r="O3012" s="14"/>
      <c r="P3012" s="15" t="s">
        <v>1457</v>
      </c>
      <c r="Q3012" s="16">
        <v>11899</v>
      </c>
      <c r="R3012" s="17">
        <v>40</v>
      </c>
      <c r="S3012" s="18">
        <v>8210.31</v>
      </c>
      <c r="T3012" s="19" t="s">
        <v>36</v>
      </c>
      <c r="U3012" s="20" t="s">
        <v>746</v>
      </c>
      <c r="V3012" s="22">
        <v>39</v>
      </c>
      <c r="W3012" s="22">
        <v>5</v>
      </c>
      <c r="X3012" s="23"/>
    </row>
    <row r="3013" spans="1:24" s="1" customFormat="1" ht="11" customHeight="1" x14ac:dyDescent="0.3">
      <c r="A3013" s="24" t="s">
        <v>23</v>
      </c>
      <c r="B3013" s="24" t="s">
        <v>2606</v>
      </c>
      <c r="C3013" s="12" t="s">
        <v>2609</v>
      </c>
      <c r="D3013" s="60"/>
      <c r="E3013" s="41" t="str">
        <f t="shared" si="148"/>
        <v>Еще фото</v>
      </c>
      <c r="F3013" s="13"/>
      <c r="G3013" s="24" t="s">
        <v>1184</v>
      </c>
      <c r="H3013" s="24" t="s">
        <v>741</v>
      </c>
      <c r="I3013" s="24" t="s">
        <v>2439</v>
      </c>
      <c r="J3013" s="14" t="s">
        <v>43</v>
      </c>
      <c r="K3013" s="15" t="s">
        <v>30</v>
      </c>
      <c r="L3013" s="62"/>
      <c r="M3013" s="14"/>
      <c r="N3013" s="14" t="s">
        <v>33</v>
      </c>
      <c r="O3013" s="14"/>
      <c r="P3013" s="15" t="s">
        <v>1457</v>
      </c>
      <c r="Q3013" s="16">
        <v>11899</v>
      </c>
      <c r="R3013" s="17">
        <v>40</v>
      </c>
      <c r="S3013" s="18">
        <v>8210.31</v>
      </c>
      <c r="T3013" s="19" t="s">
        <v>36</v>
      </c>
      <c r="U3013" s="20" t="s">
        <v>747</v>
      </c>
      <c r="V3013" s="34">
        <v>39.5</v>
      </c>
      <c r="W3013" s="22">
        <v>4</v>
      </c>
      <c r="X3013" s="23"/>
    </row>
    <row r="3014" spans="1:24" s="1" customFormat="1" ht="11" customHeight="1" x14ac:dyDescent="0.3">
      <c r="A3014" s="24" t="s">
        <v>23</v>
      </c>
      <c r="B3014" s="24" t="s">
        <v>2606</v>
      </c>
      <c r="C3014" s="12" t="s">
        <v>2609</v>
      </c>
      <c r="D3014" s="60"/>
      <c r="E3014" s="41" t="str">
        <f t="shared" si="148"/>
        <v>Еще фото</v>
      </c>
      <c r="F3014" s="13"/>
      <c r="G3014" s="24" t="s">
        <v>1184</v>
      </c>
      <c r="H3014" s="24" t="s">
        <v>741</v>
      </c>
      <c r="I3014" s="24" t="s">
        <v>2439</v>
      </c>
      <c r="J3014" s="14" t="s">
        <v>43</v>
      </c>
      <c r="K3014" s="15" t="s">
        <v>30</v>
      </c>
      <c r="L3014" s="62"/>
      <c r="M3014" s="14"/>
      <c r="N3014" s="14" t="s">
        <v>33</v>
      </c>
      <c r="O3014" s="14"/>
      <c r="P3014" s="15" t="s">
        <v>1457</v>
      </c>
      <c r="Q3014" s="16">
        <v>11899</v>
      </c>
      <c r="R3014" s="17">
        <v>40</v>
      </c>
      <c r="S3014" s="18">
        <v>8210.31</v>
      </c>
      <c r="T3014" s="19" t="s">
        <v>36</v>
      </c>
      <c r="U3014" s="20" t="s">
        <v>748</v>
      </c>
      <c r="V3014" s="22">
        <v>40</v>
      </c>
      <c r="W3014" s="22">
        <v>1</v>
      </c>
      <c r="X3014" s="23"/>
    </row>
    <row r="3015" spans="1:24" s="1" customFormat="1" ht="11" customHeight="1" x14ac:dyDescent="0.3">
      <c r="A3015" s="24" t="s">
        <v>23</v>
      </c>
      <c r="B3015" s="24" t="s">
        <v>2606</v>
      </c>
      <c r="C3015" s="12" t="s">
        <v>2609</v>
      </c>
      <c r="D3015" s="60"/>
      <c r="E3015" s="41" t="str">
        <f t="shared" si="148"/>
        <v>Еще фото</v>
      </c>
      <c r="F3015" s="13"/>
      <c r="G3015" s="24" t="s">
        <v>1184</v>
      </c>
      <c r="H3015" s="24" t="s">
        <v>741</v>
      </c>
      <c r="I3015" s="24" t="s">
        <v>2439</v>
      </c>
      <c r="J3015" s="14" t="s">
        <v>43</v>
      </c>
      <c r="K3015" s="15" t="s">
        <v>30</v>
      </c>
      <c r="L3015" s="62"/>
      <c r="M3015" s="14"/>
      <c r="N3015" s="14" t="s">
        <v>33</v>
      </c>
      <c r="O3015" s="14"/>
      <c r="P3015" s="15" t="s">
        <v>1457</v>
      </c>
      <c r="Q3015" s="16">
        <v>11899</v>
      </c>
      <c r="R3015" s="17">
        <v>40</v>
      </c>
      <c r="S3015" s="18">
        <v>8210.31</v>
      </c>
      <c r="T3015" s="19" t="s">
        <v>36</v>
      </c>
      <c r="U3015" s="20" t="s">
        <v>749</v>
      </c>
      <c r="V3015" s="22">
        <v>41</v>
      </c>
      <c r="W3015" s="22">
        <v>5</v>
      </c>
      <c r="X3015" s="23"/>
    </row>
    <row r="3016" spans="1:24" s="1" customFormat="1" ht="11" customHeight="1" x14ac:dyDescent="0.3">
      <c r="A3016" s="24" t="s">
        <v>23</v>
      </c>
      <c r="B3016" s="24" t="s">
        <v>2606</v>
      </c>
      <c r="C3016" s="12" t="s">
        <v>2609</v>
      </c>
      <c r="D3016" s="60"/>
      <c r="E3016" s="41" t="str">
        <f t="shared" si="148"/>
        <v>Еще фото</v>
      </c>
      <c r="F3016" s="13"/>
      <c r="G3016" s="24" t="s">
        <v>1184</v>
      </c>
      <c r="H3016" s="24" t="s">
        <v>741</v>
      </c>
      <c r="I3016" s="24" t="s">
        <v>2439</v>
      </c>
      <c r="J3016" s="14" t="s">
        <v>43</v>
      </c>
      <c r="K3016" s="15" t="s">
        <v>30</v>
      </c>
      <c r="L3016" s="62"/>
      <c r="M3016" s="14"/>
      <c r="N3016" s="14" t="s">
        <v>33</v>
      </c>
      <c r="O3016" s="14"/>
      <c r="P3016" s="15" t="s">
        <v>1457</v>
      </c>
      <c r="Q3016" s="16">
        <v>11899</v>
      </c>
      <c r="R3016" s="17">
        <v>40</v>
      </c>
      <c r="S3016" s="18">
        <v>8210.31</v>
      </c>
      <c r="T3016" s="19" t="s">
        <v>36</v>
      </c>
      <c r="U3016" s="20" t="s">
        <v>751</v>
      </c>
      <c r="V3016" s="22">
        <v>42</v>
      </c>
      <c r="W3016" s="22">
        <v>7</v>
      </c>
      <c r="X3016" s="23"/>
    </row>
    <row r="3017" spans="1:24" s="1" customFormat="1" ht="11" customHeight="1" x14ac:dyDescent="0.3">
      <c r="A3017" s="24" t="s">
        <v>23</v>
      </c>
      <c r="B3017" s="24" t="s">
        <v>2606</v>
      </c>
      <c r="C3017" s="12" t="s">
        <v>2609</v>
      </c>
      <c r="D3017" s="60"/>
      <c r="E3017" s="41" t="str">
        <f t="shared" si="148"/>
        <v>Еще фото</v>
      </c>
      <c r="F3017" s="13"/>
      <c r="G3017" s="24" t="s">
        <v>1184</v>
      </c>
      <c r="H3017" s="24" t="s">
        <v>741</v>
      </c>
      <c r="I3017" s="24" t="s">
        <v>2439</v>
      </c>
      <c r="J3017" s="14" t="s">
        <v>43</v>
      </c>
      <c r="K3017" s="15" t="s">
        <v>30</v>
      </c>
      <c r="L3017" s="62"/>
      <c r="M3017" s="14"/>
      <c r="N3017" s="14" t="s">
        <v>33</v>
      </c>
      <c r="O3017" s="14"/>
      <c r="P3017" s="15" t="s">
        <v>1457</v>
      </c>
      <c r="Q3017" s="16">
        <v>11899</v>
      </c>
      <c r="R3017" s="17">
        <v>40</v>
      </c>
      <c r="S3017" s="18">
        <v>8210.31</v>
      </c>
      <c r="T3017" s="19" t="s">
        <v>36</v>
      </c>
      <c r="U3017" s="20" t="s">
        <v>753</v>
      </c>
      <c r="V3017" s="34">
        <v>43.5</v>
      </c>
      <c r="W3017" s="22">
        <v>5</v>
      </c>
      <c r="X3017" s="23"/>
    </row>
    <row r="3018" spans="1:24" s="1" customFormat="1" ht="11" customHeight="1" x14ac:dyDescent="0.3">
      <c r="A3018" s="24" t="s">
        <v>23</v>
      </c>
      <c r="B3018" s="24" t="s">
        <v>2606</v>
      </c>
      <c r="C3018" s="12" t="s">
        <v>2609</v>
      </c>
      <c r="D3018" s="60"/>
      <c r="E3018" s="41" t="str">
        <f t="shared" si="148"/>
        <v>Еще фото</v>
      </c>
      <c r="F3018" s="13"/>
      <c r="G3018" s="24" t="s">
        <v>1184</v>
      </c>
      <c r="H3018" s="24" t="s">
        <v>741</v>
      </c>
      <c r="I3018" s="24" t="s">
        <v>2439</v>
      </c>
      <c r="J3018" s="14" t="s">
        <v>43</v>
      </c>
      <c r="K3018" s="15" t="s">
        <v>30</v>
      </c>
      <c r="L3018" s="62"/>
      <c r="M3018" s="14"/>
      <c r="N3018" s="14" t="s">
        <v>33</v>
      </c>
      <c r="O3018" s="14"/>
      <c r="P3018" s="15" t="s">
        <v>1457</v>
      </c>
      <c r="Q3018" s="16">
        <v>11899</v>
      </c>
      <c r="R3018" s="17">
        <v>40</v>
      </c>
      <c r="S3018" s="18">
        <v>8210.31</v>
      </c>
      <c r="T3018" s="19" t="s">
        <v>36</v>
      </c>
      <c r="U3018" s="20" t="s">
        <v>754</v>
      </c>
      <c r="V3018" s="22">
        <v>44</v>
      </c>
      <c r="W3018" s="22">
        <v>5</v>
      </c>
      <c r="X3018" s="23"/>
    </row>
    <row r="3019" spans="1:24" s="1" customFormat="1" ht="11" customHeight="1" x14ac:dyDescent="0.3">
      <c r="A3019" s="24" t="s">
        <v>23</v>
      </c>
      <c r="B3019" s="24" t="s">
        <v>2606</v>
      </c>
      <c r="C3019" s="12" t="s">
        <v>2609</v>
      </c>
      <c r="D3019" s="60"/>
      <c r="E3019" s="41" t="str">
        <f t="shared" si="148"/>
        <v>Еще фото</v>
      </c>
      <c r="F3019" s="13"/>
      <c r="G3019" s="24" t="s">
        <v>1184</v>
      </c>
      <c r="H3019" s="24" t="s">
        <v>741</v>
      </c>
      <c r="I3019" s="24" t="s">
        <v>2439</v>
      </c>
      <c r="J3019" s="14" t="s">
        <v>43</v>
      </c>
      <c r="K3019" s="15" t="s">
        <v>30</v>
      </c>
      <c r="L3019" s="62"/>
      <c r="M3019" s="14"/>
      <c r="N3019" s="14" t="s">
        <v>33</v>
      </c>
      <c r="O3019" s="14"/>
      <c r="P3019" s="15" t="s">
        <v>1457</v>
      </c>
      <c r="Q3019" s="16">
        <v>11899</v>
      </c>
      <c r="R3019" s="17">
        <v>40</v>
      </c>
      <c r="S3019" s="18">
        <v>8210.31</v>
      </c>
      <c r="T3019" s="19" t="s">
        <v>36</v>
      </c>
      <c r="U3019" s="20" t="s">
        <v>755</v>
      </c>
      <c r="V3019" s="34">
        <v>44.5</v>
      </c>
      <c r="W3019" s="22">
        <v>1</v>
      </c>
      <c r="X3019" s="23"/>
    </row>
    <row r="3020" spans="1:24" s="1" customFormat="1" ht="11" customHeight="1" x14ac:dyDescent="0.3">
      <c r="A3020" s="24" t="s">
        <v>23</v>
      </c>
      <c r="B3020" s="24" t="s">
        <v>2606</v>
      </c>
      <c r="C3020" s="12" t="s">
        <v>2609</v>
      </c>
      <c r="D3020" s="60"/>
      <c r="E3020" s="41" t="str">
        <f t="shared" si="148"/>
        <v>Еще фото</v>
      </c>
      <c r="F3020" s="13"/>
      <c r="G3020" s="24" t="s">
        <v>1184</v>
      </c>
      <c r="H3020" s="24" t="s">
        <v>741</v>
      </c>
      <c r="I3020" s="24" t="s">
        <v>2439</v>
      </c>
      <c r="J3020" s="14" t="s">
        <v>43</v>
      </c>
      <c r="K3020" s="15" t="s">
        <v>30</v>
      </c>
      <c r="L3020" s="62"/>
      <c r="M3020" s="14"/>
      <c r="N3020" s="14" t="s">
        <v>33</v>
      </c>
      <c r="O3020" s="14"/>
      <c r="P3020" s="15" t="s">
        <v>1457</v>
      </c>
      <c r="Q3020" s="16">
        <v>11899</v>
      </c>
      <c r="R3020" s="17">
        <v>40</v>
      </c>
      <c r="S3020" s="18">
        <v>8210.31</v>
      </c>
      <c r="T3020" s="19" t="s">
        <v>36</v>
      </c>
      <c r="U3020" s="20" t="s">
        <v>1337</v>
      </c>
      <c r="V3020" s="22">
        <v>45</v>
      </c>
      <c r="W3020" s="22">
        <v>1</v>
      </c>
      <c r="X3020" s="23"/>
    </row>
    <row r="3021" spans="1:24" s="1" customFormat="1" ht="11" customHeight="1" x14ac:dyDescent="0.3">
      <c r="A3021" s="14" t="s">
        <v>23</v>
      </c>
      <c r="B3021" s="14" t="s">
        <v>2606</v>
      </c>
      <c r="C3021" s="12" t="s">
        <v>2609</v>
      </c>
      <c r="D3021" s="61"/>
      <c r="E3021" s="41" t="str">
        <f t="shared" si="148"/>
        <v>Еще фото</v>
      </c>
      <c r="F3021" s="29"/>
      <c r="G3021" s="14" t="s">
        <v>1184</v>
      </c>
      <c r="H3021" s="14" t="s">
        <v>741</v>
      </c>
      <c r="I3021" s="14" t="s">
        <v>2439</v>
      </c>
      <c r="J3021" s="14" t="s">
        <v>43</v>
      </c>
      <c r="K3021" s="14" t="s">
        <v>30</v>
      </c>
      <c r="L3021" s="58"/>
      <c r="M3021" s="14"/>
      <c r="N3021" s="14" t="s">
        <v>33</v>
      </c>
      <c r="O3021" s="14"/>
      <c r="P3021" s="14" t="s">
        <v>1457</v>
      </c>
      <c r="Q3021" s="30">
        <v>11899</v>
      </c>
      <c r="R3021" s="31">
        <v>40</v>
      </c>
      <c r="S3021" s="32">
        <v>8210.31</v>
      </c>
      <c r="T3021" s="19" t="s">
        <v>36</v>
      </c>
      <c r="U3021" s="20" t="s">
        <v>1907</v>
      </c>
      <c r="V3021" s="22">
        <v>46</v>
      </c>
      <c r="W3021" s="22">
        <v>1</v>
      </c>
      <c r="X3021" s="23"/>
    </row>
    <row r="3022" spans="1:24" s="1" customFormat="1" ht="35" customHeight="1" x14ac:dyDescent="0.3">
      <c r="A3022" s="11" t="s">
        <v>23</v>
      </c>
      <c r="B3022" s="11" t="s">
        <v>2606</v>
      </c>
      <c r="C3022" s="12" t="s">
        <v>2610</v>
      </c>
      <c r="D3022" s="59"/>
      <c r="E3022" s="41" t="str">
        <f>HYPERLINK("https://www.google.ru/search?q=6011293-101&amp;newwindow=1&amp;tbm=isch","Еще фото")</f>
        <v>Еще фото</v>
      </c>
      <c r="F3022" s="13" t="s">
        <v>103</v>
      </c>
      <c r="G3022" s="11" t="s">
        <v>1184</v>
      </c>
      <c r="H3022" s="11" t="s">
        <v>741</v>
      </c>
      <c r="I3022" s="14" t="s">
        <v>2439</v>
      </c>
      <c r="J3022" s="14" t="s">
        <v>43</v>
      </c>
      <c r="K3022" s="15" t="s">
        <v>30</v>
      </c>
      <c r="L3022" s="57" t="s">
        <v>2608</v>
      </c>
      <c r="M3022" s="14"/>
      <c r="N3022" s="14" t="s">
        <v>84</v>
      </c>
      <c r="O3022" s="14"/>
      <c r="P3022" s="15" t="s">
        <v>1457</v>
      </c>
      <c r="Q3022" s="16">
        <v>11899</v>
      </c>
      <c r="R3022" s="17">
        <v>40</v>
      </c>
      <c r="S3022" s="18">
        <v>8210.31</v>
      </c>
      <c r="T3022" s="19" t="s">
        <v>36</v>
      </c>
      <c r="U3022" s="20" t="s">
        <v>748</v>
      </c>
      <c r="V3022" s="22">
        <v>40</v>
      </c>
      <c r="W3022" s="22">
        <v>1</v>
      </c>
      <c r="X3022" s="23"/>
    </row>
    <row r="3023" spans="1:24" s="1" customFormat="1" ht="35" customHeight="1" x14ac:dyDescent="0.3">
      <c r="A3023" s="24" t="s">
        <v>23</v>
      </c>
      <c r="B3023" s="24" t="s">
        <v>2606</v>
      </c>
      <c r="C3023" s="12" t="s">
        <v>2610</v>
      </c>
      <c r="D3023" s="60"/>
      <c r="E3023" s="41" t="str">
        <f>HYPERLINK("https://www.google.ru/search?q=6011293-101&amp;newwindow=1&amp;tbm=isch","Еще фото")</f>
        <v>Еще фото</v>
      </c>
      <c r="F3023" s="13" t="s">
        <v>103</v>
      </c>
      <c r="G3023" s="24" t="s">
        <v>1184</v>
      </c>
      <c r="H3023" s="24" t="s">
        <v>741</v>
      </c>
      <c r="I3023" s="24" t="s">
        <v>2439</v>
      </c>
      <c r="J3023" s="14" t="s">
        <v>43</v>
      </c>
      <c r="K3023" s="15" t="s">
        <v>30</v>
      </c>
      <c r="L3023" s="62"/>
      <c r="M3023" s="14"/>
      <c r="N3023" s="14" t="s">
        <v>84</v>
      </c>
      <c r="O3023" s="14"/>
      <c r="P3023" s="15" t="s">
        <v>1457</v>
      </c>
      <c r="Q3023" s="16">
        <v>11899</v>
      </c>
      <c r="R3023" s="17">
        <v>40</v>
      </c>
      <c r="S3023" s="18">
        <v>8210.31</v>
      </c>
      <c r="T3023" s="19" t="s">
        <v>36</v>
      </c>
      <c r="U3023" s="20" t="s">
        <v>750</v>
      </c>
      <c r="V3023" s="34">
        <v>41.5</v>
      </c>
      <c r="W3023" s="22">
        <v>1</v>
      </c>
      <c r="X3023" s="23"/>
    </row>
    <row r="3024" spans="1:24" s="1" customFormat="1" ht="37.049999999999997" customHeight="1" x14ac:dyDescent="0.3">
      <c r="A3024" s="24" t="s">
        <v>23</v>
      </c>
      <c r="B3024" s="24" t="s">
        <v>2606</v>
      </c>
      <c r="C3024" s="12" t="s">
        <v>2610</v>
      </c>
      <c r="D3024" s="61"/>
      <c r="E3024" s="41" t="str">
        <f>HYPERLINK("https://www.google.ru/search?q=6011293-101&amp;newwindow=1&amp;tbm=isch","Еще фото")</f>
        <v>Еще фото</v>
      </c>
      <c r="F3024" s="13" t="s">
        <v>103</v>
      </c>
      <c r="G3024" s="24" t="s">
        <v>1184</v>
      </c>
      <c r="H3024" s="24" t="s">
        <v>741</v>
      </c>
      <c r="I3024" s="24" t="s">
        <v>2439</v>
      </c>
      <c r="J3024" s="14" t="s">
        <v>43</v>
      </c>
      <c r="K3024" s="15" t="s">
        <v>30</v>
      </c>
      <c r="L3024" s="58"/>
      <c r="M3024" s="14"/>
      <c r="N3024" s="14" t="s">
        <v>84</v>
      </c>
      <c r="O3024" s="14"/>
      <c r="P3024" s="15" t="s">
        <v>1457</v>
      </c>
      <c r="Q3024" s="16">
        <v>11899</v>
      </c>
      <c r="R3024" s="17">
        <v>40</v>
      </c>
      <c r="S3024" s="18">
        <v>8210.31</v>
      </c>
      <c r="T3024" s="19" t="s">
        <v>36</v>
      </c>
      <c r="U3024" s="20" t="s">
        <v>751</v>
      </c>
      <c r="V3024" s="22">
        <v>42</v>
      </c>
      <c r="W3024" s="22">
        <v>1</v>
      </c>
      <c r="X3024" s="23"/>
    </row>
    <row r="3025" spans="1:24" s="1" customFormat="1" ht="52.05" customHeight="1" x14ac:dyDescent="0.3">
      <c r="A3025" s="11" t="s">
        <v>23</v>
      </c>
      <c r="B3025" s="11" t="s">
        <v>2611</v>
      </c>
      <c r="C3025" s="12" t="s">
        <v>2612</v>
      </c>
      <c r="D3025" s="55"/>
      <c r="E3025" s="41" t="str">
        <f>HYPERLINK("https://www.google.ru/search?q=1368010-600&amp;newwindow=1&amp;tbm=isch","Еще фото")</f>
        <v>Еще фото</v>
      </c>
      <c r="F3025" s="13"/>
      <c r="G3025" s="11" t="s">
        <v>2613</v>
      </c>
      <c r="H3025" s="11" t="s">
        <v>721</v>
      </c>
      <c r="I3025" s="14" t="s">
        <v>2614</v>
      </c>
      <c r="J3025" s="14" t="s">
        <v>29</v>
      </c>
      <c r="K3025" s="15" t="s">
        <v>723</v>
      </c>
      <c r="L3025" s="57" t="s">
        <v>2615</v>
      </c>
      <c r="M3025" s="14" t="s">
        <v>817</v>
      </c>
      <c r="N3025" s="14" t="s">
        <v>198</v>
      </c>
      <c r="O3025" s="14" t="s">
        <v>34</v>
      </c>
      <c r="P3025" s="15" t="s">
        <v>2616</v>
      </c>
      <c r="Q3025" s="16">
        <v>2799</v>
      </c>
      <c r="R3025" s="17">
        <v>55.42</v>
      </c>
      <c r="S3025" s="18">
        <v>1434.9354999999998</v>
      </c>
      <c r="T3025" s="19" t="s">
        <v>36</v>
      </c>
      <c r="U3025" s="20" t="s">
        <v>2617</v>
      </c>
      <c r="V3025" s="21" t="s">
        <v>2617</v>
      </c>
      <c r="W3025" s="22">
        <v>9</v>
      </c>
      <c r="X3025" s="23"/>
    </row>
    <row r="3026" spans="1:24" s="1" customFormat="1" ht="61.05" customHeight="1" x14ac:dyDescent="0.3">
      <c r="A3026" s="24" t="s">
        <v>23</v>
      </c>
      <c r="B3026" s="24" t="s">
        <v>2611</v>
      </c>
      <c r="C3026" s="12" t="s">
        <v>2612</v>
      </c>
      <c r="D3026" s="56"/>
      <c r="E3026" s="41" t="str">
        <f>HYPERLINK("https://www.google.ru/search?q=1368010-600&amp;newwindow=1&amp;tbm=isch","Еще фото")</f>
        <v>Еще фото</v>
      </c>
      <c r="F3026" s="13"/>
      <c r="G3026" s="24" t="s">
        <v>2613</v>
      </c>
      <c r="H3026" s="24" t="s">
        <v>721</v>
      </c>
      <c r="I3026" s="24" t="s">
        <v>2614</v>
      </c>
      <c r="J3026" s="14" t="s">
        <v>29</v>
      </c>
      <c r="K3026" s="15" t="s">
        <v>723</v>
      </c>
      <c r="L3026" s="58"/>
      <c r="M3026" s="14" t="s">
        <v>817</v>
      </c>
      <c r="N3026" s="14" t="s">
        <v>198</v>
      </c>
      <c r="O3026" s="14" t="s">
        <v>34</v>
      </c>
      <c r="P3026" s="15" t="s">
        <v>2616</v>
      </c>
      <c r="Q3026" s="16">
        <v>2799</v>
      </c>
      <c r="R3026" s="17">
        <v>55.42</v>
      </c>
      <c r="S3026" s="18">
        <v>1434.9354999999998</v>
      </c>
      <c r="T3026" s="19" t="s">
        <v>36</v>
      </c>
      <c r="U3026" s="20" t="s">
        <v>829</v>
      </c>
      <c r="V3026" s="21" t="s">
        <v>829</v>
      </c>
      <c r="W3026" s="22">
        <v>6</v>
      </c>
      <c r="X3026" s="23"/>
    </row>
    <row r="3027" spans="1:24" s="1" customFormat="1" ht="26" customHeight="1" x14ac:dyDescent="0.3">
      <c r="A3027" s="11" t="s">
        <v>23</v>
      </c>
      <c r="B3027" s="11" t="s">
        <v>2618</v>
      </c>
      <c r="C3027" s="12" t="s">
        <v>2619</v>
      </c>
      <c r="D3027" s="59"/>
      <c r="E3027" s="41" t="str">
        <f>HYPERLINK("https://www.google.ru/search?q=1368010-002&amp;newwindow=1&amp;tbm=isch","Еще фото")</f>
        <v>Еще фото</v>
      </c>
      <c r="F3027" s="13"/>
      <c r="G3027" s="11" t="s">
        <v>2613</v>
      </c>
      <c r="H3027" s="11" t="s">
        <v>721</v>
      </c>
      <c r="I3027" s="14" t="s">
        <v>2614</v>
      </c>
      <c r="J3027" s="14" t="s">
        <v>29</v>
      </c>
      <c r="K3027" s="15" t="s">
        <v>723</v>
      </c>
      <c r="L3027" s="57" t="s">
        <v>2615</v>
      </c>
      <c r="M3027" s="14" t="s">
        <v>817</v>
      </c>
      <c r="N3027" s="14" t="s">
        <v>33</v>
      </c>
      <c r="O3027" s="14" t="s">
        <v>34</v>
      </c>
      <c r="P3027" s="15" t="s">
        <v>2616</v>
      </c>
      <c r="Q3027" s="16">
        <v>2799</v>
      </c>
      <c r="R3027" s="17">
        <v>45.06</v>
      </c>
      <c r="S3027" s="18">
        <v>1768.4354999999998</v>
      </c>
      <c r="T3027" s="19" t="s">
        <v>36</v>
      </c>
      <c r="U3027" s="20" t="s">
        <v>2617</v>
      </c>
      <c r="V3027" s="21" t="s">
        <v>2617</v>
      </c>
      <c r="W3027" s="22">
        <v>1</v>
      </c>
      <c r="X3027" s="23"/>
    </row>
    <row r="3028" spans="1:24" s="1" customFormat="1" ht="26" customHeight="1" x14ac:dyDescent="0.3">
      <c r="A3028" s="24" t="s">
        <v>23</v>
      </c>
      <c r="B3028" s="24" t="s">
        <v>2618</v>
      </c>
      <c r="C3028" s="12" t="s">
        <v>2619</v>
      </c>
      <c r="D3028" s="60"/>
      <c r="E3028" s="41" t="str">
        <f>HYPERLINK("https://www.google.ru/search?q=1368010-002&amp;newwindow=1&amp;tbm=isch","Еще фото")</f>
        <v>Еще фото</v>
      </c>
      <c r="F3028" s="13"/>
      <c r="G3028" s="24" t="s">
        <v>2613</v>
      </c>
      <c r="H3028" s="24" t="s">
        <v>721</v>
      </c>
      <c r="I3028" s="24" t="s">
        <v>2614</v>
      </c>
      <c r="J3028" s="14" t="s">
        <v>29</v>
      </c>
      <c r="K3028" s="15" t="s">
        <v>723</v>
      </c>
      <c r="L3028" s="62"/>
      <c r="M3028" s="14" t="s">
        <v>817</v>
      </c>
      <c r="N3028" s="14" t="s">
        <v>33</v>
      </c>
      <c r="O3028" s="14" t="s">
        <v>34</v>
      </c>
      <c r="P3028" s="15" t="s">
        <v>2616</v>
      </c>
      <c r="Q3028" s="16">
        <v>2799</v>
      </c>
      <c r="R3028" s="17">
        <v>45.06</v>
      </c>
      <c r="S3028" s="18">
        <v>1768.4354999999998</v>
      </c>
      <c r="T3028" s="19" t="s">
        <v>36</v>
      </c>
      <c r="U3028" s="20" t="s">
        <v>829</v>
      </c>
      <c r="V3028" s="21" t="s">
        <v>829</v>
      </c>
      <c r="W3028" s="22">
        <v>16</v>
      </c>
      <c r="X3028" s="23"/>
    </row>
    <row r="3029" spans="1:24" s="1" customFormat="1" ht="26" customHeight="1" x14ac:dyDescent="0.3">
      <c r="A3029" s="24" t="s">
        <v>23</v>
      </c>
      <c r="B3029" s="24" t="s">
        <v>2618</v>
      </c>
      <c r="C3029" s="12" t="s">
        <v>2619</v>
      </c>
      <c r="D3029" s="60"/>
      <c r="E3029" s="41" t="str">
        <f>HYPERLINK("https://www.google.ru/search?q=1368010-002&amp;newwindow=1&amp;tbm=isch","Еще фото")</f>
        <v>Еще фото</v>
      </c>
      <c r="F3029" s="13"/>
      <c r="G3029" s="24" t="s">
        <v>2613</v>
      </c>
      <c r="H3029" s="24" t="s">
        <v>721</v>
      </c>
      <c r="I3029" s="24" t="s">
        <v>2614</v>
      </c>
      <c r="J3029" s="14" t="s">
        <v>29</v>
      </c>
      <c r="K3029" s="15" t="s">
        <v>723</v>
      </c>
      <c r="L3029" s="62"/>
      <c r="M3029" s="14" t="s">
        <v>817</v>
      </c>
      <c r="N3029" s="14" t="s">
        <v>33</v>
      </c>
      <c r="O3029" s="14" t="s">
        <v>34</v>
      </c>
      <c r="P3029" s="15" t="s">
        <v>2616</v>
      </c>
      <c r="Q3029" s="16">
        <v>2799</v>
      </c>
      <c r="R3029" s="17">
        <v>45.06</v>
      </c>
      <c r="S3029" s="18">
        <v>1768.4354999999998</v>
      </c>
      <c r="T3029" s="19" t="s">
        <v>36</v>
      </c>
      <c r="U3029" s="20" t="s">
        <v>733</v>
      </c>
      <c r="V3029" s="21" t="s">
        <v>733</v>
      </c>
      <c r="W3029" s="22">
        <v>3</v>
      </c>
      <c r="X3029" s="23"/>
    </row>
    <row r="3030" spans="1:24" s="1" customFormat="1" ht="26" customHeight="1" x14ac:dyDescent="0.3">
      <c r="A3030" s="24" t="s">
        <v>23</v>
      </c>
      <c r="B3030" s="24" t="s">
        <v>2618</v>
      </c>
      <c r="C3030" s="12" t="s">
        <v>2619</v>
      </c>
      <c r="D3030" s="61"/>
      <c r="E3030" s="41" t="str">
        <f>HYPERLINK("https://www.google.ru/search?q=1368010-002&amp;newwindow=1&amp;tbm=isch","Еще фото")</f>
        <v>Еще фото</v>
      </c>
      <c r="F3030" s="13"/>
      <c r="G3030" s="24" t="s">
        <v>2613</v>
      </c>
      <c r="H3030" s="24" t="s">
        <v>721</v>
      </c>
      <c r="I3030" s="24" t="s">
        <v>2614</v>
      </c>
      <c r="J3030" s="14" t="s">
        <v>29</v>
      </c>
      <c r="K3030" s="15" t="s">
        <v>723</v>
      </c>
      <c r="L3030" s="58"/>
      <c r="M3030" s="14" t="s">
        <v>817</v>
      </c>
      <c r="N3030" s="14" t="s">
        <v>33</v>
      </c>
      <c r="O3030" s="14" t="s">
        <v>34</v>
      </c>
      <c r="P3030" s="15" t="s">
        <v>2616</v>
      </c>
      <c r="Q3030" s="16">
        <v>2799</v>
      </c>
      <c r="R3030" s="17">
        <v>45.06</v>
      </c>
      <c r="S3030" s="18">
        <v>1768.4354999999998</v>
      </c>
      <c r="T3030" s="19" t="s">
        <v>36</v>
      </c>
      <c r="U3030" s="20" t="s">
        <v>831</v>
      </c>
      <c r="V3030" s="21" t="s">
        <v>831</v>
      </c>
      <c r="W3030" s="22">
        <v>1</v>
      </c>
      <c r="X3030" s="23"/>
    </row>
    <row r="3031" spans="1:24" s="1" customFormat="1" ht="52.05" customHeight="1" x14ac:dyDescent="0.3">
      <c r="A3031" s="11" t="s">
        <v>23</v>
      </c>
      <c r="B3031" s="11" t="s">
        <v>2620</v>
      </c>
      <c r="C3031" s="12" t="s">
        <v>2621</v>
      </c>
      <c r="D3031" s="55"/>
      <c r="E3031" s="41" t="str">
        <f>HYPERLINK("https://www.google.ru/search?q=1368451-410&amp;newwindow=1&amp;tbm=isch","Еще фото")</f>
        <v>Еще фото</v>
      </c>
      <c r="F3031" s="13"/>
      <c r="G3031" s="11" t="s">
        <v>2622</v>
      </c>
      <c r="H3031" s="11" t="s">
        <v>721</v>
      </c>
      <c r="I3031" s="14" t="s">
        <v>2614</v>
      </c>
      <c r="J3031" s="14" t="s">
        <v>43</v>
      </c>
      <c r="K3031" s="15" t="s">
        <v>723</v>
      </c>
      <c r="L3031" s="57"/>
      <c r="M3031" s="14"/>
      <c r="N3031" s="14" t="s">
        <v>115</v>
      </c>
      <c r="O3031" s="14"/>
      <c r="P3031" s="15" t="s">
        <v>2623</v>
      </c>
      <c r="Q3031" s="16">
        <v>4190</v>
      </c>
      <c r="R3031" s="17">
        <v>43</v>
      </c>
      <c r="S3031" s="18">
        <v>2746.5450000000001</v>
      </c>
      <c r="T3031" s="19" t="s">
        <v>36</v>
      </c>
      <c r="U3031" s="20" t="s">
        <v>2617</v>
      </c>
      <c r="V3031" s="21" t="s">
        <v>2617</v>
      </c>
      <c r="W3031" s="22">
        <v>2</v>
      </c>
      <c r="X3031" s="23"/>
    </row>
    <row r="3032" spans="1:24" s="1" customFormat="1" ht="61.05" customHeight="1" x14ac:dyDescent="0.3">
      <c r="A3032" s="24" t="s">
        <v>23</v>
      </c>
      <c r="B3032" s="24" t="s">
        <v>2620</v>
      </c>
      <c r="C3032" s="12" t="s">
        <v>2621</v>
      </c>
      <c r="D3032" s="56"/>
      <c r="E3032" s="41" t="str">
        <f>HYPERLINK("https://www.google.ru/search?q=1368451-410&amp;newwindow=1&amp;tbm=isch","Еще фото")</f>
        <v>Еще фото</v>
      </c>
      <c r="F3032" s="13"/>
      <c r="G3032" s="24" t="s">
        <v>2622</v>
      </c>
      <c r="H3032" s="24" t="s">
        <v>721</v>
      </c>
      <c r="I3032" s="24" t="s">
        <v>2614</v>
      </c>
      <c r="J3032" s="14" t="s">
        <v>43</v>
      </c>
      <c r="K3032" s="15" t="s">
        <v>723</v>
      </c>
      <c r="L3032" s="58"/>
      <c r="M3032" s="14"/>
      <c r="N3032" s="14" t="s">
        <v>115</v>
      </c>
      <c r="O3032" s="14"/>
      <c r="P3032" s="15" t="s">
        <v>2623</v>
      </c>
      <c r="Q3032" s="16">
        <v>4190</v>
      </c>
      <c r="R3032" s="17">
        <v>43</v>
      </c>
      <c r="S3032" s="18">
        <v>2746.5450000000001</v>
      </c>
      <c r="T3032" s="19" t="s">
        <v>36</v>
      </c>
      <c r="U3032" s="20" t="s">
        <v>829</v>
      </c>
      <c r="V3032" s="21" t="s">
        <v>829</v>
      </c>
      <c r="W3032" s="22">
        <v>5</v>
      </c>
      <c r="X3032" s="23"/>
    </row>
    <row r="3033" spans="1:24" s="1" customFormat="1" ht="108" customHeight="1" x14ac:dyDescent="0.3">
      <c r="A3033" s="11" t="s">
        <v>23</v>
      </c>
      <c r="B3033" s="11" t="s">
        <v>2624</v>
      </c>
      <c r="C3033" s="12" t="s">
        <v>2625</v>
      </c>
      <c r="D3033" s="25"/>
      <c r="E3033" s="41" t="str">
        <f>HYPERLINK("https://www.google.ru/search?q=1276990-100&amp;newwindow=1&amp;tbm=isch","Еще фото")</f>
        <v>Еще фото</v>
      </c>
      <c r="F3033" s="13"/>
      <c r="G3033" s="11" t="s">
        <v>2626</v>
      </c>
      <c r="H3033" s="11" t="s">
        <v>721</v>
      </c>
      <c r="I3033" s="14" t="s">
        <v>2614</v>
      </c>
      <c r="J3033" s="14" t="s">
        <v>29</v>
      </c>
      <c r="K3033" s="15" t="s">
        <v>30</v>
      </c>
      <c r="L3033" s="14" t="s">
        <v>2627</v>
      </c>
      <c r="M3033" s="14"/>
      <c r="N3033" s="14" t="s">
        <v>84</v>
      </c>
      <c r="O3033" s="14" t="s">
        <v>306</v>
      </c>
      <c r="P3033" s="15" t="s">
        <v>2628</v>
      </c>
      <c r="Q3033" s="37">
        <v>899</v>
      </c>
      <c r="R3033" s="17">
        <v>40</v>
      </c>
      <c r="S3033" s="35">
        <v>620.30999999999995</v>
      </c>
      <c r="T3033" s="19" t="s">
        <v>725</v>
      </c>
      <c r="U3033" s="20" t="s">
        <v>2629</v>
      </c>
      <c r="V3033" s="21" t="s">
        <v>2630</v>
      </c>
      <c r="W3033" s="22">
        <v>23</v>
      </c>
      <c r="X3033" s="23"/>
    </row>
    <row r="3034" spans="1:24" s="1" customFormat="1" ht="108" customHeight="1" x14ac:dyDescent="0.3">
      <c r="A3034" s="11" t="s">
        <v>23</v>
      </c>
      <c r="B3034" s="11" t="s">
        <v>2631</v>
      </c>
      <c r="C3034" s="12" t="s">
        <v>2632</v>
      </c>
      <c r="D3034" s="25"/>
      <c r="E3034" s="41" t="str">
        <f>HYPERLINK("https://www.google.ru/search?q=1276991-001&amp;newwindow=1&amp;tbm=isch","Еще фото")</f>
        <v>Еще фото</v>
      </c>
      <c r="F3034" s="13"/>
      <c r="G3034" s="11" t="s">
        <v>2633</v>
      </c>
      <c r="H3034" s="11" t="s">
        <v>721</v>
      </c>
      <c r="I3034" s="14" t="s">
        <v>2614</v>
      </c>
      <c r="J3034" s="14" t="s">
        <v>29</v>
      </c>
      <c r="K3034" s="15" t="s">
        <v>30</v>
      </c>
      <c r="L3034" s="14" t="s">
        <v>2634</v>
      </c>
      <c r="M3034" s="14" t="s">
        <v>45</v>
      </c>
      <c r="N3034" s="14" t="s">
        <v>33</v>
      </c>
      <c r="O3034" s="14" t="s">
        <v>34</v>
      </c>
      <c r="P3034" s="15" t="s">
        <v>364</v>
      </c>
      <c r="Q3034" s="16">
        <v>1099</v>
      </c>
      <c r="R3034" s="17">
        <v>40</v>
      </c>
      <c r="S3034" s="35">
        <v>758.31</v>
      </c>
      <c r="T3034" s="19" t="s">
        <v>725</v>
      </c>
      <c r="U3034" s="20" t="s">
        <v>2629</v>
      </c>
      <c r="V3034" s="21" t="s">
        <v>2630</v>
      </c>
      <c r="W3034" s="22">
        <v>23</v>
      </c>
      <c r="X3034" s="23"/>
    </row>
    <row r="3035" spans="1:24" s="1" customFormat="1" ht="108" customHeight="1" x14ac:dyDescent="0.3">
      <c r="A3035" s="11" t="s">
        <v>23</v>
      </c>
      <c r="B3035" s="11" t="s">
        <v>2635</v>
      </c>
      <c r="C3035" s="12" t="s">
        <v>2636</v>
      </c>
      <c r="D3035" s="25"/>
      <c r="E3035" s="41" t="str">
        <f>HYPERLINK("https://www.google.ru/search?q=1276991-100&amp;newwindow=1&amp;tbm=isch","Еще фото")</f>
        <v>Еще фото</v>
      </c>
      <c r="F3035" s="13"/>
      <c r="G3035" s="11" t="s">
        <v>2633</v>
      </c>
      <c r="H3035" s="11" t="s">
        <v>721</v>
      </c>
      <c r="I3035" s="14" t="s">
        <v>2614</v>
      </c>
      <c r="J3035" s="14" t="s">
        <v>29</v>
      </c>
      <c r="K3035" s="15" t="s">
        <v>30</v>
      </c>
      <c r="L3035" s="14" t="s">
        <v>2634</v>
      </c>
      <c r="M3035" s="14" t="s">
        <v>45</v>
      </c>
      <c r="N3035" s="14" t="s">
        <v>84</v>
      </c>
      <c r="O3035" s="14" t="s">
        <v>306</v>
      </c>
      <c r="P3035" s="15" t="s">
        <v>364</v>
      </c>
      <c r="Q3035" s="16">
        <v>1099</v>
      </c>
      <c r="R3035" s="17">
        <v>40</v>
      </c>
      <c r="S3035" s="35">
        <v>758.31</v>
      </c>
      <c r="T3035" s="19" t="s">
        <v>725</v>
      </c>
      <c r="U3035" s="20" t="s">
        <v>2629</v>
      </c>
      <c r="V3035" s="21" t="s">
        <v>2630</v>
      </c>
      <c r="W3035" s="22">
        <v>57</v>
      </c>
      <c r="X3035" s="23"/>
    </row>
    <row r="3036" spans="1:24" s="1" customFormat="1" ht="35" customHeight="1" x14ac:dyDescent="0.3">
      <c r="A3036" s="11" t="s">
        <v>23</v>
      </c>
      <c r="B3036" s="11" t="s">
        <v>2637</v>
      </c>
      <c r="C3036" s="12" t="s">
        <v>2638</v>
      </c>
      <c r="D3036" s="59"/>
      <c r="E3036" s="41" t="str">
        <f>HYPERLINK("https://www.google.ru/search?q=1361569-035&amp;newwindow=1&amp;tbm=isch","Еще фото")</f>
        <v>Еще фото</v>
      </c>
      <c r="F3036" s="28" t="s">
        <v>138</v>
      </c>
      <c r="G3036" s="11" t="s">
        <v>2639</v>
      </c>
      <c r="H3036" s="11" t="s">
        <v>721</v>
      </c>
      <c r="I3036" s="14" t="s">
        <v>2614</v>
      </c>
      <c r="J3036" s="14" t="s">
        <v>211</v>
      </c>
      <c r="K3036" s="15" t="s">
        <v>30</v>
      </c>
      <c r="L3036" s="57" t="s">
        <v>2640</v>
      </c>
      <c r="M3036" s="14" t="s">
        <v>45</v>
      </c>
      <c r="N3036" s="14" t="s">
        <v>62</v>
      </c>
      <c r="O3036" s="14"/>
      <c r="P3036" s="15" t="s">
        <v>2641</v>
      </c>
      <c r="Q3036" s="16">
        <v>5699</v>
      </c>
      <c r="R3036" s="17">
        <v>40</v>
      </c>
      <c r="S3036" s="18">
        <v>3932.31</v>
      </c>
      <c r="T3036" s="19" t="s">
        <v>36</v>
      </c>
      <c r="U3036" s="20" t="s">
        <v>2642</v>
      </c>
      <c r="V3036" s="21" t="s">
        <v>38</v>
      </c>
      <c r="W3036" s="22">
        <v>8</v>
      </c>
      <c r="X3036" s="23"/>
    </row>
    <row r="3037" spans="1:24" s="1" customFormat="1" ht="35" customHeight="1" x14ac:dyDescent="0.3">
      <c r="A3037" s="24" t="s">
        <v>23</v>
      </c>
      <c r="B3037" s="24" t="s">
        <v>2637</v>
      </c>
      <c r="C3037" s="12" t="s">
        <v>2638</v>
      </c>
      <c r="D3037" s="60"/>
      <c r="E3037" s="41" t="str">
        <f>HYPERLINK("https://www.google.ru/search?q=1361569-035&amp;newwindow=1&amp;tbm=isch","Еще фото")</f>
        <v>Еще фото</v>
      </c>
      <c r="F3037" s="28" t="s">
        <v>138</v>
      </c>
      <c r="G3037" s="24" t="s">
        <v>2639</v>
      </c>
      <c r="H3037" s="24" t="s">
        <v>721</v>
      </c>
      <c r="I3037" s="24" t="s">
        <v>2614</v>
      </c>
      <c r="J3037" s="14" t="s">
        <v>211</v>
      </c>
      <c r="K3037" s="15" t="s">
        <v>30</v>
      </c>
      <c r="L3037" s="62"/>
      <c r="M3037" s="14" t="s">
        <v>45</v>
      </c>
      <c r="N3037" s="14" t="s">
        <v>62</v>
      </c>
      <c r="O3037" s="14"/>
      <c r="P3037" s="15" t="s">
        <v>2641</v>
      </c>
      <c r="Q3037" s="16">
        <v>5699</v>
      </c>
      <c r="R3037" s="17">
        <v>40</v>
      </c>
      <c r="S3037" s="18">
        <v>3932.31</v>
      </c>
      <c r="T3037" s="19" t="s">
        <v>36</v>
      </c>
      <c r="U3037" s="20" t="s">
        <v>2643</v>
      </c>
      <c r="V3037" s="21" t="s">
        <v>40</v>
      </c>
      <c r="W3037" s="22">
        <v>3</v>
      </c>
      <c r="X3037" s="23"/>
    </row>
    <row r="3038" spans="1:24" s="1" customFormat="1" ht="37.049999999999997" customHeight="1" x14ac:dyDescent="0.3">
      <c r="A3038" s="24" t="s">
        <v>23</v>
      </c>
      <c r="B3038" s="24" t="s">
        <v>2637</v>
      </c>
      <c r="C3038" s="12" t="s">
        <v>2638</v>
      </c>
      <c r="D3038" s="61"/>
      <c r="E3038" s="41" t="str">
        <f>HYPERLINK("https://www.google.ru/search?q=1361569-035&amp;newwindow=1&amp;tbm=isch","Еще фото")</f>
        <v>Еще фото</v>
      </c>
      <c r="F3038" s="28" t="s">
        <v>138</v>
      </c>
      <c r="G3038" s="24" t="s">
        <v>2639</v>
      </c>
      <c r="H3038" s="24" t="s">
        <v>721</v>
      </c>
      <c r="I3038" s="24" t="s">
        <v>2614</v>
      </c>
      <c r="J3038" s="14" t="s">
        <v>211</v>
      </c>
      <c r="K3038" s="15" t="s">
        <v>30</v>
      </c>
      <c r="L3038" s="58"/>
      <c r="M3038" s="14" t="s">
        <v>45</v>
      </c>
      <c r="N3038" s="14" t="s">
        <v>62</v>
      </c>
      <c r="O3038" s="14"/>
      <c r="P3038" s="15" t="s">
        <v>2641</v>
      </c>
      <c r="Q3038" s="16">
        <v>5699</v>
      </c>
      <c r="R3038" s="17">
        <v>40</v>
      </c>
      <c r="S3038" s="18">
        <v>3932.31</v>
      </c>
      <c r="T3038" s="19" t="s">
        <v>36</v>
      </c>
      <c r="U3038" s="20" t="s">
        <v>2644</v>
      </c>
      <c r="V3038" s="22">
        <v>50</v>
      </c>
      <c r="W3038" s="22">
        <v>8</v>
      </c>
      <c r="X3038" s="23"/>
    </row>
    <row r="3039" spans="1:24" s="1" customFormat="1" ht="108" customHeight="1" x14ac:dyDescent="0.3">
      <c r="A3039" s="11" t="s">
        <v>23</v>
      </c>
      <c r="B3039" s="11" t="s">
        <v>2637</v>
      </c>
      <c r="C3039" s="12" t="s">
        <v>2645</v>
      </c>
      <c r="D3039" s="25"/>
      <c r="E3039" s="41" t="str">
        <f>HYPERLINK("https://www.google.ru/search?q=1361569-410&amp;newwindow=1&amp;tbm=isch","Еще фото")</f>
        <v>Еще фото</v>
      </c>
      <c r="F3039" s="13"/>
      <c r="G3039" s="11" t="s">
        <v>2639</v>
      </c>
      <c r="H3039" s="11" t="s">
        <v>721</v>
      </c>
      <c r="I3039" s="14" t="s">
        <v>2614</v>
      </c>
      <c r="J3039" s="14" t="s">
        <v>211</v>
      </c>
      <c r="K3039" s="15" t="s">
        <v>30</v>
      </c>
      <c r="L3039" s="14" t="s">
        <v>2640</v>
      </c>
      <c r="M3039" s="14" t="s">
        <v>45</v>
      </c>
      <c r="N3039" s="14" t="s">
        <v>115</v>
      </c>
      <c r="O3039" s="14"/>
      <c r="P3039" s="15" t="s">
        <v>2646</v>
      </c>
      <c r="Q3039" s="16">
        <v>5699</v>
      </c>
      <c r="R3039" s="17">
        <v>40</v>
      </c>
      <c r="S3039" s="18">
        <v>3932.31</v>
      </c>
      <c r="T3039" s="19" t="s">
        <v>36</v>
      </c>
      <c r="U3039" s="20" t="s">
        <v>2644</v>
      </c>
      <c r="V3039" s="22">
        <v>50</v>
      </c>
      <c r="W3039" s="22">
        <v>9</v>
      </c>
      <c r="X3039" s="23"/>
    </row>
    <row r="3040" spans="1:24" s="1" customFormat="1" ht="52.05" customHeight="1" x14ac:dyDescent="0.3">
      <c r="A3040" s="11" t="s">
        <v>23</v>
      </c>
      <c r="B3040" s="11" t="s">
        <v>2618</v>
      </c>
      <c r="C3040" s="12" t="s">
        <v>2647</v>
      </c>
      <c r="D3040" s="55"/>
      <c r="E3040" s="41" t="str">
        <f>HYPERLINK("https://www.google.ru/search?q=1368010-003&amp;newwindow=1&amp;tbm=isch","Еще фото")</f>
        <v>Еще фото</v>
      </c>
      <c r="F3040" s="13"/>
      <c r="G3040" s="11" t="s">
        <v>2613</v>
      </c>
      <c r="H3040" s="11" t="s">
        <v>721</v>
      </c>
      <c r="I3040" s="14" t="s">
        <v>2614</v>
      </c>
      <c r="J3040" s="14" t="s">
        <v>29</v>
      </c>
      <c r="K3040" s="15" t="s">
        <v>723</v>
      </c>
      <c r="L3040" s="57" t="s">
        <v>2648</v>
      </c>
      <c r="M3040" s="14" t="s">
        <v>817</v>
      </c>
      <c r="N3040" s="14" t="s">
        <v>33</v>
      </c>
      <c r="O3040" s="14"/>
      <c r="P3040" s="15" t="s">
        <v>2616</v>
      </c>
      <c r="Q3040" s="16">
        <v>3390</v>
      </c>
      <c r="R3040" s="17">
        <v>40</v>
      </c>
      <c r="S3040" s="18">
        <v>2339.1</v>
      </c>
      <c r="T3040" s="19" t="s">
        <v>36</v>
      </c>
      <c r="U3040" s="20" t="s">
        <v>2617</v>
      </c>
      <c r="V3040" s="21" t="s">
        <v>2617</v>
      </c>
      <c r="W3040" s="22">
        <v>2</v>
      </c>
      <c r="X3040" s="23"/>
    </row>
    <row r="3041" spans="1:24" s="1" customFormat="1" ht="61.05" customHeight="1" x14ac:dyDescent="0.3">
      <c r="A3041" s="24" t="s">
        <v>23</v>
      </c>
      <c r="B3041" s="24" t="s">
        <v>2618</v>
      </c>
      <c r="C3041" s="12" t="s">
        <v>2647</v>
      </c>
      <c r="D3041" s="56"/>
      <c r="E3041" s="41" t="str">
        <f>HYPERLINK("https://www.google.ru/search?q=1368010-003&amp;newwindow=1&amp;tbm=isch","Еще фото")</f>
        <v>Еще фото</v>
      </c>
      <c r="F3041" s="13"/>
      <c r="G3041" s="24" t="s">
        <v>2613</v>
      </c>
      <c r="H3041" s="24" t="s">
        <v>721</v>
      </c>
      <c r="I3041" s="24" t="s">
        <v>2614</v>
      </c>
      <c r="J3041" s="14" t="s">
        <v>29</v>
      </c>
      <c r="K3041" s="15" t="s">
        <v>723</v>
      </c>
      <c r="L3041" s="58"/>
      <c r="M3041" s="14" t="s">
        <v>817</v>
      </c>
      <c r="N3041" s="14" t="s">
        <v>33</v>
      </c>
      <c r="O3041" s="14"/>
      <c r="P3041" s="15" t="s">
        <v>2616</v>
      </c>
      <c r="Q3041" s="16">
        <v>3390</v>
      </c>
      <c r="R3041" s="17">
        <v>40</v>
      </c>
      <c r="S3041" s="18">
        <v>2339.1</v>
      </c>
      <c r="T3041" s="19" t="s">
        <v>36</v>
      </c>
      <c r="U3041" s="20" t="s">
        <v>829</v>
      </c>
      <c r="V3041" s="21" t="s">
        <v>829</v>
      </c>
      <c r="W3041" s="22">
        <v>2</v>
      </c>
      <c r="X3041" s="23"/>
    </row>
    <row r="3042" spans="1:24" s="1" customFormat="1" ht="21" customHeight="1" x14ac:dyDescent="0.3">
      <c r="A3042" s="11" t="s">
        <v>23</v>
      </c>
      <c r="B3042" s="11" t="s">
        <v>2649</v>
      </c>
      <c r="C3042" s="26" t="s">
        <v>2650</v>
      </c>
      <c r="D3042" s="59"/>
      <c r="E3042" s="41" t="str">
        <f>HYPERLINK("https://www.google.ru/search?q=1368010-585&amp;newwindow=1&amp;tbm=isch","Еще фото")</f>
        <v>Еще фото</v>
      </c>
      <c r="F3042" s="13"/>
      <c r="G3042" s="11" t="s">
        <v>2613</v>
      </c>
      <c r="H3042" s="11" t="s">
        <v>721</v>
      </c>
      <c r="I3042" s="14" t="s">
        <v>2614</v>
      </c>
      <c r="J3042" s="14" t="s">
        <v>29</v>
      </c>
      <c r="K3042" s="15" t="s">
        <v>723</v>
      </c>
      <c r="L3042" s="57" t="s">
        <v>2615</v>
      </c>
      <c r="M3042" s="14" t="s">
        <v>817</v>
      </c>
      <c r="N3042" s="14" t="s">
        <v>62</v>
      </c>
      <c r="O3042" s="14" t="s">
        <v>34</v>
      </c>
      <c r="P3042" s="15" t="s">
        <v>2616</v>
      </c>
      <c r="Q3042" s="16">
        <v>2799</v>
      </c>
      <c r="R3042" s="17">
        <v>40</v>
      </c>
      <c r="S3042" s="18">
        <v>1931.31</v>
      </c>
      <c r="T3042" s="19" t="s">
        <v>36</v>
      </c>
      <c r="U3042" s="20" t="s">
        <v>2617</v>
      </c>
      <c r="V3042" s="21" t="s">
        <v>2617</v>
      </c>
      <c r="W3042" s="22">
        <v>5</v>
      </c>
      <c r="X3042" s="23"/>
    </row>
    <row r="3043" spans="1:24" s="1" customFormat="1" ht="21" customHeight="1" x14ac:dyDescent="0.3">
      <c r="A3043" s="24" t="s">
        <v>23</v>
      </c>
      <c r="B3043" s="24" t="s">
        <v>2649</v>
      </c>
      <c r="C3043" s="27" t="s">
        <v>2650</v>
      </c>
      <c r="D3043" s="60"/>
      <c r="E3043" s="41" t="str">
        <f>HYPERLINK("https://www.google.ru/search?q=1368010-585&amp;newwindow=1&amp;tbm=isch","Еще фото")</f>
        <v>Еще фото</v>
      </c>
      <c r="F3043" s="13"/>
      <c r="G3043" s="24" t="s">
        <v>2613</v>
      </c>
      <c r="H3043" s="24" t="s">
        <v>721</v>
      </c>
      <c r="I3043" s="24" t="s">
        <v>2614</v>
      </c>
      <c r="J3043" s="14" t="s">
        <v>29</v>
      </c>
      <c r="K3043" s="15" t="s">
        <v>723</v>
      </c>
      <c r="L3043" s="62"/>
      <c r="M3043" s="14" t="s">
        <v>817</v>
      </c>
      <c r="N3043" s="14" t="s">
        <v>62</v>
      </c>
      <c r="O3043" s="14" t="s">
        <v>34</v>
      </c>
      <c r="P3043" s="15" t="s">
        <v>2616</v>
      </c>
      <c r="Q3043" s="16">
        <v>2799</v>
      </c>
      <c r="R3043" s="17">
        <v>40</v>
      </c>
      <c r="S3043" s="18">
        <v>1931.31</v>
      </c>
      <c r="T3043" s="19" t="s">
        <v>36</v>
      </c>
      <c r="U3043" s="20" t="s">
        <v>829</v>
      </c>
      <c r="V3043" s="21" t="s">
        <v>829</v>
      </c>
      <c r="W3043" s="22">
        <v>8</v>
      </c>
      <c r="X3043" s="23"/>
    </row>
    <row r="3044" spans="1:24" s="1" customFormat="1" ht="21" customHeight="1" x14ac:dyDescent="0.3">
      <c r="A3044" s="24" t="s">
        <v>23</v>
      </c>
      <c r="B3044" s="24" t="s">
        <v>2649</v>
      </c>
      <c r="C3044" s="27" t="s">
        <v>2650</v>
      </c>
      <c r="D3044" s="60"/>
      <c r="E3044" s="41" t="str">
        <f>HYPERLINK("https://www.google.ru/search?q=1368010-585&amp;newwindow=1&amp;tbm=isch","Еще фото")</f>
        <v>Еще фото</v>
      </c>
      <c r="F3044" s="13"/>
      <c r="G3044" s="24" t="s">
        <v>2613</v>
      </c>
      <c r="H3044" s="24" t="s">
        <v>721</v>
      </c>
      <c r="I3044" s="24" t="s">
        <v>2614</v>
      </c>
      <c r="J3044" s="14" t="s">
        <v>29</v>
      </c>
      <c r="K3044" s="15" t="s">
        <v>723</v>
      </c>
      <c r="L3044" s="62"/>
      <c r="M3044" s="14" t="s">
        <v>817</v>
      </c>
      <c r="N3044" s="14" t="s">
        <v>62</v>
      </c>
      <c r="O3044" s="14" t="s">
        <v>34</v>
      </c>
      <c r="P3044" s="15" t="s">
        <v>2616</v>
      </c>
      <c r="Q3044" s="16">
        <v>2799</v>
      </c>
      <c r="R3044" s="17">
        <v>40</v>
      </c>
      <c r="S3044" s="18">
        <v>1931.31</v>
      </c>
      <c r="T3044" s="19" t="s">
        <v>36</v>
      </c>
      <c r="U3044" s="20" t="s">
        <v>733</v>
      </c>
      <c r="V3044" s="21" t="s">
        <v>733</v>
      </c>
      <c r="W3044" s="22">
        <v>7</v>
      </c>
      <c r="X3044" s="23"/>
    </row>
    <row r="3045" spans="1:24" s="1" customFormat="1" ht="21" customHeight="1" x14ac:dyDescent="0.3">
      <c r="A3045" s="24" t="s">
        <v>23</v>
      </c>
      <c r="B3045" s="24" t="s">
        <v>2649</v>
      </c>
      <c r="C3045" s="27" t="s">
        <v>2650</v>
      </c>
      <c r="D3045" s="60"/>
      <c r="E3045" s="41" t="str">
        <f>HYPERLINK("https://www.google.ru/search?q=1368010-585&amp;newwindow=1&amp;tbm=isch","Еще фото")</f>
        <v>Еще фото</v>
      </c>
      <c r="F3045" s="13"/>
      <c r="G3045" s="24" t="s">
        <v>2613</v>
      </c>
      <c r="H3045" s="24" t="s">
        <v>721</v>
      </c>
      <c r="I3045" s="24" t="s">
        <v>2614</v>
      </c>
      <c r="J3045" s="14" t="s">
        <v>29</v>
      </c>
      <c r="K3045" s="15" t="s">
        <v>723</v>
      </c>
      <c r="L3045" s="62"/>
      <c r="M3045" s="14" t="s">
        <v>817</v>
      </c>
      <c r="N3045" s="14" t="s">
        <v>62</v>
      </c>
      <c r="O3045" s="14" t="s">
        <v>34</v>
      </c>
      <c r="P3045" s="15" t="s">
        <v>2616</v>
      </c>
      <c r="Q3045" s="16">
        <v>2799</v>
      </c>
      <c r="R3045" s="17">
        <v>40</v>
      </c>
      <c r="S3045" s="18">
        <v>1931.31</v>
      </c>
      <c r="T3045" s="19" t="s">
        <v>36</v>
      </c>
      <c r="U3045" s="20" t="s">
        <v>734</v>
      </c>
      <c r="V3045" s="21" t="s">
        <v>734</v>
      </c>
      <c r="W3045" s="22">
        <v>6</v>
      </c>
      <c r="X3045" s="23"/>
    </row>
    <row r="3046" spans="1:24" s="1" customFormat="1" ht="32" customHeight="1" x14ac:dyDescent="0.3">
      <c r="A3046" s="24" t="s">
        <v>23</v>
      </c>
      <c r="B3046" s="24" t="s">
        <v>2649</v>
      </c>
      <c r="C3046" s="27" t="s">
        <v>2650</v>
      </c>
      <c r="D3046" s="61"/>
      <c r="E3046" s="41" t="str">
        <f>HYPERLINK("https://www.google.ru/search?q=1368010-585&amp;newwindow=1&amp;tbm=isch","Еще фото")</f>
        <v>Еще фото</v>
      </c>
      <c r="F3046" s="13"/>
      <c r="G3046" s="24" t="s">
        <v>2613</v>
      </c>
      <c r="H3046" s="24" t="s">
        <v>721</v>
      </c>
      <c r="I3046" s="24" t="s">
        <v>2614</v>
      </c>
      <c r="J3046" s="14" t="s">
        <v>29</v>
      </c>
      <c r="K3046" s="15" t="s">
        <v>723</v>
      </c>
      <c r="L3046" s="58"/>
      <c r="M3046" s="14" t="s">
        <v>817</v>
      </c>
      <c r="N3046" s="14" t="s">
        <v>62</v>
      </c>
      <c r="O3046" s="14" t="s">
        <v>34</v>
      </c>
      <c r="P3046" s="15" t="s">
        <v>2616</v>
      </c>
      <c r="Q3046" s="16">
        <v>2799</v>
      </c>
      <c r="R3046" s="17">
        <v>40</v>
      </c>
      <c r="S3046" s="18">
        <v>1931.31</v>
      </c>
      <c r="T3046" s="19" t="s">
        <v>36</v>
      </c>
      <c r="U3046" s="20" t="s">
        <v>831</v>
      </c>
      <c r="V3046" s="21" t="s">
        <v>831</v>
      </c>
      <c r="W3046" s="22">
        <v>1</v>
      </c>
      <c r="X3046" s="23"/>
    </row>
    <row r="3047" spans="1:24" s="1" customFormat="1" ht="108" customHeight="1" x14ac:dyDescent="0.3">
      <c r="A3047" s="11" t="s">
        <v>23</v>
      </c>
      <c r="B3047" s="11" t="s">
        <v>2651</v>
      </c>
      <c r="C3047" s="12" t="s">
        <v>2652</v>
      </c>
      <c r="D3047" s="25"/>
      <c r="E3047" s="41" t="str">
        <f>HYPERLINK("https://www.google.ru/search?q=1389932-001&amp;newwindow=1&amp;tbm=isch","Еще фото")</f>
        <v>Еще фото</v>
      </c>
      <c r="F3047" s="13"/>
      <c r="G3047" s="11" t="s">
        <v>2653</v>
      </c>
      <c r="H3047" s="11" t="s">
        <v>721</v>
      </c>
      <c r="I3047" s="14" t="s">
        <v>2614</v>
      </c>
      <c r="J3047" s="14" t="s">
        <v>43</v>
      </c>
      <c r="K3047" s="15" t="s">
        <v>59</v>
      </c>
      <c r="L3047" s="14" t="s">
        <v>2654</v>
      </c>
      <c r="M3047" s="14"/>
      <c r="N3047" s="14" t="s">
        <v>33</v>
      </c>
      <c r="O3047" s="14"/>
      <c r="P3047" s="15" t="s">
        <v>2655</v>
      </c>
      <c r="Q3047" s="16">
        <v>1999</v>
      </c>
      <c r="R3047" s="17">
        <v>40</v>
      </c>
      <c r="S3047" s="18">
        <v>1379.31</v>
      </c>
      <c r="T3047" s="19" t="s">
        <v>725</v>
      </c>
      <c r="U3047" s="20" t="s">
        <v>726</v>
      </c>
      <c r="V3047" s="21" t="s">
        <v>2630</v>
      </c>
      <c r="W3047" s="22">
        <v>37</v>
      </c>
      <c r="X3047" s="23"/>
    </row>
    <row r="3048" spans="1:24" s="1" customFormat="1" ht="108" customHeight="1" x14ac:dyDescent="0.3">
      <c r="A3048" s="11" t="s">
        <v>23</v>
      </c>
      <c r="B3048" s="11" t="s">
        <v>2656</v>
      </c>
      <c r="C3048" s="12" t="s">
        <v>2657</v>
      </c>
      <c r="D3048" s="25"/>
      <c r="E3048" s="41" t="str">
        <f>HYPERLINK("https://www.google.ru/search?q=1378411-001&amp;newwindow=1&amp;tbm=isch","Еще фото")</f>
        <v>Еще фото</v>
      </c>
      <c r="F3048" s="13"/>
      <c r="G3048" s="11" t="s">
        <v>2658</v>
      </c>
      <c r="H3048" s="11" t="s">
        <v>2659</v>
      </c>
      <c r="I3048" s="14" t="s">
        <v>2660</v>
      </c>
      <c r="J3048" s="14" t="s">
        <v>29</v>
      </c>
      <c r="K3048" s="15" t="s">
        <v>723</v>
      </c>
      <c r="L3048" s="14" t="s">
        <v>2661</v>
      </c>
      <c r="M3048" s="14" t="s">
        <v>32</v>
      </c>
      <c r="N3048" s="14" t="s">
        <v>33</v>
      </c>
      <c r="O3048" s="14"/>
      <c r="P3048" s="15" t="s">
        <v>2662</v>
      </c>
      <c r="Q3048" s="16">
        <v>10299</v>
      </c>
      <c r="R3048" s="17">
        <v>58.85</v>
      </c>
      <c r="S3048" s="18">
        <v>4873.4355000000005</v>
      </c>
      <c r="T3048" s="19" t="s">
        <v>725</v>
      </c>
      <c r="U3048" s="20" t="s">
        <v>726</v>
      </c>
      <c r="V3048" s="21" t="s">
        <v>2630</v>
      </c>
      <c r="W3048" s="22">
        <v>17</v>
      </c>
      <c r="X3048" s="23"/>
    </row>
    <row r="3049" spans="1:24" s="1" customFormat="1" ht="108" customHeight="1" x14ac:dyDescent="0.3">
      <c r="A3049" s="11" t="s">
        <v>23</v>
      </c>
      <c r="B3049" s="11" t="s">
        <v>2663</v>
      </c>
      <c r="C3049" s="12" t="s">
        <v>2664</v>
      </c>
      <c r="D3049" s="25"/>
      <c r="E3049" s="41" t="str">
        <f>HYPERLINK("https://www.google.ru/search?q=1376456-001&amp;newwindow=1&amp;tbm=isch","Еще фото")</f>
        <v>Еще фото</v>
      </c>
      <c r="F3049" s="13"/>
      <c r="G3049" s="11" t="s">
        <v>2658</v>
      </c>
      <c r="H3049" s="11" t="s">
        <v>2659</v>
      </c>
      <c r="I3049" s="14" t="s">
        <v>2660</v>
      </c>
      <c r="J3049" s="14" t="s">
        <v>29</v>
      </c>
      <c r="K3049" s="15" t="s">
        <v>723</v>
      </c>
      <c r="L3049" s="14" t="s">
        <v>2665</v>
      </c>
      <c r="M3049" s="14"/>
      <c r="N3049" s="14" t="s">
        <v>33</v>
      </c>
      <c r="O3049" s="14"/>
      <c r="P3049" s="15" t="s">
        <v>47</v>
      </c>
      <c r="Q3049" s="16">
        <v>3699</v>
      </c>
      <c r="R3049" s="17">
        <v>55.72</v>
      </c>
      <c r="S3049" s="18">
        <v>1883.4354999999998</v>
      </c>
      <c r="T3049" s="19" t="s">
        <v>725</v>
      </c>
      <c r="U3049" s="20" t="s">
        <v>726</v>
      </c>
      <c r="V3049" s="21" t="s">
        <v>2630</v>
      </c>
      <c r="W3049" s="22">
        <v>46</v>
      </c>
      <c r="X3049" s="23"/>
    </row>
    <row r="3050" spans="1:24" s="1" customFormat="1" ht="108" customHeight="1" x14ac:dyDescent="0.3">
      <c r="A3050" s="11" t="s">
        <v>23</v>
      </c>
      <c r="B3050" s="11" t="s">
        <v>2666</v>
      </c>
      <c r="C3050" s="12" t="s">
        <v>2667</v>
      </c>
      <c r="D3050" s="25"/>
      <c r="E3050" s="41" t="str">
        <f>HYPERLINK("https://www.google.ru/search?q=1384462-390&amp;newwindow=1&amp;tbm=isch","Еще фото")</f>
        <v>Еще фото</v>
      </c>
      <c r="F3050" s="13"/>
      <c r="G3050" s="11" t="s">
        <v>2658</v>
      </c>
      <c r="H3050" s="11" t="s">
        <v>2659</v>
      </c>
      <c r="I3050" s="14" t="s">
        <v>2660</v>
      </c>
      <c r="J3050" s="14" t="s">
        <v>29</v>
      </c>
      <c r="K3050" s="15" t="s">
        <v>723</v>
      </c>
      <c r="L3050" s="14" t="s">
        <v>2668</v>
      </c>
      <c r="M3050" s="14" t="s">
        <v>32</v>
      </c>
      <c r="N3050" s="14" t="s">
        <v>127</v>
      </c>
      <c r="O3050" s="14"/>
      <c r="P3050" s="15" t="s">
        <v>47</v>
      </c>
      <c r="Q3050" s="16">
        <v>7199</v>
      </c>
      <c r="R3050" s="17">
        <v>49.75</v>
      </c>
      <c r="S3050" s="18">
        <v>4160.4354999999996</v>
      </c>
      <c r="T3050" s="19" t="s">
        <v>725</v>
      </c>
      <c r="U3050" s="20" t="s">
        <v>726</v>
      </c>
      <c r="V3050" s="21" t="s">
        <v>2630</v>
      </c>
      <c r="W3050" s="22">
        <v>26</v>
      </c>
      <c r="X3050" s="23"/>
    </row>
    <row r="3051" spans="1:24" s="1" customFormat="1" ht="108" customHeight="1" x14ac:dyDescent="0.3">
      <c r="A3051" s="11" t="s">
        <v>23</v>
      </c>
      <c r="B3051" s="11" t="s">
        <v>2669</v>
      </c>
      <c r="C3051" s="12" t="s">
        <v>2670</v>
      </c>
      <c r="D3051" s="25"/>
      <c r="E3051" s="41" t="str">
        <f>HYPERLINK("https://www.google.ru/search?q=1361176-002&amp;newwindow=1&amp;tbm=isch","Еще фото")</f>
        <v>Еще фото</v>
      </c>
      <c r="F3051" s="13"/>
      <c r="G3051" s="11" t="s">
        <v>2658</v>
      </c>
      <c r="H3051" s="11" t="s">
        <v>2659</v>
      </c>
      <c r="I3051" s="14" t="s">
        <v>2660</v>
      </c>
      <c r="J3051" s="14" t="s">
        <v>29</v>
      </c>
      <c r="K3051" s="15" t="s">
        <v>723</v>
      </c>
      <c r="L3051" s="14" t="s">
        <v>2671</v>
      </c>
      <c r="M3051" s="14" t="s">
        <v>32</v>
      </c>
      <c r="N3051" s="14" t="s">
        <v>62</v>
      </c>
      <c r="O3051" s="14" t="s">
        <v>34</v>
      </c>
      <c r="P3051" s="15" t="s">
        <v>47</v>
      </c>
      <c r="Q3051" s="16">
        <v>7699</v>
      </c>
      <c r="R3051" s="17">
        <v>40</v>
      </c>
      <c r="S3051" s="18">
        <v>5312.3099999999995</v>
      </c>
      <c r="T3051" s="19" t="s">
        <v>725</v>
      </c>
      <c r="U3051" s="20" t="s">
        <v>2629</v>
      </c>
      <c r="V3051" s="21" t="s">
        <v>2630</v>
      </c>
      <c r="W3051" s="22">
        <v>15</v>
      </c>
      <c r="X3051" s="23"/>
    </row>
    <row r="3052" spans="1:24" s="1" customFormat="1" ht="108" customHeight="1" x14ac:dyDescent="0.3">
      <c r="A3052" s="11" t="s">
        <v>23</v>
      </c>
      <c r="B3052" s="11" t="s">
        <v>2672</v>
      </c>
      <c r="C3052" s="12" t="s">
        <v>2673</v>
      </c>
      <c r="D3052" s="25"/>
      <c r="E3052" s="41" t="str">
        <f>HYPERLINK("https://www.google.ru/search?q=1364181-012&amp;newwindow=1&amp;tbm=isch","Еще фото")</f>
        <v>Еще фото</v>
      </c>
      <c r="F3052" s="13"/>
      <c r="G3052" s="11" t="s">
        <v>2658</v>
      </c>
      <c r="H3052" s="11" t="s">
        <v>2659</v>
      </c>
      <c r="I3052" s="14" t="s">
        <v>2660</v>
      </c>
      <c r="J3052" s="14" t="s">
        <v>29</v>
      </c>
      <c r="K3052" s="15" t="s">
        <v>723</v>
      </c>
      <c r="L3052" s="14" t="s">
        <v>2674</v>
      </c>
      <c r="M3052" s="14" t="s">
        <v>32</v>
      </c>
      <c r="N3052" s="14" t="s">
        <v>62</v>
      </c>
      <c r="O3052" s="14" t="s">
        <v>34</v>
      </c>
      <c r="P3052" s="15" t="s">
        <v>47</v>
      </c>
      <c r="Q3052" s="16">
        <v>5299</v>
      </c>
      <c r="R3052" s="17">
        <v>40</v>
      </c>
      <c r="S3052" s="18">
        <v>3656.31</v>
      </c>
      <c r="T3052" s="19" t="s">
        <v>725</v>
      </c>
      <c r="U3052" s="20" t="s">
        <v>2629</v>
      </c>
      <c r="V3052" s="21" t="s">
        <v>2630</v>
      </c>
      <c r="W3052" s="22">
        <v>26</v>
      </c>
      <c r="X3052" s="23"/>
    </row>
    <row r="3053" spans="1:24" s="1" customFormat="1" ht="108" customHeight="1" x14ac:dyDescent="0.3">
      <c r="A3053" s="11" t="s">
        <v>23</v>
      </c>
      <c r="B3053" s="11" t="s">
        <v>2675</v>
      </c>
      <c r="C3053" s="12" t="s">
        <v>2676</v>
      </c>
      <c r="D3053" s="25"/>
      <c r="E3053" s="41" t="str">
        <f>HYPERLINK("https://www.google.ru/search?q=1372290-003&amp;newwindow=1&amp;tbm=isch","Еще фото")</f>
        <v>Еще фото</v>
      </c>
      <c r="F3053" s="13" t="s">
        <v>103</v>
      </c>
      <c r="G3053" s="11" t="s">
        <v>2658</v>
      </c>
      <c r="H3053" s="11" t="s">
        <v>2659</v>
      </c>
      <c r="I3053" s="14" t="s">
        <v>2660</v>
      </c>
      <c r="J3053" s="14" t="s">
        <v>43</v>
      </c>
      <c r="K3053" s="15" t="s">
        <v>723</v>
      </c>
      <c r="L3053" s="14" t="s">
        <v>2677</v>
      </c>
      <c r="M3053" s="14" t="s">
        <v>32</v>
      </c>
      <c r="N3053" s="14" t="s">
        <v>33</v>
      </c>
      <c r="O3053" s="14"/>
      <c r="P3053" s="15" t="s">
        <v>2678</v>
      </c>
      <c r="Q3053" s="16">
        <v>11399</v>
      </c>
      <c r="R3053" s="17">
        <v>40</v>
      </c>
      <c r="S3053" s="18">
        <v>7865.3099999999986</v>
      </c>
      <c r="T3053" s="19" t="s">
        <v>725</v>
      </c>
      <c r="U3053" s="20" t="s">
        <v>726</v>
      </c>
      <c r="V3053" s="21" t="s">
        <v>2630</v>
      </c>
      <c r="W3053" s="22">
        <v>21</v>
      </c>
      <c r="X3053" s="23"/>
    </row>
    <row r="3054" spans="1:24" s="1" customFormat="1" ht="108" customHeight="1" x14ac:dyDescent="0.3">
      <c r="A3054" s="11" t="s">
        <v>23</v>
      </c>
      <c r="B3054" s="11" t="s">
        <v>2679</v>
      </c>
      <c r="C3054" s="12" t="s">
        <v>2680</v>
      </c>
      <c r="D3054" s="25"/>
      <c r="E3054" s="41" t="str">
        <f>HYPERLINK("https://www.google.ru/search?q=1378415-001&amp;newwindow=1&amp;tbm=isch","Еще фото")</f>
        <v>Еще фото</v>
      </c>
      <c r="F3054" s="13" t="s">
        <v>103</v>
      </c>
      <c r="G3054" s="11" t="s">
        <v>2658</v>
      </c>
      <c r="H3054" s="11" t="s">
        <v>2659</v>
      </c>
      <c r="I3054" s="14" t="s">
        <v>2660</v>
      </c>
      <c r="J3054" s="14" t="s">
        <v>29</v>
      </c>
      <c r="K3054" s="15" t="s">
        <v>723</v>
      </c>
      <c r="L3054" s="14" t="s">
        <v>2681</v>
      </c>
      <c r="M3054" s="14" t="s">
        <v>32</v>
      </c>
      <c r="N3054" s="14" t="s">
        <v>33</v>
      </c>
      <c r="O3054" s="14"/>
      <c r="P3054" s="15" t="s">
        <v>47</v>
      </c>
      <c r="Q3054" s="16">
        <v>4499</v>
      </c>
      <c r="R3054" s="17">
        <v>40</v>
      </c>
      <c r="S3054" s="18">
        <v>3104.31</v>
      </c>
      <c r="T3054" s="19" t="s">
        <v>725</v>
      </c>
      <c r="U3054" s="20" t="s">
        <v>726</v>
      </c>
      <c r="V3054" s="21" t="s">
        <v>2630</v>
      </c>
      <c r="W3054" s="22">
        <v>38</v>
      </c>
      <c r="X3054" s="23"/>
    </row>
    <row r="3055" spans="1:24" s="1" customFormat="1" ht="108" customHeight="1" x14ac:dyDescent="0.3">
      <c r="A3055" s="11" t="s">
        <v>23</v>
      </c>
      <c r="B3055" s="11" t="s">
        <v>2682</v>
      </c>
      <c r="C3055" s="12" t="s">
        <v>2683</v>
      </c>
      <c r="D3055" s="25"/>
      <c r="E3055" s="41" t="str">
        <f>HYPERLINK("https://www.google.ru/search?q=1378415-045&amp;newwindow=1&amp;tbm=isch","Еще фото")</f>
        <v>Еще фото</v>
      </c>
      <c r="F3055" s="13"/>
      <c r="G3055" s="11" t="s">
        <v>2658</v>
      </c>
      <c r="H3055" s="11" t="s">
        <v>2659</v>
      </c>
      <c r="I3055" s="14" t="s">
        <v>2660</v>
      </c>
      <c r="J3055" s="14" t="s">
        <v>43</v>
      </c>
      <c r="K3055" s="15" t="s">
        <v>723</v>
      </c>
      <c r="L3055" s="14" t="s">
        <v>2684</v>
      </c>
      <c r="M3055" s="14" t="s">
        <v>32</v>
      </c>
      <c r="N3055" s="14" t="s">
        <v>62</v>
      </c>
      <c r="O3055" s="14"/>
      <c r="P3055" s="15" t="s">
        <v>47</v>
      </c>
      <c r="Q3055" s="16">
        <v>4299</v>
      </c>
      <c r="R3055" s="17">
        <v>40</v>
      </c>
      <c r="S3055" s="18">
        <v>2966.31</v>
      </c>
      <c r="T3055" s="19" t="s">
        <v>725</v>
      </c>
      <c r="U3055" s="20" t="s">
        <v>726</v>
      </c>
      <c r="V3055" s="21" t="s">
        <v>2630</v>
      </c>
      <c r="W3055" s="22">
        <v>3</v>
      </c>
      <c r="X3055" s="23"/>
    </row>
    <row r="3056" spans="1:24" s="1" customFormat="1" ht="108" customHeight="1" x14ac:dyDescent="0.3">
      <c r="A3056" s="11" t="s">
        <v>23</v>
      </c>
      <c r="B3056" s="11" t="s">
        <v>2682</v>
      </c>
      <c r="C3056" s="12" t="s">
        <v>2685</v>
      </c>
      <c r="D3056" s="25"/>
      <c r="E3056" s="41" t="str">
        <f>HYPERLINK("https://www.google.ru/search?q=1378415-377&amp;newwindow=1&amp;tbm=isch","Еще фото")</f>
        <v>Еще фото</v>
      </c>
      <c r="F3056" s="13"/>
      <c r="G3056" s="11" t="s">
        <v>2658</v>
      </c>
      <c r="H3056" s="11" t="s">
        <v>2659</v>
      </c>
      <c r="I3056" s="14" t="s">
        <v>2660</v>
      </c>
      <c r="J3056" s="14" t="s">
        <v>43</v>
      </c>
      <c r="K3056" s="15" t="s">
        <v>723</v>
      </c>
      <c r="L3056" s="14" t="s">
        <v>2684</v>
      </c>
      <c r="M3056" s="14" t="s">
        <v>32</v>
      </c>
      <c r="N3056" s="14" t="s">
        <v>127</v>
      </c>
      <c r="O3056" s="14"/>
      <c r="P3056" s="15" t="s">
        <v>47</v>
      </c>
      <c r="Q3056" s="16">
        <v>4699</v>
      </c>
      <c r="R3056" s="17">
        <v>40</v>
      </c>
      <c r="S3056" s="18">
        <v>3242.31</v>
      </c>
      <c r="T3056" s="19" t="s">
        <v>725</v>
      </c>
      <c r="U3056" s="20" t="s">
        <v>726</v>
      </c>
      <c r="V3056" s="21" t="s">
        <v>2630</v>
      </c>
      <c r="W3056" s="22">
        <v>4</v>
      </c>
      <c r="X3056" s="23"/>
    </row>
    <row r="3057" spans="1:24" s="1" customFormat="1" ht="108" customHeight="1" x14ac:dyDescent="0.3">
      <c r="A3057" s="11" t="s">
        <v>23</v>
      </c>
      <c r="B3057" s="11" t="s">
        <v>2686</v>
      </c>
      <c r="C3057" s="12" t="s">
        <v>2687</v>
      </c>
      <c r="D3057" s="25"/>
      <c r="E3057" s="41" t="str">
        <f>HYPERLINK("https://www.google.ru/search?q=1380476-001&amp;newwindow=1&amp;tbm=isch","Еще фото")</f>
        <v>Еще фото</v>
      </c>
      <c r="F3057" s="13" t="s">
        <v>103</v>
      </c>
      <c r="G3057" s="11" t="s">
        <v>2658</v>
      </c>
      <c r="H3057" s="11" t="s">
        <v>2659</v>
      </c>
      <c r="I3057" s="14" t="s">
        <v>2660</v>
      </c>
      <c r="J3057" s="14" t="s">
        <v>29</v>
      </c>
      <c r="K3057" s="15" t="s">
        <v>723</v>
      </c>
      <c r="L3057" s="14" t="s">
        <v>2688</v>
      </c>
      <c r="M3057" s="14" t="s">
        <v>32</v>
      </c>
      <c r="N3057" s="14" t="s">
        <v>33</v>
      </c>
      <c r="O3057" s="14"/>
      <c r="P3057" s="15" t="s">
        <v>47</v>
      </c>
      <c r="Q3057" s="16">
        <v>3399</v>
      </c>
      <c r="R3057" s="17">
        <v>40</v>
      </c>
      <c r="S3057" s="18">
        <v>2345.31</v>
      </c>
      <c r="T3057" s="19" t="s">
        <v>725</v>
      </c>
      <c r="U3057" s="20" t="s">
        <v>726</v>
      </c>
      <c r="V3057" s="21" t="s">
        <v>2630</v>
      </c>
      <c r="W3057" s="22">
        <v>29</v>
      </c>
      <c r="X3057" s="23"/>
    </row>
    <row r="3058" spans="1:24" s="1" customFormat="1" ht="108" customHeight="1" x14ac:dyDescent="0.3">
      <c r="A3058" s="11" t="s">
        <v>23</v>
      </c>
      <c r="B3058" s="11" t="s">
        <v>2689</v>
      </c>
      <c r="C3058" s="12" t="s">
        <v>2690</v>
      </c>
      <c r="D3058" s="25"/>
      <c r="E3058" s="41" t="str">
        <f>HYPERLINK("https://www.google.ru/search?q=1380476-114&amp;newwindow=1&amp;tbm=isch","Еще фото")</f>
        <v>Еще фото</v>
      </c>
      <c r="F3058" s="13"/>
      <c r="G3058" s="11" t="s">
        <v>2658</v>
      </c>
      <c r="H3058" s="11" t="s">
        <v>2659</v>
      </c>
      <c r="I3058" s="14" t="s">
        <v>2660</v>
      </c>
      <c r="J3058" s="14" t="s">
        <v>43</v>
      </c>
      <c r="K3058" s="15" t="s">
        <v>723</v>
      </c>
      <c r="L3058" s="14" t="s">
        <v>2688</v>
      </c>
      <c r="M3058" s="14" t="s">
        <v>32</v>
      </c>
      <c r="N3058" s="14" t="s">
        <v>1624</v>
      </c>
      <c r="O3058" s="14"/>
      <c r="P3058" s="15" t="s">
        <v>47</v>
      </c>
      <c r="Q3058" s="16">
        <v>3799</v>
      </c>
      <c r="R3058" s="17">
        <v>40</v>
      </c>
      <c r="S3058" s="18">
        <v>2621.31</v>
      </c>
      <c r="T3058" s="19" t="s">
        <v>725</v>
      </c>
      <c r="U3058" s="20" t="s">
        <v>726</v>
      </c>
      <c r="V3058" s="21" t="s">
        <v>2630</v>
      </c>
      <c r="W3058" s="22">
        <v>14</v>
      </c>
      <c r="X3058" s="23"/>
    </row>
    <row r="3059" spans="1:24" s="1" customFormat="1" ht="108" customHeight="1" x14ac:dyDescent="0.3">
      <c r="A3059" s="11" t="s">
        <v>23</v>
      </c>
      <c r="B3059" s="11" t="s">
        <v>2691</v>
      </c>
      <c r="C3059" s="12" t="s">
        <v>2692</v>
      </c>
      <c r="D3059" s="25"/>
      <c r="E3059" s="41" t="str">
        <f>HYPERLINK("https://www.google.ru/search?q=1382311-001&amp;newwindow=1&amp;tbm=isch","Еще фото")</f>
        <v>Еще фото</v>
      </c>
      <c r="F3059" s="13"/>
      <c r="G3059" s="11" t="s">
        <v>2658</v>
      </c>
      <c r="H3059" s="11" t="s">
        <v>2659</v>
      </c>
      <c r="I3059" s="14" t="s">
        <v>2660</v>
      </c>
      <c r="J3059" s="14" t="s">
        <v>29</v>
      </c>
      <c r="K3059" s="15" t="s">
        <v>723</v>
      </c>
      <c r="L3059" s="14" t="s">
        <v>2693</v>
      </c>
      <c r="M3059" s="14" t="s">
        <v>32</v>
      </c>
      <c r="N3059" s="14" t="s">
        <v>33</v>
      </c>
      <c r="O3059" s="14"/>
      <c r="P3059" s="15" t="s">
        <v>2694</v>
      </c>
      <c r="Q3059" s="16">
        <v>16299</v>
      </c>
      <c r="R3059" s="17">
        <v>40</v>
      </c>
      <c r="S3059" s="18">
        <v>11246.31</v>
      </c>
      <c r="T3059" s="19" t="s">
        <v>725</v>
      </c>
      <c r="U3059" s="20" t="s">
        <v>726</v>
      </c>
      <c r="V3059" s="21" t="s">
        <v>2630</v>
      </c>
      <c r="W3059" s="22">
        <v>7</v>
      </c>
      <c r="X3059" s="23"/>
    </row>
    <row r="3060" spans="1:24" s="1" customFormat="1" ht="108" customHeight="1" x14ac:dyDescent="0.3">
      <c r="A3060" s="11" t="s">
        <v>23</v>
      </c>
      <c r="B3060" s="11" t="s">
        <v>2666</v>
      </c>
      <c r="C3060" s="12" t="s">
        <v>2695</v>
      </c>
      <c r="D3060" s="25"/>
      <c r="E3060" s="41" t="str">
        <f>HYPERLINK("https://www.google.ru/search?q=1384462-015&amp;newwindow=1&amp;tbm=isch","Еще фото")</f>
        <v>Еще фото</v>
      </c>
      <c r="F3060" s="13"/>
      <c r="G3060" s="11" t="s">
        <v>2658</v>
      </c>
      <c r="H3060" s="11" t="s">
        <v>2659</v>
      </c>
      <c r="I3060" s="14" t="s">
        <v>2660</v>
      </c>
      <c r="J3060" s="14" t="s">
        <v>29</v>
      </c>
      <c r="K3060" s="15" t="s">
        <v>723</v>
      </c>
      <c r="L3060" s="14" t="s">
        <v>2696</v>
      </c>
      <c r="M3060" s="14"/>
      <c r="N3060" s="14" t="s">
        <v>69</v>
      </c>
      <c r="O3060" s="14"/>
      <c r="P3060" s="15" t="s">
        <v>47</v>
      </c>
      <c r="Q3060" s="16">
        <v>7199</v>
      </c>
      <c r="R3060" s="17">
        <v>40</v>
      </c>
      <c r="S3060" s="18">
        <v>4967.3099999999995</v>
      </c>
      <c r="T3060" s="19" t="s">
        <v>725</v>
      </c>
      <c r="U3060" s="20" t="s">
        <v>726</v>
      </c>
      <c r="V3060" s="21" t="s">
        <v>2630</v>
      </c>
      <c r="W3060" s="22">
        <v>7</v>
      </c>
      <c r="X3060" s="23"/>
    </row>
    <row r="3061" spans="1:24" s="1" customFormat="1" ht="108" customHeight="1" x14ac:dyDescent="0.3">
      <c r="A3061" s="11" t="s">
        <v>23</v>
      </c>
      <c r="B3061" s="11" t="s">
        <v>2666</v>
      </c>
      <c r="C3061" s="12" t="s">
        <v>2697</v>
      </c>
      <c r="D3061" s="25"/>
      <c r="E3061" s="41" t="str">
        <f>HYPERLINK("https://www.google.ru/search?q=1384462-069&amp;newwindow=1&amp;tbm=isch","Еще фото")</f>
        <v>Еще фото</v>
      </c>
      <c r="F3061" s="13"/>
      <c r="G3061" s="11" t="s">
        <v>2658</v>
      </c>
      <c r="H3061" s="11" t="s">
        <v>2659</v>
      </c>
      <c r="I3061" s="14" t="s">
        <v>2660</v>
      </c>
      <c r="J3061" s="14" t="s">
        <v>43</v>
      </c>
      <c r="K3061" s="15" t="s">
        <v>723</v>
      </c>
      <c r="L3061" s="14" t="s">
        <v>2698</v>
      </c>
      <c r="M3061" s="14"/>
      <c r="N3061" s="14" t="s">
        <v>62</v>
      </c>
      <c r="O3061" s="14"/>
      <c r="P3061" s="15" t="s">
        <v>47</v>
      </c>
      <c r="Q3061" s="16">
        <v>5799</v>
      </c>
      <c r="R3061" s="17">
        <v>40</v>
      </c>
      <c r="S3061" s="18">
        <v>4001.31</v>
      </c>
      <c r="T3061" s="19" t="s">
        <v>725</v>
      </c>
      <c r="U3061" s="20" t="s">
        <v>726</v>
      </c>
      <c r="V3061" s="21" t="s">
        <v>2630</v>
      </c>
      <c r="W3061" s="22">
        <v>40</v>
      </c>
      <c r="X3061" s="23"/>
    </row>
    <row r="3062" spans="1:24" s="1" customFormat="1" ht="108" customHeight="1" x14ac:dyDescent="0.3">
      <c r="A3062" s="11" t="s">
        <v>23</v>
      </c>
      <c r="B3062" s="11" t="s">
        <v>2699</v>
      </c>
      <c r="C3062" s="12" t="s">
        <v>2700</v>
      </c>
      <c r="D3062" s="25"/>
      <c r="E3062" s="41" t="str">
        <f>HYPERLINK("https://www.google.ru/search?q=1384671-390&amp;newwindow=1&amp;tbm=isch","Еще фото")</f>
        <v>Еще фото</v>
      </c>
      <c r="F3062" s="13"/>
      <c r="G3062" s="11" t="s">
        <v>2658</v>
      </c>
      <c r="H3062" s="11" t="s">
        <v>2659</v>
      </c>
      <c r="I3062" s="14" t="s">
        <v>2660</v>
      </c>
      <c r="J3062" s="14" t="s">
        <v>29</v>
      </c>
      <c r="K3062" s="15" t="s">
        <v>723</v>
      </c>
      <c r="L3062" s="14" t="s">
        <v>2701</v>
      </c>
      <c r="M3062" s="14"/>
      <c r="N3062" s="14" t="s">
        <v>127</v>
      </c>
      <c r="O3062" s="14"/>
      <c r="P3062" s="15" t="s">
        <v>2702</v>
      </c>
      <c r="Q3062" s="16">
        <v>8399</v>
      </c>
      <c r="R3062" s="17">
        <v>40</v>
      </c>
      <c r="S3062" s="18">
        <v>5795.3099999999995</v>
      </c>
      <c r="T3062" s="19" t="s">
        <v>725</v>
      </c>
      <c r="U3062" s="20" t="s">
        <v>726</v>
      </c>
      <c r="V3062" s="21" t="s">
        <v>2630</v>
      </c>
      <c r="W3062" s="22">
        <v>55</v>
      </c>
      <c r="X3062" s="23"/>
    </row>
    <row r="3063" spans="1:24" s="1" customFormat="1" ht="108" customHeight="1" x14ac:dyDescent="0.3">
      <c r="A3063" s="11" t="s">
        <v>23</v>
      </c>
      <c r="B3063" s="11" t="s">
        <v>2703</v>
      </c>
      <c r="C3063" s="12" t="s">
        <v>2704</v>
      </c>
      <c r="D3063" s="25"/>
      <c r="E3063" s="41" t="str">
        <f>HYPERLINK("https://www.google.ru/search?q=1384672-002&amp;newwindow=1&amp;tbm=isch","Еще фото")</f>
        <v>Еще фото</v>
      </c>
      <c r="F3063" s="13" t="s">
        <v>103</v>
      </c>
      <c r="G3063" s="11" t="s">
        <v>2658</v>
      </c>
      <c r="H3063" s="11" t="s">
        <v>2659</v>
      </c>
      <c r="I3063" s="14" t="s">
        <v>2660</v>
      </c>
      <c r="J3063" s="14" t="s">
        <v>29</v>
      </c>
      <c r="K3063" s="15" t="s">
        <v>723</v>
      </c>
      <c r="L3063" s="14" t="s">
        <v>2705</v>
      </c>
      <c r="M3063" s="14" t="s">
        <v>32</v>
      </c>
      <c r="N3063" s="14" t="s">
        <v>33</v>
      </c>
      <c r="O3063" s="14"/>
      <c r="P3063" s="15" t="s">
        <v>47</v>
      </c>
      <c r="Q3063" s="16">
        <v>6499</v>
      </c>
      <c r="R3063" s="17">
        <v>40</v>
      </c>
      <c r="S3063" s="18">
        <v>4484.3099999999995</v>
      </c>
      <c r="T3063" s="19" t="s">
        <v>725</v>
      </c>
      <c r="U3063" s="20" t="s">
        <v>726</v>
      </c>
      <c r="V3063" s="21" t="s">
        <v>2630</v>
      </c>
      <c r="W3063" s="22">
        <v>1</v>
      </c>
      <c r="X3063" s="23"/>
    </row>
    <row r="3064" spans="1:24" s="1" customFormat="1" ht="108" customHeight="1" x14ac:dyDescent="0.3">
      <c r="A3064" s="11" t="s">
        <v>23</v>
      </c>
      <c r="B3064" s="11" t="s">
        <v>2703</v>
      </c>
      <c r="C3064" s="12" t="s">
        <v>2706</v>
      </c>
      <c r="D3064" s="25"/>
      <c r="E3064" s="41" t="str">
        <f>HYPERLINK("https://www.google.ru/search?q=1384672-003&amp;newwindow=1&amp;tbm=isch","Еще фото")</f>
        <v>Еще фото</v>
      </c>
      <c r="F3064" s="13" t="s">
        <v>103</v>
      </c>
      <c r="G3064" s="11" t="s">
        <v>2658</v>
      </c>
      <c r="H3064" s="11" t="s">
        <v>2659</v>
      </c>
      <c r="I3064" s="14" t="s">
        <v>2660</v>
      </c>
      <c r="J3064" s="14" t="s">
        <v>29</v>
      </c>
      <c r="K3064" s="15" t="s">
        <v>723</v>
      </c>
      <c r="L3064" s="14" t="s">
        <v>2705</v>
      </c>
      <c r="M3064" s="14" t="s">
        <v>32</v>
      </c>
      <c r="N3064" s="14" t="s">
        <v>33</v>
      </c>
      <c r="O3064" s="14"/>
      <c r="P3064" s="15" t="s">
        <v>47</v>
      </c>
      <c r="Q3064" s="16">
        <v>6099</v>
      </c>
      <c r="R3064" s="17">
        <v>40</v>
      </c>
      <c r="S3064" s="18">
        <v>4208.3099999999995</v>
      </c>
      <c r="T3064" s="19" t="s">
        <v>725</v>
      </c>
      <c r="U3064" s="20" t="s">
        <v>726</v>
      </c>
      <c r="V3064" s="21" t="s">
        <v>2630</v>
      </c>
      <c r="W3064" s="22">
        <v>8</v>
      </c>
      <c r="X3064" s="23"/>
    </row>
    <row r="3065" spans="1:24" s="1" customFormat="1" ht="108" customHeight="1" x14ac:dyDescent="0.3">
      <c r="A3065" s="11" t="s">
        <v>23</v>
      </c>
      <c r="B3065" s="11" t="s">
        <v>2703</v>
      </c>
      <c r="C3065" s="12" t="s">
        <v>2707</v>
      </c>
      <c r="D3065" s="25"/>
      <c r="E3065" s="41" t="str">
        <f>HYPERLINK("https://www.google.ru/search?q=1384672-007&amp;newwindow=1&amp;tbm=isch","Еще фото")</f>
        <v>Еще фото</v>
      </c>
      <c r="F3065" s="13" t="s">
        <v>103</v>
      </c>
      <c r="G3065" s="11" t="s">
        <v>2658</v>
      </c>
      <c r="H3065" s="11" t="s">
        <v>2659</v>
      </c>
      <c r="I3065" s="14" t="s">
        <v>2660</v>
      </c>
      <c r="J3065" s="14" t="s">
        <v>29</v>
      </c>
      <c r="K3065" s="15" t="s">
        <v>723</v>
      </c>
      <c r="L3065" s="14" t="s">
        <v>2705</v>
      </c>
      <c r="M3065" s="14"/>
      <c r="N3065" s="14" t="s">
        <v>33</v>
      </c>
      <c r="O3065" s="14"/>
      <c r="P3065" s="15" t="s">
        <v>47</v>
      </c>
      <c r="Q3065" s="16">
        <v>6099</v>
      </c>
      <c r="R3065" s="17">
        <v>40</v>
      </c>
      <c r="S3065" s="18">
        <v>4208.3099999999995</v>
      </c>
      <c r="T3065" s="19" t="s">
        <v>725</v>
      </c>
      <c r="U3065" s="20" t="s">
        <v>726</v>
      </c>
      <c r="V3065" s="21" t="s">
        <v>2630</v>
      </c>
      <c r="W3065" s="22">
        <v>44</v>
      </c>
      <c r="X3065" s="23"/>
    </row>
    <row r="3066" spans="1:24" s="1" customFormat="1" ht="108" customHeight="1" x14ac:dyDescent="0.3">
      <c r="A3066" s="11" t="s">
        <v>23</v>
      </c>
      <c r="B3066" s="11" t="s">
        <v>2703</v>
      </c>
      <c r="C3066" s="12" t="s">
        <v>2708</v>
      </c>
      <c r="D3066" s="25"/>
      <c r="E3066" s="41" t="str">
        <f>HYPERLINK("https://www.google.ru/search?q=1384672-069&amp;newwindow=1&amp;tbm=isch","Еще фото")</f>
        <v>Еще фото</v>
      </c>
      <c r="F3066" s="13"/>
      <c r="G3066" s="11" t="s">
        <v>2658</v>
      </c>
      <c r="H3066" s="11" t="s">
        <v>2659</v>
      </c>
      <c r="I3066" s="14" t="s">
        <v>2660</v>
      </c>
      <c r="J3066" s="14" t="s">
        <v>29</v>
      </c>
      <c r="K3066" s="15" t="s">
        <v>723</v>
      </c>
      <c r="L3066" s="14" t="s">
        <v>2705</v>
      </c>
      <c r="M3066" s="14"/>
      <c r="N3066" s="14" t="s">
        <v>62</v>
      </c>
      <c r="O3066" s="14"/>
      <c r="P3066" s="15" t="s">
        <v>47</v>
      </c>
      <c r="Q3066" s="16">
        <v>6099</v>
      </c>
      <c r="R3066" s="17">
        <v>40</v>
      </c>
      <c r="S3066" s="18">
        <v>4208.3099999999995</v>
      </c>
      <c r="T3066" s="19" t="s">
        <v>725</v>
      </c>
      <c r="U3066" s="20" t="s">
        <v>726</v>
      </c>
      <c r="V3066" s="21" t="s">
        <v>2630</v>
      </c>
      <c r="W3066" s="22">
        <v>64</v>
      </c>
      <c r="X3066" s="23"/>
    </row>
    <row r="3067" spans="1:24" s="1" customFormat="1" ht="108" customHeight="1" x14ac:dyDescent="0.3">
      <c r="A3067" s="11" t="s">
        <v>23</v>
      </c>
      <c r="B3067" s="11" t="s">
        <v>2703</v>
      </c>
      <c r="C3067" s="12" t="s">
        <v>2709</v>
      </c>
      <c r="D3067" s="25"/>
      <c r="E3067" s="41" t="str">
        <f>HYPERLINK("https://www.google.ru/search?q=1384672-289&amp;newwindow=1&amp;tbm=isch","Еще фото")</f>
        <v>Еще фото</v>
      </c>
      <c r="F3067" s="13"/>
      <c r="G3067" s="11" t="s">
        <v>2658</v>
      </c>
      <c r="H3067" s="11" t="s">
        <v>2659</v>
      </c>
      <c r="I3067" s="14" t="s">
        <v>2660</v>
      </c>
      <c r="J3067" s="14" t="s">
        <v>29</v>
      </c>
      <c r="K3067" s="15" t="s">
        <v>723</v>
      </c>
      <c r="L3067" s="14" t="s">
        <v>2705</v>
      </c>
      <c r="M3067" s="14"/>
      <c r="N3067" s="14" t="s">
        <v>127</v>
      </c>
      <c r="O3067" s="14"/>
      <c r="P3067" s="15" t="s">
        <v>47</v>
      </c>
      <c r="Q3067" s="16">
        <v>6099</v>
      </c>
      <c r="R3067" s="17">
        <v>40</v>
      </c>
      <c r="S3067" s="18">
        <v>4208.3099999999995</v>
      </c>
      <c r="T3067" s="19" t="s">
        <v>725</v>
      </c>
      <c r="U3067" s="20" t="s">
        <v>726</v>
      </c>
      <c r="V3067" s="21" t="s">
        <v>2630</v>
      </c>
      <c r="W3067" s="22">
        <v>50</v>
      </c>
      <c r="X3067" s="23"/>
    </row>
    <row r="3068" spans="1:24" s="1" customFormat="1" ht="108" customHeight="1" x14ac:dyDescent="0.3">
      <c r="A3068" s="11" t="s">
        <v>23</v>
      </c>
      <c r="B3068" s="11" t="s">
        <v>2703</v>
      </c>
      <c r="C3068" s="12" t="s">
        <v>2710</v>
      </c>
      <c r="D3068" s="25"/>
      <c r="E3068" s="41" t="str">
        <f>HYPERLINK("https://www.google.ru/search?q=1384672-477&amp;newwindow=1&amp;tbm=isch","Еще фото")</f>
        <v>Еще фото</v>
      </c>
      <c r="F3068" s="13"/>
      <c r="G3068" s="11" t="s">
        <v>2658</v>
      </c>
      <c r="H3068" s="11" t="s">
        <v>2659</v>
      </c>
      <c r="I3068" s="14" t="s">
        <v>2660</v>
      </c>
      <c r="J3068" s="14" t="s">
        <v>29</v>
      </c>
      <c r="K3068" s="15" t="s">
        <v>723</v>
      </c>
      <c r="L3068" s="14" t="s">
        <v>2705</v>
      </c>
      <c r="M3068" s="14"/>
      <c r="N3068" s="14" t="s">
        <v>46</v>
      </c>
      <c r="O3068" s="14"/>
      <c r="P3068" s="15" t="s">
        <v>47</v>
      </c>
      <c r="Q3068" s="16">
        <v>6099</v>
      </c>
      <c r="R3068" s="17">
        <v>40</v>
      </c>
      <c r="S3068" s="18">
        <v>4208.3099999999995</v>
      </c>
      <c r="T3068" s="19" t="s">
        <v>725</v>
      </c>
      <c r="U3068" s="20" t="s">
        <v>726</v>
      </c>
      <c r="V3068" s="21" t="s">
        <v>2630</v>
      </c>
      <c r="W3068" s="22">
        <v>62</v>
      </c>
      <c r="X3068" s="23"/>
    </row>
    <row r="3069" spans="1:24" s="1" customFormat="1" ht="108" customHeight="1" x14ac:dyDescent="0.3">
      <c r="A3069" s="11" t="s">
        <v>23</v>
      </c>
      <c r="B3069" s="11" t="s">
        <v>2711</v>
      </c>
      <c r="C3069" s="12" t="s">
        <v>2712</v>
      </c>
      <c r="D3069" s="25"/>
      <c r="E3069" s="41" t="str">
        <f>HYPERLINK("https://www.google.ru/search?q=1384675-001&amp;newwindow=1&amp;tbm=isch","Еще фото")</f>
        <v>Еще фото</v>
      </c>
      <c r="F3069" s="13" t="s">
        <v>103</v>
      </c>
      <c r="G3069" s="11" t="s">
        <v>2658</v>
      </c>
      <c r="H3069" s="11" t="s">
        <v>2659</v>
      </c>
      <c r="I3069" s="14" t="s">
        <v>2660</v>
      </c>
      <c r="J3069" s="14" t="s">
        <v>29</v>
      </c>
      <c r="K3069" s="15" t="s">
        <v>59</v>
      </c>
      <c r="L3069" s="14" t="s">
        <v>2713</v>
      </c>
      <c r="M3069" s="14"/>
      <c r="N3069" s="14" t="s">
        <v>33</v>
      </c>
      <c r="O3069" s="14"/>
      <c r="P3069" s="15" t="s">
        <v>47</v>
      </c>
      <c r="Q3069" s="16">
        <v>7999</v>
      </c>
      <c r="R3069" s="17">
        <v>40</v>
      </c>
      <c r="S3069" s="18">
        <v>5519.3099999999995</v>
      </c>
      <c r="T3069" s="19" t="s">
        <v>725</v>
      </c>
      <c r="U3069" s="20" t="s">
        <v>726</v>
      </c>
      <c r="V3069" s="21" t="s">
        <v>2630</v>
      </c>
      <c r="W3069" s="22">
        <v>9</v>
      </c>
      <c r="X3069" s="23"/>
    </row>
    <row r="3070" spans="1:24" s="1" customFormat="1" ht="108" customHeight="1" x14ac:dyDescent="0.3">
      <c r="A3070" s="11" t="s">
        <v>23</v>
      </c>
      <c r="B3070" s="11" t="s">
        <v>2714</v>
      </c>
      <c r="C3070" s="12" t="s">
        <v>2715</v>
      </c>
      <c r="D3070" s="25"/>
      <c r="E3070" s="41" t="str">
        <f>HYPERLINK("https://www.google.ru/search?q=1388928-299&amp;newwindow=1&amp;tbm=isch","Еще фото")</f>
        <v>Еще фото</v>
      </c>
      <c r="F3070" s="13"/>
      <c r="G3070" s="11" t="s">
        <v>2658</v>
      </c>
      <c r="H3070" s="11" t="s">
        <v>2659</v>
      </c>
      <c r="I3070" s="14" t="s">
        <v>2660</v>
      </c>
      <c r="J3070" s="14" t="s">
        <v>43</v>
      </c>
      <c r="K3070" s="15" t="s">
        <v>59</v>
      </c>
      <c r="L3070" s="14" t="s">
        <v>2716</v>
      </c>
      <c r="M3070" s="14" t="s">
        <v>32</v>
      </c>
      <c r="N3070" s="14" t="s">
        <v>229</v>
      </c>
      <c r="O3070" s="14"/>
      <c r="P3070" s="15" t="s">
        <v>2717</v>
      </c>
      <c r="Q3070" s="16">
        <v>10199</v>
      </c>
      <c r="R3070" s="17">
        <v>40</v>
      </c>
      <c r="S3070" s="18">
        <v>7037.3099999999995</v>
      </c>
      <c r="T3070" s="19" t="s">
        <v>725</v>
      </c>
      <c r="U3070" s="20" t="s">
        <v>726</v>
      </c>
      <c r="V3070" s="21" t="s">
        <v>2630</v>
      </c>
      <c r="W3070" s="22">
        <v>5</v>
      </c>
      <c r="X3070" s="23"/>
    </row>
    <row r="3071" spans="1:24" s="1" customFormat="1" ht="108" customHeight="1" x14ac:dyDescent="0.3">
      <c r="A3071" s="11" t="s">
        <v>23</v>
      </c>
      <c r="B3071" s="11" t="s">
        <v>2718</v>
      </c>
      <c r="C3071" s="12" t="s">
        <v>2719</v>
      </c>
      <c r="D3071" s="25"/>
      <c r="E3071" s="41" t="str">
        <f>HYPERLINK("https://www.google.ru/search?q=6000397-001&amp;newwindow=1&amp;tbm=isch","Еще фото")</f>
        <v>Еще фото</v>
      </c>
      <c r="F3071" s="13" t="s">
        <v>103</v>
      </c>
      <c r="G3071" s="11" t="s">
        <v>2658</v>
      </c>
      <c r="H3071" s="11" t="s">
        <v>2659</v>
      </c>
      <c r="I3071" s="14" t="s">
        <v>2660</v>
      </c>
      <c r="J3071" s="14" t="s">
        <v>29</v>
      </c>
      <c r="K3071" s="15" t="s">
        <v>723</v>
      </c>
      <c r="L3071" s="14" t="s">
        <v>2720</v>
      </c>
      <c r="M3071" s="14"/>
      <c r="N3071" s="14" t="s">
        <v>33</v>
      </c>
      <c r="O3071" s="14"/>
      <c r="P3071" s="15" t="s">
        <v>47</v>
      </c>
      <c r="Q3071" s="16">
        <v>4799</v>
      </c>
      <c r="R3071" s="17">
        <v>40</v>
      </c>
      <c r="S3071" s="18">
        <v>3311.31</v>
      </c>
      <c r="T3071" s="19" t="s">
        <v>725</v>
      </c>
      <c r="U3071" s="20" t="s">
        <v>726</v>
      </c>
      <c r="V3071" s="21" t="s">
        <v>2630</v>
      </c>
      <c r="W3071" s="22">
        <v>40</v>
      </c>
      <c r="X3071" s="23"/>
    </row>
    <row r="3072" spans="1:24" s="1" customFormat="1" ht="108" customHeight="1" x14ac:dyDescent="0.3">
      <c r="A3072" s="11" t="s">
        <v>23</v>
      </c>
      <c r="B3072" s="11" t="s">
        <v>2718</v>
      </c>
      <c r="C3072" s="12" t="s">
        <v>2721</v>
      </c>
      <c r="D3072" s="25"/>
      <c r="E3072" s="41" t="str">
        <f>HYPERLINK("https://www.google.ru/search?q=6000397-025&amp;newwindow=1&amp;tbm=isch","Еще фото")</f>
        <v>Еще фото</v>
      </c>
      <c r="F3072" s="13" t="s">
        <v>103</v>
      </c>
      <c r="G3072" s="11" t="s">
        <v>2658</v>
      </c>
      <c r="H3072" s="11" t="s">
        <v>2659</v>
      </c>
      <c r="I3072" s="14" t="s">
        <v>2660</v>
      </c>
      <c r="J3072" s="14" t="s">
        <v>29</v>
      </c>
      <c r="K3072" s="15" t="s">
        <v>723</v>
      </c>
      <c r="L3072" s="14" t="s">
        <v>2720</v>
      </c>
      <c r="M3072" s="14"/>
      <c r="N3072" s="14" t="s">
        <v>62</v>
      </c>
      <c r="O3072" s="14"/>
      <c r="P3072" s="15" t="s">
        <v>47</v>
      </c>
      <c r="Q3072" s="16">
        <v>4799</v>
      </c>
      <c r="R3072" s="17">
        <v>40</v>
      </c>
      <c r="S3072" s="18">
        <v>3311.31</v>
      </c>
      <c r="T3072" s="19" t="s">
        <v>725</v>
      </c>
      <c r="U3072" s="20" t="s">
        <v>726</v>
      </c>
      <c r="V3072" s="21" t="s">
        <v>2630</v>
      </c>
      <c r="W3072" s="22">
        <v>53</v>
      </c>
      <c r="X3072" s="23"/>
    </row>
    <row r="3073" spans="1:24" s="1" customFormat="1" ht="108" customHeight="1" x14ac:dyDescent="0.3">
      <c r="A3073" s="11" t="s">
        <v>23</v>
      </c>
      <c r="B3073" s="11" t="s">
        <v>2722</v>
      </c>
      <c r="C3073" s="12" t="s">
        <v>2723</v>
      </c>
      <c r="D3073" s="25"/>
      <c r="E3073" s="41" t="str">
        <f>HYPERLINK("https://www.google.ru/search?q=6000399-402&amp;newwindow=1&amp;tbm=isch","Еще фото")</f>
        <v>Еще фото</v>
      </c>
      <c r="F3073" s="13"/>
      <c r="G3073" s="11" t="s">
        <v>2658</v>
      </c>
      <c r="H3073" s="11" t="s">
        <v>2659</v>
      </c>
      <c r="I3073" s="14" t="s">
        <v>2660</v>
      </c>
      <c r="J3073" s="14" t="s">
        <v>29</v>
      </c>
      <c r="K3073" s="15" t="s">
        <v>723</v>
      </c>
      <c r="L3073" s="14" t="s">
        <v>2724</v>
      </c>
      <c r="M3073" s="14" t="s">
        <v>32</v>
      </c>
      <c r="N3073" s="14" t="s">
        <v>115</v>
      </c>
      <c r="O3073" s="14"/>
      <c r="P3073" s="15" t="s">
        <v>47</v>
      </c>
      <c r="Q3073" s="16">
        <v>4299</v>
      </c>
      <c r="R3073" s="17">
        <v>40</v>
      </c>
      <c r="S3073" s="18">
        <v>2966.31</v>
      </c>
      <c r="T3073" s="19" t="s">
        <v>725</v>
      </c>
      <c r="U3073" s="20" t="s">
        <v>726</v>
      </c>
      <c r="V3073" s="21" t="s">
        <v>2630</v>
      </c>
      <c r="W3073" s="22">
        <v>7</v>
      </c>
      <c r="X3073" s="23"/>
    </row>
    <row r="3074" spans="1:24" s="1" customFormat="1" ht="108" customHeight="1" x14ac:dyDescent="0.3">
      <c r="A3074" s="11" t="s">
        <v>23</v>
      </c>
      <c r="B3074" s="11" t="s">
        <v>2722</v>
      </c>
      <c r="C3074" s="12" t="s">
        <v>2725</v>
      </c>
      <c r="D3074" s="25"/>
      <c r="E3074" s="41" t="str">
        <f>HYPERLINK("https://www.google.ru/search?q=6000399-410&amp;newwindow=1&amp;tbm=isch","Еще фото")</f>
        <v>Еще фото</v>
      </c>
      <c r="F3074" s="13" t="s">
        <v>103</v>
      </c>
      <c r="G3074" s="11" t="s">
        <v>2658</v>
      </c>
      <c r="H3074" s="11" t="s">
        <v>2659</v>
      </c>
      <c r="I3074" s="14" t="s">
        <v>2660</v>
      </c>
      <c r="J3074" s="14" t="s">
        <v>29</v>
      </c>
      <c r="K3074" s="15" t="s">
        <v>723</v>
      </c>
      <c r="L3074" s="14" t="s">
        <v>2726</v>
      </c>
      <c r="M3074" s="14" t="s">
        <v>32</v>
      </c>
      <c r="N3074" s="14" t="s">
        <v>115</v>
      </c>
      <c r="O3074" s="14"/>
      <c r="P3074" s="15" t="s">
        <v>47</v>
      </c>
      <c r="Q3074" s="16">
        <v>4099</v>
      </c>
      <c r="R3074" s="17">
        <v>40</v>
      </c>
      <c r="S3074" s="18">
        <v>2828.31</v>
      </c>
      <c r="T3074" s="19" t="s">
        <v>725</v>
      </c>
      <c r="U3074" s="20" t="s">
        <v>726</v>
      </c>
      <c r="V3074" s="21" t="s">
        <v>2630</v>
      </c>
      <c r="W3074" s="22">
        <v>57</v>
      </c>
      <c r="X3074" s="23"/>
    </row>
    <row r="3075" spans="1:24" s="1" customFormat="1" ht="108" customHeight="1" x14ac:dyDescent="0.3">
      <c r="A3075" s="11" t="s">
        <v>23</v>
      </c>
      <c r="B3075" s="11" t="s">
        <v>2722</v>
      </c>
      <c r="C3075" s="12" t="s">
        <v>2727</v>
      </c>
      <c r="D3075" s="25"/>
      <c r="E3075" s="41" t="str">
        <f>HYPERLINK("https://www.google.ru/search?q=6000399-690&amp;newwindow=1&amp;tbm=isch","Еще фото")</f>
        <v>Еще фото</v>
      </c>
      <c r="F3075" s="13"/>
      <c r="G3075" s="11" t="s">
        <v>2658</v>
      </c>
      <c r="H3075" s="11" t="s">
        <v>2659</v>
      </c>
      <c r="I3075" s="14" t="s">
        <v>2660</v>
      </c>
      <c r="J3075" s="14" t="s">
        <v>29</v>
      </c>
      <c r="K3075" s="15" t="s">
        <v>723</v>
      </c>
      <c r="L3075" s="14" t="s">
        <v>2726</v>
      </c>
      <c r="M3075" s="14"/>
      <c r="N3075" s="14" t="s">
        <v>198</v>
      </c>
      <c r="O3075" s="14"/>
      <c r="P3075" s="15" t="s">
        <v>47</v>
      </c>
      <c r="Q3075" s="16">
        <v>4099</v>
      </c>
      <c r="R3075" s="17">
        <v>40</v>
      </c>
      <c r="S3075" s="18">
        <v>2828.31</v>
      </c>
      <c r="T3075" s="19" t="s">
        <v>725</v>
      </c>
      <c r="U3075" s="20" t="s">
        <v>726</v>
      </c>
      <c r="V3075" s="21" t="s">
        <v>2630</v>
      </c>
      <c r="W3075" s="22">
        <v>29</v>
      </c>
      <c r="X3075" s="23"/>
    </row>
    <row r="3076" spans="1:24" s="1" customFormat="1" ht="108" customHeight="1" x14ac:dyDescent="0.3">
      <c r="A3076" s="11" t="s">
        <v>23</v>
      </c>
      <c r="B3076" s="11" t="s">
        <v>2722</v>
      </c>
      <c r="C3076" s="12" t="s">
        <v>2728</v>
      </c>
      <c r="D3076" s="25"/>
      <c r="E3076" s="41" t="str">
        <f>HYPERLINK("https://www.google.ru/search?q=6000399-713&amp;newwindow=1&amp;tbm=isch","Еще фото")</f>
        <v>Еще фото</v>
      </c>
      <c r="F3076" s="13"/>
      <c r="G3076" s="11" t="s">
        <v>2658</v>
      </c>
      <c r="H3076" s="11" t="s">
        <v>2659</v>
      </c>
      <c r="I3076" s="14" t="s">
        <v>2660</v>
      </c>
      <c r="J3076" s="14" t="s">
        <v>29</v>
      </c>
      <c r="K3076" s="15" t="s">
        <v>723</v>
      </c>
      <c r="L3076" s="14" t="s">
        <v>2726</v>
      </c>
      <c r="M3076" s="14" t="s">
        <v>32</v>
      </c>
      <c r="N3076" s="14" t="s">
        <v>198</v>
      </c>
      <c r="O3076" s="14"/>
      <c r="P3076" s="15" t="s">
        <v>47</v>
      </c>
      <c r="Q3076" s="16">
        <v>4299</v>
      </c>
      <c r="R3076" s="17">
        <v>40</v>
      </c>
      <c r="S3076" s="18">
        <v>2966.31</v>
      </c>
      <c r="T3076" s="19" t="s">
        <v>725</v>
      </c>
      <c r="U3076" s="20" t="s">
        <v>726</v>
      </c>
      <c r="V3076" s="21" t="s">
        <v>2630</v>
      </c>
      <c r="W3076" s="22">
        <v>7</v>
      </c>
      <c r="X3076" s="23"/>
    </row>
    <row r="3077" spans="1:24" s="1" customFormat="1" ht="52.05" customHeight="1" x14ac:dyDescent="0.3">
      <c r="A3077" s="11" t="s">
        <v>23</v>
      </c>
      <c r="B3077" s="11" t="s">
        <v>2729</v>
      </c>
      <c r="C3077" s="12" t="s">
        <v>2730</v>
      </c>
      <c r="D3077" s="55"/>
      <c r="E3077" s="41" t="str">
        <f>HYPERLINK("https://www.google.ru/search?q=3025044-001&amp;newwindow=1&amp;tbm=isch","Еще фото")</f>
        <v>Еще фото</v>
      </c>
      <c r="F3077" s="13"/>
      <c r="G3077" s="11" t="s">
        <v>2731</v>
      </c>
      <c r="H3077" s="11" t="s">
        <v>741</v>
      </c>
      <c r="I3077" s="14" t="s">
        <v>2732</v>
      </c>
      <c r="J3077" s="14" t="s">
        <v>2733</v>
      </c>
      <c r="K3077" s="15" t="s">
        <v>723</v>
      </c>
      <c r="L3077" s="57" t="s">
        <v>2734</v>
      </c>
      <c r="M3077" s="14"/>
      <c r="N3077" s="14" t="s">
        <v>33</v>
      </c>
      <c r="O3077" s="14"/>
      <c r="P3077" s="15" t="s">
        <v>2735</v>
      </c>
      <c r="Q3077" s="16">
        <v>5699</v>
      </c>
      <c r="R3077" s="17">
        <v>64.239999999999995</v>
      </c>
      <c r="S3077" s="18">
        <v>2343.4354999999996</v>
      </c>
      <c r="T3077" s="19" t="s">
        <v>36</v>
      </c>
      <c r="U3077" s="20" t="s">
        <v>748</v>
      </c>
      <c r="V3077" s="22">
        <v>40</v>
      </c>
      <c r="W3077" s="22">
        <v>21</v>
      </c>
      <c r="X3077" s="23"/>
    </row>
    <row r="3078" spans="1:24" s="1" customFormat="1" ht="61.05" customHeight="1" x14ac:dyDescent="0.3">
      <c r="A3078" s="24" t="s">
        <v>23</v>
      </c>
      <c r="B3078" s="24" t="s">
        <v>2729</v>
      </c>
      <c r="C3078" s="12" t="s">
        <v>2730</v>
      </c>
      <c r="D3078" s="56"/>
      <c r="E3078" s="41" t="str">
        <f>HYPERLINK("https://www.google.ru/search?q=3025044-001&amp;newwindow=1&amp;tbm=isch","Еще фото")</f>
        <v>Еще фото</v>
      </c>
      <c r="F3078" s="13"/>
      <c r="G3078" s="24" t="s">
        <v>2731</v>
      </c>
      <c r="H3078" s="24" t="s">
        <v>741</v>
      </c>
      <c r="I3078" s="24" t="s">
        <v>2732</v>
      </c>
      <c r="J3078" s="14" t="s">
        <v>2733</v>
      </c>
      <c r="K3078" s="15" t="s">
        <v>723</v>
      </c>
      <c r="L3078" s="58"/>
      <c r="M3078" s="14"/>
      <c r="N3078" s="14" t="s">
        <v>33</v>
      </c>
      <c r="O3078" s="14"/>
      <c r="P3078" s="15" t="s">
        <v>2735</v>
      </c>
      <c r="Q3078" s="16">
        <v>5699</v>
      </c>
      <c r="R3078" s="17">
        <v>64.239999999999995</v>
      </c>
      <c r="S3078" s="18">
        <v>2343.4354999999996</v>
      </c>
      <c r="T3078" s="19" t="s">
        <v>36</v>
      </c>
      <c r="U3078" s="20" t="s">
        <v>750</v>
      </c>
      <c r="V3078" s="34">
        <v>41.5</v>
      </c>
      <c r="W3078" s="22">
        <v>12</v>
      </c>
      <c r="X3078" s="23"/>
    </row>
    <row r="3079" spans="1:24" s="1" customFormat="1" ht="52.05" customHeight="1" x14ac:dyDescent="0.3">
      <c r="A3079" s="11" t="s">
        <v>23</v>
      </c>
      <c r="B3079" s="11" t="s">
        <v>2736</v>
      </c>
      <c r="C3079" s="12" t="s">
        <v>2737</v>
      </c>
      <c r="D3079" s="55"/>
      <c r="E3079" s="41" t="str">
        <f>HYPERLINK("https://www.google.ru/search?q=3028095-025&amp;newwindow=1&amp;tbm=isch","Еще фото")</f>
        <v>Еще фото</v>
      </c>
      <c r="F3079" s="13"/>
      <c r="G3079" s="11" t="s">
        <v>2731</v>
      </c>
      <c r="H3079" s="11" t="s">
        <v>741</v>
      </c>
      <c r="I3079" s="14" t="s">
        <v>2732</v>
      </c>
      <c r="J3079" s="14" t="s">
        <v>43</v>
      </c>
      <c r="K3079" s="15" t="s">
        <v>59</v>
      </c>
      <c r="L3079" s="57" t="s">
        <v>2738</v>
      </c>
      <c r="M3079" s="14"/>
      <c r="N3079" s="14" t="s">
        <v>62</v>
      </c>
      <c r="O3079" s="14"/>
      <c r="P3079" s="15" t="s">
        <v>2739</v>
      </c>
      <c r="Q3079" s="16">
        <v>4299</v>
      </c>
      <c r="R3079" s="17">
        <v>61.44</v>
      </c>
      <c r="S3079" s="18">
        <v>1906.4354999999998</v>
      </c>
      <c r="T3079" s="19" t="s">
        <v>36</v>
      </c>
      <c r="U3079" s="20" t="s">
        <v>746</v>
      </c>
      <c r="V3079" s="22">
        <v>37</v>
      </c>
      <c r="W3079" s="22">
        <v>11</v>
      </c>
      <c r="X3079" s="23"/>
    </row>
    <row r="3080" spans="1:24" s="1" customFormat="1" ht="61.05" customHeight="1" x14ac:dyDescent="0.3">
      <c r="A3080" s="24" t="s">
        <v>23</v>
      </c>
      <c r="B3080" s="24" t="s">
        <v>2736</v>
      </c>
      <c r="C3080" s="12" t="s">
        <v>2737</v>
      </c>
      <c r="D3080" s="56"/>
      <c r="E3080" s="41" t="str">
        <f>HYPERLINK("https://www.google.ru/search?q=3028095-025&amp;newwindow=1&amp;tbm=isch","Еще фото")</f>
        <v>Еще фото</v>
      </c>
      <c r="F3080" s="13"/>
      <c r="G3080" s="24" t="s">
        <v>2731</v>
      </c>
      <c r="H3080" s="24" t="s">
        <v>741</v>
      </c>
      <c r="I3080" s="24" t="s">
        <v>2732</v>
      </c>
      <c r="J3080" s="14" t="s">
        <v>43</v>
      </c>
      <c r="K3080" s="15" t="s">
        <v>59</v>
      </c>
      <c r="L3080" s="58"/>
      <c r="M3080" s="14"/>
      <c r="N3080" s="14" t="s">
        <v>62</v>
      </c>
      <c r="O3080" s="14"/>
      <c r="P3080" s="15" t="s">
        <v>2739</v>
      </c>
      <c r="Q3080" s="16">
        <v>4299</v>
      </c>
      <c r="R3080" s="17">
        <v>61.44</v>
      </c>
      <c r="S3080" s="18">
        <v>1906.4354999999998</v>
      </c>
      <c r="T3080" s="19" t="s">
        <v>36</v>
      </c>
      <c r="U3080" s="20" t="s">
        <v>748</v>
      </c>
      <c r="V3080" s="22">
        <v>38</v>
      </c>
      <c r="W3080" s="22">
        <v>2</v>
      </c>
      <c r="X3080" s="23"/>
    </row>
    <row r="3081" spans="1:24" s="1" customFormat="1" ht="108" customHeight="1" x14ac:dyDescent="0.3">
      <c r="A3081" s="11" t="s">
        <v>23</v>
      </c>
      <c r="B3081" s="11" t="s">
        <v>2740</v>
      </c>
      <c r="C3081" s="12" t="s">
        <v>2741</v>
      </c>
      <c r="D3081" s="25"/>
      <c r="E3081" s="41" t="str">
        <f>HYPERLINK("https://www.google.ru/search?q=3023761-105&amp;newwindow=1&amp;tbm=isch","Еще фото")</f>
        <v>Еще фото</v>
      </c>
      <c r="F3081" s="13"/>
      <c r="G3081" s="11" t="s">
        <v>2731</v>
      </c>
      <c r="H3081" s="11" t="s">
        <v>741</v>
      </c>
      <c r="I3081" s="14" t="s">
        <v>2732</v>
      </c>
      <c r="J3081" s="14" t="s">
        <v>2733</v>
      </c>
      <c r="K3081" s="15" t="s">
        <v>30</v>
      </c>
      <c r="L3081" s="14" t="s">
        <v>2742</v>
      </c>
      <c r="M3081" s="14" t="s">
        <v>45</v>
      </c>
      <c r="N3081" s="14" t="s">
        <v>115</v>
      </c>
      <c r="O3081" s="14" t="s">
        <v>34</v>
      </c>
      <c r="P3081" s="15" t="s">
        <v>2743</v>
      </c>
      <c r="Q3081" s="16">
        <v>4199</v>
      </c>
      <c r="R3081" s="17">
        <v>58.85</v>
      </c>
      <c r="S3081" s="18">
        <v>1986.9354999999998</v>
      </c>
      <c r="T3081" s="19" t="s">
        <v>36</v>
      </c>
      <c r="U3081" s="20" t="s">
        <v>746</v>
      </c>
      <c r="V3081" s="22">
        <v>39</v>
      </c>
      <c r="W3081" s="22">
        <v>5</v>
      </c>
      <c r="X3081" s="23"/>
    </row>
    <row r="3082" spans="1:24" s="1" customFormat="1" ht="35" customHeight="1" x14ac:dyDescent="0.3">
      <c r="A3082" s="11" t="s">
        <v>23</v>
      </c>
      <c r="B3082" s="11" t="s">
        <v>2736</v>
      </c>
      <c r="C3082" s="12" t="s">
        <v>2744</v>
      </c>
      <c r="D3082" s="59"/>
      <c r="E3082" s="41" t="str">
        <f>HYPERLINK("https://www.google.ru/search?q=3028095-348&amp;newwindow=1&amp;tbm=isch","Еще фото")</f>
        <v>Еще фото</v>
      </c>
      <c r="F3082" s="13" t="s">
        <v>152</v>
      </c>
      <c r="G3082" s="11" t="s">
        <v>2731</v>
      </c>
      <c r="H3082" s="11" t="s">
        <v>741</v>
      </c>
      <c r="I3082" s="14" t="s">
        <v>2732</v>
      </c>
      <c r="J3082" s="14" t="s">
        <v>43</v>
      </c>
      <c r="K3082" s="15" t="s">
        <v>59</v>
      </c>
      <c r="L3082" s="57" t="s">
        <v>2738</v>
      </c>
      <c r="M3082" s="14"/>
      <c r="N3082" s="14" t="s">
        <v>127</v>
      </c>
      <c r="O3082" s="14"/>
      <c r="P3082" s="15" t="s">
        <v>2739</v>
      </c>
      <c r="Q3082" s="16">
        <v>4299</v>
      </c>
      <c r="R3082" s="17">
        <v>55.62</v>
      </c>
      <c r="S3082" s="18">
        <v>2193.9354999999996</v>
      </c>
      <c r="T3082" s="19" t="s">
        <v>36</v>
      </c>
      <c r="U3082" s="20" t="s">
        <v>746</v>
      </c>
      <c r="V3082" s="22">
        <v>37</v>
      </c>
      <c r="W3082" s="22">
        <v>11</v>
      </c>
      <c r="X3082" s="23"/>
    </row>
    <row r="3083" spans="1:24" s="1" customFormat="1" ht="35" customHeight="1" x14ac:dyDescent="0.3">
      <c r="A3083" s="24" t="s">
        <v>23</v>
      </c>
      <c r="B3083" s="24" t="s">
        <v>2736</v>
      </c>
      <c r="C3083" s="12" t="s">
        <v>2744</v>
      </c>
      <c r="D3083" s="60"/>
      <c r="E3083" s="41" t="str">
        <f>HYPERLINK("https://www.google.ru/search?q=3028095-348&amp;newwindow=1&amp;tbm=isch","Еще фото")</f>
        <v>Еще фото</v>
      </c>
      <c r="F3083" s="13" t="s">
        <v>152</v>
      </c>
      <c r="G3083" s="24" t="s">
        <v>2731</v>
      </c>
      <c r="H3083" s="24" t="s">
        <v>741</v>
      </c>
      <c r="I3083" s="24" t="s">
        <v>2732</v>
      </c>
      <c r="J3083" s="14" t="s">
        <v>43</v>
      </c>
      <c r="K3083" s="15" t="s">
        <v>59</v>
      </c>
      <c r="L3083" s="62"/>
      <c r="M3083" s="14"/>
      <c r="N3083" s="14" t="s">
        <v>127</v>
      </c>
      <c r="O3083" s="14"/>
      <c r="P3083" s="15" t="s">
        <v>2739</v>
      </c>
      <c r="Q3083" s="16">
        <v>4299</v>
      </c>
      <c r="R3083" s="17">
        <v>55.62</v>
      </c>
      <c r="S3083" s="18">
        <v>2193.9354999999996</v>
      </c>
      <c r="T3083" s="19" t="s">
        <v>36</v>
      </c>
      <c r="U3083" s="20" t="s">
        <v>748</v>
      </c>
      <c r="V3083" s="22">
        <v>38</v>
      </c>
      <c r="W3083" s="22">
        <v>10</v>
      </c>
      <c r="X3083" s="23"/>
    </row>
    <row r="3084" spans="1:24" s="1" customFormat="1" ht="37.049999999999997" customHeight="1" x14ac:dyDescent="0.3">
      <c r="A3084" s="24" t="s">
        <v>23</v>
      </c>
      <c r="B3084" s="24" t="s">
        <v>2736</v>
      </c>
      <c r="C3084" s="12" t="s">
        <v>2744</v>
      </c>
      <c r="D3084" s="61"/>
      <c r="E3084" s="41" t="str">
        <f>HYPERLINK("https://www.google.ru/search?q=3028095-348&amp;newwindow=1&amp;tbm=isch","Еще фото")</f>
        <v>Еще фото</v>
      </c>
      <c r="F3084" s="13" t="s">
        <v>152</v>
      </c>
      <c r="G3084" s="24" t="s">
        <v>2731</v>
      </c>
      <c r="H3084" s="24" t="s">
        <v>741</v>
      </c>
      <c r="I3084" s="24" t="s">
        <v>2732</v>
      </c>
      <c r="J3084" s="14" t="s">
        <v>43</v>
      </c>
      <c r="K3084" s="15" t="s">
        <v>59</v>
      </c>
      <c r="L3084" s="58"/>
      <c r="M3084" s="14"/>
      <c r="N3084" s="14" t="s">
        <v>127</v>
      </c>
      <c r="O3084" s="14"/>
      <c r="P3084" s="15" t="s">
        <v>2739</v>
      </c>
      <c r="Q3084" s="16">
        <v>4299</v>
      </c>
      <c r="R3084" s="17">
        <v>55.62</v>
      </c>
      <c r="S3084" s="18">
        <v>2193.9354999999996</v>
      </c>
      <c r="T3084" s="19" t="s">
        <v>36</v>
      </c>
      <c r="U3084" s="20" t="s">
        <v>750</v>
      </c>
      <c r="V3084" s="34">
        <v>39.5</v>
      </c>
      <c r="W3084" s="22">
        <v>3</v>
      </c>
      <c r="X3084" s="23"/>
    </row>
    <row r="3085" spans="1:24" s="1" customFormat="1" ht="26" customHeight="1" x14ac:dyDescent="0.3">
      <c r="A3085" s="11" t="s">
        <v>23</v>
      </c>
      <c r="B3085" s="11" t="s">
        <v>2745</v>
      </c>
      <c r="C3085" s="12" t="s">
        <v>2746</v>
      </c>
      <c r="D3085" s="59"/>
      <c r="E3085" s="41" t="str">
        <f>HYPERLINK("https://www.google.ru/search?q=3021286-400&amp;newwindow=1&amp;tbm=isch","Еще фото")</f>
        <v>Еще фото</v>
      </c>
      <c r="F3085" s="28" t="s">
        <v>138</v>
      </c>
      <c r="G3085" s="11" t="s">
        <v>2731</v>
      </c>
      <c r="H3085" s="11" t="s">
        <v>741</v>
      </c>
      <c r="I3085" s="14" t="s">
        <v>2732</v>
      </c>
      <c r="J3085" s="14" t="s">
        <v>43</v>
      </c>
      <c r="K3085" s="15" t="s">
        <v>723</v>
      </c>
      <c r="L3085" s="57" t="s">
        <v>2747</v>
      </c>
      <c r="M3085" s="14"/>
      <c r="N3085" s="14" t="s">
        <v>115</v>
      </c>
      <c r="O3085" s="14" t="s">
        <v>306</v>
      </c>
      <c r="P3085" s="15" t="s">
        <v>2748</v>
      </c>
      <c r="Q3085" s="16">
        <v>2999</v>
      </c>
      <c r="R3085" s="17">
        <v>48.72</v>
      </c>
      <c r="S3085" s="18">
        <v>1768.4354999999998</v>
      </c>
      <c r="T3085" s="19" t="s">
        <v>36</v>
      </c>
      <c r="U3085" s="20" t="s">
        <v>2749</v>
      </c>
      <c r="V3085" s="34">
        <v>35.5</v>
      </c>
      <c r="W3085" s="22">
        <v>12</v>
      </c>
      <c r="X3085" s="23"/>
    </row>
    <row r="3086" spans="1:24" s="1" customFormat="1" ht="26" customHeight="1" x14ac:dyDescent="0.3">
      <c r="A3086" s="24" t="s">
        <v>23</v>
      </c>
      <c r="B3086" s="24" t="s">
        <v>2745</v>
      </c>
      <c r="C3086" s="12" t="s">
        <v>2746</v>
      </c>
      <c r="D3086" s="60"/>
      <c r="E3086" s="41" t="str">
        <f>HYPERLINK("https://www.google.ru/search?q=3021286-400&amp;newwindow=1&amp;tbm=isch","Еще фото")</f>
        <v>Еще фото</v>
      </c>
      <c r="F3086" s="28" t="s">
        <v>138</v>
      </c>
      <c r="G3086" s="24" t="s">
        <v>2731</v>
      </c>
      <c r="H3086" s="24" t="s">
        <v>741</v>
      </c>
      <c r="I3086" s="24" t="s">
        <v>2732</v>
      </c>
      <c r="J3086" s="14" t="s">
        <v>43</v>
      </c>
      <c r="K3086" s="15" t="s">
        <v>723</v>
      </c>
      <c r="L3086" s="62"/>
      <c r="M3086" s="14"/>
      <c r="N3086" s="14" t="s">
        <v>115</v>
      </c>
      <c r="O3086" s="14" t="s">
        <v>306</v>
      </c>
      <c r="P3086" s="15" t="s">
        <v>2748</v>
      </c>
      <c r="Q3086" s="16">
        <v>2999</v>
      </c>
      <c r="R3086" s="17">
        <v>48.72</v>
      </c>
      <c r="S3086" s="18">
        <v>1768.4354999999998</v>
      </c>
      <c r="T3086" s="19" t="s">
        <v>36</v>
      </c>
      <c r="U3086" s="20" t="s">
        <v>1241</v>
      </c>
      <c r="V3086" s="34">
        <v>36.5</v>
      </c>
      <c r="W3086" s="22">
        <v>12</v>
      </c>
      <c r="X3086" s="23"/>
    </row>
    <row r="3087" spans="1:24" s="1" customFormat="1" ht="26" customHeight="1" x14ac:dyDescent="0.3">
      <c r="A3087" s="24" t="s">
        <v>23</v>
      </c>
      <c r="B3087" s="24" t="s">
        <v>2745</v>
      </c>
      <c r="C3087" s="12" t="s">
        <v>2746</v>
      </c>
      <c r="D3087" s="60"/>
      <c r="E3087" s="41" t="str">
        <f>HYPERLINK("https://www.google.ru/search?q=3021286-400&amp;newwindow=1&amp;tbm=isch","Еще фото")</f>
        <v>Еще фото</v>
      </c>
      <c r="F3087" s="28" t="s">
        <v>138</v>
      </c>
      <c r="G3087" s="24" t="s">
        <v>2731</v>
      </c>
      <c r="H3087" s="24" t="s">
        <v>741</v>
      </c>
      <c r="I3087" s="24" t="s">
        <v>2732</v>
      </c>
      <c r="J3087" s="14" t="s">
        <v>43</v>
      </c>
      <c r="K3087" s="15" t="s">
        <v>723</v>
      </c>
      <c r="L3087" s="62"/>
      <c r="M3087" s="14"/>
      <c r="N3087" s="14" t="s">
        <v>115</v>
      </c>
      <c r="O3087" s="14" t="s">
        <v>306</v>
      </c>
      <c r="P3087" s="15" t="s">
        <v>2748</v>
      </c>
      <c r="Q3087" s="16">
        <v>2999</v>
      </c>
      <c r="R3087" s="17">
        <v>48.72</v>
      </c>
      <c r="S3087" s="18">
        <v>1768.4354999999998</v>
      </c>
      <c r="T3087" s="19" t="s">
        <v>36</v>
      </c>
      <c r="U3087" s="20" t="s">
        <v>1203</v>
      </c>
      <c r="V3087" s="34">
        <v>37.5</v>
      </c>
      <c r="W3087" s="22">
        <v>7</v>
      </c>
      <c r="X3087" s="23"/>
    </row>
    <row r="3088" spans="1:24" s="1" customFormat="1" ht="26" customHeight="1" x14ac:dyDescent="0.3">
      <c r="A3088" s="24" t="s">
        <v>23</v>
      </c>
      <c r="B3088" s="24" t="s">
        <v>2745</v>
      </c>
      <c r="C3088" s="12" t="s">
        <v>2746</v>
      </c>
      <c r="D3088" s="61"/>
      <c r="E3088" s="41" t="str">
        <f>HYPERLINK("https://www.google.ru/search?q=3021286-400&amp;newwindow=1&amp;tbm=isch","Еще фото")</f>
        <v>Еще фото</v>
      </c>
      <c r="F3088" s="28" t="s">
        <v>138</v>
      </c>
      <c r="G3088" s="24" t="s">
        <v>2731</v>
      </c>
      <c r="H3088" s="24" t="s">
        <v>741</v>
      </c>
      <c r="I3088" s="24" t="s">
        <v>2732</v>
      </c>
      <c r="J3088" s="14" t="s">
        <v>43</v>
      </c>
      <c r="K3088" s="15" t="s">
        <v>723</v>
      </c>
      <c r="L3088" s="58"/>
      <c r="M3088" s="14"/>
      <c r="N3088" s="14" t="s">
        <v>115</v>
      </c>
      <c r="O3088" s="14" t="s">
        <v>306</v>
      </c>
      <c r="P3088" s="15" t="s">
        <v>2748</v>
      </c>
      <c r="Q3088" s="16">
        <v>2999</v>
      </c>
      <c r="R3088" s="17">
        <v>48.72</v>
      </c>
      <c r="S3088" s="18">
        <v>1768.4354999999998</v>
      </c>
      <c r="T3088" s="19" t="s">
        <v>36</v>
      </c>
      <c r="U3088" s="20" t="s">
        <v>746</v>
      </c>
      <c r="V3088" s="22">
        <v>39</v>
      </c>
      <c r="W3088" s="22">
        <v>6</v>
      </c>
      <c r="X3088" s="23"/>
    </row>
    <row r="3089" spans="1:24" s="1" customFormat="1" ht="108" customHeight="1" x14ac:dyDescent="0.3">
      <c r="A3089" s="11" t="s">
        <v>23</v>
      </c>
      <c r="B3089" s="11" t="s">
        <v>2750</v>
      </c>
      <c r="C3089" s="12" t="s">
        <v>2751</v>
      </c>
      <c r="D3089" s="25"/>
      <c r="E3089" s="41" t="str">
        <f>HYPERLINK("https://www.google.ru/search?q=3021286-100&amp;newwindow=1&amp;tbm=isch","Еще фото")</f>
        <v>Еще фото</v>
      </c>
      <c r="F3089" s="13" t="s">
        <v>103</v>
      </c>
      <c r="G3089" s="11" t="s">
        <v>2731</v>
      </c>
      <c r="H3089" s="11" t="s">
        <v>741</v>
      </c>
      <c r="I3089" s="14" t="s">
        <v>2732</v>
      </c>
      <c r="J3089" s="14" t="s">
        <v>43</v>
      </c>
      <c r="K3089" s="15" t="s">
        <v>723</v>
      </c>
      <c r="L3089" s="14" t="s">
        <v>2752</v>
      </c>
      <c r="M3089" s="14"/>
      <c r="N3089" s="14" t="s">
        <v>84</v>
      </c>
      <c r="O3089" s="14" t="s">
        <v>306</v>
      </c>
      <c r="P3089" s="15" t="s">
        <v>2753</v>
      </c>
      <c r="Q3089" s="16">
        <v>2699</v>
      </c>
      <c r="R3089" s="17">
        <v>48.13</v>
      </c>
      <c r="S3089" s="18">
        <v>1609.9884999999999</v>
      </c>
      <c r="T3089" s="19" t="s">
        <v>36</v>
      </c>
      <c r="U3089" s="20" t="s">
        <v>2749</v>
      </c>
      <c r="V3089" s="34">
        <v>35.5</v>
      </c>
      <c r="W3089" s="22">
        <v>8</v>
      </c>
      <c r="X3089" s="23"/>
    </row>
    <row r="3090" spans="1:24" s="1" customFormat="1" ht="108" customHeight="1" x14ac:dyDescent="0.3">
      <c r="A3090" s="11" t="s">
        <v>23</v>
      </c>
      <c r="B3090" s="11" t="s">
        <v>2754</v>
      </c>
      <c r="C3090" s="12" t="s">
        <v>2755</v>
      </c>
      <c r="D3090" s="25"/>
      <c r="E3090" s="41" t="str">
        <f>HYPERLINK("https://www.google.ru/search?q=3027223-100&amp;newwindow=1&amp;tbm=isch","Еще фото")</f>
        <v>Еще фото</v>
      </c>
      <c r="F3090" s="13"/>
      <c r="G3090" s="11" t="s">
        <v>2731</v>
      </c>
      <c r="H3090" s="11" t="s">
        <v>741</v>
      </c>
      <c r="I3090" s="14" t="s">
        <v>2732</v>
      </c>
      <c r="J3090" s="14" t="s">
        <v>43</v>
      </c>
      <c r="K3090" s="15" t="s">
        <v>59</v>
      </c>
      <c r="L3090" s="14" t="s">
        <v>2756</v>
      </c>
      <c r="M3090" s="14"/>
      <c r="N3090" s="14" t="s">
        <v>2757</v>
      </c>
      <c r="O3090" s="14"/>
      <c r="P3090" s="15" t="s">
        <v>2758</v>
      </c>
      <c r="Q3090" s="16">
        <v>4499</v>
      </c>
      <c r="R3090" s="17">
        <v>46.66</v>
      </c>
      <c r="S3090" s="18">
        <v>2759.9884999999995</v>
      </c>
      <c r="T3090" s="19" t="s">
        <v>36</v>
      </c>
      <c r="U3090" s="20" t="s">
        <v>1203</v>
      </c>
      <c r="V3090" s="22">
        <v>36</v>
      </c>
      <c r="W3090" s="22">
        <v>2</v>
      </c>
      <c r="X3090" s="23"/>
    </row>
    <row r="3091" spans="1:24" s="1" customFormat="1" ht="108" customHeight="1" x14ac:dyDescent="0.3">
      <c r="A3091" s="11" t="s">
        <v>23</v>
      </c>
      <c r="B3091" s="11" t="s">
        <v>2759</v>
      </c>
      <c r="C3091" s="12" t="s">
        <v>2760</v>
      </c>
      <c r="D3091" s="25"/>
      <c r="E3091" s="41" t="str">
        <f>HYPERLINK("https://www.google.ru/search?q=6000337-025&amp;newwindow=1&amp;tbm=isch","Еще фото")</f>
        <v>Еще фото</v>
      </c>
      <c r="F3091" s="13"/>
      <c r="G3091" s="11" t="s">
        <v>2731</v>
      </c>
      <c r="H3091" s="11" t="s">
        <v>741</v>
      </c>
      <c r="I3091" s="14" t="s">
        <v>2732</v>
      </c>
      <c r="J3091" s="14" t="s">
        <v>43</v>
      </c>
      <c r="K3091" s="15" t="s">
        <v>30</v>
      </c>
      <c r="L3091" s="14" t="s">
        <v>2761</v>
      </c>
      <c r="M3091" s="14"/>
      <c r="N3091" s="14" t="s">
        <v>33</v>
      </c>
      <c r="O3091" s="14"/>
      <c r="P3091" s="15" t="s">
        <v>2748</v>
      </c>
      <c r="Q3091" s="16">
        <v>5599</v>
      </c>
      <c r="R3091" s="17">
        <v>46.42</v>
      </c>
      <c r="S3091" s="18">
        <v>3449.9884999999995</v>
      </c>
      <c r="T3091" s="19" t="s">
        <v>36</v>
      </c>
      <c r="U3091" s="20" t="s">
        <v>748</v>
      </c>
      <c r="V3091" s="22">
        <v>40</v>
      </c>
      <c r="W3091" s="22">
        <v>5</v>
      </c>
      <c r="X3091" s="23"/>
    </row>
    <row r="3092" spans="1:24" s="1" customFormat="1" ht="35" customHeight="1" x14ac:dyDescent="0.3">
      <c r="A3092" s="11" t="s">
        <v>23</v>
      </c>
      <c r="B3092" s="11" t="s">
        <v>2762</v>
      </c>
      <c r="C3092" s="12" t="s">
        <v>2763</v>
      </c>
      <c r="D3092" s="59"/>
      <c r="E3092" s="41" t="str">
        <f>HYPERLINK("https://www.google.ru/search?q=3028732-001&amp;newwindow=1&amp;tbm=isch","Еще фото")</f>
        <v>Еще фото</v>
      </c>
      <c r="F3092" s="13"/>
      <c r="G3092" s="11" t="s">
        <v>2731</v>
      </c>
      <c r="H3092" s="11" t="s">
        <v>741</v>
      </c>
      <c r="I3092" s="14" t="s">
        <v>2732</v>
      </c>
      <c r="J3092" s="14" t="s">
        <v>43</v>
      </c>
      <c r="K3092" s="15" t="s">
        <v>50</v>
      </c>
      <c r="L3092" s="57" t="s">
        <v>2764</v>
      </c>
      <c r="M3092" s="14"/>
      <c r="N3092" s="14" t="s">
        <v>33</v>
      </c>
      <c r="O3092" s="14"/>
      <c r="P3092" s="15" t="s">
        <v>2765</v>
      </c>
      <c r="Q3092" s="16">
        <v>3099</v>
      </c>
      <c r="R3092" s="17">
        <v>46</v>
      </c>
      <c r="S3092" s="18">
        <v>1924.4789999999998</v>
      </c>
      <c r="T3092" s="19" t="s">
        <v>36</v>
      </c>
      <c r="U3092" s="20" t="s">
        <v>2749</v>
      </c>
      <c r="V3092" s="34">
        <v>35.5</v>
      </c>
      <c r="W3092" s="22">
        <v>10</v>
      </c>
      <c r="X3092" s="23"/>
    </row>
    <row r="3093" spans="1:24" s="1" customFormat="1" ht="35" customHeight="1" x14ac:dyDescent="0.3">
      <c r="A3093" s="24" t="s">
        <v>23</v>
      </c>
      <c r="B3093" s="24" t="s">
        <v>2762</v>
      </c>
      <c r="C3093" s="12" t="s">
        <v>2763</v>
      </c>
      <c r="D3093" s="60"/>
      <c r="E3093" s="41" t="str">
        <f>HYPERLINK("https://www.google.ru/search?q=3028732-001&amp;newwindow=1&amp;tbm=isch","Еще фото")</f>
        <v>Еще фото</v>
      </c>
      <c r="F3093" s="13"/>
      <c r="G3093" s="24" t="s">
        <v>2731</v>
      </c>
      <c r="H3093" s="24" t="s">
        <v>741</v>
      </c>
      <c r="I3093" s="24" t="s">
        <v>2732</v>
      </c>
      <c r="J3093" s="14" t="s">
        <v>43</v>
      </c>
      <c r="K3093" s="15" t="s">
        <v>50</v>
      </c>
      <c r="L3093" s="62"/>
      <c r="M3093" s="14"/>
      <c r="N3093" s="14" t="s">
        <v>33</v>
      </c>
      <c r="O3093" s="14"/>
      <c r="P3093" s="15" t="s">
        <v>2765</v>
      </c>
      <c r="Q3093" s="16">
        <v>3099</v>
      </c>
      <c r="R3093" s="17">
        <v>46</v>
      </c>
      <c r="S3093" s="18">
        <v>1924.4789999999998</v>
      </c>
      <c r="T3093" s="19" t="s">
        <v>36</v>
      </c>
      <c r="U3093" s="20" t="s">
        <v>1241</v>
      </c>
      <c r="V3093" s="34">
        <v>36.5</v>
      </c>
      <c r="W3093" s="22">
        <v>22</v>
      </c>
      <c r="X3093" s="23"/>
    </row>
    <row r="3094" spans="1:24" s="1" customFormat="1" ht="37.049999999999997" customHeight="1" x14ac:dyDescent="0.3">
      <c r="A3094" s="24" t="s">
        <v>23</v>
      </c>
      <c r="B3094" s="24" t="s">
        <v>2762</v>
      </c>
      <c r="C3094" s="12" t="s">
        <v>2763</v>
      </c>
      <c r="D3094" s="61"/>
      <c r="E3094" s="41" t="str">
        <f>HYPERLINK("https://www.google.ru/search?q=3028732-001&amp;newwindow=1&amp;tbm=isch","Еще фото")</f>
        <v>Еще фото</v>
      </c>
      <c r="F3094" s="13"/>
      <c r="G3094" s="24" t="s">
        <v>2731</v>
      </c>
      <c r="H3094" s="24" t="s">
        <v>741</v>
      </c>
      <c r="I3094" s="24" t="s">
        <v>2732</v>
      </c>
      <c r="J3094" s="14" t="s">
        <v>43</v>
      </c>
      <c r="K3094" s="15" t="s">
        <v>50</v>
      </c>
      <c r="L3094" s="58"/>
      <c r="M3094" s="14"/>
      <c r="N3094" s="14" t="s">
        <v>33</v>
      </c>
      <c r="O3094" s="14"/>
      <c r="P3094" s="15" t="s">
        <v>2765</v>
      </c>
      <c r="Q3094" s="16">
        <v>3099</v>
      </c>
      <c r="R3094" s="17">
        <v>46</v>
      </c>
      <c r="S3094" s="18">
        <v>1924.4789999999998</v>
      </c>
      <c r="T3094" s="19" t="s">
        <v>36</v>
      </c>
      <c r="U3094" s="20" t="s">
        <v>1203</v>
      </c>
      <c r="V3094" s="34">
        <v>37.5</v>
      </c>
      <c r="W3094" s="22">
        <v>19</v>
      </c>
      <c r="X3094" s="23"/>
    </row>
    <row r="3095" spans="1:24" s="1" customFormat="1" ht="108" customHeight="1" x14ac:dyDescent="0.3">
      <c r="A3095" s="11" t="s">
        <v>23</v>
      </c>
      <c r="B3095" s="11" t="s">
        <v>2766</v>
      </c>
      <c r="C3095" s="12" t="s">
        <v>2767</v>
      </c>
      <c r="D3095" s="25"/>
      <c r="E3095" s="41" t="str">
        <f>HYPERLINK("https://www.google.ru/search?q=3026023-003&amp;newwindow=1&amp;tbm=isch","Еще фото")</f>
        <v>Еще фото</v>
      </c>
      <c r="F3095" s="13"/>
      <c r="G3095" s="11" t="s">
        <v>2731</v>
      </c>
      <c r="H3095" s="11" t="s">
        <v>741</v>
      </c>
      <c r="I3095" s="14" t="s">
        <v>2732</v>
      </c>
      <c r="J3095" s="14" t="s">
        <v>43</v>
      </c>
      <c r="K3095" s="15" t="s">
        <v>30</v>
      </c>
      <c r="L3095" s="14" t="s">
        <v>2768</v>
      </c>
      <c r="M3095" s="14"/>
      <c r="N3095" s="14" t="s">
        <v>1534</v>
      </c>
      <c r="O3095" s="14"/>
      <c r="P3095" s="15" t="s">
        <v>2769</v>
      </c>
      <c r="Q3095" s="16">
        <v>6599</v>
      </c>
      <c r="R3095" s="17">
        <v>45.45</v>
      </c>
      <c r="S3095" s="18">
        <v>4139.9884999999995</v>
      </c>
      <c r="T3095" s="19" t="s">
        <v>36</v>
      </c>
      <c r="U3095" s="20" t="s">
        <v>746</v>
      </c>
      <c r="V3095" s="22">
        <v>39</v>
      </c>
      <c r="W3095" s="22">
        <v>2</v>
      </c>
      <c r="X3095" s="23"/>
    </row>
    <row r="3096" spans="1:24" s="1" customFormat="1" ht="52.05" customHeight="1" x14ac:dyDescent="0.3">
      <c r="A3096" s="11" t="s">
        <v>23</v>
      </c>
      <c r="B3096" s="11" t="s">
        <v>2770</v>
      </c>
      <c r="C3096" s="12" t="s">
        <v>2771</v>
      </c>
      <c r="D3096" s="55"/>
      <c r="E3096" s="41" t="str">
        <f>HYPERLINK("https://www.google.ru/search?q=3028094-408&amp;newwindow=1&amp;tbm=isch","Еще фото")</f>
        <v>Еще фото</v>
      </c>
      <c r="F3096" s="13" t="s">
        <v>103</v>
      </c>
      <c r="G3096" s="11" t="s">
        <v>2731</v>
      </c>
      <c r="H3096" s="11" t="s">
        <v>741</v>
      </c>
      <c r="I3096" s="14" t="s">
        <v>2732</v>
      </c>
      <c r="J3096" s="14" t="s">
        <v>43</v>
      </c>
      <c r="K3096" s="15" t="s">
        <v>30</v>
      </c>
      <c r="L3096" s="57" t="s">
        <v>2772</v>
      </c>
      <c r="M3096" s="14"/>
      <c r="N3096" s="14" t="s">
        <v>115</v>
      </c>
      <c r="O3096" s="14"/>
      <c r="P3096" s="15" t="s">
        <v>2765</v>
      </c>
      <c r="Q3096" s="16">
        <v>3299</v>
      </c>
      <c r="R3096" s="17">
        <v>45.44</v>
      </c>
      <c r="S3096" s="18">
        <v>2069.9884999999999</v>
      </c>
      <c r="T3096" s="19" t="s">
        <v>36</v>
      </c>
      <c r="U3096" s="20" t="s">
        <v>746</v>
      </c>
      <c r="V3096" s="22">
        <v>39</v>
      </c>
      <c r="W3096" s="22">
        <v>8</v>
      </c>
      <c r="X3096" s="23"/>
    </row>
    <row r="3097" spans="1:24" s="1" customFormat="1" ht="61.05" customHeight="1" x14ac:dyDescent="0.3">
      <c r="A3097" s="24" t="s">
        <v>23</v>
      </c>
      <c r="B3097" s="24" t="s">
        <v>2770</v>
      </c>
      <c r="C3097" s="12" t="s">
        <v>2771</v>
      </c>
      <c r="D3097" s="56"/>
      <c r="E3097" s="41" t="str">
        <f>HYPERLINK("https://www.google.ru/search?q=3028094-408&amp;newwindow=1&amp;tbm=isch","Еще фото")</f>
        <v>Еще фото</v>
      </c>
      <c r="F3097" s="13" t="s">
        <v>103</v>
      </c>
      <c r="G3097" s="24" t="s">
        <v>2731</v>
      </c>
      <c r="H3097" s="24" t="s">
        <v>741</v>
      </c>
      <c r="I3097" s="24" t="s">
        <v>2732</v>
      </c>
      <c r="J3097" s="14" t="s">
        <v>43</v>
      </c>
      <c r="K3097" s="15" t="s">
        <v>30</v>
      </c>
      <c r="L3097" s="58"/>
      <c r="M3097" s="14"/>
      <c r="N3097" s="14" t="s">
        <v>115</v>
      </c>
      <c r="O3097" s="14"/>
      <c r="P3097" s="15" t="s">
        <v>2765</v>
      </c>
      <c r="Q3097" s="16">
        <v>3299</v>
      </c>
      <c r="R3097" s="17">
        <v>45.44</v>
      </c>
      <c r="S3097" s="18">
        <v>2069.9884999999999</v>
      </c>
      <c r="T3097" s="19" t="s">
        <v>36</v>
      </c>
      <c r="U3097" s="20" t="s">
        <v>748</v>
      </c>
      <c r="V3097" s="22">
        <v>40</v>
      </c>
      <c r="W3097" s="22">
        <v>7</v>
      </c>
      <c r="X3097" s="23"/>
    </row>
    <row r="3098" spans="1:24" s="1" customFormat="1" ht="35" customHeight="1" x14ac:dyDescent="0.3">
      <c r="A3098" s="11" t="s">
        <v>23</v>
      </c>
      <c r="B3098" s="11" t="s">
        <v>2745</v>
      </c>
      <c r="C3098" s="12" t="s">
        <v>2773</v>
      </c>
      <c r="D3098" s="59"/>
      <c r="E3098" s="41" t="str">
        <f>HYPERLINK("https://www.google.ru/search?q=3021286-001&amp;newwindow=1&amp;tbm=isch","Еще фото")</f>
        <v>Еще фото</v>
      </c>
      <c r="F3098" s="13" t="s">
        <v>103</v>
      </c>
      <c r="G3098" s="11" t="s">
        <v>2731</v>
      </c>
      <c r="H3098" s="11" t="s">
        <v>741</v>
      </c>
      <c r="I3098" s="14" t="s">
        <v>2732</v>
      </c>
      <c r="J3098" s="14" t="s">
        <v>43</v>
      </c>
      <c r="K3098" s="15" t="s">
        <v>723</v>
      </c>
      <c r="L3098" s="57" t="s">
        <v>2752</v>
      </c>
      <c r="M3098" s="14"/>
      <c r="N3098" s="14" t="s">
        <v>33</v>
      </c>
      <c r="O3098" s="14" t="s">
        <v>34</v>
      </c>
      <c r="P3098" s="15" t="s">
        <v>2748</v>
      </c>
      <c r="Q3098" s="16">
        <v>2999</v>
      </c>
      <c r="R3098" s="17">
        <v>40</v>
      </c>
      <c r="S3098" s="18">
        <v>2069.31</v>
      </c>
      <c r="T3098" s="19" t="s">
        <v>36</v>
      </c>
      <c r="U3098" s="20" t="s">
        <v>2749</v>
      </c>
      <c r="V3098" s="34">
        <v>35.5</v>
      </c>
      <c r="W3098" s="22">
        <v>6</v>
      </c>
      <c r="X3098" s="23"/>
    </row>
    <row r="3099" spans="1:24" s="1" customFormat="1" ht="35" customHeight="1" x14ac:dyDescent="0.3">
      <c r="A3099" s="24" t="s">
        <v>23</v>
      </c>
      <c r="B3099" s="24" t="s">
        <v>2745</v>
      </c>
      <c r="C3099" s="12" t="s">
        <v>2773</v>
      </c>
      <c r="D3099" s="60"/>
      <c r="E3099" s="41" t="str">
        <f>HYPERLINK("https://www.google.ru/search?q=3021286-001&amp;newwindow=1&amp;tbm=isch","Еще фото")</f>
        <v>Еще фото</v>
      </c>
      <c r="F3099" s="13" t="s">
        <v>103</v>
      </c>
      <c r="G3099" s="24" t="s">
        <v>2731</v>
      </c>
      <c r="H3099" s="24" t="s">
        <v>741</v>
      </c>
      <c r="I3099" s="24" t="s">
        <v>2732</v>
      </c>
      <c r="J3099" s="14" t="s">
        <v>43</v>
      </c>
      <c r="K3099" s="15" t="s">
        <v>723</v>
      </c>
      <c r="L3099" s="62"/>
      <c r="M3099" s="14"/>
      <c r="N3099" s="14" t="s">
        <v>33</v>
      </c>
      <c r="O3099" s="14" t="s">
        <v>34</v>
      </c>
      <c r="P3099" s="15" t="s">
        <v>2748</v>
      </c>
      <c r="Q3099" s="16">
        <v>2999</v>
      </c>
      <c r="R3099" s="17">
        <v>40</v>
      </c>
      <c r="S3099" s="18">
        <v>2069.31</v>
      </c>
      <c r="T3099" s="19" t="s">
        <v>36</v>
      </c>
      <c r="U3099" s="20" t="s">
        <v>1241</v>
      </c>
      <c r="V3099" s="34">
        <v>36.5</v>
      </c>
      <c r="W3099" s="22">
        <v>6</v>
      </c>
      <c r="X3099" s="23"/>
    </row>
    <row r="3100" spans="1:24" s="1" customFormat="1" ht="37.049999999999997" customHeight="1" x14ac:dyDescent="0.3">
      <c r="A3100" s="24" t="s">
        <v>23</v>
      </c>
      <c r="B3100" s="24" t="s">
        <v>2745</v>
      </c>
      <c r="C3100" s="12" t="s">
        <v>2773</v>
      </c>
      <c r="D3100" s="61"/>
      <c r="E3100" s="41" t="str">
        <f>HYPERLINK("https://www.google.ru/search?q=3021286-001&amp;newwindow=1&amp;tbm=isch","Еще фото")</f>
        <v>Еще фото</v>
      </c>
      <c r="F3100" s="13" t="s">
        <v>103</v>
      </c>
      <c r="G3100" s="24" t="s">
        <v>2731</v>
      </c>
      <c r="H3100" s="24" t="s">
        <v>741</v>
      </c>
      <c r="I3100" s="24" t="s">
        <v>2732</v>
      </c>
      <c r="J3100" s="14" t="s">
        <v>43</v>
      </c>
      <c r="K3100" s="15" t="s">
        <v>723</v>
      </c>
      <c r="L3100" s="58"/>
      <c r="M3100" s="14"/>
      <c r="N3100" s="14" t="s">
        <v>33</v>
      </c>
      <c r="O3100" s="14" t="s">
        <v>34</v>
      </c>
      <c r="P3100" s="15" t="s">
        <v>2748</v>
      </c>
      <c r="Q3100" s="16">
        <v>2999</v>
      </c>
      <c r="R3100" s="17">
        <v>40</v>
      </c>
      <c r="S3100" s="18">
        <v>2069.31</v>
      </c>
      <c r="T3100" s="19" t="s">
        <v>36</v>
      </c>
      <c r="U3100" s="20" t="s">
        <v>1203</v>
      </c>
      <c r="V3100" s="34">
        <v>37.5</v>
      </c>
      <c r="W3100" s="22">
        <v>5</v>
      </c>
      <c r="X3100" s="23"/>
    </row>
    <row r="3101" spans="1:24" s="1" customFormat="1" ht="108" customHeight="1" x14ac:dyDescent="0.3">
      <c r="A3101" s="11" t="s">
        <v>23</v>
      </c>
      <c r="B3101" s="11" t="s">
        <v>2774</v>
      </c>
      <c r="C3101" s="12" t="s">
        <v>2775</v>
      </c>
      <c r="D3101" s="25"/>
      <c r="E3101" s="41" t="str">
        <f>HYPERLINK("https://www.google.ru/search?q=3027219-100&amp;newwindow=1&amp;tbm=isch","Еще фото")</f>
        <v>Еще фото</v>
      </c>
      <c r="F3101" s="13"/>
      <c r="G3101" s="11" t="s">
        <v>2731</v>
      </c>
      <c r="H3101" s="11" t="s">
        <v>741</v>
      </c>
      <c r="I3101" s="14" t="s">
        <v>2732</v>
      </c>
      <c r="J3101" s="14" t="s">
        <v>43</v>
      </c>
      <c r="K3101" s="15" t="s">
        <v>30</v>
      </c>
      <c r="L3101" s="14" t="s">
        <v>2776</v>
      </c>
      <c r="M3101" s="14" t="s">
        <v>45</v>
      </c>
      <c r="N3101" s="14" t="s">
        <v>84</v>
      </c>
      <c r="O3101" s="14"/>
      <c r="P3101" s="15" t="s">
        <v>2777</v>
      </c>
      <c r="Q3101" s="16">
        <v>4299</v>
      </c>
      <c r="R3101" s="17">
        <v>40</v>
      </c>
      <c r="S3101" s="18">
        <v>2966.31</v>
      </c>
      <c r="T3101" s="19" t="s">
        <v>36</v>
      </c>
      <c r="U3101" s="20" t="s">
        <v>748</v>
      </c>
      <c r="V3101" s="22">
        <v>40</v>
      </c>
      <c r="W3101" s="22">
        <v>4</v>
      </c>
      <c r="X3101" s="23"/>
    </row>
    <row r="3102" spans="1:24" s="1" customFormat="1" ht="52.05" customHeight="1" x14ac:dyDescent="0.3">
      <c r="A3102" s="11" t="s">
        <v>23</v>
      </c>
      <c r="B3102" s="11" t="s">
        <v>2774</v>
      </c>
      <c r="C3102" s="12" t="s">
        <v>2778</v>
      </c>
      <c r="D3102" s="55"/>
      <c r="E3102" s="41" t="str">
        <f>HYPERLINK("https://www.google.ru/search?q=3027219-428&amp;newwindow=1&amp;tbm=isch","Еще фото")</f>
        <v>Еще фото</v>
      </c>
      <c r="F3102" s="13"/>
      <c r="G3102" s="11" t="s">
        <v>2731</v>
      </c>
      <c r="H3102" s="11" t="s">
        <v>741</v>
      </c>
      <c r="I3102" s="14" t="s">
        <v>2732</v>
      </c>
      <c r="J3102" s="14" t="s">
        <v>43</v>
      </c>
      <c r="K3102" s="15" t="s">
        <v>30</v>
      </c>
      <c r="L3102" s="57" t="s">
        <v>2776</v>
      </c>
      <c r="M3102" s="14" t="s">
        <v>45</v>
      </c>
      <c r="N3102" s="14" t="s">
        <v>115</v>
      </c>
      <c r="O3102" s="14"/>
      <c r="P3102" s="15" t="s">
        <v>2779</v>
      </c>
      <c r="Q3102" s="16">
        <v>5299</v>
      </c>
      <c r="R3102" s="17">
        <v>40</v>
      </c>
      <c r="S3102" s="18">
        <v>3656.31</v>
      </c>
      <c r="T3102" s="19" t="s">
        <v>36</v>
      </c>
      <c r="U3102" s="20" t="s">
        <v>746</v>
      </c>
      <c r="V3102" s="22">
        <v>39</v>
      </c>
      <c r="W3102" s="22">
        <v>1</v>
      </c>
      <c r="X3102" s="23"/>
    </row>
    <row r="3103" spans="1:24" s="1" customFormat="1" ht="61.05" customHeight="1" x14ac:dyDescent="0.3">
      <c r="A3103" s="24" t="s">
        <v>23</v>
      </c>
      <c r="B3103" s="24" t="s">
        <v>2774</v>
      </c>
      <c r="C3103" s="12" t="s">
        <v>2778</v>
      </c>
      <c r="D3103" s="56"/>
      <c r="E3103" s="41" t="str">
        <f>HYPERLINK("https://www.google.ru/search?q=3027219-428&amp;newwindow=1&amp;tbm=isch","Еще фото")</f>
        <v>Еще фото</v>
      </c>
      <c r="F3103" s="13"/>
      <c r="G3103" s="24" t="s">
        <v>2731</v>
      </c>
      <c r="H3103" s="24" t="s">
        <v>741</v>
      </c>
      <c r="I3103" s="24" t="s">
        <v>2732</v>
      </c>
      <c r="J3103" s="14" t="s">
        <v>43</v>
      </c>
      <c r="K3103" s="15" t="s">
        <v>30</v>
      </c>
      <c r="L3103" s="58"/>
      <c r="M3103" s="14" t="s">
        <v>45</v>
      </c>
      <c r="N3103" s="14" t="s">
        <v>115</v>
      </c>
      <c r="O3103" s="14"/>
      <c r="P3103" s="15" t="s">
        <v>2779</v>
      </c>
      <c r="Q3103" s="16">
        <v>5299</v>
      </c>
      <c r="R3103" s="17">
        <v>40</v>
      </c>
      <c r="S3103" s="18">
        <v>3656.31</v>
      </c>
      <c r="T3103" s="19" t="s">
        <v>36</v>
      </c>
      <c r="U3103" s="20" t="s">
        <v>750</v>
      </c>
      <c r="V3103" s="34">
        <v>41.5</v>
      </c>
      <c r="W3103" s="22">
        <v>1</v>
      </c>
      <c r="X3103" s="23"/>
    </row>
    <row r="3104" spans="1:24" s="1" customFormat="1" ht="26" customHeight="1" x14ac:dyDescent="0.3">
      <c r="A3104" s="11" t="s">
        <v>23</v>
      </c>
      <c r="B3104" s="11" t="s">
        <v>2780</v>
      </c>
      <c r="C3104" s="12" t="s">
        <v>2781</v>
      </c>
      <c r="D3104" s="59"/>
      <c r="E3104" s="41" t="str">
        <f>HYPERLINK("https://www.google.ru/search?q=3027222-016&amp;newwindow=1&amp;tbm=isch","Еще фото")</f>
        <v>Еще фото</v>
      </c>
      <c r="F3104" s="13"/>
      <c r="G3104" s="11" t="s">
        <v>2731</v>
      </c>
      <c r="H3104" s="11" t="s">
        <v>741</v>
      </c>
      <c r="I3104" s="14" t="s">
        <v>2732</v>
      </c>
      <c r="J3104" s="14" t="s">
        <v>43</v>
      </c>
      <c r="K3104" s="15" t="s">
        <v>59</v>
      </c>
      <c r="L3104" s="57" t="s">
        <v>2782</v>
      </c>
      <c r="M3104" s="14" t="s">
        <v>45</v>
      </c>
      <c r="N3104" s="14" t="s">
        <v>62</v>
      </c>
      <c r="O3104" s="14"/>
      <c r="P3104" s="15" t="s">
        <v>2779</v>
      </c>
      <c r="Q3104" s="16">
        <v>3899</v>
      </c>
      <c r="R3104" s="17">
        <v>40</v>
      </c>
      <c r="S3104" s="18">
        <v>2690.31</v>
      </c>
      <c r="T3104" s="19" t="s">
        <v>36</v>
      </c>
      <c r="U3104" s="20" t="s">
        <v>1203</v>
      </c>
      <c r="V3104" s="22">
        <v>36</v>
      </c>
      <c r="W3104" s="22">
        <v>1</v>
      </c>
      <c r="X3104" s="23"/>
    </row>
    <row r="3105" spans="1:24" s="1" customFormat="1" ht="26" customHeight="1" x14ac:dyDescent="0.3">
      <c r="A3105" s="24" t="s">
        <v>23</v>
      </c>
      <c r="B3105" s="24" t="s">
        <v>2780</v>
      </c>
      <c r="C3105" s="12" t="s">
        <v>2781</v>
      </c>
      <c r="D3105" s="60"/>
      <c r="E3105" s="41" t="str">
        <f>HYPERLINK("https://www.google.ru/search?q=3027222-016&amp;newwindow=1&amp;tbm=isch","Еще фото")</f>
        <v>Еще фото</v>
      </c>
      <c r="F3105" s="13"/>
      <c r="G3105" s="24" t="s">
        <v>2731</v>
      </c>
      <c r="H3105" s="24" t="s">
        <v>741</v>
      </c>
      <c r="I3105" s="24" t="s">
        <v>2732</v>
      </c>
      <c r="J3105" s="14" t="s">
        <v>43</v>
      </c>
      <c r="K3105" s="15" t="s">
        <v>59</v>
      </c>
      <c r="L3105" s="62"/>
      <c r="M3105" s="14" t="s">
        <v>45</v>
      </c>
      <c r="N3105" s="14" t="s">
        <v>62</v>
      </c>
      <c r="O3105" s="14"/>
      <c r="P3105" s="15" t="s">
        <v>2779</v>
      </c>
      <c r="Q3105" s="16">
        <v>3899</v>
      </c>
      <c r="R3105" s="17">
        <v>40</v>
      </c>
      <c r="S3105" s="18">
        <v>2690.31</v>
      </c>
      <c r="T3105" s="19" t="s">
        <v>36</v>
      </c>
      <c r="U3105" s="20" t="s">
        <v>746</v>
      </c>
      <c r="V3105" s="22">
        <v>37</v>
      </c>
      <c r="W3105" s="22">
        <v>2</v>
      </c>
      <c r="X3105" s="23"/>
    </row>
    <row r="3106" spans="1:24" s="1" customFormat="1" ht="26" customHeight="1" x14ac:dyDescent="0.3">
      <c r="A3106" s="24" t="s">
        <v>23</v>
      </c>
      <c r="B3106" s="24" t="s">
        <v>2780</v>
      </c>
      <c r="C3106" s="12" t="s">
        <v>2781</v>
      </c>
      <c r="D3106" s="60"/>
      <c r="E3106" s="41" t="str">
        <f>HYPERLINK("https://www.google.ru/search?q=3027222-016&amp;newwindow=1&amp;tbm=isch","Еще фото")</f>
        <v>Еще фото</v>
      </c>
      <c r="F3106" s="13"/>
      <c r="G3106" s="24" t="s">
        <v>2731</v>
      </c>
      <c r="H3106" s="24" t="s">
        <v>741</v>
      </c>
      <c r="I3106" s="24" t="s">
        <v>2732</v>
      </c>
      <c r="J3106" s="14" t="s">
        <v>43</v>
      </c>
      <c r="K3106" s="15" t="s">
        <v>59</v>
      </c>
      <c r="L3106" s="62"/>
      <c r="M3106" s="14" t="s">
        <v>45</v>
      </c>
      <c r="N3106" s="14" t="s">
        <v>62</v>
      </c>
      <c r="O3106" s="14"/>
      <c r="P3106" s="15" t="s">
        <v>2779</v>
      </c>
      <c r="Q3106" s="16">
        <v>3899</v>
      </c>
      <c r="R3106" s="17">
        <v>40</v>
      </c>
      <c r="S3106" s="18">
        <v>2690.31</v>
      </c>
      <c r="T3106" s="19" t="s">
        <v>36</v>
      </c>
      <c r="U3106" s="20" t="s">
        <v>750</v>
      </c>
      <c r="V3106" s="34">
        <v>39.5</v>
      </c>
      <c r="W3106" s="22">
        <v>2</v>
      </c>
      <c r="X3106" s="23"/>
    </row>
    <row r="3107" spans="1:24" s="1" customFormat="1" ht="26" customHeight="1" x14ac:dyDescent="0.3">
      <c r="A3107" s="24" t="s">
        <v>23</v>
      </c>
      <c r="B3107" s="24" t="s">
        <v>2780</v>
      </c>
      <c r="C3107" s="12" t="s">
        <v>2781</v>
      </c>
      <c r="D3107" s="61"/>
      <c r="E3107" s="41" t="str">
        <f>HYPERLINK("https://www.google.ru/search?q=3027222-016&amp;newwindow=1&amp;tbm=isch","Еще фото")</f>
        <v>Еще фото</v>
      </c>
      <c r="F3107" s="13"/>
      <c r="G3107" s="24" t="s">
        <v>2731</v>
      </c>
      <c r="H3107" s="24" t="s">
        <v>741</v>
      </c>
      <c r="I3107" s="24" t="s">
        <v>2732</v>
      </c>
      <c r="J3107" s="14" t="s">
        <v>43</v>
      </c>
      <c r="K3107" s="15" t="s">
        <v>59</v>
      </c>
      <c r="L3107" s="58"/>
      <c r="M3107" s="14" t="s">
        <v>45</v>
      </c>
      <c r="N3107" s="14" t="s">
        <v>62</v>
      </c>
      <c r="O3107" s="14"/>
      <c r="P3107" s="15" t="s">
        <v>2779</v>
      </c>
      <c r="Q3107" s="16">
        <v>3899</v>
      </c>
      <c r="R3107" s="17">
        <v>40</v>
      </c>
      <c r="S3107" s="18">
        <v>2690.31</v>
      </c>
      <c r="T3107" s="19" t="s">
        <v>36</v>
      </c>
      <c r="U3107" s="20" t="s">
        <v>752</v>
      </c>
      <c r="V3107" s="22">
        <v>41</v>
      </c>
      <c r="W3107" s="22">
        <v>2</v>
      </c>
      <c r="X3107" s="23"/>
    </row>
    <row r="3108" spans="1:24" s="1" customFormat="1" ht="108" customHeight="1" x14ac:dyDescent="0.3">
      <c r="A3108" s="11" t="s">
        <v>23</v>
      </c>
      <c r="B3108" s="11" t="s">
        <v>2780</v>
      </c>
      <c r="C3108" s="12" t="s">
        <v>2783</v>
      </c>
      <c r="D3108" s="25"/>
      <c r="E3108" s="41" t="str">
        <f>HYPERLINK("https://www.google.ru/search?q=3027222-494&amp;newwindow=1&amp;tbm=isch","Еще фото")</f>
        <v>Еще фото</v>
      </c>
      <c r="F3108" s="13"/>
      <c r="G3108" s="11" t="s">
        <v>2731</v>
      </c>
      <c r="H3108" s="11" t="s">
        <v>741</v>
      </c>
      <c r="I3108" s="14" t="s">
        <v>2732</v>
      </c>
      <c r="J3108" s="14" t="s">
        <v>43</v>
      </c>
      <c r="K3108" s="15" t="s">
        <v>59</v>
      </c>
      <c r="L3108" s="14" t="s">
        <v>2782</v>
      </c>
      <c r="M3108" s="14" t="s">
        <v>45</v>
      </c>
      <c r="N3108" s="14" t="s">
        <v>46</v>
      </c>
      <c r="O3108" s="14"/>
      <c r="P3108" s="15" t="s">
        <v>2779</v>
      </c>
      <c r="Q3108" s="16">
        <v>4999</v>
      </c>
      <c r="R3108" s="17">
        <v>40</v>
      </c>
      <c r="S3108" s="18">
        <v>3449.31</v>
      </c>
      <c r="T3108" s="19" t="s">
        <v>36</v>
      </c>
      <c r="U3108" s="20" t="s">
        <v>750</v>
      </c>
      <c r="V3108" s="34">
        <v>39.5</v>
      </c>
      <c r="W3108" s="22">
        <v>2</v>
      </c>
      <c r="X3108" s="23"/>
    </row>
    <row r="3109" spans="1:24" s="1" customFormat="1" ht="35" customHeight="1" x14ac:dyDescent="0.3">
      <c r="A3109" s="11" t="s">
        <v>23</v>
      </c>
      <c r="B3109" s="11" t="s">
        <v>2770</v>
      </c>
      <c r="C3109" s="12" t="s">
        <v>2784</v>
      </c>
      <c r="D3109" s="59"/>
      <c r="E3109" s="41" t="str">
        <f>HYPERLINK("https://www.google.ru/search?q=3028094-001&amp;newwindow=1&amp;tbm=isch","Еще фото")</f>
        <v>Еще фото</v>
      </c>
      <c r="F3109" s="13" t="s">
        <v>103</v>
      </c>
      <c r="G3109" s="11" t="s">
        <v>2731</v>
      </c>
      <c r="H3109" s="11" t="s">
        <v>741</v>
      </c>
      <c r="I3109" s="14" t="s">
        <v>2732</v>
      </c>
      <c r="J3109" s="14" t="s">
        <v>43</v>
      </c>
      <c r="K3109" s="15" t="s">
        <v>30</v>
      </c>
      <c r="L3109" s="57" t="s">
        <v>2772</v>
      </c>
      <c r="M3109" s="14"/>
      <c r="N3109" s="14" t="s">
        <v>33</v>
      </c>
      <c r="O3109" s="14"/>
      <c r="P3109" s="15" t="s">
        <v>2765</v>
      </c>
      <c r="Q3109" s="16">
        <v>3299</v>
      </c>
      <c r="R3109" s="17">
        <v>40</v>
      </c>
      <c r="S3109" s="18">
        <v>2276.31</v>
      </c>
      <c r="T3109" s="19" t="s">
        <v>36</v>
      </c>
      <c r="U3109" s="20" t="s">
        <v>746</v>
      </c>
      <c r="V3109" s="22">
        <v>39</v>
      </c>
      <c r="W3109" s="22">
        <v>5</v>
      </c>
      <c r="X3109" s="23"/>
    </row>
    <row r="3110" spans="1:24" s="1" customFormat="1" ht="35" customHeight="1" x14ac:dyDescent="0.3">
      <c r="A3110" s="24" t="s">
        <v>23</v>
      </c>
      <c r="B3110" s="24" t="s">
        <v>2770</v>
      </c>
      <c r="C3110" s="12" t="s">
        <v>2784</v>
      </c>
      <c r="D3110" s="60"/>
      <c r="E3110" s="41" t="str">
        <f>HYPERLINK("https://www.google.ru/search?q=3028094-001&amp;newwindow=1&amp;tbm=isch","Еще фото")</f>
        <v>Еще фото</v>
      </c>
      <c r="F3110" s="13" t="s">
        <v>103</v>
      </c>
      <c r="G3110" s="24" t="s">
        <v>2731</v>
      </c>
      <c r="H3110" s="24" t="s">
        <v>741</v>
      </c>
      <c r="I3110" s="24" t="s">
        <v>2732</v>
      </c>
      <c r="J3110" s="14" t="s">
        <v>43</v>
      </c>
      <c r="K3110" s="15" t="s">
        <v>30</v>
      </c>
      <c r="L3110" s="62"/>
      <c r="M3110" s="14"/>
      <c r="N3110" s="14" t="s">
        <v>33</v>
      </c>
      <c r="O3110" s="14"/>
      <c r="P3110" s="15" t="s">
        <v>2765</v>
      </c>
      <c r="Q3110" s="16">
        <v>3299</v>
      </c>
      <c r="R3110" s="17">
        <v>40</v>
      </c>
      <c r="S3110" s="18">
        <v>2276.31</v>
      </c>
      <c r="T3110" s="19" t="s">
        <v>36</v>
      </c>
      <c r="U3110" s="20" t="s">
        <v>748</v>
      </c>
      <c r="V3110" s="22">
        <v>40</v>
      </c>
      <c r="W3110" s="22">
        <v>12</v>
      </c>
      <c r="X3110" s="23"/>
    </row>
    <row r="3111" spans="1:24" s="1" customFormat="1" ht="37.049999999999997" customHeight="1" x14ac:dyDescent="0.3">
      <c r="A3111" s="24" t="s">
        <v>23</v>
      </c>
      <c r="B3111" s="24" t="s">
        <v>2770</v>
      </c>
      <c r="C3111" s="12" t="s">
        <v>2784</v>
      </c>
      <c r="D3111" s="61"/>
      <c r="E3111" s="41" t="str">
        <f>HYPERLINK("https://www.google.ru/search?q=3028094-001&amp;newwindow=1&amp;tbm=isch","Еще фото")</f>
        <v>Еще фото</v>
      </c>
      <c r="F3111" s="13" t="s">
        <v>103</v>
      </c>
      <c r="G3111" s="24" t="s">
        <v>2731</v>
      </c>
      <c r="H3111" s="24" t="s">
        <v>741</v>
      </c>
      <c r="I3111" s="24" t="s">
        <v>2732</v>
      </c>
      <c r="J3111" s="14" t="s">
        <v>43</v>
      </c>
      <c r="K3111" s="15" t="s">
        <v>30</v>
      </c>
      <c r="L3111" s="58"/>
      <c r="M3111" s="14"/>
      <c r="N3111" s="14" t="s">
        <v>33</v>
      </c>
      <c r="O3111" s="14"/>
      <c r="P3111" s="15" t="s">
        <v>2765</v>
      </c>
      <c r="Q3111" s="16">
        <v>3299</v>
      </c>
      <c r="R3111" s="17">
        <v>40</v>
      </c>
      <c r="S3111" s="18">
        <v>2276.31</v>
      </c>
      <c r="T3111" s="19" t="s">
        <v>36</v>
      </c>
      <c r="U3111" s="20" t="s">
        <v>2371</v>
      </c>
      <c r="V3111" s="34">
        <v>48.5</v>
      </c>
      <c r="W3111" s="22">
        <v>2</v>
      </c>
      <c r="X3111" s="23"/>
    </row>
    <row r="3112" spans="1:24" s="1" customFormat="1" ht="108" customHeight="1" x14ac:dyDescent="0.3">
      <c r="A3112" s="11" t="s">
        <v>23</v>
      </c>
      <c r="B3112" s="11" t="s">
        <v>2770</v>
      </c>
      <c r="C3112" s="12" t="s">
        <v>2785</v>
      </c>
      <c r="D3112" s="25"/>
      <c r="E3112" s="41" t="str">
        <f>HYPERLINK("https://www.google.ru/search?q=3028094-009&amp;newwindow=1&amp;tbm=isch","Еще фото")</f>
        <v>Еще фото</v>
      </c>
      <c r="F3112" s="13" t="s">
        <v>103</v>
      </c>
      <c r="G3112" s="11" t="s">
        <v>2731</v>
      </c>
      <c r="H3112" s="11" t="s">
        <v>741</v>
      </c>
      <c r="I3112" s="14" t="s">
        <v>2732</v>
      </c>
      <c r="J3112" s="14" t="s">
        <v>43</v>
      </c>
      <c r="K3112" s="15" t="s">
        <v>30</v>
      </c>
      <c r="L3112" s="14" t="s">
        <v>2772</v>
      </c>
      <c r="M3112" s="14"/>
      <c r="N3112" s="14" t="s">
        <v>62</v>
      </c>
      <c r="O3112" s="14"/>
      <c r="P3112" s="15" t="s">
        <v>2739</v>
      </c>
      <c r="Q3112" s="16">
        <v>4199</v>
      </c>
      <c r="R3112" s="17">
        <v>40</v>
      </c>
      <c r="S3112" s="18">
        <v>2897.31</v>
      </c>
      <c r="T3112" s="19" t="s">
        <v>36</v>
      </c>
      <c r="U3112" s="20" t="s">
        <v>750</v>
      </c>
      <c r="V3112" s="34">
        <v>41.5</v>
      </c>
      <c r="W3112" s="22">
        <v>5</v>
      </c>
      <c r="X3112" s="23"/>
    </row>
    <row r="3113" spans="1:24" s="1" customFormat="1" ht="52.05" customHeight="1" x14ac:dyDescent="0.3">
      <c r="A3113" s="11" t="s">
        <v>23</v>
      </c>
      <c r="B3113" s="11" t="s">
        <v>2770</v>
      </c>
      <c r="C3113" s="12" t="s">
        <v>2786</v>
      </c>
      <c r="D3113" s="55"/>
      <c r="E3113" s="41" t="str">
        <f>HYPERLINK("https://www.google.ru/search?q=3028094-025&amp;newwindow=1&amp;tbm=isch","Еще фото")</f>
        <v>Еще фото</v>
      </c>
      <c r="F3113" s="13" t="s">
        <v>103</v>
      </c>
      <c r="G3113" s="11" t="s">
        <v>2731</v>
      </c>
      <c r="H3113" s="11" t="s">
        <v>741</v>
      </c>
      <c r="I3113" s="14" t="s">
        <v>2732</v>
      </c>
      <c r="J3113" s="14" t="s">
        <v>43</v>
      </c>
      <c r="K3113" s="15" t="s">
        <v>30</v>
      </c>
      <c r="L3113" s="57" t="s">
        <v>2772</v>
      </c>
      <c r="M3113" s="14"/>
      <c r="N3113" s="14" t="s">
        <v>62</v>
      </c>
      <c r="O3113" s="14"/>
      <c r="P3113" s="15" t="s">
        <v>2765</v>
      </c>
      <c r="Q3113" s="16">
        <v>3299</v>
      </c>
      <c r="R3113" s="17">
        <v>40</v>
      </c>
      <c r="S3113" s="18">
        <v>2276.31</v>
      </c>
      <c r="T3113" s="19" t="s">
        <v>36</v>
      </c>
      <c r="U3113" s="20" t="s">
        <v>746</v>
      </c>
      <c r="V3113" s="22">
        <v>39</v>
      </c>
      <c r="W3113" s="22">
        <v>11</v>
      </c>
      <c r="X3113" s="23"/>
    </row>
    <row r="3114" spans="1:24" s="1" customFormat="1" ht="61.05" customHeight="1" x14ac:dyDescent="0.3">
      <c r="A3114" s="24" t="s">
        <v>23</v>
      </c>
      <c r="B3114" s="24" t="s">
        <v>2770</v>
      </c>
      <c r="C3114" s="12" t="s">
        <v>2786</v>
      </c>
      <c r="D3114" s="56"/>
      <c r="E3114" s="41" t="str">
        <f>HYPERLINK("https://www.google.ru/search?q=3028094-025&amp;newwindow=1&amp;tbm=isch","Еще фото")</f>
        <v>Еще фото</v>
      </c>
      <c r="F3114" s="13" t="s">
        <v>103</v>
      </c>
      <c r="G3114" s="24" t="s">
        <v>2731</v>
      </c>
      <c r="H3114" s="24" t="s">
        <v>741</v>
      </c>
      <c r="I3114" s="24" t="s">
        <v>2732</v>
      </c>
      <c r="J3114" s="14" t="s">
        <v>43</v>
      </c>
      <c r="K3114" s="15" t="s">
        <v>30</v>
      </c>
      <c r="L3114" s="58"/>
      <c r="M3114" s="14"/>
      <c r="N3114" s="14" t="s">
        <v>62</v>
      </c>
      <c r="O3114" s="14"/>
      <c r="P3114" s="15" t="s">
        <v>2765</v>
      </c>
      <c r="Q3114" s="16">
        <v>3299</v>
      </c>
      <c r="R3114" s="17">
        <v>40</v>
      </c>
      <c r="S3114" s="18">
        <v>2276.31</v>
      </c>
      <c r="T3114" s="19" t="s">
        <v>36</v>
      </c>
      <c r="U3114" s="20" t="s">
        <v>748</v>
      </c>
      <c r="V3114" s="22">
        <v>40</v>
      </c>
      <c r="W3114" s="22">
        <v>7</v>
      </c>
      <c r="X3114" s="23"/>
    </row>
    <row r="3115" spans="1:24" s="1" customFormat="1" ht="108" customHeight="1" x14ac:dyDescent="0.3">
      <c r="A3115" s="11" t="s">
        <v>23</v>
      </c>
      <c r="B3115" s="11" t="s">
        <v>2736</v>
      </c>
      <c r="C3115" s="12" t="s">
        <v>2787</v>
      </c>
      <c r="D3115" s="25"/>
      <c r="E3115" s="41" t="str">
        <f>HYPERLINK("https://www.google.ru/search?q=3028095-001&amp;newwindow=1&amp;tbm=isch","Еще фото")</f>
        <v>Еще фото</v>
      </c>
      <c r="F3115" s="13" t="s">
        <v>103</v>
      </c>
      <c r="G3115" s="11" t="s">
        <v>2731</v>
      </c>
      <c r="H3115" s="11" t="s">
        <v>741</v>
      </c>
      <c r="I3115" s="14" t="s">
        <v>2732</v>
      </c>
      <c r="J3115" s="14" t="s">
        <v>43</v>
      </c>
      <c r="K3115" s="15" t="s">
        <v>59</v>
      </c>
      <c r="L3115" s="14" t="s">
        <v>2738</v>
      </c>
      <c r="M3115" s="14"/>
      <c r="N3115" s="14" t="s">
        <v>33</v>
      </c>
      <c r="O3115" s="14"/>
      <c r="P3115" s="15" t="s">
        <v>2765</v>
      </c>
      <c r="Q3115" s="16">
        <v>3299</v>
      </c>
      <c r="R3115" s="17">
        <v>40</v>
      </c>
      <c r="S3115" s="18">
        <v>2276.31</v>
      </c>
      <c r="T3115" s="19" t="s">
        <v>36</v>
      </c>
      <c r="U3115" s="20" t="s">
        <v>750</v>
      </c>
      <c r="V3115" s="34">
        <v>39.5</v>
      </c>
      <c r="W3115" s="22">
        <v>2</v>
      </c>
      <c r="X3115" s="23"/>
    </row>
    <row r="3116" spans="1:24" s="1" customFormat="1" ht="26" customHeight="1" x14ac:dyDescent="0.3">
      <c r="A3116" s="11" t="s">
        <v>23</v>
      </c>
      <c r="B3116" s="11" t="s">
        <v>2736</v>
      </c>
      <c r="C3116" s="12" t="s">
        <v>2788</v>
      </c>
      <c r="D3116" s="59"/>
      <c r="E3116" s="41" t="str">
        <f>HYPERLINK("https://www.google.ru/search?q=3028095-100&amp;newwindow=1&amp;tbm=isch","Еще фото")</f>
        <v>Еще фото</v>
      </c>
      <c r="F3116" s="13" t="s">
        <v>103</v>
      </c>
      <c r="G3116" s="11" t="s">
        <v>2731</v>
      </c>
      <c r="H3116" s="11" t="s">
        <v>741</v>
      </c>
      <c r="I3116" s="14" t="s">
        <v>2732</v>
      </c>
      <c r="J3116" s="14" t="s">
        <v>43</v>
      </c>
      <c r="K3116" s="15" t="s">
        <v>59</v>
      </c>
      <c r="L3116" s="57" t="s">
        <v>2738</v>
      </c>
      <c r="M3116" s="14"/>
      <c r="N3116" s="14" t="s">
        <v>84</v>
      </c>
      <c r="O3116" s="14"/>
      <c r="P3116" s="15" t="s">
        <v>2765</v>
      </c>
      <c r="Q3116" s="16">
        <v>3299</v>
      </c>
      <c r="R3116" s="17">
        <v>40</v>
      </c>
      <c r="S3116" s="18">
        <v>2276.31</v>
      </c>
      <c r="T3116" s="19" t="s">
        <v>36</v>
      </c>
      <c r="U3116" s="20" t="s">
        <v>1203</v>
      </c>
      <c r="V3116" s="22">
        <v>36</v>
      </c>
      <c r="W3116" s="22">
        <v>14</v>
      </c>
      <c r="X3116" s="23"/>
    </row>
    <row r="3117" spans="1:24" s="1" customFormat="1" ht="26" customHeight="1" x14ac:dyDescent="0.3">
      <c r="A3117" s="24" t="s">
        <v>23</v>
      </c>
      <c r="B3117" s="24" t="s">
        <v>2736</v>
      </c>
      <c r="C3117" s="12" t="s">
        <v>2788</v>
      </c>
      <c r="D3117" s="60"/>
      <c r="E3117" s="41" t="str">
        <f>HYPERLINK("https://www.google.ru/search?q=3028095-100&amp;newwindow=1&amp;tbm=isch","Еще фото")</f>
        <v>Еще фото</v>
      </c>
      <c r="F3117" s="13" t="s">
        <v>103</v>
      </c>
      <c r="G3117" s="24" t="s">
        <v>2731</v>
      </c>
      <c r="H3117" s="24" t="s">
        <v>741</v>
      </c>
      <c r="I3117" s="24" t="s">
        <v>2732</v>
      </c>
      <c r="J3117" s="14" t="s">
        <v>43</v>
      </c>
      <c r="K3117" s="15" t="s">
        <v>59</v>
      </c>
      <c r="L3117" s="62"/>
      <c r="M3117" s="14"/>
      <c r="N3117" s="14" t="s">
        <v>84</v>
      </c>
      <c r="O3117" s="14"/>
      <c r="P3117" s="15" t="s">
        <v>2765</v>
      </c>
      <c r="Q3117" s="16">
        <v>3299</v>
      </c>
      <c r="R3117" s="17">
        <v>40</v>
      </c>
      <c r="S3117" s="18">
        <v>2276.31</v>
      </c>
      <c r="T3117" s="19" t="s">
        <v>36</v>
      </c>
      <c r="U3117" s="20" t="s">
        <v>746</v>
      </c>
      <c r="V3117" s="22">
        <v>37</v>
      </c>
      <c r="W3117" s="22">
        <v>25</v>
      </c>
      <c r="X3117" s="23"/>
    </row>
    <row r="3118" spans="1:24" s="1" customFormat="1" ht="26" customHeight="1" x14ac:dyDescent="0.3">
      <c r="A3118" s="24" t="s">
        <v>23</v>
      </c>
      <c r="B3118" s="24" t="s">
        <v>2736</v>
      </c>
      <c r="C3118" s="12" t="s">
        <v>2788</v>
      </c>
      <c r="D3118" s="60"/>
      <c r="E3118" s="41" t="str">
        <f>HYPERLINK("https://www.google.ru/search?q=3028095-100&amp;newwindow=1&amp;tbm=isch","Еще фото")</f>
        <v>Еще фото</v>
      </c>
      <c r="F3118" s="13" t="s">
        <v>103</v>
      </c>
      <c r="G3118" s="24" t="s">
        <v>2731</v>
      </c>
      <c r="H3118" s="24" t="s">
        <v>741</v>
      </c>
      <c r="I3118" s="24" t="s">
        <v>2732</v>
      </c>
      <c r="J3118" s="14" t="s">
        <v>43</v>
      </c>
      <c r="K3118" s="15" t="s">
        <v>59</v>
      </c>
      <c r="L3118" s="62"/>
      <c r="M3118" s="14"/>
      <c r="N3118" s="14" t="s">
        <v>84</v>
      </c>
      <c r="O3118" s="14"/>
      <c r="P3118" s="15" t="s">
        <v>2765</v>
      </c>
      <c r="Q3118" s="16">
        <v>3299</v>
      </c>
      <c r="R3118" s="17">
        <v>40</v>
      </c>
      <c r="S3118" s="18">
        <v>2276.31</v>
      </c>
      <c r="T3118" s="19" t="s">
        <v>36</v>
      </c>
      <c r="U3118" s="20" t="s">
        <v>748</v>
      </c>
      <c r="V3118" s="22">
        <v>38</v>
      </c>
      <c r="W3118" s="22">
        <v>25</v>
      </c>
      <c r="X3118" s="23"/>
    </row>
    <row r="3119" spans="1:24" s="1" customFormat="1" ht="26" customHeight="1" x14ac:dyDescent="0.3">
      <c r="A3119" s="24" t="s">
        <v>23</v>
      </c>
      <c r="B3119" s="24" t="s">
        <v>2736</v>
      </c>
      <c r="C3119" s="12" t="s">
        <v>2788</v>
      </c>
      <c r="D3119" s="61"/>
      <c r="E3119" s="41" t="str">
        <f>HYPERLINK("https://www.google.ru/search?q=3028095-100&amp;newwindow=1&amp;tbm=isch","Еще фото")</f>
        <v>Еще фото</v>
      </c>
      <c r="F3119" s="13" t="s">
        <v>103</v>
      </c>
      <c r="G3119" s="24" t="s">
        <v>2731</v>
      </c>
      <c r="H3119" s="24" t="s">
        <v>741</v>
      </c>
      <c r="I3119" s="24" t="s">
        <v>2732</v>
      </c>
      <c r="J3119" s="14" t="s">
        <v>43</v>
      </c>
      <c r="K3119" s="15" t="s">
        <v>59</v>
      </c>
      <c r="L3119" s="58"/>
      <c r="M3119" s="14"/>
      <c r="N3119" s="14" t="s">
        <v>84</v>
      </c>
      <c r="O3119" s="14"/>
      <c r="P3119" s="15" t="s">
        <v>2765</v>
      </c>
      <c r="Q3119" s="16">
        <v>3299</v>
      </c>
      <c r="R3119" s="17">
        <v>40</v>
      </c>
      <c r="S3119" s="18">
        <v>2276.31</v>
      </c>
      <c r="T3119" s="19" t="s">
        <v>36</v>
      </c>
      <c r="U3119" s="20" t="s">
        <v>750</v>
      </c>
      <c r="V3119" s="34">
        <v>39.5</v>
      </c>
      <c r="W3119" s="22">
        <v>11</v>
      </c>
      <c r="X3119" s="23"/>
    </row>
    <row r="3120" spans="1:24" s="1" customFormat="1" ht="35" customHeight="1" x14ac:dyDescent="0.3">
      <c r="A3120" s="11" t="s">
        <v>23</v>
      </c>
      <c r="B3120" s="11" t="s">
        <v>2789</v>
      </c>
      <c r="C3120" s="12" t="s">
        <v>2790</v>
      </c>
      <c r="D3120" s="59"/>
      <c r="E3120" s="41" t="str">
        <f>HYPERLINK("https://www.google.ru/search?q=6000033-001&amp;newwindow=1&amp;tbm=isch","Еще фото")</f>
        <v>Еще фото</v>
      </c>
      <c r="F3120" s="13" t="s">
        <v>103</v>
      </c>
      <c r="G3120" s="11" t="s">
        <v>2731</v>
      </c>
      <c r="H3120" s="11" t="s">
        <v>741</v>
      </c>
      <c r="I3120" s="14" t="s">
        <v>2732</v>
      </c>
      <c r="J3120" s="14" t="s">
        <v>43</v>
      </c>
      <c r="K3120" s="15" t="s">
        <v>59</v>
      </c>
      <c r="L3120" s="57" t="s">
        <v>2791</v>
      </c>
      <c r="M3120" s="14"/>
      <c r="N3120" s="14" t="s">
        <v>33</v>
      </c>
      <c r="O3120" s="14"/>
      <c r="P3120" s="15" t="s">
        <v>2739</v>
      </c>
      <c r="Q3120" s="16">
        <v>5399</v>
      </c>
      <c r="R3120" s="17">
        <v>40</v>
      </c>
      <c r="S3120" s="18">
        <v>3725.31</v>
      </c>
      <c r="T3120" s="19" t="s">
        <v>36</v>
      </c>
      <c r="U3120" s="20" t="s">
        <v>746</v>
      </c>
      <c r="V3120" s="22">
        <v>37</v>
      </c>
      <c r="W3120" s="22">
        <v>1</v>
      </c>
      <c r="X3120" s="23"/>
    </row>
    <row r="3121" spans="1:24" s="1" customFormat="1" ht="35" customHeight="1" x14ac:dyDescent="0.3">
      <c r="A3121" s="24" t="s">
        <v>23</v>
      </c>
      <c r="B3121" s="24" t="s">
        <v>2789</v>
      </c>
      <c r="C3121" s="12" t="s">
        <v>2790</v>
      </c>
      <c r="D3121" s="60"/>
      <c r="E3121" s="41" t="str">
        <f>HYPERLINK("https://www.google.ru/search?q=6000033-001&amp;newwindow=1&amp;tbm=isch","Еще фото")</f>
        <v>Еще фото</v>
      </c>
      <c r="F3121" s="13" t="s">
        <v>103</v>
      </c>
      <c r="G3121" s="24" t="s">
        <v>2731</v>
      </c>
      <c r="H3121" s="24" t="s">
        <v>741</v>
      </c>
      <c r="I3121" s="24" t="s">
        <v>2732</v>
      </c>
      <c r="J3121" s="14" t="s">
        <v>43</v>
      </c>
      <c r="K3121" s="15" t="s">
        <v>59</v>
      </c>
      <c r="L3121" s="62"/>
      <c r="M3121" s="14"/>
      <c r="N3121" s="14" t="s">
        <v>33</v>
      </c>
      <c r="O3121" s="14"/>
      <c r="P3121" s="15" t="s">
        <v>2739</v>
      </c>
      <c r="Q3121" s="16">
        <v>5399</v>
      </c>
      <c r="R3121" s="17">
        <v>40</v>
      </c>
      <c r="S3121" s="18">
        <v>3725.31</v>
      </c>
      <c r="T3121" s="19" t="s">
        <v>36</v>
      </c>
      <c r="U3121" s="20" t="s">
        <v>748</v>
      </c>
      <c r="V3121" s="22">
        <v>38</v>
      </c>
      <c r="W3121" s="22">
        <v>1</v>
      </c>
      <c r="X3121" s="23"/>
    </row>
    <row r="3122" spans="1:24" s="1" customFormat="1" ht="37.049999999999997" customHeight="1" x14ac:dyDescent="0.3">
      <c r="A3122" s="24" t="s">
        <v>23</v>
      </c>
      <c r="B3122" s="24" t="s">
        <v>2789</v>
      </c>
      <c r="C3122" s="12" t="s">
        <v>2790</v>
      </c>
      <c r="D3122" s="61"/>
      <c r="E3122" s="41" t="str">
        <f>HYPERLINK("https://www.google.ru/search?q=6000033-001&amp;newwindow=1&amp;tbm=isch","Еще фото")</f>
        <v>Еще фото</v>
      </c>
      <c r="F3122" s="13" t="s">
        <v>103</v>
      </c>
      <c r="G3122" s="24" t="s">
        <v>2731</v>
      </c>
      <c r="H3122" s="24" t="s">
        <v>741</v>
      </c>
      <c r="I3122" s="24" t="s">
        <v>2732</v>
      </c>
      <c r="J3122" s="14" t="s">
        <v>43</v>
      </c>
      <c r="K3122" s="15" t="s">
        <v>59</v>
      </c>
      <c r="L3122" s="58"/>
      <c r="M3122" s="14"/>
      <c r="N3122" s="14" t="s">
        <v>33</v>
      </c>
      <c r="O3122" s="14"/>
      <c r="P3122" s="15" t="s">
        <v>2739</v>
      </c>
      <c r="Q3122" s="16">
        <v>5399</v>
      </c>
      <c r="R3122" s="17">
        <v>40</v>
      </c>
      <c r="S3122" s="18">
        <v>3725.31</v>
      </c>
      <c r="T3122" s="19" t="s">
        <v>36</v>
      </c>
      <c r="U3122" s="20" t="s">
        <v>750</v>
      </c>
      <c r="V3122" s="34">
        <v>39.5</v>
      </c>
      <c r="W3122" s="22">
        <v>3</v>
      </c>
      <c r="X3122" s="23"/>
    </row>
    <row r="3123" spans="1:24" s="1" customFormat="1" ht="108" customHeight="1" x14ac:dyDescent="0.3">
      <c r="A3123" s="11" t="s">
        <v>23</v>
      </c>
      <c r="B3123" s="11" t="s">
        <v>2789</v>
      </c>
      <c r="C3123" s="12" t="s">
        <v>2792</v>
      </c>
      <c r="D3123" s="25"/>
      <c r="E3123" s="41" t="str">
        <f>HYPERLINK("https://www.google.ru/search?q=6000033-100&amp;newwindow=1&amp;tbm=isch","Еще фото")</f>
        <v>Еще фото</v>
      </c>
      <c r="F3123" s="13"/>
      <c r="G3123" s="11" t="s">
        <v>2731</v>
      </c>
      <c r="H3123" s="11" t="s">
        <v>741</v>
      </c>
      <c r="I3123" s="14" t="s">
        <v>2732</v>
      </c>
      <c r="J3123" s="14" t="s">
        <v>43</v>
      </c>
      <c r="K3123" s="15" t="s">
        <v>59</v>
      </c>
      <c r="L3123" s="14" t="s">
        <v>2791</v>
      </c>
      <c r="M3123" s="14"/>
      <c r="N3123" s="14" t="s">
        <v>84</v>
      </c>
      <c r="O3123" s="14"/>
      <c r="P3123" s="15" t="s">
        <v>2739</v>
      </c>
      <c r="Q3123" s="16">
        <v>5399</v>
      </c>
      <c r="R3123" s="17">
        <v>40</v>
      </c>
      <c r="S3123" s="18">
        <v>3725.31</v>
      </c>
      <c r="T3123" s="19" t="s">
        <v>36</v>
      </c>
      <c r="U3123" s="20" t="s">
        <v>748</v>
      </c>
      <c r="V3123" s="22">
        <v>38</v>
      </c>
      <c r="W3123" s="22">
        <v>1</v>
      </c>
      <c r="X3123" s="23"/>
    </row>
    <row r="3124" spans="1:24" s="1" customFormat="1" ht="52.05" customHeight="1" x14ac:dyDescent="0.3">
      <c r="A3124" s="11" t="s">
        <v>23</v>
      </c>
      <c r="B3124" s="11" t="s">
        <v>2759</v>
      </c>
      <c r="C3124" s="12" t="s">
        <v>2793</v>
      </c>
      <c r="D3124" s="55"/>
      <c r="E3124" s="41" t="str">
        <f>HYPERLINK("https://www.google.ru/search?q=6000337-001&amp;newwindow=1&amp;tbm=isch","Еще фото")</f>
        <v>Еще фото</v>
      </c>
      <c r="F3124" s="13"/>
      <c r="G3124" s="11" t="s">
        <v>2731</v>
      </c>
      <c r="H3124" s="11" t="s">
        <v>741</v>
      </c>
      <c r="I3124" s="14" t="s">
        <v>2732</v>
      </c>
      <c r="J3124" s="14" t="s">
        <v>43</v>
      </c>
      <c r="K3124" s="15" t="s">
        <v>30</v>
      </c>
      <c r="L3124" s="57" t="s">
        <v>2761</v>
      </c>
      <c r="M3124" s="14"/>
      <c r="N3124" s="14" t="s">
        <v>33</v>
      </c>
      <c r="O3124" s="14"/>
      <c r="P3124" s="15" t="s">
        <v>2739</v>
      </c>
      <c r="Q3124" s="16">
        <v>5599</v>
      </c>
      <c r="R3124" s="17">
        <v>40</v>
      </c>
      <c r="S3124" s="18">
        <v>3863.31</v>
      </c>
      <c r="T3124" s="19" t="s">
        <v>36</v>
      </c>
      <c r="U3124" s="20" t="s">
        <v>746</v>
      </c>
      <c r="V3124" s="22">
        <v>39</v>
      </c>
      <c r="W3124" s="22">
        <v>4</v>
      </c>
      <c r="X3124" s="23"/>
    </row>
    <row r="3125" spans="1:24" s="1" customFormat="1" ht="61.05" customHeight="1" x14ac:dyDescent="0.3">
      <c r="A3125" s="24" t="s">
        <v>23</v>
      </c>
      <c r="B3125" s="24" t="s">
        <v>2759</v>
      </c>
      <c r="C3125" s="12" t="s">
        <v>2793</v>
      </c>
      <c r="D3125" s="56"/>
      <c r="E3125" s="41" t="str">
        <f>HYPERLINK("https://www.google.ru/search?q=6000337-001&amp;newwindow=1&amp;tbm=isch","Еще фото")</f>
        <v>Еще фото</v>
      </c>
      <c r="F3125" s="13"/>
      <c r="G3125" s="24" t="s">
        <v>2731</v>
      </c>
      <c r="H3125" s="24" t="s">
        <v>741</v>
      </c>
      <c r="I3125" s="24" t="s">
        <v>2732</v>
      </c>
      <c r="J3125" s="14" t="s">
        <v>43</v>
      </c>
      <c r="K3125" s="15" t="s">
        <v>30</v>
      </c>
      <c r="L3125" s="58"/>
      <c r="M3125" s="14"/>
      <c r="N3125" s="14" t="s">
        <v>33</v>
      </c>
      <c r="O3125" s="14"/>
      <c r="P3125" s="15" t="s">
        <v>2739</v>
      </c>
      <c r="Q3125" s="16">
        <v>5599</v>
      </c>
      <c r="R3125" s="17">
        <v>40</v>
      </c>
      <c r="S3125" s="18">
        <v>3863.31</v>
      </c>
      <c r="T3125" s="19" t="s">
        <v>36</v>
      </c>
      <c r="U3125" s="20" t="s">
        <v>748</v>
      </c>
      <c r="V3125" s="22">
        <v>40</v>
      </c>
      <c r="W3125" s="22">
        <v>5</v>
      </c>
      <c r="X3125" s="23"/>
    </row>
    <row r="3126" spans="1:24" s="1" customFormat="1" ht="14" customHeight="1" x14ac:dyDescent="0.3">
      <c r="A3126" s="11" t="s">
        <v>23</v>
      </c>
      <c r="B3126" s="11" t="s">
        <v>2794</v>
      </c>
      <c r="C3126" s="12" t="s">
        <v>2795</v>
      </c>
      <c r="D3126" s="59"/>
      <c r="E3126" s="41" t="str">
        <f t="shared" ref="E3126:E3132" si="149">HYPERLINK("https://www.google.ru/search?q=6007527-001&amp;newwindow=1&amp;tbm=isch","Еще фото")</f>
        <v>Еще фото</v>
      </c>
      <c r="F3126" s="13" t="s">
        <v>103</v>
      </c>
      <c r="G3126" s="11" t="s">
        <v>2731</v>
      </c>
      <c r="H3126" s="11" t="s">
        <v>741</v>
      </c>
      <c r="I3126" s="14" t="s">
        <v>2732</v>
      </c>
      <c r="J3126" s="14" t="s">
        <v>43</v>
      </c>
      <c r="K3126" s="15" t="s">
        <v>30</v>
      </c>
      <c r="L3126" s="57" t="s">
        <v>2796</v>
      </c>
      <c r="M3126" s="14"/>
      <c r="N3126" s="14" t="s">
        <v>33</v>
      </c>
      <c r="O3126" s="14"/>
      <c r="P3126" s="15" t="s">
        <v>2765</v>
      </c>
      <c r="Q3126" s="16">
        <v>6499</v>
      </c>
      <c r="R3126" s="17">
        <v>40</v>
      </c>
      <c r="S3126" s="18">
        <v>4484.3099999999995</v>
      </c>
      <c r="T3126" s="19" t="s">
        <v>36</v>
      </c>
      <c r="U3126" s="20" t="s">
        <v>746</v>
      </c>
      <c r="V3126" s="22">
        <v>39</v>
      </c>
      <c r="W3126" s="22">
        <v>11</v>
      </c>
      <c r="X3126" s="23"/>
    </row>
    <row r="3127" spans="1:24" s="1" customFormat="1" ht="14" customHeight="1" x14ac:dyDescent="0.3">
      <c r="A3127" s="24" t="s">
        <v>23</v>
      </c>
      <c r="B3127" s="24" t="s">
        <v>2794</v>
      </c>
      <c r="C3127" s="12" t="s">
        <v>2795</v>
      </c>
      <c r="D3127" s="60"/>
      <c r="E3127" s="41" t="str">
        <f t="shared" si="149"/>
        <v>Еще фото</v>
      </c>
      <c r="F3127" s="13" t="s">
        <v>103</v>
      </c>
      <c r="G3127" s="24" t="s">
        <v>2731</v>
      </c>
      <c r="H3127" s="24" t="s">
        <v>741</v>
      </c>
      <c r="I3127" s="24" t="s">
        <v>2732</v>
      </c>
      <c r="J3127" s="14" t="s">
        <v>43</v>
      </c>
      <c r="K3127" s="15" t="s">
        <v>30</v>
      </c>
      <c r="L3127" s="62"/>
      <c r="M3127" s="14"/>
      <c r="N3127" s="14" t="s">
        <v>33</v>
      </c>
      <c r="O3127" s="14"/>
      <c r="P3127" s="15" t="s">
        <v>2765</v>
      </c>
      <c r="Q3127" s="16">
        <v>6499</v>
      </c>
      <c r="R3127" s="17">
        <v>40</v>
      </c>
      <c r="S3127" s="18">
        <v>4484.3099999999995</v>
      </c>
      <c r="T3127" s="19" t="s">
        <v>36</v>
      </c>
      <c r="U3127" s="20" t="s">
        <v>748</v>
      </c>
      <c r="V3127" s="22">
        <v>40</v>
      </c>
      <c r="W3127" s="22">
        <v>21</v>
      </c>
      <c r="X3127" s="23"/>
    </row>
    <row r="3128" spans="1:24" s="1" customFormat="1" ht="14" customHeight="1" x14ac:dyDescent="0.3">
      <c r="A3128" s="24" t="s">
        <v>23</v>
      </c>
      <c r="B3128" s="24" t="s">
        <v>2794</v>
      </c>
      <c r="C3128" s="12" t="s">
        <v>2795</v>
      </c>
      <c r="D3128" s="60"/>
      <c r="E3128" s="41" t="str">
        <f t="shared" si="149"/>
        <v>Еще фото</v>
      </c>
      <c r="F3128" s="13" t="s">
        <v>103</v>
      </c>
      <c r="G3128" s="24" t="s">
        <v>2731</v>
      </c>
      <c r="H3128" s="24" t="s">
        <v>741</v>
      </c>
      <c r="I3128" s="24" t="s">
        <v>2732</v>
      </c>
      <c r="J3128" s="14" t="s">
        <v>43</v>
      </c>
      <c r="K3128" s="15" t="s">
        <v>30</v>
      </c>
      <c r="L3128" s="62"/>
      <c r="M3128" s="14"/>
      <c r="N3128" s="14" t="s">
        <v>33</v>
      </c>
      <c r="O3128" s="14"/>
      <c r="P3128" s="15" t="s">
        <v>2765</v>
      </c>
      <c r="Q3128" s="16">
        <v>6499</v>
      </c>
      <c r="R3128" s="17">
        <v>40</v>
      </c>
      <c r="S3128" s="18">
        <v>4484.3099999999995</v>
      </c>
      <c r="T3128" s="19" t="s">
        <v>36</v>
      </c>
      <c r="U3128" s="20" t="s">
        <v>750</v>
      </c>
      <c r="V3128" s="34">
        <v>41.5</v>
      </c>
      <c r="W3128" s="22">
        <v>28</v>
      </c>
      <c r="X3128" s="23"/>
    </row>
    <row r="3129" spans="1:24" s="1" customFormat="1" ht="14" customHeight="1" x14ac:dyDescent="0.3">
      <c r="A3129" s="24" t="s">
        <v>23</v>
      </c>
      <c r="B3129" s="24" t="s">
        <v>2794</v>
      </c>
      <c r="C3129" s="12" t="s">
        <v>2795</v>
      </c>
      <c r="D3129" s="60"/>
      <c r="E3129" s="41" t="str">
        <f t="shared" si="149"/>
        <v>Еще фото</v>
      </c>
      <c r="F3129" s="13" t="s">
        <v>103</v>
      </c>
      <c r="G3129" s="24" t="s">
        <v>2731</v>
      </c>
      <c r="H3129" s="24" t="s">
        <v>741</v>
      </c>
      <c r="I3129" s="24" t="s">
        <v>2732</v>
      </c>
      <c r="J3129" s="14" t="s">
        <v>43</v>
      </c>
      <c r="K3129" s="15" t="s">
        <v>30</v>
      </c>
      <c r="L3129" s="62"/>
      <c r="M3129" s="14"/>
      <c r="N3129" s="14" t="s">
        <v>33</v>
      </c>
      <c r="O3129" s="14"/>
      <c r="P3129" s="15" t="s">
        <v>2765</v>
      </c>
      <c r="Q3129" s="16">
        <v>6499</v>
      </c>
      <c r="R3129" s="17">
        <v>40</v>
      </c>
      <c r="S3129" s="18">
        <v>4484.3099999999995</v>
      </c>
      <c r="T3129" s="19" t="s">
        <v>36</v>
      </c>
      <c r="U3129" s="20" t="s">
        <v>752</v>
      </c>
      <c r="V3129" s="22">
        <v>43</v>
      </c>
      <c r="W3129" s="22">
        <v>22</v>
      </c>
      <c r="X3129" s="23"/>
    </row>
    <row r="3130" spans="1:24" s="1" customFormat="1" ht="14" customHeight="1" x14ac:dyDescent="0.3">
      <c r="A3130" s="24" t="s">
        <v>23</v>
      </c>
      <c r="B3130" s="24" t="s">
        <v>2794</v>
      </c>
      <c r="C3130" s="12" t="s">
        <v>2795</v>
      </c>
      <c r="D3130" s="60"/>
      <c r="E3130" s="41" t="str">
        <f t="shared" si="149"/>
        <v>Еще фото</v>
      </c>
      <c r="F3130" s="13" t="s">
        <v>103</v>
      </c>
      <c r="G3130" s="24" t="s">
        <v>2731</v>
      </c>
      <c r="H3130" s="24" t="s">
        <v>741</v>
      </c>
      <c r="I3130" s="24" t="s">
        <v>2732</v>
      </c>
      <c r="J3130" s="14" t="s">
        <v>43</v>
      </c>
      <c r="K3130" s="15" t="s">
        <v>30</v>
      </c>
      <c r="L3130" s="62"/>
      <c r="M3130" s="14"/>
      <c r="N3130" s="14" t="s">
        <v>33</v>
      </c>
      <c r="O3130" s="14"/>
      <c r="P3130" s="15" t="s">
        <v>2765</v>
      </c>
      <c r="Q3130" s="16">
        <v>6499</v>
      </c>
      <c r="R3130" s="17">
        <v>40</v>
      </c>
      <c r="S3130" s="18">
        <v>4484.3099999999995</v>
      </c>
      <c r="T3130" s="19" t="s">
        <v>36</v>
      </c>
      <c r="U3130" s="20" t="s">
        <v>754</v>
      </c>
      <c r="V3130" s="22">
        <v>44</v>
      </c>
      <c r="W3130" s="22">
        <v>18</v>
      </c>
      <c r="X3130" s="23"/>
    </row>
    <row r="3131" spans="1:24" s="1" customFormat="1" ht="14" customHeight="1" x14ac:dyDescent="0.3">
      <c r="A3131" s="24" t="s">
        <v>23</v>
      </c>
      <c r="B3131" s="24" t="s">
        <v>2794</v>
      </c>
      <c r="C3131" s="12" t="s">
        <v>2795</v>
      </c>
      <c r="D3131" s="60"/>
      <c r="E3131" s="41" t="str">
        <f t="shared" si="149"/>
        <v>Еще фото</v>
      </c>
      <c r="F3131" s="13" t="s">
        <v>103</v>
      </c>
      <c r="G3131" s="24" t="s">
        <v>2731</v>
      </c>
      <c r="H3131" s="24" t="s">
        <v>741</v>
      </c>
      <c r="I3131" s="24" t="s">
        <v>2732</v>
      </c>
      <c r="J3131" s="14" t="s">
        <v>43</v>
      </c>
      <c r="K3131" s="15" t="s">
        <v>30</v>
      </c>
      <c r="L3131" s="62"/>
      <c r="M3131" s="14"/>
      <c r="N3131" s="14" t="s">
        <v>33</v>
      </c>
      <c r="O3131" s="14"/>
      <c r="P3131" s="15" t="s">
        <v>2765</v>
      </c>
      <c r="Q3131" s="16">
        <v>6499</v>
      </c>
      <c r="R3131" s="17">
        <v>40</v>
      </c>
      <c r="S3131" s="18">
        <v>4484.3099999999995</v>
      </c>
      <c r="T3131" s="19" t="s">
        <v>36</v>
      </c>
      <c r="U3131" s="20" t="s">
        <v>1337</v>
      </c>
      <c r="V3131" s="22">
        <v>45</v>
      </c>
      <c r="W3131" s="22">
        <v>18</v>
      </c>
      <c r="X3131" s="23"/>
    </row>
    <row r="3132" spans="1:24" s="1" customFormat="1" ht="17" customHeight="1" x14ac:dyDescent="0.3">
      <c r="A3132" s="24" t="s">
        <v>23</v>
      </c>
      <c r="B3132" s="24" t="s">
        <v>2794</v>
      </c>
      <c r="C3132" s="12" t="s">
        <v>2795</v>
      </c>
      <c r="D3132" s="61"/>
      <c r="E3132" s="41" t="str">
        <f t="shared" si="149"/>
        <v>Еще фото</v>
      </c>
      <c r="F3132" s="13" t="s">
        <v>103</v>
      </c>
      <c r="G3132" s="24" t="s">
        <v>2731</v>
      </c>
      <c r="H3132" s="24" t="s">
        <v>741</v>
      </c>
      <c r="I3132" s="24" t="s">
        <v>2732</v>
      </c>
      <c r="J3132" s="14" t="s">
        <v>43</v>
      </c>
      <c r="K3132" s="15" t="s">
        <v>30</v>
      </c>
      <c r="L3132" s="58"/>
      <c r="M3132" s="14"/>
      <c r="N3132" s="14" t="s">
        <v>33</v>
      </c>
      <c r="O3132" s="14"/>
      <c r="P3132" s="15" t="s">
        <v>2765</v>
      </c>
      <c r="Q3132" s="16">
        <v>6499</v>
      </c>
      <c r="R3132" s="17">
        <v>40</v>
      </c>
      <c r="S3132" s="18">
        <v>4484.3099999999995</v>
      </c>
      <c r="T3132" s="19" t="s">
        <v>36</v>
      </c>
      <c r="U3132" s="20" t="s">
        <v>1908</v>
      </c>
      <c r="V3132" s="34">
        <v>46.5</v>
      </c>
      <c r="W3132" s="22">
        <v>9</v>
      </c>
      <c r="X3132" s="23"/>
    </row>
    <row r="3133" spans="1:24" s="1" customFormat="1" ht="108" customHeight="1" x14ac:dyDescent="0.3">
      <c r="A3133" s="11" t="s">
        <v>23</v>
      </c>
      <c r="B3133" s="11" t="s">
        <v>2797</v>
      </c>
      <c r="C3133" s="12" t="s">
        <v>2798</v>
      </c>
      <c r="D3133" s="25"/>
      <c r="E3133" s="41" t="str">
        <f>HYPERLINK("https://www.google.ru/search?q=6007528-024&amp;newwindow=1&amp;tbm=isch","Еще фото")</f>
        <v>Еще фото</v>
      </c>
      <c r="F3133" s="13"/>
      <c r="G3133" s="11" t="s">
        <v>2731</v>
      </c>
      <c r="H3133" s="11" t="s">
        <v>741</v>
      </c>
      <c r="I3133" s="14" t="s">
        <v>2732</v>
      </c>
      <c r="J3133" s="14" t="s">
        <v>43</v>
      </c>
      <c r="K3133" s="15" t="s">
        <v>30</v>
      </c>
      <c r="L3133" s="14" t="s">
        <v>2799</v>
      </c>
      <c r="M3133" s="14"/>
      <c r="N3133" s="14" t="s">
        <v>62</v>
      </c>
      <c r="O3133" s="14"/>
      <c r="P3133" s="15" t="s">
        <v>2765</v>
      </c>
      <c r="Q3133" s="16">
        <v>3099</v>
      </c>
      <c r="R3133" s="17">
        <v>40</v>
      </c>
      <c r="S3133" s="18">
        <v>2138.31</v>
      </c>
      <c r="T3133" s="19" t="s">
        <v>36</v>
      </c>
      <c r="U3133" s="20" t="s">
        <v>746</v>
      </c>
      <c r="V3133" s="22">
        <v>39</v>
      </c>
      <c r="W3133" s="22">
        <v>4</v>
      </c>
      <c r="X3133" s="23"/>
    </row>
    <row r="3134" spans="1:24" s="1" customFormat="1" ht="35" customHeight="1" x14ac:dyDescent="0.3">
      <c r="A3134" s="11" t="s">
        <v>23</v>
      </c>
      <c r="B3134" s="11" t="s">
        <v>2797</v>
      </c>
      <c r="C3134" s="12" t="s">
        <v>2800</v>
      </c>
      <c r="D3134" s="59"/>
      <c r="E3134" s="41" t="str">
        <f>HYPERLINK("https://www.google.ru/search?q=6007528-100&amp;newwindow=1&amp;tbm=isch","Еще фото")</f>
        <v>Еще фото</v>
      </c>
      <c r="F3134" s="13" t="s">
        <v>103</v>
      </c>
      <c r="G3134" s="11" t="s">
        <v>2731</v>
      </c>
      <c r="H3134" s="11" t="s">
        <v>741</v>
      </c>
      <c r="I3134" s="14" t="s">
        <v>2732</v>
      </c>
      <c r="J3134" s="14" t="s">
        <v>43</v>
      </c>
      <c r="K3134" s="15" t="s">
        <v>30</v>
      </c>
      <c r="L3134" s="57" t="s">
        <v>2801</v>
      </c>
      <c r="M3134" s="14"/>
      <c r="N3134" s="14" t="s">
        <v>84</v>
      </c>
      <c r="O3134" s="14"/>
      <c r="P3134" s="15" t="s">
        <v>2765</v>
      </c>
      <c r="Q3134" s="16">
        <v>3099</v>
      </c>
      <c r="R3134" s="17">
        <v>40</v>
      </c>
      <c r="S3134" s="18">
        <v>2138.31</v>
      </c>
      <c r="T3134" s="19" t="s">
        <v>36</v>
      </c>
      <c r="U3134" s="20" t="s">
        <v>746</v>
      </c>
      <c r="V3134" s="22">
        <v>39</v>
      </c>
      <c r="W3134" s="22">
        <v>15</v>
      </c>
      <c r="X3134" s="23"/>
    </row>
    <row r="3135" spans="1:24" s="1" customFormat="1" ht="35" customHeight="1" x14ac:dyDescent="0.3">
      <c r="A3135" s="24" t="s">
        <v>23</v>
      </c>
      <c r="B3135" s="24" t="s">
        <v>2797</v>
      </c>
      <c r="C3135" s="12" t="s">
        <v>2800</v>
      </c>
      <c r="D3135" s="60"/>
      <c r="E3135" s="41" t="str">
        <f>HYPERLINK("https://www.google.ru/search?q=6007528-100&amp;newwindow=1&amp;tbm=isch","Еще фото")</f>
        <v>Еще фото</v>
      </c>
      <c r="F3135" s="13" t="s">
        <v>103</v>
      </c>
      <c r="G3135" s="24" t="s">
        <v>2731</v>
      </c>
      <c r="H3135" s="24" t="s">
        <v>741</v>
      </c>
      <c r="I3135" s="24" t="s">
        <v>2732</v>
      </c>
      <c r="J3135" s="14" t="s">
        <v>43</v>
      </c>
      <c r="K3135" s="15" t="s">
        <v>30</v>
      </c>
      <c r="L3135" s="62"/>
      <c r="M3135" s="14"/>
      <c r="N3135" s="14" t="s">
        <v>84</v>
      </c>
      <c r="O3135" s="14"/>
      <c r="P3135" s="15" t="s">
        <v>2765</v>
      </c>
      <c r="Q3135" s="16">
        <v>3099</v>
      </c>
      <c r="R3135" s="17">
        <v>40</v>
      </c>
      <c r="S3135" s="18">
        <v>2138.31</v>
      </c>
      <c r="T3135" s="19" t="s">
        <v>36</v>
      </c>
      <c r="U3135" s="20" t="s">
        <v>748</v>
      </c>
      <c r="V3135" s="22">
        <v>40</v>
      </c>
      <c r="W3135" s="22">
        <v>11</v>
      </c>
      <c r="X3135" s="23"/>
    </row>
    <row r="3136" spans="1:24" s="1" customFormat="1" ht="37.049999999999997" customHeight="1" x14ac:dyDescent="0.3">
      <c r="A3136" s="24" t="s">
        <v>23</v>
      </c>
      <c r="B3136" s="24" t="s">
        <v>2797</v>
      </c>
      <c r="C3136" s="12" t="s">
        <v>2800</v>
      </c>
      <c r="D3136" s="61"/>
      <c r="E3136" s="41" t="str">
        <f>HYPERLINK("https://www.google.ru/search?q=6007528-100&amp;newwindow=1&amp;tbm=isch","Еще фото")</f>
        <v>Еще фото</v>
      </c>
      <c r="F3136" s="13" t="s">
        <v>103</v>
      </c>
      <c r="G3136" s="24" t="s">
        <v>2731</v>
      </c>
      <c r="H3136" s="24" t="s">
        <v>741</v>
      </c>
      <c r="I3136" s="24" t="s">
        <v>2732</v>
      </c>
      <c r="J3136" s="14" t="s">
        <v>43</v>
      </c>
      <c r="K3136" s="15" t="s">
        <v>30</v>
      </c>
      <c r="L3136" s="58"/>
      <c r="M3136" s="14"/>
      <c r="N3136" s="14" t="s">
        <v>84</v>
      </c>
      <c r="O3136" s="14"/>
      <c r="P3136" s="15" t="s">
        <v>2765</v>
      </c>
      <c r="Q3136" s="16">
        <v>3099</v>
      </c>
      <c r="R3136" s="17">
        <v>40</v>
      </c>
      <c r="S3136" s="18">
        <v>2138.31</v>
      </c>
      <c r="T3136" s="19" t="s">
        <v>36</v>
      </c>
      <c r="U3136" s="20" t="s">
        <v>750</v>
      </c>
      <c r="V3136" s="34">
        <v>41.5</v>
      </c>
      <c r="W3136" s="22">
        <v>18</v>
      </c>
      <c r="X3136" s="23"/>
    </row>
    <row r="3137" spans="1:24" s="1" customFormat="1" ht="52.05" customHeight="1" x14ac:dyDescent="0.3">
      <c r="A3137" s="11" t="s">
        <v>23</v>
      </c>
      <c r="B3137" s="11" t="s">
        <v>2797</v>
      </c>
      <c r="C3137" s="12" t="s">
        <v>2802</v>
      </c>
      <c r="D3137" s="55"/>
      <c r="E3137" s="41" t="str">
        <f>HYPERLINK("https://www.google.ru/search?q=6007528-709&amp;newwindow=1&amp;tbm=isch","Еще фото")</f>
        <v>Еще фото</v>
      </c>
      <c r="F3137" s="13"/>
      <c r="G3137" s="11" t="s">
        <v>2731</v>
      </c>
      <c r="H3137" s="11" t="s">
        <v>741</v>
      </c>
      <c r="I3137" s="14" t="s">
        <v>2732</v>
      </c>
      <c r="J3137" s="14" t="s">
        <v>43</v>
      </c>
      <c r="K3137" s="15" t="s">
        <v>30</v>
      </c>
      <c r="L3137" s="57" t="s">
        <v>2799</v>
      </c>
      <c r="M3137" s="14"/>
      <c r="N3137" s="14" t="s">
        <v>127</v>
      </c>
      <c r="O3137" s="14"/>
      <c r="P3137" s="15" t="s">
        <v>2765</v>
      </c>
      <c r="Q3137" s="16">
        <v>3099</v>
      </c>
      <c r="R3137" s="17">
        <v>40</v>
      </c>
      <c r="S3137" s="18">
        <v>2138.31</v>
      </c>
      <c r="T3137" s="19" t="s">
        <v>36</v>
      </c>
      <c r="U3137" s="20" t="s">
        <v>746</v>
      </c>
      <c r="V3137" s="22">
        <v>39</v>
      </c>
      <c r="W3137" s="22">
        <v>5</v>
      </c>
      <c r="X3137" s="23"/>
    </row>
    <row r="3138" spans="1:24" s="1" customFormat="1" ht="61.05" customHeight="1" x14ac:dyDescent="0.3">
      <c r="A3138" s="24" t="s">
        <v>23</v>
      </c>
      <c r="B3138" s="24" t="s">
        <v>2797</v>
      </c>
      <c r="C3138" s="12" t="s">
        <v>2802</v>
      </c>
      <c r="D3138" s="56"/>
      <c r="E3138" s="41" t="str">
        <f>HYPERLINK("https://www.google.ru/search?q=6007528-709&amp;newwindow=1&amp;tbm=isch","Еще фото")</f>
        <v>Еще фото</v>
      </c>
      <c r="F3138" s="13"/>
      <c r="G3138" s="24" t="s">
        <v>2731</v>
      </c>
      <c r="H3138" s="24" t="s">
        <v>741</v>
      </c>
      <c r="I3138" s="24" t="s">
        <v>2732</v>
      </c>
      <c r="J3138" s="14" t="s">
        <v>43</v>
      </c>
      <c r="K3138" s="15" t="s">
        <v>30</v>
      </c>
      <c r="L3138" s="58"/>
      <c r="M3138" s="14"/>
      <c r="N3138" s="14" t="s">
        <v>127</v>
      </c>
      <c r="O3138" s="14"/>
      <c r="P3138" s="15" t="s">
        <v>2765</v>
      </c>
      <c r="Q3138" s="16">
        <v>3099</v>
      </c>
      <c r="R3138" s="17">
        <v>40</v>
      </c>
      <c r="S3138" s="18">
        <v>2138.31</v>
      </c>
      <c r="T3138" s="19" t="s">
        <v>36</v>
      </c>
      <c r="U3138" s="20" t="s">
        <v>748</v>
      </c>
      <c r="V3138" s="22">
        <v>40</v>
      </c>
      <c r="W3138" s="22">
        <v>8</v>
      </c>
      <c r="X3138" s="23"/>
    </row>
    <row r="3139" spans="1:24" s="1" customFormat="1" ht="108" customHeight="1" x14ac:dyDescent="0.3">
      <c r="A3139" s="11" t="s">
        <v>23</v>
      </c>
      <c r="B3139" s="11" t="s">
        <v>2803</v>
      </c>
      <c r="C3139" s="12" t="s">
        <v>2804</v>
      </c>
      <c r="D3139" s="25"/>
      <c r="E3139" s="41" t="str">
        <f>HYPERLINK("https://www.google.ru/search?q=6007532-003&amp;newwindow=1&amp;tbm=isch","Еще фото")</f>
        <v>Еще фото</v>
      </c>
      <c r="F3139" s="13"/>
      <c r="G3139" s="11" t="s">
        <v>2731</v>
      </c>
      <c r="H3139" s="11" t="s">
        <v>741</v>
      </c>
      <c r="I3139" s="14" t="s">
        <v>2732</v>
      </c>
      <c r="J3139" s="14" t="s">
        <v>43</v>
      </c>
      <c r="K3139" s="15" t="s">
        <v>59</v>
      </c>
      <c r="L3139" s="14" t="s">
        <v>2805</v>
      </c>
      <c r="M3139" s="14"/>
      <c r="N3139" s="14" t="s">
        <v>33</v>
      </c>
      <c r="O3139" s="14"/>
      <c r="P3139" s="15" t="s">
        <v>2765</v>
      </c>
      <c r="Q3139" s="16">
        <v>6299</v>
      </c>
      <c r="R3139" s="17">
        <v>40</v>
      </c>
      <c r="S3139" s="18">
        <v>4346.3099999999995</v>
      </c>
      <c r="T3139" s="19" t="s">
        <v>36</v>
      </c>
      <c r="U3139" s="20" t="s">
        <v>750</v>
      </c>
      <c r="V3139" s="34">
        <v>39.5</v>
      </c>
      <c r="W3139" s="22">
        <v>1</v>
      </c>
      <c r="X3139" s="23"/>
    </row>
    <row r="3140" spans="1:24" s="1" customFormat="1" ht="108" customHeight="1" x14ac:dyDescent="0.3">
      <c r="A3140" s="11" t="s">
        <v>23</v>
      </c>
      <c r="B3140" s="11" t="s">
        <v>2803</v>
      </c>
      <c r="C3140" s="12" t="s">
        <v>2806</v>
      </c>
      <c r="D3140" s="25"/>
      <c r="E3140" s="41" t="str">
        <f>HYPERLINK("https://www.google.ru/search?q=6007532-603&amp;newwindow=1&amp;tbm=isch","Еще фото")</f>
        <v>Еще фото</v>
      </c>
      <c r="F3140" s="13"/>
      <c r="G3140" s="11" t="s">
        <v>2731</v>
      </c>
      <c r="H3140" s="11" t="s">
        <v>741</v>
      </c>
      <c r="I3140" s="14" t="s">
        <v>2732</v>
      </c>
      <c r="J3140" s="14" t="s">
        <v>43</v>
      </c>
      <c r="K3140" s="15" t="s">
        <v>59</v>
      </c>
      <c r="L3140" s="14" t="s">
        <v>2805</v>
      </c>
      <c r="M3140" s="14"/>
      <c r="N3140" s="14" t="s">
        <v>69</v>
      </c>
      <c r="O3140" s="14"/>
      <c r="P3140" s="15" t="s">
        <v>2765</v>
      </c>
      <c r="Q3140" s="16">
        <v>6299</v>
      </c>
      <c r="R3140" s="17">
        <v>40</v>
      </c>
      <c r="S3140" s="18">
        <v>4346.3099999999995</v>
      </c>
      <c r="T3140" s="19" t="s">
        <v>36</v>
      </c>
      <c r="U3140" s="20" t="s">
        <v>1203</v>
      </c>
      <c r="V3140" s="22">
        <v>36</v>
      </c>
      <c r="W3140" s="22">
        <v>1</v>
      </c>
      <c r="X3140" s="23"/>
    </row>
    <row r="3141" spans="1:24" s="1" customFormat="1" ht="21" customHeight="1" x14ac:dyDescent="0.3">
      <c r="A3141" s="11" t="s">
        <v>23</v>
      </c>
      <c r="B3141" s="11" t="s">
        <v>2807</v>
      </c>
      <c r="C3141" s="26" t="s">
        <v>2808</v>
      </c>
      <c r="D3141" s="59"/>
      <c r="E3141" s="41" t="str">
        <f>HYPERLINK("https://www.google.ru/search?q=6007533-001&amp;newwindow=1&amp;tbm=isch","Еще фото")</f>
        <v>Еще фото</v>
      </c>
      <c r="F3141" s="13"/>
      <c r="G3141" s="11" t="s">
        <v>2731</v>
      </c>
      <c r="H3141" s="11" t="s">
        <v>741</v>
      </c>
      <c r="I3141" s="14" t="s">
        <v>2732</v>
      </c>
      <c r="J3141" s="14" t="s">
        <v>43</v>
      </c>
      <c r="K3141" s="15" t="s">
        <v>59</v>
      </c>
      <c r="L3141" s="57" t="s">
        <v>2801</v>
      </c>
      <c r="M3141" s="14"/>
      <c r="N3141" s="14" t="s">
        <v>33</v>
      </c>
      <c r="O3141" s="14"/>
      <c r="P3141" s="15" t="s">
        <v>2765</v>
      </c>
      <c r="Q3141" s="16">
        <v>3099</v>
      </c>
      <c r="R3141" s="17">
        <v>40</v>
      </c>
      <c r="S3141" s="18">
        <v>2138.31</v>
      </c>
      <c r="T3141" s="19" t="s">
        <v>36</v>
      </c>
      <c r="U3141" s="20" t="s">
        <v>1203</v>
      </c>
      <c r="V3141" s="22">
        <v>36</v>
      </c>
      <c r="W3141" s="22">
        <v>20</v>
      </c>
      <c r="X3141" s="23"/>
    </row>
    <row r="3142" spans="1:24" s="1" customFormat="1" ht="21" customHeight="1" x14ac:dyDescent="0.3">
      <c r="A3142" s="24" t="s">
        <v>23</v>
      </c>
      <c r="B3142" s="24" t="s">
        <v>2807</v>
      </c>
      <c r="C3142" s="27" t="s">
        <v>2808</v>
      </c>
      <c r="D3142" s="60"/>
      <c r="E3142" s="41" t="str">
        <f>HYPERLINK("https://www.google.ru/search?q=6007533-001&amp;newwindow=1&amp;tbm=isch","Еще фото")</f>
        <v>Еще фото</v>
      </c>
      <c r="F3142" s="13"/>
      <c r="G3142" s="24" t="s">
        <v>2731</v>
      </c>
      <c r="H3142" s="24" t="s">
        <v>741</v>
      </c>
      <c r="I3142" s="24" t="s">
        <v>2732</v>
      </c>
      <c r="J3142" s="14" t="s">
        <v>43</v>
      </c>
      <c r="K3142" s="15" t="s">
        <v>59</v>
      </c>
      <c r="L3142" s="62"/>
      <c r="M3142" s="14"/>
      <c r="N3142" s="14" t="s">
        <v>33</v>
      </c>
      <c r="O3142" s="14"/>
      <c r="P3142" s="15" t="s">
        <v>2765</v>
      </c>
      <c r="Q3142" s="16">
        <v>3099</v>
      </c>
      <c r="R3142" s="17">
        <v>40</v>
      </c>
      <c r="S3142" s="18">
        <v>2138.31</v>
      </c>
      <c r="T3142" s="19" t="s">
        <v>36</v>
      </c>
      <c r="U3142" s="20" t="s">
        <v>746</v>
      </c>
      <c r="V3142" s="22">
        <v>37</v>
      </c>
      <c r="W3142" s="22">
        <v>27</v>
      </c>
      <c r="X3142" s="23"/>
    </row>
    <row r="3143" spans="1:24" s="1" customFormat="1" ht="21" customHeight="1" x14ac:dyDescent="0.3">
      <c r="A3143" s="24" t="s">
        <v>23</v>
      </c>
      <c r="B3143" s="24" t="s">
        <v>2807</v>
      </c>
      <c r="C3143" s="27" t="s">
        <v>2808</v>
      </c>
      <c r="D3143" s="60"/>
      <c r="E3143" s="41" t="str">
        <f>HYPERLINK("https://www.google.ru/search?q=6007533-001&amp;newwindow=1&amp;tbm=isch","Еще фото")</f>
        <v>Еще фото</v>
      </c>
      <c r="F3143" s="13"/>
      <c r="G3143" s="24" t="s">
        <v>2731</v>
      </c>
      <c r="H3143" s="24" t="s">
        <v>741</v>
      </c>
      <c r="I3143" s="24" t="s">
        <v>2732</v>
      </c>
      <c r="J3143" s="14" t="s">
        <v>43</v>
      </c>
      <c r="K3143" s="15" t="s">
        <v>59</v>
      </c>
      <c r="L3143" s="62"/>
      <c r="M3143" s="14"/>
      <c r="N3143" s="14" t="s">
        <v>33</v>
      </c>
      <c r="O3143" s="14"/>
      <c r="P3143" s="15" t="s">
        <v>2765</v>
      </c>
      <c r="Q3143" s="16">
        <v>3099</v>
      </c>
      <c r="R3143" s="17">
        <v>40</v>
      </c>
      <c r="S3143" s="18">
        <v>2138.31</v>
      </c>
      <c r="T3143" s="19" t="s">
        <v>36</v>
      </c>
      <c r="U3143" s="20" t="s">
        <v>748</v>
      </c>
      <c r="V3143" s="22">
        <v>38</v>
      </c>
      <c r="W3143" s="22">
        <v>20</v>
      </c>
      <c r="X3143" s="23"/>
    </row>
    <row r="3144" spans="1:24" s="1" customFormat="1" ht="21" customHeight="1" x14ac:dyDescent="0.3">
      <c r="A3144" s="24" t="s">
        <v>23</v>
      </c>
      <c r="B3144" s="24" t="s">
        <v>2807</v>
      </c>
      <c r="C3144" s="27" t="s">
        <v>2808</v>
      </c>
      <c r="D3144" s="60"/>
      <c r="E3144" s="41" t="str">
        <f>HYPERLINK("https://www.google.ru/search?q=6007533-001&amp;newwindow=1&amp;tbm=isch","Еще фото")</f>
        <v>Еще фото</v>
      </c>
      <c r="F3144" s="13"/>
      <c r="G3144" s="24" t="s">
        <v>2731</v>
      </c>
      <c r="H3144" s="24" t="s">
        <v>741</v>
      </c>
      <c r="I3144" s="24" t="s">
        <v>2732</v>
      </c>
      <c r="J3144" s="14" t="s">
        <v>43</v>
      </c>
      <c r="K3144" s="15" t="s">
        <v>59</v>
      </c>
      <c r="L3144" s="62"/>
      <c r="M3144" s="14"/>
      <c r="N3144" s="14" t="s">
        <v>33</v>
      </c>
      <c r="O3144" s="14"/>
      <c r="P3144" s="15" t="s">
        <v>2765</v>
      </c>
      <c r="Q3144" s="16">
        <v>3099</v>
      </c>
      <c r="R3144" s="17">
        <v>40</v>
      </c>
      <c r="S3144" s="18">
        <v>2138.31</v>
      </c>
      <c r="T3144" s="19" t="s">
        <v>36</v>
      </c>
      <c r="U3144" s="20" t="s">
        <v>750</v>
      </c>
      <c r="V3144" s="34">
        <v>39.5</v>
      </c>
      <c r="W3144" s="22">
        <v>12</v>
      </c>
      <c r="X3144" s="23"/>
    </row>
    <row r="3145" spans="1:24" s="1" customFormat="1" ht="32" customHeight="1" x14ac:dyDescent="0.3">
      <c r="A3145" s="24" t="s">
        <v>23</v>
      </c>
      <c r="B3145" s="24" t="s">
        <v>2807</v>
      </c>
      <c r="C3145" s="27" t="s">
        <v>2808</v>
      </c>
      <c r="D3145" s="61"/>
      <c r="E3145" s="41" t="str">
        <f>HYPERLINK("https://www.google.ru/search?q=6007533-001&amp;newwindow=1&amp;tbm=isch","Еще фото")</f>
        <v>Еще фото</v>
      </c>
      <c r="F3145" s="13"/>
      <c r="G3145" s="24" t="s">
        <v>2731</v>
      </c>
      <c r="H3145" s="24" t="s">
        <v>741</v>
      </c>
      <c r="I3145" s="24" t="s">
        <v>2732</v>
      </c>
      <c r="J3145" s="14" t="s">
        <v>43</v>
      </c>
      <c r="K3145" s="15" t="s">
        <v>59</v>
      </c>
      <c r="L3145" s="58"/>
      <c r="M3145" s="14"/>
      <c r="N3145" s="14" t="s">
        <v>33</v>
      </c>
      <c r="O3145" s="14"/>
      <c r="P3145" s="15" t="s">
        <v>2765</v>
      </c>
      <c r="Q3145" s="16">
        <v>3099</v>
      </c>
      <c r="R3145" s="17">
        <v>40</v>
      </c>
      <c r="S3145" s="18">
        <v>2138.31</v>
      </c>
      <c r="T3145" s="19" t="s">
        <v>36</v>
      </c>
      <c r="U3145" s="20" t="s">
        <v>752</v>
      </c>
      <c r="V3145" s="22">
        <v>41</v>
      </c>
      <c r="W3145" s="22">
        <v>1</v>
      </c>
      <c r="X3145" s="23"/>
    </row>
    <row r="3146" spans="1:24" s="1" customFormat="1" ht="21" customHeight="1" x14ac:dyDescent="0.3">
      <c r="A3146" s="11" t="s">
        <v>23</v>
      </c>
      <c r="B3146" s="11" t="s">
        <v>2807</v>
      </c>
      <c r="C3146" s="26" t="s">
        <v>2809</v>
      </c>
      <c r="D3146" s="59"/>
      <c r="E3146" s="41" t="str">
        <f>HYPERLINK("https://www.google.ru/search?q=6007533-100&amp;newwindow=1&amp;tbm=isch","Еще фото")</f>
        <v>Еще фото</v>
      </c>
      <c r="F3146" s="13" t="s">
        <v>103</v>
      </c>
      <c r="G3146" s="11" t="s">
        <v>2731</v>
      </c>
      <c r="H3146" s="11" t="s">
        <v>741</v>
      </c>
      <c r="I3146" s="14" t="s">
        <v>2732</v>
      </c>
      <c r="J3146" s="14" t="s">
        <v>43</v>
      </c>
      <c r="K3146" s="15" t="s">
        <v>59</v>
      </c>
      <c r="L3146" s="57" t="s">
        <v>2801</v>
      </c>
      <c r="M3146" s="14"/>
      <c r="N3146" s="14" t="s">
        <v>84</v>
      </c>
      <c r="O3146" s="14"/>
      <c r="P3146" s="15" t="s">
        <v>2765</v>
      </c>
      <c r="Q3146" s="16">
        <v>3099</v>
      </c>
      <c r="R3146" s="17">
        <v>40</v>
      </c>
      <c r="S3146" s="18">
        <v>2138.31</v>
      </c>
      <c r="T3146" s="19" t="s">
        <v>36</v>
      </c>
      <c r="U3146" s="20" t="s">
        <v>1203</v>
      </c>
      <c r="V3146" s="22">
        <v>36</v>
      </c>
      <c r="W3146" s="22">
        <v>21</v>
      </c>
      <c r="X3146" s="23"/>
    </row>
    <row r="3147" spans="1:24" s="1" customFormat="1" ht="21" customHeight="1" x14ac:dyDescent="0.3">
      <c r="A3147" s="24" t="s">
        <v>23</v>
      </c>
      <c r="B3147" s="24" t="s">
        <v>2807</v>
      </c>
      <c r="C3147" s="27" t="s">
        <v>2809</v>
      </c>
      <c r="D3147" s="60"/>
      <c r="E3147" s="41" t="str">
        <f>HYPERLINK("https://www.google.ru/search?q=6007533-100&amp;newwindow=1&amp;tbm=isch","Еще фото")</f>
        <v>Еще фото</v>
      </c>
      <c r="F3147" s="13" t="s">
        <v>103</v>
      </c>
      <c r="G3147" s="24" t="s">
        <v>2731</v>
      </c>
      <c r="H3147" s="24" t="s">
        <v>741</v>
      </c>
      <c r="I3147" s="24" t="s">
        <v>2732</v>
      </c>
      <c r="J3147" s="14" t="s">
        <v>43</v>
      </c>
      <c r="K3147" s="15" t="s">
        <v>59</v>
      </c>
      <c r="L3147" s="62"/>
      <c r="M3147" s="14"/>
      <c r="N3147" s="14" t="s">
        <v>84</v>
      </c>
      <c r="O3147" s="14"/>
      <c r="P3147" s="15" t="s">
        <v>2765</v>
      </c>
      <c r="Q3147" s="16">
        <v>3099</v>
      </c>
      <c r="R3147" s="17">
        <v>40</v>
      </c>
      <c r="S3147" s="18">
        <v>2138.31</v>
      </c>
      <c r="T3147" s="19" t="s">
        <v>36</v>
      </c>
      <c r="U3147" s="20" t="s">
        <v>746</v>
      </c>
      <c r="V3147" s="22">
        <v>37</v>
      </c>
      <c r="W3147" s="22">
        <v>27</v>
      </c>
      <c r="X3147" s="23"/>
    </row>
    <row r="3148" spans="1:24" s="1" customFormat="1" ht="21" customHeight="1" x14ac:dyDescent="0.3">
      <c r="A3148" s="24" t="s">
        <v>23</v>
      </c>
      <c r="B3148" s="24" t="s">
        <v>2807</v>
      </c>
      <c r="C3148" s="27" t="s">
        <v>2809</v>
      </c>
      <c r="D3148" s="60"/>
      <c r="E3148" s="41" t="str">
        <f>HYPERLINK("https://www.google.ru/search?q=6007533-100&amp;newwindow=1&amp;tbm=isch","Еще фото")</f>
        <v>Еще фото</v>
      </c>
      <c r="F3148" s="13" t="s">
        <v>103</v>
      </c>
      <c r="G3148" s="24" t="s">
        <v>2731</v>
      </c>
      <c r="H3148" s="24" t="s">
        <v>741</v>
      </c>
      <c r="I3148" s="24" t="s">
        <v>2732</v>
      </c>
      <c r="J3148" s="14" t="s">
        <v>43</v>
      </c>
      <c r="K3148" s="15" t="s">
        <v>59</v>
      </c>
      <c r="L3148" s="62"/>
      <c r="M3148" s="14"/>
      <c r="N3148" s="14" t="s">
        <v>84</v>
      </c>
      <c r="O3148" s="14"/>
      <c r="P3148" s="15" t="s">
        <v>2765</v>
      </c>
      <c r="Q3148" s="16">
        <v>3099</v>
      </c>
      <c r="R3148" s="17">
        <v>40</v>
      </c>
      <c r="S3148" s="18">
        <v>2138.31</v>
      </c>
      <c r="T3148" s="19" t="s">
        <v>36</v>
      </c>
      <c r="U3148" s="20" t="s">
        <v>748</v>
      </c>
      <c r="V3148" s="22">
        <v>38</v>
      </c>
      <c r="W3148" s="22">
        <v>26</v>
      </c>
      <c r="X3148" s="23"/>
    </row>
    <row r="3149" spans="1:24" s="1" customFormat="1" ht="21" customHeight="1" x14ac:dyDescent="0.3">
      <c r="A3149" s="24" t="s">
        <v>23</v>
      </c>
      <c r="B3149" s="24" t="s">
        <v>2807</v>
      </c>
      <c r="C3149" s="27" t="s">
        <v>2809</v>
      </c>
      <c r="D3149" s="60"/>
      <c r="E3149" s="41" t="str">
        <f>HYPERLINK("https://www.google.ru/search?q=6007533-100&amp;newwindow=1&amp;tbm=isch","Еще фото")</f>
        <v>Еще фото</v>
      </c>
      <c r="F3149" s="13" t="s">
        <v>103</v>
      </c>
      <c r="G3149" s="24" t="s">
        <v>2731</v>
      </c>
      <c r="H3149" s="24" t="s">
        <v>741</v>
      </c>
      <c r="I3149" s="24" t="s">
        <v>2732</v>
      </c>
      <c r="J3149" s="14" t="s">
        <v>43</v>
      </c>
      <c r="K3149" s="15" t="s">
        <v>59</v>
      </c>
      <c r="L3149" s="62"/>
      <c r="M3149" s="14"/>
      <c r="N3149" s="14" t="s">
        <v>84</v>
      </c>
      <c r="O3149" s="14"/>
      <c r="P3149" s="15" t="s">
        <v>2765</v>
      </c>
      <c r="Q3149" s="16">
        <v>3099</v>
      </c>
      <c r="R3149" s="17">
        <v>40</v>
      </c>
      <c r="S3149" s="18">
        <v>2138.31</v>
      </c>
      <c r="T3149" s="19" t="s">
        <v>36</v>
      </c>
      <c r="U3149" s="20" t="s">
        <v>750</v>
      </c>
      <c r="V3149" s="34">
        <v>39.5</v>
      </c>
      <c r="W3149" s="22">
        <v>18</v>
      </c>
      <c r="X3149" s="23"/>
    </row>
    <row r="3150" spans="1:24" s="1" customFormat="1" ht="32" customHeight="1" x14ac:dyDescent="0.3">
      <c r="A3150" s="24" t="s">
        <v>23</v>
      </c>
      <c r="B3150" s="24" t="s">
        <v>2807</v>
      </c>
      <c r="C3150" s="27" t="s">
        <v>2809</v>
      </c>
      <c r="D3150" s="61"/>
      <c r="E3150" s="41" t="str">
        <f>HYPERLINK("https://www.google.ru/search?q=6007533-100&amp;newwindow=1&amp;tbm=isch","Еще фото")</f>
        <v>Еще фото</v>
      </c>
      <c r="F3150" s="13" t="s">
        <v>103</v>
      </c>
      <c r="G3150" s="24" t="s">
        <v>2731</v>
      </c>
      <c r="H3150" s="24" t="s">
        <v>741</v>
      </c>
      <c r="I3150" s="24" t="s">
        <v>2732</v>
      </c>
      <c r="J3150" s="14" t="s">
        <v>43</v>
      </c>
      <c r="K3150" s="15" t="s">
        <v>59</v>
      </c>
      <c r="L3150" s="58"/>
      <c r="M3150" s="14"/>
      <c r="N3150" s="14" t="s">
        <v>84</v>
      </c>
      <c r="O3150" s="14"/>
      <c r="P3150" s="15" t="s">
        <v>2765</v>
      </c>
      <c r="Q3150" s="16">
        <v>3099</v>
      </c>
      <c r="R3150" s="17">
        <v>40</v>
      </c>
      <c r="S3150" s="18">
        <v>2138.31</v>
      </c>
      <c r="T3150" s="19" t="s">
        <v>36</v>
      </c>
      <c r="U3150" s="20" t="s">
        <v>752</v>
      </c>
      <c r="V3150" s="22">
        <v>41</v>
      </c>
      <c r="W3150" s="22">
        <v>8</v>
      </c>
      <c r="X3150" s="23"/>
    </row>
    <row r="3151" spans="1:24" s="1" customFormat="1" ht="21" customHeight="1" x14ac:dyDescent="0.3">
      <c r="A3151" s="11" t="s">
        <v>23</v>
      </c>
      <c r="B3151" s="11" t="s">
        <v>2807</v>
      </c>
      <c r="C3151" s="26" t="s">
        <v>2810</v>
      </c>
      <c r="D3151" s="59"/>
      <c r="E3151" s="41" t="str">
        <f>HYPERLINK("https://www.google.ru/search?q=6007533-647&amp;newwindow=1&amp;tbm=isch","Еще фото")</f>
        <v>Еще фото</v>
      </c>
      <c r="F3151" s="13" t="s">
        <v>103</v>
      </c>
      <c r="G3151" s="11" t="s">
        <v>2731</v>
      </c>
      <c r="H3151" s="11" t="s">
        <v>741</v>
      </c>
      <c r="I3151" s="14" t="s">
        <v>2732</v>
      </c>
      <c r="J3151" s="14" t="s">
        <v>43</v>
      </c>
      <c r="K3151" s="15" t="s">
        <v>59</v>
      </c>
      <c r="L3151" s="57" t="s">
        <v>2801</v>
      </c>
      <c r="M3151" s="14"/>
      <c r="N3151" s="14" t="s">
        <v>69</v>
      </c>
      <c r="O3151" s="14"/>
      <c r="P3151" s="15" t="s">
        <v>2765</v>
      </c>
      <c r="Q3151" s="16">
        <v>3099</v>
      </c>
      <c r="R3151" s="17">
        <v>40</v>
      </c>
      <c r="S3151" s="18">
        <v>2138.31</v>
      </c>
      <c r="T3151" s="19" t="s">
        <v>36</v>
      </c>
      <c r="U3151" s="20" t="s">
        <v>1203</v>
      </c>
      <c r="V3151" s="22">
        <v>36</v>
      </c>
      <c r="W3151" s="22">
        <v>17</v>
      </c>
      <c r="X3151" s="23"/>
    </row>
    <row r="3152" spans="1:24" s="1" customFormat="1" ht="21" customHeight="1" x14ac:dyDescent="0.3">
      <c r="A3152" s="24" t="s">
        <v>23</v>
      </c>
      <c r="B3152" s="24" t="s">
        <v>2807</v>
      </c>
      <c r="C3152" s="27" t="s">
        <v>2810</v>
      </c>
      <c r="D3152" s="60"/>
      <c r="E3152" s="41" t="str">
        <f>HYPERLINK("https://www.google.ru/search?q=6007533-647&amp;newwindow=1&amp;tbm=isch","Еще фото")</f>
        <v>Еще фото</v>
      </c>
      <c r="F3152" s="13" t="s">
        <v>103</v>
      </c>
      <c r="G3152" s="24" t="s">
        <v>2731</v>
      </c>
      <c r="H3152" s="24" t="s">
        <v>741</v>
      </c>
      <c r="I3152" s="24" t="s">
        <v>2732</v>
      </c>
      <c r="J3152" s="14" t="s">
        <v>43</v>
      </c>
      <c r="K3152" s="15" t="s">
        <v>59</v>
      </c>
      <c r="L3152" s="62"/>
      <c r="M3152" s="14"/>
      <c r="N3152" s="14" t="s">
        <v>69</v>
      </c>
      <c r="O3152" s="14"/>
      <c r="P3152" s="15" t="s">
        <v>2765</v>
      </c>
      <c r="Q3152" s="16">
        <v>3099</v>
      </c>
      <c r="R3152" s="17">
        <v>40</v>
      </c>
      <c r="S3152" s="18">
        <v>2138.31</v>
      </c>
      <c r="T3152" s="19" t="s">
        <v>36</v>
      </c>
      <c r="U3152" s="20" t="s">
        <v>746</v>
      </c>
      <c r="V3152" s="22">
        <v>37</v>
      </c>
      <c r="W3152" s="22">
        <v>24</v>
      </c>
      <c r="X3152" s="23"/>
    </row>
    <row r="3153" spans="1:24" s="1" customFormat="1" ht="21" customHeight="1" x14ac:dyDescent="0.3">
      <c r="A3153" s="24" t="s">
        <v>23</v>
      </c>
      <c r="B3153" s="24" t="s">
        <v>2807</v>
      </c>
      <c r="C3153" s="27" t="s">
        <v>2810</v>
      </c>
      <c r="D3153" s="60"/>
      <c r="E3153" s="41" t="str">
        <f>HYPERLINK("https://www.google.ru/search?q=6007533-647&amp;newwindow=1&amp;tbm=isch","Еще фото")</f>
        <v>Еще фото</v>
      </c>
      <c r="F3153" s="13" t="s">
        <v>103</v>
      </c>
      <c r="G3153" s="24" t="s">
        <v>2731</v>
      </c>
      <c r="H3153" s="24" t="s">
        <v>741</v>
      </c>
      <c r="I3153" s="24" t="s">
        <v>2732</v>
      </c>
      <c r="J3153" s="14" t="s">
        <v>43</v>
      </c>
      <c r="K3153" s="15" t="s">
        <v>59</v>
      </c>
      <c r="L3153" s="62"/>
      <c r="M3153" s="14"/>
      <c r="N3153" s="14" t="s">
        <v>69</v>
      </c>
      <c r="O3153" s="14"/>
      <c r="P3153" s="15" t="s">
        <v>2765</v>
      </c>
      <c r="Q3153" s="16">
        <v>3099</v>
      </c>
      <c r="R3153" s="17">
        <v>40</v>
      </c>
      <c r="S3153" s="18">
        <v>2138.31</v>
      </c>
      <c r="T3153" s="19" t="s">
        <v>36</v>
      </c>
      <c r="U3153" s="20" t="s">
        <v>748</v>
      </c>
      <c r="V3153" s="22">
        <v>38</v>
      </c>
      <c r="W3153" s="22">
        <v>22</v>
      </c>
      <c r="X3153" s="23"/>
    </row>
    <row r="3154" spans="1:24" s="1" customFormat="1" ht="21" customHeight="1" x14ac:dyDescent="0.3">
      <c r="A3154" s="24" t="s">
        <v>23</v>
      </c>
      <c r="B3154" s="24" t="s">
        <v>2807</v>
      </c>
      <c r="C3154" s="27" t="s">
        <v>2810</v>
      </c>
      <c r="D3154" s="60"/>
      <c r="E3154" s="41" t="str">
        <f>HYPERLINK("https://www.google.ru/search?q=6007533-647&amp;newwindow=1&amp;tbm=isch","Еще фото")</f>
        <v>Еще фото</v>
      </c>
      <c r="F3154" s="13" t="s">
        <v>103</v>
      </c>
      <c r="G3154" s="24" t="s">
        <v>2731</v>
      </c>
      <c r="H3154" s="24" t="s">
        <v>741</v>
      </c>
      <c r="I3154" s="24" t="s">
        <v>2732</v>
      </c>
      <c r="J3154" s="14" t="s">
        <v>43</v>
      </c>
      <c r="K3154" s="15" t="s">
        <v>59</v>
      </c>
      <c r="L3154" s="62"/>
      <c r="M3154" s="14"/>
      <c r="N3154" s="14" t="s">
        <v>69</v>
      </c>
      <c r="O3154" s="14"/>
      <c r="P3154" s="15" t="s">
        <v>2765</v>
      </c>
      <c r="Q3154" s="16">
        <v>3099</v>
      </c>
      <c r="R3154" s="17">
        <v>40</v>
      </c>
      <c r="S3154" s="18">
        <v>2138.31</v>
      </c>
      <c r="T3154" s="19" t="s">
        <v>36</v>
      </c>
      <c r="U3154" s="20" t="s">
        <v>750</v>
      </c>
      <c r="V3154" s="34">
        <v>39.5</v>
      </c>
      <c r="W3154" s="22">
        <v>11</v>
      </c>
      <c r="X3154" s="23"/>
    </row>
    <row r="3155" spans="1:24" s="1" customFormat="1" ht="32" customHeight="1" x14ac:dyDescent="0.3">
      <c r="A3155" s="24" t="s">
        <v>23</v>
      </c>
      <c r="B3155" s="24" t="s">
        <v>2807</v>
      </c>
      <c r="C3155" s="27" t="s">
        <v>2810</v>
      </c>
      <c r="D3155" s="61"/>
      <c r="E3155" s="41" t="str">
        <f>HYPERLINK("https://www.google.ru/search?q=6007533-647&amp;newwindow=1&amp;tbm=isch","Еще фото")</f>
        <v>Еще фото</v>
      </c>
      <c r="F3155" s="13" t="s">
        <v>103</v>
      </c>
      <c r="G3155" s="24" t="s">
        <v>2731</v>
      </c>
      <c r="H3155" s="24" t="s">
        <v>741</v>
      </c>
      <c r="I3155" s="24" t="s">
        <v>2732</v>
      </c>
      <c r="J3155" s="14" t="s">
        <v>43</v>
      </c>
      <c r="K3155" s="15" t="s">
        <v>59</v>
      </c>
      <c r="L3155" s="58"/>
      <c r="M3155" s="14"/>
      <c r="N3155" s="14" t="s">
        <v>69</v>
      </c>
      <c r="O3155" s="14"/>
      <c r="P3155" s="15" t="s">
        <v>2765</v>
      </c>
      <c r="Q3155" s="16">
        <v>3099</v>
      </c>
      <c r="R3155" s="17">
        <v>40</v>
      </c>
      <c r="S3155" s="18">
        <v>2138.31</v>
      </c>
      <c r="T3155" s="19" t="s">
        <v>36</v>
      </c>
      <c r="U3155" s="20" t="s">
        <v>752</v>
      </c>
      <c r="V3155" s="22">
        <v>41</v>
      </c>
      <c r="W3155" s="22">
        <v>5</v>
      </c>
      <c r="X3155" s="23"/>
    </row>
    <row r="3156" spans="1:24" s="1" customFormat="1" ht="52.05" customHeight="1" x14ac:dyDescent="0.3">
      <c r="A3156" s="11" t="s">
        <v>23</v>
      </c>
      <c r="B3156" s="11" t="s">
        <v>2811</v>
      </c>
      <c r="C3156" s="12" t="s">
        <v>2812</v>
      </c>
      <c r="D3156" s="55"/>
      <c r="E3156" s="41" t="str">
        <f>HYPERLINK("https://www.google.ru/search?q=6010383-003&amp;newwindow=1&amp;tbm=isch","Еще фото")</f>
        <v>Еще фото</v>
      </c>
      <c r="F3156" s="13" t="s">
        <v>103</v>
      </c>
      <c r="G3156" s="11" t="s">
        <v>2731</v>
      </c>
      <c r="H3156" s="11" t="s">
        <v>741</v>
      </c>
      <c r="I3156" s="14" t="s">
        <v>2732</v>
      </c>
      <c r="J3156" s="14" t="s">
        <v>43</v>
      </c>
      <c r="K3156" s="15" t="s">
        <v>30</v>
      </c>
      <c r="L3156" s="57" t="s">
        <v>2813</v>
      </c>
      <c r="M3156" s="14"/>
      <c r="N3156" s="14" t="s">
        <v>33</v>
      </c>
      <c r="O3156" s="14"/>
      <c r="P3156" s="15" t="s">
        <v>2814</v>
      </c>
      <c r="Q3156" s="16">
        <v>4899</v>
      </c>
      <c r="R3156" s="17">
        <v>40</v>
      </c>
      <c r="S3156" s="18">
        <v>3380.31</v>
      </c>
      <c r="T3156" s="19" t="s">
        <v>36</v>
      </c>
      <c r="U3156" s="20" t="s">
        <v>746</v>
      </c>
      <c r="V3156" s="22">
        <v>39</v>
      </c>
      <c r="W3156" s="22">
        <v>2</v>
      </c>
      <c r="X3156" s="23"/>
    </row>
    <row r="3157" spans="1:24" s="1" customFormat="1" ht="61.05" customHeight="1" x14ac:dyDescent="0.3">
      <c r="A3157" s="24" t="s">
        <v>23</v>
      </c>
      <c r="B3157" s="24" t="s">
        <v>2811</v>
      </c>
      <c r="C3157" s="12" t="s">
        <v>2812</v>
      </c>
      <c r="D3157" s="56"/>
      <c r="E3157" s="41" t="str">
        <f>HYPERLINK("https://www.google.ru/search?q=6010383-003&amp;newwindow=1&amp;tbm=isch","Еще фото")</f>
        <v>Еще фото</v>
      </c>
      <c r="F3157" s="13" t="s">
        <v>103</v>
      </c>
      <c r="G3157" s="24" t="s">
        <v>2731</v>
      </c>
      <c r="H3157" s="24" t="s">
        <v>741</v>
      </c>
      <c r="I3157" s="24" t="s">
        <v>2732</v>
      </c>
      <c r="J3157" s="14" t="s">
        <v>43</v>
      </c>
      <c r="K3157" s="15" t="s">
        <v>30</v>
      </c>
      <c r="L3157" s="58"/>
      <c r="M3157" s="14"/>
      <c r="N3157" s="14" t="s">
        <v>33</v>
      </c>
      <c r="O3157" s="14"/>
      <c r="P3157" s="15" t="s">
        <v>2814</v>
      </c>
      <c r="Q3157" s="16">
        <v>4899</v>
      </c>
      <c r="R3157" s="17">
        <v>40</v>
      </c>
      <c r="S3157" s="18">
        <v>3380.31</v>
      </c>
      <c r="T3157" s="19" t="s">
        <v>36</v>
      </c>
      <c r="U3157" s="20" t="s">
        <v>748</v>
      </c>
      <c r="V3157" s="22">
        <v>40</v>
      </c>
      <c r="W3157" s="22">
        <v>3</v>
      </c>
      <c r="X3157" s="23"/>
    </row>
    <row r="3158" spans="1:24" s="1" customFormat="1" ht="35" customHeight="1" x14ac:dyDescent="0.3">
      <c r="A3158" s="11" t="s">
        <v>23</v>
      </c>
      <c r="B3158" s="11" t="s">
        <v>2811</v>
      </c>
      <c r="C3158" s="12" t="s">
        <v>2815</v>
      </c>
      <c r="D3158" s="59"/>
      <c r="E3158" s="41" t="str">
        <f>HYPERLINK("https://www.google.ru/search?q=6010383-100&amp;newwindow=1&amp;tbm=isch","Еще фото")</f>
        <v>Еще фото</v>
      </c>
      <c r="F3158" s="13"/>
      <c r="G3158" s="11" t="s">
        <v>2731</v>
      </c>
      <c r="H3158" s="11" t="s">
        <v>741</v>
      </c>
      <c r="I3158" s="14" t="s">
        <v>2732</v>
      </c>
      <c r="J3158" s="14" t="s">
        <v>43</v>
      </c>
      <c r="K3158" s="15" t="s">
        <v>30</v>
      </c>
      <c r="L3158" s="57" t="s">
        <v>2813</v>
      </c>
      <c r="M3158" s="14"/>
      <c r="N3158" s="14" t="s">
        <v>84</v>
      </c>
      <c r="O3158" s="14"/>
      <c r="P3158" s="15" t="s">
        <v>2816</v>
      </c>
      <c r="Q3158" s="16">
        <v>4899</v>
      </c>
      <c r="R3158" s="17">
        <v>40</v>
      </c>
      <c r="S3158" s="18">
        <v>3380.31</v>
      </c>
      <c r="T3158" s="19" t="s">
        <v>36</v>
      </c>
      <c r="U3158" s="20" t="s">
        <v>746</v>
      </c>
      <c r="V3158" s="22">
        <v>39</v>
      </c>
      <c r="W3158" s="22">
        <v>13</v>
      </c>
      <c r="X3158" s="23"/>
    </row>
    <row r="3159" spans="1:24" s="1" customFormat="1" ht="35" customHeight="1" x14ac:dyDescent="0.3">
      <c r="A3159" s="24" t="s">
        <v>23</v>
      </c>
      <c r="B3159" s="24" t="s">
        <v>2811</v>
      </c>
      <c r="C3159" s="12" t="s">
        <v>2815</v>
      </c>
      <c r="D3159" s="60"/>
      <c r="E3159" s="41" t="str">
        <f>HYPERLINK("https://www.google.ru/search?q=6010383-100&amp;newwindow=1&amp;tbm=isch","Еще фото")</f>
        <v>Еще фото</v>
      </c>
      <c r="F3159" s="13"/>
      <c r="G3159" s="24" t="s">
        <v>2731</v>
      </c>
      <c r="H3159" s="24" t="s">
        <v>741</v>
      </c>
      <c r="I3159" s="24" t="s">
        <v>2732</v>
      </c>
      <c r="J3159" s="14" t="s">
        <v>43</v>
      </c>
      <c r="K3159" s="15" t="s">
        <v>30</v>
      </c>
      <c r="L3159" s="62"/>
      <c r="M3159" s="14"/>
      <c r="N3159" s="14" t="s">
        <v>84</v>
      </c>
      <c r="O3159" s="14"/>
      <c r="P3159" s="15" t="s">
        <v>2816</v>
      </c>
      <c r="Q3159" s="16">
        <v>4899</v>
      </c>
      <c r="R3159" s="17">
        <v>40</v>
      </c>
      <c r="S3159" s="18">
        <v>3380.31</v>
      </c>
      <c r="T3159" s="19" t="s">
        <v>36</v>
      </c>
      <c r="U3159" s="20" t="s">
        <v>748</v>
      </c>
      <c r="V3159" s="22">
        <v>40</v>
      </c>
      <c r="W3159" s="22">
        <v>12</v>
      </c>
      <c r="X3159" s="23"/>
    </row>
    <row r="3160" spans="1:24" s="1" customFormat="1" ht="37.049999999999997" customHeight="1" x14ac:dyDescent="0.3">
      <c r="A3160" s="24" t="s">
        <v>23</v>
      </c>
      <c r="B3160" s="24" t="s">
        <v>2811</v>
      </c>
      <c r="C3160" s="12" t="s">
        <v>2815</v>
      </c>
      <c r="D3160" s="61"/>
      <c r="E3160" s="41" t="str">
        <f>HYPERLINK("https://www.google.ru/search?q=6010383-100&amp;newwindow=1&amp;tbm=isch","Еще фото")</f>
        <v>Еще фото</v>
      </c>
      <c r="F3160" s="13"/>
      <c r="G3160" s="24" t="s">
        <v>2731</v>
      </c>
      <c r="H3160" s="24" t="s">
        <v>741</v>
      </c>
      <c r="I3160" s="24" t="s">
        <v>2732</v>
      </c>
      <c r="J3160" s="14" t="s">
        <v>43</v>
      </c>
      <c r="K3160" s="15" t="s">
        <v>30</v>
      </c>
      <c r="L3160" s="58"/>
      <c r="M3160" s="14"/>
      <c r="N3160" s="14" t="s">
        <v>84</v>
      </c>
      <c r="O3160" s="14"/>
      <c r="P3160" s="15" t="s">
        <v>2816</v>
      </c>
      <c r="Q3160" s="16">
        <v>4899</v>
      </c>
      <c r="R3160" s="17">
        <v>40</v>
      </c>
      <c r="S3160" s="18">
        <v>3380.31</v>
      </c>
      <c r="T3160" s="19" t="s">
        <v>36</v>
      </c>
      <c r="U3160" s="20" t="s">
        <v>750</v>
      </c>
      <c r="V3160" s="34">
        <v>41.5</v>
      </c>
      <c r="W3160" s="22">
        <v>1</v>
      </c>
      <c r="X3160" s="23"/>
    </row>
    <row r="3161" spans="1:24" s="1" customFormat="1" ht="52.05" customHeight="1" x14ac:dyDescent="0.3">
      <c r="A3161" s="11" t="s">
        <v>23</v>
      </c>
      <c r="B3161" s="11" t="s">
        <v>2817</v>
      </c>
      <c r="C3161" s="12" t="s">
        <v>2818</v>
      </c>
      <c r="D3161" s="55"/>
      <c r="E3161" s="41" t="str">
        <f>HYPERLINK("https://www.google.ru/search?q=1357139-408&amp;newwindow=1&amp;tbm=isch","Еще фото")</f>
        <v>Еще фото</v>
      </c>
      <c r="F3161" s="13"/>
      <c r="G3161" s="11" t="s">
        <v>2819</v>
      </c>
      <c r="H3161" s="11" t="s">
        <v>27</v>
      </c>
      <c r="I3161" s="14" t="s">
        <v>2820</v>
      </c>
      <c r="J3161" s="14" t="s">
        <v>29</v>
      </c>
      <c r="K3161" s="15" t="s">
        <v>30</v>
      </c>
      <c r="L3161" s="57" t="s">
        <v>2821</v>
      </c>
      <c r="M3161" s="14" t="s">
        <v>45</v>
      </c>
      <c r="N3161" s="14" t="s">
        <v>115</v>
      </c>
      <c r="O3161" s="14"/>
      <c r="P3161" s="15" t="s">
        <v>47</v>
      </c>
      <c r="Q3161" s="16">
        <v>9999</v>
      </c>
      <c r="R3161" s="17">
        <v>55.72</v>
      </c>
      <c r="S3161" s="18">
        <v>5091.9355000000005</v>
      </c>
      <c r="T3161" s="19" t="s">
        <v>36</v>
      </c>
      <c r="U3161" s="20" t="s">
        <v>37</v>
      </c>
      <c r="V3161" s="21" t="s">
        <v>38</v>
      </c>
      <c r="W3161" s="22">
        <v>38</v>
      </c>
      <c r="X3161" s="23"/>
    </row>
    <row r="3162" spans="1:24" s="1" customFormat="1" ht="61.05" customHeight="1" x14ac:dyDescent="0.3">
      <c r="A3162" s="24" t="s">
        <v>23</v>
      </c>
      <c r="B3162" s="24" t="s">
        <v>2817</v>
      </c>
      <c r="C3162" s="12" t="s">
        <v>2818</v>
      </c>
      <c r="D3162" s="56"/>
      <c r="E3162" s="41" t="str">
        <f>HYPERLINK("https://www.google.ru/search?q=1357139-408&amp;newwindow=1&amp;tbm=isch","Еще фото")</f>
        <v>Еще фото</v>
      </c>
      <c r="F3162" s="13"/>
      <c r="G3162" s="24" t="s">
        <v>2819</v>
      </c>
      <c r="H3162" s="24" t="s">
        <v>27</v>
      </c>
      <c r="I3162" s="24" t="s">
        <v>2820</v>
      </c>
      <c r="J3162" s="14" t="s">
        <v>29</v>
      </c>
      <c r="K3162" s="15" t="s">
        <v>30</v>
      </c>
      <c r="L3162" s="58"/>
      <c r="M3162" s="14" t="s">
        <v>45</v>
      </c>
      <c r="N3162" s="14" t="s">
        <v>115</v>
      </c>
      <c r="O3162" s="14"/>
      <c r="P3162" s="15" t="s">
        <v>47</v>
      </c>
      <c r="Q3162" s="16">
        <v>9999</v>
      </c>
      <c r="R3162" s="17">
        <v>55.72</v>
      </c>
      <c r="S3162" s="18">
        <v>5091.9355000000005</v>
      </c>
      <c r="T3162" s="19" t="s">
        <v>36</v>
      </c>
      <c r="U3162" s="20" t="s">
        <v>39</v>
      </c>
      <c r="V3162" s="21" t="s">
        <v>40</v>
      </c>
      <c r="W3162" s="22">
        <v>1</v>
      </c>
      <c r="X3162" s="23"/>
    </row>
    <row r="3163" spans="1:24" s="1" customFormat="1" ht="21" customHeight="1" x14ac:dyDescent="0.3">
      <c r="A3163" s="11" t="s">
        <v>23</v>
      </c>
      <c r="B3163" s="11" t="s">
        <v>2822</v>
      </c>
      <c r="C3163" s="26" t="s">
        <v>2823</v>
      </c>
      <c r="D3163" s="59"/>
      <c r="E3163" s="41" t="str">
        <f>HYPERLINK("https://www.google.ru/search?q=6004082-410&amp;newwindow=1&amp;tbm=isch","Еще фото")</f>
        <v>Еще фото</v>
      </c>
      <c r="F3163" s="13"/>
      <c r="G3163" s="11" t="s">
        <v>2819</v>
      </c>
      <c r="H3163" s="11" t="s">
        <v>27</v>
      </c>
      <c r="I3163" s="14" t="s">
        <v>2820</v>
      </c>
      <c r="J3163" s="14" t="s">
        <v>311</v>
      </c>
      <c r="K3163" s="15" t="s">
        <v>50</v>
      </c>
      <c r="L3163" s="57" t="s">
        <v>2824</v>
      </c>
      <c r="M3163" s="14"/>
      <c r="N3163" s="14" t="s">
        <v>115</v>
      </c>
      <c r="O3163" s="14"/>
      <c r="P3163" s="15" t="s">
        <v>47</v>
      </c>
      <c r="Q3163" s="16">
        <v>8799</v>
      </c>
      <c r="R3163" s="17">
        <v>46</v>
      </c>
      <c r="S3163" s="18">
        <v>5464.1789999999992</v>
      </c>
      <c r="T3163" s="19" t="s">
        <v>36</v>
      </c>
      <c r="U3163" s="20" t="s">
        <v>99</v>
      </c>
      <c r="V3163" s="21" t="s">
        <v>100</v>
      </c>
      <c r="W3163" s="22">
        <v>6</v>
      </c>
      <c r="X3163" s="23"/>
    </row>
    <row r="3164" spans="1:24" s="1" customFormat="1" ht="21" customHeight="1" x14ac:dyDescent="0.3">
      <c r="A3164" s="24" t="s">
        <v>23</v>
      </c>
      <c r="B3164" s="24" t="s">
        <v>2822</v>
      </c>
      <c r="C3164" s="27" t="s">
        <v>2823</v>
      </c>
      <c r="D3164" s="60"/>
      <c r="E3164" s="41" t="str">
        <f>HYPERLINK("https://www.google.ru/search?q=6004082-410&amp;newwindow=1&amp;tbm=isch","Еще фото")</f>
        <v>Еще фото</v>
      </c>
      <c r="F3164" s="13"/>
      <c r="G3164" s="24" t="s">
        <v>2819</v>
      </c>
      <c r="H3164" s="24" t="s">
        <v>27</v>
      </c>
      <c r="I3164" s="24" t="s">
        <v>2820</v>
      </c>
      <c r="J3164" s="14" t="s">
        <v>311</v>
      </c>
      <c r="K3164" s="15" t="s">
        <v>50</v>
      </c>
      <c r="L3164" s="62"/>
      <c r="M3164" s="14"/>
      <c r="N3164" s="14" t="s">
        <v>115</v>
      </c>
      <c r="O3164" s="14"/>
      <c r="P3164" s="15" t="s">
        <v>47</v>
      </c>
      <c r="Q3164" s="16">
        <v>8799</v>
      </c>
      <c r="R3164" s="17">
        <v>46</v>
      </c>
      <c r="S3164" s="18">
        <v>5464.1789999999992</v>
      </c>
      <c r="T3164" s="19" t="s">
        <v>36</v>
      </c>
      <c r="U3164" s="20" t="s">
        <v>54</v>
      </c>
      <c r="V3164" s="21" t="s">
        <v>55</v>
      </c>
      <c r="W3164" s="22">
        <v>12</v>
      </c>
      <c r="X3164" s="23"/>
    </row>
    <row r="3165" spans="1:24" s="1" customFormat="1" ht="21" customHeight="1" x14ac:dyDescent="0.3">
      <c r="A3165" s="24" t="s">
        <v>23</v>
      </c>
      <c r="B3165" s="24" t="s">
        <v>2822</v>
      </c>
      <c r="C3165" s="27" t="s">
        <v>2823</v>
      </c>
      <c r="D3165" s="60"/>
      <c r="E3165" s="41" t="str">
        <f>HYPERLINK("https://www.google.ru/search?q=6004082-410&amp;newwindow=1&amp;tbm=isch","Еще фото")</f>
        <v>Еще фото</v>
      </c>
      <c r="F3165" s="13"/>
      <c r="G3165" s="24" t="s">
        <v>2819</v>
      </c>
      <c r="H3165" s="24" t="s">
        <v>27</v>
      </c>
      <c r="I3165" s="24" t="s">
        <v>2820</v>
      </c>
      <c r="J3165" s="14" t="s">
        <v>311</v>
      </c>
      <c r="K3165" s="15" t="s">
        <v>50</v>
      </c>
      <c r="L3165" s="62"/>
      <c r="M3165" s="14"/>
      <c r="N3165" s="14" t="s">
        <v>115</v>
      </c>
      <c r="O3165" s="14"/>
      <c r="P3165" s="15" t="s">
        <v>47</v>
      </c>
      <c r="Q3165" s="16">
        <v>8799</v>
      </c>
      <c r="R3165" s="17">
        <v>46</v>
      </c>
      <c r="S3165" s="18">
        <v>5464.1789999999992</v>
      </c>
      <c r="T3165" s="19" t="s">
        <v>36</v>
      </c>
      <c r="U3165" s="20" t="s">
        <v>234</v>
      </c>
      <c r="V3165" s="21" t="s">
        <v>235</v>
      </c>
      <c r="W3165" s="22">
        <v>10</v>
      </c>
      <c r="X3165" s="23"/>
    </row>
    <row r="3166" spans="1:24" s="1" customFormat="1" ht="21" customHeight="1" x14ac:dyDescent="0.3">
      <c r="A3166" s="24" t="s">
        <v>23</v>
      </c>
      <c r="B3166" s="24" t="s">
        <v>2822</v>
      </c>
      <c r="C3166" s="27" t="s">
        <v>2823</v>
      </c>
      <c r="D3166" s="60"/>
      <c r="E3166" s="41" t="str">
        <f>HYPERLINK("https://www.google.ru/search?q=6004082-410&amp;newwindow=1&amp;tbm=isch","Еще фото")</f>
        <v>Еще фото</v>
      </c>
      <c r="F3166" s="13"/>
      <c r="G3166" s="24" t="s">
        <v>2819</v>
      </c>
      <c r="H3166" s="24" t="s">
        <v>27</v>
      </c>
      <c r="I3166" s="24" t="s">
        <v>2820</v>
      </c>
      <c r="J3166" s="14" t="s">
        <v>311</v>
      </c>
      <c r="K3166" s="15" t="s">
        <v>50</v>
      </c>
      <c r="L3166" s="62"/>
      <c r="M3166" s="14"/>
      <c r="N3166" s="14" t="s">
        <v>115</v>
      </c>
      <c r="O3166" s="14"/>
      <c r="P3166" s="15" t="s">
        <v>47</v>
      </c>
      <c r="Q3166" s="16">
        <v>8799</v>
      </c>
      <c r="R3166" s="17">
        <v>46</v>
      </c>
      <c r="S3166" s="18">
        <v>5464.1789999999992</v>
      </c>
      <c r="T3166" s="19" t="s">
        <v>36</v>
      </c>
      <c r="U3166" s="20" t="s">
        <v>71</v>
      </c>
      <c r="V3166" s="21" t="s">
        <v>72</v>
      </c>
      <c r="W3166" s="22">
        <v>15</v>
      </c>
      <c r="X3166" s="23"/>
    </row>
    <row r="3167" spans="1:24" s="1" customFormat="1" ht="32" customHeight="1" x14ac:dyDescent="0.3">
      <c r="A3167" s="24" t="s">
        <v>23</v>
      </c>
      <c r="B3167" s="24" t="s">
        <v>2822</v>
      </c>
      <c r="C3167" s="27" t="s">
        <v>2823</v>
      </c>
      <c r="D3167" s="61"/>
      <c r="E3167" s="41" t="str">
        <f>HYPERLINK("https://www.google.ru/search?q=6004082-410&amp;newwindow=1&amp;tbm=isch","Еще фото")</f>
        <v>Еще фото</v>
      </c>
      <c r="F3167" s="13"/>
      <c r="G3167" s="24" t="s">
        <v>2819</v>
      </c>
      <c r="H3167" s="24" t="s">
        <v>27</v>
      </c>
      <c r="I3167" s="24" t="s">
        <v>2820</v>
      </c>
      <c r="J3167" s="14" t="s">
        <v>311</v>
      </c>
      <c r="K3167" s="15" t="s">
        <v>50</v>
      </c>
      <c r="L3167" s="58"/>
      <c r="M3167" s="14"/>
      <c r="N3167" s="14" t="s">
        <v>115</v>
      </c>
      <c r="O3167" s="14"/>
      <c r="P3167" s="15" t="s">
        <v>47</v>
      </c>
      <c r="Q3167" s="16">
        <v>8799</v>
      </c>
      <c r="R3167" s="17">
        <v>46</v>
      </c>
      <c r="S3167" s="18">
        <v>5464.1789999999992</v>
      </c>
      <c r="T3167" s="19" t="s">
        <v>36</v>
      </c>
      <c r="U3167" s="20" t="s">
        <v>73</v>
      </c>
      <c r="V3167" s="21" t="s">
        <v>74</v>
      </c>
      <c r="W3167" s="22">
        <v>9</v>
      </c>
      <c r="X3167" s="23"/>
    </row>
    <row r="3168" spans="1:24" s="1" customFormat="1" ht="108" customHeight="1" x14ac:dyDescent="0.3">
      <c r="A3168" s="11" t="s">
        <v>23</v>
      </c>
      <c r="B3168" s="11" t="s">
        <v>2825</v>
      </c>
      <c r="C3168" s="12" t="s">
        <v>2826</v>
      </c>
      <c r="D3168" s="25"/>
      <c r="E3168" s="41" t="str">
        <f>HYPERLINK("https://www.google.ru/search?q=1366212-299&amp;newwindow=1&amp;tbm=isch","Еще фото")</f>
        <v>Еще фото</v>
      </c>
      <c r="F3168" s="13"/>
      <c r="G3168" s="11" t="s">
        <v>2819</v>
      </c>
      <c r="H3168" s="11" t="s">
        <v>27</v>
      </c>
      <c r="I3168" s="14" t="s">
        <v>2820</v>
      </c>
      <c r="J3168" s="14" t="s">
        <v>29</v>
      </c>
      <c r="K3168" s="15" t="s">
        <v>30</v>
      </c>
      <c r="L3168" s="14" t="s">
        <v>2827</v>
      </c>
      <c r="M3168" s="14"/>
      <c r="N3168" s="14" t="s">
        <v>229</v>
      </c>
      <c r="O3168" s="14"/>
      <c r="P3168" s="15" t="s">
        <v>47</v>
      </c>
      <c r="Q3168" s="16">
        <v>10999</v>
      </c>
      <c r="R3168" s="17">
        <v>45.45</v>
      </c>
      <c r="S3168" s="18">
        <v>6899.9884999999995</v>
      </c>
      <c r="T3168" s="19" t="s">
        <v>36</v>
      </c>
      <c r="U3168" s="20" t="s">
        <v>37</v>
      </c>
      <c r="V3168" s="21" t="s">
        <v>38</v>
      </c>
      <c r="W3168" s="22">
        <v>2</v>
      </c>
      <c r="X3168" s="23"/>
    </row>
    <row r="3169" spans="1:24" s="1" customFormat="1" ht="26" customHeight="1" x14ac:dyDescent="0.3">
      <c r="A3169" s="11" t="s">
        <v>23</v>
      </c>
      <c r="B3169" s="11" t="s">
        <v>2828</v>
      </c>
      <c r="C3169" s="12" t="s">
        <v>2829</v>
      </c>
      <c r="D3169" s="59"/>
      <c r="E3169" s="41" t="str">
        <f>HYPERLINK("https://www.google.ru/search?q=1357139-001&amp;newwindow=1&amp;tbm=isch","Еще фото")</f>
        <v>Еще фото</v>
      </c>
      <c r="F3169" s="13" t="s">
        <v>152</v>
      </c>
      <c r="G3169" s="11" t="s">
        <v>2819</v>
      </c>
      <c r="H3169" s="11" t="s">
        <v>27</v>
      </c>
      <c r="I3169" s="14" t="s">
        <v>2820</v>
      </c>
      <c r="J3169" s="14" t="s">
        <v>29</v>
      </c>
      <c r="K3169" s="15" t="s">
        <v>30</v>
      </c>
      <c r="L3169" s="57" t="s">
        <v>2830</v>
      </c>
      <c r="M3169" s="14" t="s">
        <v>45</v>
      </c>
      <c r="N3169" s="14" t="s">
        <v>33</v>
      </c>
      <c r="O3169" s="14" t="s">
        <v>34</v>
      </c>
      <c r="P3169" s="15" t="s">
        <v>47</v>
      </c>
      <c r="Q3169" s="16">
        <v>7899</v>
      </c>
      <c r="R3169" s="17">
        <v>40</v>
      </c>
      <c r="S3169" s="18">
        <v>5450.3099999999995</v>
      </c>
      <c r="T3169" s="19" t="s">
        <v>36</v>
      </c>
      <c r="U3169" s="20" t="s">
        <v>63</v>
      </c>
      <c r="V3169" s="21" t="s">
        <v>85</v>
      </c>
      <c r="W3169" s="22">
        <v>1</v>
      </c>
      <c r="X3169" s="23"/>
    </row>
    <row r="3170" spans="1:24" s="1" customFormat="1" ht="26" customHeight="1" x14ac:dyDescent="0.3">
      <c r="A3170" s="24" t="s">
        <v>23</v>
      </c>
      <c r="B3170" s="24" t="s">
        <v>2828</v>
      </c>
      <c r="C3170" s="12" t="s">
        <v>2829</v>
      </c>
      <c r="D3170" s="60"/>
      <c r="E3170" s="41" t="str">
        <f>HYPERLINK("https://www.google.ru/search?q=1357139-001&amp;newwindow=1&amp;tbm=isch","Еще фото")</f>
        <v>Еще фото</v>
      </c>
      <c r="F3170" s="13" t="s">
        <v>152</v>
      </c>
      <c r="G3170" s="24" t="s">
        <v>2819</v>
      </c>
      <c r="H3170" s="24" t="s">
        <v>27</v>
      </c>
      <c r="I3170" s="24" t="s">
        <v>2820</v>
      </c>
      <c r="J3170" s="14" t="s">
        <v>29</v>
      </c>
      <c r="K3170" s="15" t="s">
        <v>30</v>
      </c>
      <c r="L3170" s="62"/>
      <c r="M3170" s="14" t="s">
        <v>45</v>
      </c>
      <c r="N3170" s="14" t="s">
        <v>33</v>
      </c>
      <c r="O3170" s="14" t="s">
        <v>34</v>
      </c>
      <c r="P3170" s="15" t="s">
        <v>47</v>
      </c>
      <c r="Q3170" s="16">
        <v>7899</v>
      </c>
      <c r="R3170" s="17">
        <v>40</v>
      </c>
      <c r="S3170" s="18">
        <v>5450.3099999999995</v>
      </c>
      <c r="T3170" s="19" t="s">
        <v>36</v>
      </c>
      <c r="U3170" s="20" t="s">
        <v>37</v>
      </c>
      <c r="V3170" s="21" t="s">
        <v>38</v>
      </c>
      <c r="W3170" s="22">
        <v>74</v>
      </c>
      <c r="X3170" s="23"/>
    </row>
    <row r="3171" spans="1:24" s="1" customFormat="1" ht="26" customHeight="1" x14ac:dyDescent="0.3">
      <c r="A3171" s="24" t="s">
        <v>23</v>
      </c>
      <c r="B3171" s="24" t="s">
        <v>2828</v>
      </c>
      <c r="C3171" s="12" t="s">
        <v>2829</v>
      </c>
      <c r="D3171" s="60"/>
      <c r="E3171" s="41" t="str">
        <f>HYPERLINK("https://www.google.ru/search?q=1357139-001&amp;newwindow=1&amp;tbm=isch","Еще фото")</f>
        <v>Еще фото</v>
      </c>
      <c r="F3171" s="13" t="s">
        <v>152</v>
      </c>
      <c r="G3171" s="24" t="s">
        <v>2819</v>
      </c>
      <c r="H3171" s="24" t="s">
        <v>27</v>
      </c>
      <c r="I3171" s="24" t="s">
        <v>2820</v>
      </c>
      <c r="J3171" s="14" t="s">
        <v>29</v>
      </c>
      <c r="K3171" s="15" t="s">
        <v>30</v>
      </c>
      <c r="L3171" s="62"/>
      <c r="M3171" s="14" t="s">
        <v>45</v>
      </c>
      <c r="N3171" s="14" t="s">
        <v>33</v>
      </c>
      <c r="O3171" s="14" t="s">
        <v>34</v>
      </c>
      <c r="P3171" s="15" t="s">
        <v>47</v>
      </c>
      <c r="Q3171" s="16">
        <v>7899</v>
      </c>
      <c r="R3171" s="17">
        <v>40</v>
      </c>
      <c r="S3171" s="18">
        <v>5450.3099999999995</v>
      </c>
      <c r="T3171" s="19" t="s">
        <v>36</v>
      </c>
      <c r="U3171" s="20" t="s">
        <v>39</v>
      </c>
      <c r="V3171" s="21" t="s">
        <v>40</v>
      </c>
      <c r="W3171" s="22">
        <v>25</v>
      </c>
      <c r="X3171" s="23"/>
    </row>
    <row r="3172" spans="1:24" s="1" customFormat="1" ht="26" customHeight="1" x14ac:dyDescent="0.3">
      <c r="A3172" s="24" t="s">
        <v>23</v>
      </c>
      <c r="B3172" s="24" t="s">
        <v>2828</v>
      </c>
      <c r="C3172" s="12" t="s">
        <v>2829</v>
      </c>
      <c r="D3172" s="61"/>
      <c r="E3172" s="41" t="str">
        <f>HYPERLINK("https://www.google.ru/search?q=1357139-001&amp;newwindow=1&amp;tbm=isch","Еще фото")</f>
        <v>Еще фото</v>
      </c>
      <c r="F3172" s="13" t="s">
        <v>152</v>
      </c>
      <c r="G3172" s="24" t="s">
        <v>2819</v>
      </c>
      <c r="H3172" s="24" t="s">
        <v>27</v>
      </c>
      <c r="I3172" s="24" t="s">
        <v>2820</v>
      </c>
      <c r="J3172" s="14" t="s">
        <v>29</v>
      </c>
      <c r="K3172" s="15" t="s">
        <v>30</v>
      </c>
      <c r="L3172" s="58"/>
      <c r="M3172" s="14" t="s">
        <v>45</v>
      </c>
      <c r="N3172" s="14" t="s">
        <v>33</v>
      </c>
      <c r="O3172" s="14" t="s">
        <v>34</v>
      </c>
      <c r="P3172" s="15" t="s">
        <v>47</v>
      </c>
      <c r="Q3172" s="16">
        <v>7899</v>
      </c>
      <c r="R3172" s="17">
        <v>40</v>
      </c>
      <c r="S3172" s="18">
        <v>5450.3099999999995</v>
      </c>
      <c r="T3172" s="19" t="s">
        <v>36</v>
      </c>
      <c r="U3172" s="20" t="s">
        <v>86</v>
      </c>
      <c r="V3172" s="21" t="s">
        <v>87</v>
      </c>
      <c r="W3172" s="22">
        <v>28</v>
      </c>
      <c r="X3172" s="23"/>
    </row>
    <row r="3173" spans="1:24" s="1" customFormat="1" ht="108" customHeight="1" x14ac:dyDescent="0.3">
      <c r="A3173" s="11" t="s">
        <v>23</v>
      </c>
      <c r="B3173" s="11" t="s">
        <v>2828</v>
      </c>
      <c r="C3173" s="12" t="s">
        <v>2831</v>
      </c>
      <c r="D3173" s="25"/>
      <c r="E3173" s="41" t="str">
        <f>HYPERLINK("https://www.google.ru/search?q=1357139-012&amp;newwindow=1&amp;tbm=isch","Еще фото")</f>
        <v>Еще фото</v>
      </c>
      <c r="F3173" s="13"/>
      <c r="G3173" s="11" t="s">
        <v>2819</v>
      </c>
      <c r="H3173" s="11" t="s">
        <v>27</v>
      </c>
      <c r="I3173" s="14" t="s">
        <v>2820</v>
      </c>
      <c r="J3173" s="14" t="s">
        <v>29</v>
      </c>
      <c r="K3173" s="15" t="s">
        <v>30</v>
      </c>
      <c r="L3173" s="14" t="s">
        <v>2821</v>
      </c>
      <c r="M3173" s="14" t="s">
        <v>45</v>
      </c>
      <c r="N3173" s="14" t="s">
        <v>62</v>
      </c>
      <c r="O3173" s="14" t="s">
        <v>34</v>
      </c>
      <c r="P3173" s="15" t="s">
        <v>47</v>
      </c>
      <c r="Q3173" s="16">
        <v>9999</v>
      </c>
      <c r="R3173" s="17">
        <v>40</v>
      </c>
      <c r="S3173" s="18">
        <v>6899.3099999999995</v>
      </c>
      <c r="T3173" s="19" t="s">
        <v>36</v>
      </c>
      <c r="U3173" s="20" t="s">
        <v>37</v>
      </c>
      <c r="V3173" s="21" t="s">
        <v>38</v>
      </c>
      <c r="W3173" s="22">
        <v>6</v>
      </c>
      <c r="X3173" s="23"/>
    </row>
    <row r="3174" spans="1:24" s="1" customFormat="1" ht="35" customHeight="1" x14ac:dyDescent="0.3">
      <c r="A3174" s="11" t="s">
        <v>23</v>
      </c>
      <c r="B3174" s="11" t="s">
        <v>2817</v>
      </c>
      <c r="C3174" s="12" t="s">
        <v>2832</v>
      </c>
      <c r="D3174" s="59"/>
      <c r="E3174" s="41" t="str">
        <f>HYPERLINK("https://www.google.ru/search?q=1357139-025&amp;newwindow=1&amp;tbm=isch","Еще фото")</f>
        <v>Еще фото</v>
      </c>
      <c r="F3174" s="13" t="s">
        <v>103</v>
      </c>
      <c r="G3174" s="11" t="s">
        <v>2819</v>
      </c>
      <c r="H3174" s="11" t="s">
        <v>27</v>
      </c>
      <c r="I3174" s="14" t="s">
        <v>2820</v>
      </c>
      <c r="J3174" s="14" t="s">
        <v>29</v>
      </c>
      <c r="K3174" s="15" t="s">
        <v>30</v>
      </c>
      <c r="L3174" s="57" t="s">
        <v>2821</v>
      </c>
      <c r="M3174" s="14" t="s">
        <v>45</v>
      </c>
      <c r="N3174" s="14" t="s">
        <v>62</v>
      </c>
      <c r="O3174" s="14"/>
      <c r="P3174" s="15" t="s">
        <v>47</v>
      </c>
      <c r="Q3174" s="16">
        <v>7899</v>
      </c>
      <c r="R3174" s="17">
        <v>40</v>
      </c>
      <c r="S3174" s="18">
        <v>5450.3099999999995</v>
      </c>
      <c r="T3174" s="19" t="s">
        <v>36</v>
      </c>
      <c r="U3174" s="20" t="s">
        <v>37</v>
      </c>
      <c r="V3174" s="21" t="s">
        <v>38</v>
      </c>
      <c r="W3174" s="22">
        <v>29</v>
      </c>
      <c r="X3174" s="23"/>
    </row>
    <row r="3175" spans="1:24" s="1" customFormat="1" ht="35" customHeight="1" x14ac:dyDescent="0.3">
      <c r="A3175" s="24" t="s">
        <v>23</v>
      </c>
      <c r="B3175" s="24" t="s">
        <v>2817</v>
      </c>
      <c r="C3175" s="12" t="s">
        <v>2832</v>
      </c>
      <c r="D3175" s="60"/>
      <c r="E3175" s="41" t="str">
        <f>HYPERLINK("https://www.google.ru/search?q=1357139-025&amp;newwindow=1&amp;tbm=isch","Еще фото")</f>
        <v>Еще фото</v>
      </c>
      <c r="F3175" s="13" t="s">
        <v>103</v>
      </c>
      <c r="G3175" s="24" t="s">
        <v>2819</v>
      </c>
      <c r="H3175" s="24" t="s">
        <v>27</v>
      </c>
      <c r="I3175" s="24" t="s">
        <v>2820</v>
      </c>
      <c r="J3175" s="14" t="s">
        <v>29</v>
      </c>
      <c r="K3175" s="15" t="s">
        <v>30</v>
      </c>
      <c r="L3175" s="62"/>
      <c r="M3175" s="14" t="s">
        <v>45</v>
      </c>
      <c r="N3175" s="14" t="s">
        <v>62</v>
      </c>
      <c r="O3175" s="14"/>
      <c r="P3175" s="15" t="s">
        <v>47</v>
      </c>
      <c r="Q3175" s="16">
        <v>7899</v>
      </c>
      <c r="R3175" s="17">
        <v>40</v>
      </c>
      <c r="S3175" s="18">
        <v>5450.3099999999995</v>
      </c>
      <c r="T3175" s="19" t="s">
        <v>36</v>
      </c>
      <c r="U3175" s="20" t="s">
        <v>39</v>
      </c>
      <c r="V3175" s="21" t="s">
        <v>40</v>
      </c>
      <c r="W3175" s="22">
        <v>22</v>
      </c>
      <c r="X3175" s="23"/>
    </row>
    <row r="3176" spans="1:24" s="1" customFormat="1" ht="37.049999999999997" customHeight="1" x14ac:dyDescent="0.3">
      <c r="A3176" s="24" t="s">
        <v>23</v>
      </c>
      <c r="B3176" s="24" t="s">
        <v>2817</v>
      </c>
      <c r="C3176" s="12" t="s">
        <v>2832</v>
      </c>
      <c r="D3176" s="61"/>
      <c r="E3176" s="41" t="str">
        <f>HYPERLINK("https://www.google.ru/search?q=1357139-025&amp;newwindow=1&amp;tbm=isch","Еще фото")</f>
        <v>Еще фото</v>
      </c>
      <c r="F3176" s="13" t="s">
        <v>103</v>
      </c>
      <c r="G3176" s="24" t="s">
        <v>2819</v>
      </c>
      <c r="H3176" s="24" t="s">
        <v>27</v>
      </c>
      <c r="I3176" s="24" t="s">
        <v>2820</v>
      </c>
      <c r="J3176" s="14" t="s">
        <v>29</v>
      </c>
      <c r="K3176" s="15" t="s">
        <v>30</v>
      </c>
      <c r="L3176" s="58"/>
      <c r="M3176" s="14" t="s">
        <v>45</v>
      </c>
      <c r="N3176" s="14" t="s">
        <v>62</v>
      </c>
      <c r="O3176" s="14"/>
      <c r="P3176" s="15" t="s">
        <v>47</v>
      </c>
      <c r="Q3176" s="16">
        <v>7899</v>
      </c>
      <c r="R3176" s="17">
        <v>40</v>
      </c>
      <c r="S3176" s="18">
        <v>5450.3099999999995</v>
      </c>
      <c r="T3176" s="19" t="s">
        <v>36</v>
      </c>
      <c r="U3176" s="20" t="s">
        <v>86</v>
      </c>
      <c r="V3176" s="21" t="s">
        <v>87</v>
      </c>
      <c r="W3176" s="22">
        <v>3</v>
      </c>
      <c r="X3176" s="23"/>
    </row>
    <row r="3177" spans="1:24" s="1" customFormat="1" ht="35" customHeight="1" x14ac:dyDescent="0.3">
      <c r="A3177" s="11" t="s">
        <v>23</v>
      </c>
      <c r="B3177" s="11" t="s">
        <v>2817</v>
      </c>
      <c r="C3177" s="12" t="s">
        <v>2833</v>
      </c>
      <c r="D3177" s="59"/>
      <c r="E3177" s="41" t="str">
        <f>HYPERLINK("https://www.google.ru/search?q=1357139-390&amp;newwindow=1&amp;tbm=isch","Еще фото")</f>
        <v>Еще фото</v>
      </c>
      <c r="F3177" s="13" t="s">
        <v>103</v>
      </c>
      <c r="G3177" s="11" t="s">
        <v>2819</v>
      </c>
      <c r="H3177" s="11" t="s">
        <v>27</v>
      </c>
      <c r="I3177" s="14" t="s">
        <v>2820</v>
      </c>
      <c r="J3177" s="14" t="s">
        <v>29</v>
      </c>
      <c r="K3177" s="15" t="s">
        <v>30</v>
      </c>
      <c r="L3177" s="57" t="s">
        <v>2830</v>
      </c>
      <c r="M3177" s="14"/>
      <c r="N3177" s="14" t="s">
        <v>127</v>
      </c>
      <c r="O3177" s="14"/>
      <c r="P3177" s="15" t="s">
        <v>47</v>
      </c>
      <c r="Q3177" s="16">
        <v>7899</v>
      </c>
      <c r="R3177" s="17">
        <v>40</v>
      </c>
      <c r="S3177" s="18">
        <v>5450.3099999999995</v>
      </c>
      <c r="T3177" s="19" t="s">
        <v>36</v>
      </c>
      <c r="U3177" s="20" t="s">
        <v>63</v>
      </c>
      <c r="V3177" s="21" t="s">
        <v>85</v>
      </c>
      <c r="W3177" s="22">
        <v>1</v>
      </c>
      <c r="X3177" s="23"/>
    </row>
    <row r="3178" spans="1:24" s="1" customFormat="1" ht="35" customHeight="1" x14ac:dyDescent="0.3">
      <c r="A3178" s="24" t="s">
        <v>23</v>
      </c>
      <c r="B3178" s="24" t="s">
        <v>2817</v>
      </c>
      <c r="C3178" s="12" t="s">
        <v>2833</v>
      </c>
      <c r="D3178" s="60"/>
      <c r="E3178" s="41" t="str">
        <f>HYPERLINK("https://www.google.ru/search?q=1357139-390&amp;newwindow=1&amp;tbm=isch","Еще фото")</f>
        <v>Еще фото</v>
      </c>
      <c r="F3178" s="13" t="s">
        <v>103</v>
      </c>
      <c r="G3178" s="24" t="s">
        <v>2819</v>
      </c>
      <c r="H3178" s="24" t="s">
        <v>27</v>
      </c>
      <c r="I3178" s="24" t="s">
        <v>2820</v>
      </c>
      <c r="J3178" s="14" t="s">
        <v>29</v>
      </c>
      <c r="K3178" s="15" t="s">
        <v>30</v>
      </c>
      <c r="L3178" s="62"/>
      <c r="M3178" s="14"/>
      <c r="N3178" s="14" t="s">
        <v>127</v>
      </c>
      <c r="O3178" s="14"/>
      <c r="P3178" s="15" t="s">
        <v>47</v>
      </c>
      <c r="Q3178" s="16">
        <v>7899</v>
      </c>
      <c r="R3178" s="17">
        <v>40</v>
      </c>
      <c r="S3178" s="18">
        <v>5450.3099999999995</v>
      </c>
      <c r="T3178" s="19" t="s">
        <v>36</v>
      </c>
      <c r="U3178" s="20" t="s">
        <v>37</v>
      </c>
      <c r="V3178" s="21" t="s">
        <v>38</v>
      </c>
      <c r="W3178" s="22">
        <v>11</v>
      </c>
      <c r="X3178" s="23"/>
    </row>
    <row r="3179" spans="1:24" s="1" customFormat="1" ht="37.049999999999997" customHeight="1" x14ac:dyDescent="0.3">
      <c r="A3179" s="24" t="s">
        <v>23</v>
      </c>
      <c r="B3179" s="24" t="s">
        <v>2817</v>
      </c>
      <c r="C3179" s="12" t="s">
        <v>2833</v>
      </c>
      <c r="D3179" s="61"/>
      <c r="E3179" s="41" t="str">
        <f>HYPERLINK("https://www.google.ru/search?q=1357139-390&amp;newwindow=1&amp;tbm=isch","Еще фото")</f>
        <v>Еще фото</v>
      </c>
      <c r="F3179" s="13" t="s">
        <v>103</v>
      </c>
      <c r="G3179" s="24" t="s">
        <v>2819</v>
      </c>
      <c r="H3179" s="24" t="s">
        <v>27</v>
      </c>
      <c r="I3179" s="24" t="s">
        <v>2820</v>
      </c>
      <c r="J3179" s="14" t="s">
        <v>29</v>
      </c>
      <c r="K3179" s="15" t="s">
        <v>30</v>
      </c>
      <c r="L3179" s="58"/>
      <c r="M3179" s="14"/>
      <c r="N3179" s="14" t="s">
        <v>127</v>
      </c>
      <c r="O3179" s="14"/>
      <c r="P3179" s="15" t="s">
        <v>47</v>
      </c>
      <c r="Q3179" s="16">
        <v>7899</v>
      </c>
      <c r="R3179" s="17">
        <v>40</v>
      </c>
      <c r="S3179" s="18">
        <v>5450.3099999999995</v>
      </c>
      <c r="T3179" s="19" t="s">
        <v>36</v>
      </c>
      <c r="U3179" s="20" t="s">
        <v>39</v>
      </c>
      <c r="V3179" s="21" t="s">
        <v>40</v>
      </c>
      <c r="W3179" s="22">
        <v>1</v>
      </c>
      <c r="X3179" s="23"/>
    </row>
    <row r="3180" spans="1:24" s="1" customFormat="1" ht="108" customHeight="1" x14ac:dyDescent="0.3">
      <c r="A3180" s="11" t="s">
        <v>23</v>
      </c>
      <c r="B3180" s="11" t="s">
        <v>2817</v>
      </c>
      <c r="C3180" s="12" t="s">
        <v>2834</v>
      </c>
      <c r="D3180" s="25"/>
      <c r="E3180" s="41" t="str">
        <f>HYPERLINK("https://www.google.ru/search?q=1357139-410&amp;newwindow=1&amp;tbm=isch","Еще фото")</f>
        <v>Еще фото</v>
      </c>
      <c r="F3180" s="13" t="s">
        <v>103</v>
      </c>
      <c r="G3180" s="11" t="s">
        <v>2819</v>
      </c>
      <c r="H3180" s="11" t="s">
        <v>27</v>
      </c>
      <c r="I3180" s="14" t="s">
        <v>2820</v>
      </c>
      <c r="J3180" s="14" t="s">
        <v>29</v>
      </c>
      <c r="K3180" s="15" t="s">
        <v>30</v>
      </c>
      <c r="L3180" s="14" t="s">
        <v>2835</v>
      </c>
      <c r="M3180" s="14"/>
      <c r="N3180" s="14" t="s">
        <v>115</v>
      </c>
      <c r="O3180" s="14"/>
      <c r="P3180" s="15" t="s">
        <v>47</v>
      </c>
      <c r="Q3180" s="16">
        <v>7899</v>
      </c>
      <c r="R3180" s="17">
        <v>40</v>
      </c>
      <c r="S3180" s="18">
        <v>5450.3099999999995</v>
      </c>
      <c r="T3180" s="19" t="s">
        <v>36</v>
      </c>
      <c r="U3180" s="20" t="s">
        <v>39</v>
      </c>
      <c r="V3180" s="21" t="s">
        <v>40</v>
      </c>
      <c r="W3180" s="22">
        <v>4</v>
      </c>
      <c r="X3180" s="23"/>
    </row>
    <row r="3181" spans="1:24" s="1" customFormat="1" ht="108" customHeight="1" x14ac:dyDescent="0.3">
      <c r="A3181" s="11" t="s">
        <v>23</v>
      </c>
      <c r="B3181" s="11" t="s">
        <v>2836</v>
      </c>
      <c r="C3181" s="12" t="s">
        <v>2837</v>
      </c>
      <c r="D3181" s="25"/>
      <c r="E3181" s="41" t="str">
        <f>HYPERLINK("https://www.google.ru/search?q=1363380-011&amp;newwindow=1&amp;tbm=isch","Еще фото")</f>
        <v>Еще фото</v>
      </c>
      <c r="F3181" s="13"/>
      <c r="G3181" s="11" t="s">
        <v>2819</v>
      </c>
      <c r="H3181" s="11" t="s">
        <v>27</v>
      </c>
      <c r="I3181" s="14" t="s">
        <v>2820</v>
      </c>
      <c r="J3181" s="14" t="s">
        <v>29</v>
      </c>
      <c r="K3181" s="15" t="s">
        <v>50</v>
      </c>
      <c r="L3181" s="14" t="s">
        <v>2838</v>
      </c>
      <c r="M3181" s="14"/>
      <c r="N3181" s="14" t="s">
        <v>62</v>
      </c>
      <c r="O3181" s="14"/>
      <c r="P3181" s="15" t="s">
        <v>47</v>
      </c>
      <c r="Q3181" s="16">
        <v>9199</v>
      </c>
      <c r="R3181" s="17">
        <v>40</v>
      </c>
      <c r="S3181" s="18">
        <v>6347.3099999999995</v>
      </c>
      <c r="T3181" s="19" t="s">
        <v>36</v>
      </c>
      <c r="U3181" s="20" t="s">
        <v>99</v>
      </c>
      <c r="V3181" s="21" t="s">
        <v>100</v>
      </c>
      <c r="W3181" s="22">
        <v>1</v>
      </c>
      <c r="X3181" s="23"/>
    </row>
    <row r="3182" spans="1:24" s="1" customFormat="1" ht="26" customHeight="1" x14ac:dyDescent="0.3">
      <c r="A3182" s="11" t="s">
        <v>23</v>
      </c>
      <c r="B3182" s="11" t="s">
        <v>2839</v>
      </c>
      <c r="C3182" s="12" t="s">
        <v>2840</v>
      </c>
      <c r="D3182" s="59"/>
      <c r="E3182" s="41" t="str">
        <f>HYPERLINK("https://www.google.ru/search?q=1365147-001&amp;newwindow=1&amp;tbm=isch","Еще фото")</f>
        <v>Еще фото</v>
      </c>
      <c r="F3182" s="13" t="s">
        <v>152</v>
      </c>
      <c r="G3182" s="11" t="s">
        <v>2819</v>
      </c>
      <c r="H3182" s="11" t="s">
        <v>27</v>
      </c>
      <c r="I3182" s="14" t="s">
        <v>2820</v>
      </c>
      <c r="J3182" s="14" t="s">
        <v>29</v>
      </c>
      <c r="K3182" s="15" t="s">
        <v>59</v>
      </c>
      <c r="L3182" s="57" t="s">
        <v>2841</v>
      </c>
      <c r="M3182" s="14" t="s">
        <v>45</v>
      </c>
      <c r="N3182" s="14" t="s">
        <v>33</v>
      </c>
      <c r="O3182" s="14"/>
      <c r="P3182" s="15" t="s">
        <v>47</v>
      </c>
      <c r="Q3182" s="16">
        <v>8399</v>
      </c>
      <c r="R3182" s="17">
        <v>40</v>
      </c>
      <c r="S3182" s="18">
        <v>5795.3099999999995</v>
      </c>
      <c r="T3182" s="19" t="s">
        <v>36</v>
      </c>
      <c r="U3182" s="20" t="s">
        <v>63</v>
      </c>
      <c r="V3182" s="21" t="s">
        <v>64</v>
      </c>
      <c r="W3182" s="22">
        <v>6</v>
      </c>
      <c r="X3182" s="23"/>
    </row>
    <row r="3183" spans="1:24" s="1" customFormat="1" ht="26" customHeight="1" x14ac:dyDescent="0.3">
      <c r="A3183" s="24" t="s">
        <v>23</v>
      </c>
      <c r="B3183" s="24" t="s">
        <v>2839</v>
      </c>
      <c r="C3183" s="12" t="s">
        <v>2840</v>
      </c>
      <c r="D3183" s="60"/>
      <c r="E3183" s="41" t="str">
        <f>HYPERLINK("https://www.google.ru/search?q=1365147-001&amp;newwindow=1&amp;tbm=isch","Еще фото")</f>
        <v>Еще фото</v>
      </c>
      <c r="F3183" s="13" t="s">
        <v>152</v>
      </c>
      <c r="G3183" s="24" t="s">
        <v>2819</v>
      </c>
      <c r="H3183" s="24" t="s">
        <v>27</v>
      </c>
      <c r="I3183" s="24" t="s">
        <v>2820</v>
      </c>
      <c r="J3183" s="14" t="s">
        <v>29</v>
      </c>
      <c r="K3183" s="15" t="s">
        <v>59</v>
      </c>
      <c r="L3183" s="62"/>
      <c r="M3183" s="14" t="s">
        <v>45</v>
      </c>
      <c r="N3183" s="14" t="s">
        <v>33</v>
      </c>
      <c r="O3183" s="14"/>
      <c r="P3183" s="15" t="s">
        <v>47</v>
      </c>
      <c r="Q3183" s="16">
        <v>8399</v>
      </c>
      <c r="R3183" s="17">
        <v>40</v>
      </c>
      <c r="S3183" s="18">
        <v>5795.3099999999995</v>
      </c>
      <c r="T3183" s="19" t="s">
        <v>36</v>
      </c>
      <c r="U3183" s="20" t="s">
        <v>37</v>
      </c>
      <c r="V3183" s="21" t="s">
        <v>106</v>
      </c>
      <c r="W3183" s="22">
        <v>21</v>
      </c>
      <c r="X3183" s="23"/>
    </row>
    <row r="3184" spans="1:24" s="1" customFormat="1" ht="26" customHeight="1" x14ac:dyDescent="0.3">
      <c r="A3184" s="24" t="s">
        <v>23</v>
      </c>
      <c r="B3184" s="24" t="s">
        <v>2839</v>
      </c>
      <c r="C3184" s="12" t="s">
        <v>2840</v>
      </c>
      <c r="D3184" s="60"/>
      <c r="E3184" s="41" t="str">
        <f>HYPERLINK("https://www.google.ru/search?q=1365147-001&amp;newwindow=1&amp;tbm=isch","Еще фото")</f>
        <v>Еще фото</v>
      </c>
      <c r="F3184" s="13" t="s">
        <v>152</v>
      </c>
      <c r="G3184" s="24" t="s">
        <v>2819</v>
      </c>
      <c r="H3184" s="24" t="s">
        <v>27</v>
      </c>
      <c r="I3184" s="24" t="s">
        <v>2820</v>
      </c>
      <c r="J3184" s="14" t="s">
        <v>29</v>
      </c>
      <c r="K3184" s="15" t="s">
        <v>59</v>
      </c>
      <c r="L3184" s="62"/>
      <c r="M3184" s="14" t="s">
        <v>45</v>
      </c>
      <c r="N3184" s="14" t="s">
        <v>33</v>
      </c>
      <c r="O3184" s="14"/>
      <c r="P3184" s="15" t="s">
        <v>47</v>
      </c>
      <c r="Q3184" s="16">
        <v>8399</v>
      </c>
      <c r="R3184" s="17">
        <v>40</v>
      </c>
      <c r="S3184" s="18">
        <v>5795.3099999999995</v>
      </c>
      <c r="T3184" s="19" t="s">
        <v>36</v>
      </c>
      <c r="U3184" s="20" t="s">
        <v>39</v>
      </c>
      <c r="V3184" s="21" t="s">
        <v>85</v>
      </c>
      <c r="W3184" s="22">
        <v>2</v>
      </c>
      <c r="X3184" s="23"/>
    </row>
    <row r="3185" spans="1:24" s="1" customFormat="1" ht="26" customHeight="1" x14ac:dyDescent="0.3">
      <c r="A3185" s="24" t="s">
        <v>23</v>
      </c>
      <c r="B3185" s="24" t="s">
        <v>2839</v>
      </c>
      <c r="C3185" s="12" t="s">
        <v>2840</v>
      </c>
      <c r="D3185" s="61"/>
      <c r="E3185" s="41" t="str">
        <f>HYPERLINK("https://www.google.ru/search?q=1365147-001&amp;newwindow=1&amp;tbm=isch","Еще фото")</f>
        <v>Еще фото</v>
      </c>
      <c r="F3185" s="13" t="s">
        <v>152</v>
      </c>
      <c r="G3185" s="24" t="s">
        <v>2819</v>
      </c>
      <c r="H3185" s="24" t="s">
        <v>27</v>
      </c>
      <c r="I3185" s="24" t="s">
        <v>2820</v>
      </c>
      <c r="J3185" s="14" t="s">
        <v>29</v>
      </c>
      <c r="K3185" s="15" t="s">
        <v>59</v>
      </c>
      <c r="L3185" s="58"/>
      <c r="M3185" s="14" t="s">
        <v>45</v>
      </c>
      <c r="N3185" s="14" t="s">
        <v>33</v>
      </c>
      <c r="O3185" s="14"/>
      <c r="P3185" s="15" t="s">
        <v>47</v>
      </c>
      <c r="Q3185" s="16">
        <v>8399</v>
      </c>
      <c r="R3185" s="17">
        <v>40</v>
      </c>
      <c r="S3185" s="18">
        <v>5795.3099999999995</v>
      </c>
      <c r="T3185" s="19" t="s">
        <v>36</v>
      </c>
      <c r="U3185" s="20" t="s">
        <v>86</v>
      </c>
      <c r="V3185" s="21" t="s">
        <v>38</v>
      </c>
      <c r="W3185" s="22">
        <v>1</v>
      </c>
      <c r="X3185" s="23"/>
    </row>
    <row r="3186" spans="1:24" s="1" customFormat="1" ht="52.05" customHeight="1" x14ac:dyDescent="0.3">
      <c r="A3186" s="11" t="s">
        <v>23</v>
      </c>
      <c r="B3186" s="11" t="s">
        <v>2825</v>
      </c>
      <c r="C3186" s="12" t="s">
        <v>2842</v>
      </c>
      <c r="D3186" s="55"/>
      <c r="E3186" s="41" t="str">
        <f>HYPERLINK("https://www.google.ru/search?q=1366212-006&amp;newwindow=1&amp;tbm=isch","Еще фото")</f>
        <v>Еще фото</v>
      </c>
      <c r="F3186" s="13"/>
      <c r="G3186" s="11" t="s">
        <v>2819</v>
      </c>
      <c r="H3186" s="11" t="s">
        <v>27</v>
      </c>
      <c r="I3186" s="14" t="s">
        <v>2820</v>
      </c>
      <c r="J3186" s="14" t="s">
        <v>29</v>
      </c>
      <c r="K3186" s="15" t="s">
        <v>30</v>
      </c>
      <c r="L3186" s="57" t="s">
        <v>2827</v>
      </c>
      <c r="M3186" s="14"/>
      <c r="N3186" s="14" t="s">
        <v>2843</v>
      </c>
      <c r="O3186" s="14"/>
      <c r="P3186" s="15" t="s">
        <v>47</v>
      </c>
      <c r="Q3186" s="16">
        <v>10999</v>
      </c>
      <c r="R3186" s="17">
        <v>40</v>
      </c>
      <c r="S3186" s="18">
        <v>7589.3099999999986</v>
      </c>
      <c r="T3186" s="19" t="s">
        <v>36</v>
      </c>
      <c r="U3186" s="20" t="s">
        <v>63</v>
      </c>
      <c r="V3186" s="21" t="s">
        <v>85</v>
      </c>
      <c r="W3186" s="22">
        <v>1</v>
      </c>
      <c r="X3186" s="23"/>
    </row>
    <row r="3187" spans="1:24" s="1" customFormat="1" ht="61.05" customHeight="1" x14ac:dyDescent="0.3">
      <c r="A3187" s="24" t="s">
        <v>23</v>
      </c>
      <c r="B3187" s="24" t="s">
        <v>2825</v>
      </c>
      <c r="C3187" s="12" t="s">
        <v>2842</v>
      </c>
      <c r="D3187" s="56"/>
      <c r="E3187" s="41" t="str">
        <f>HYPERLINK("https://www.google.ru/search?q=1366212-006&amp;newwindow=1&amp;tbm=isch","Еще фото")</f>
        <v>Еще фото</v>
      </c>
      <c r="F3187" s="13"/>
      <c r="G3187" s="24" t="s">
        <v>2819</v>
      </c>
      <c r="H3187" s="24" t="s">
        <v>27</v>
      </c>
      <c r="I3187" s="24" t="s">
        <v>2820</v>
      </c>
      <c r="J3187" s="14" t="s">
        <v>29</v>
      </c>
      <c r="K3187" s="15" t="s">
        <v>30</v>
      </c>
      <c r="L3187" s="58"/>
      <c r="M3187" s="14"/>
      <c r="N3187" s="14" t="s">
        <v>2843</v>
      </c>
      <c r="O3187" s="14"/>
      <c r="P3187" s="15" t="s">
        <v>47</v>
      </c>
      <c r="Q3187" s="16">
        <v>10999</v>
      </c>
      <c r="R3187" s="17">
        <v>40</v>
      </c>
      <c r="S3187" s="18">
        <v>7589.3099999999986</v>
      </c>
      <c r="T3187" s="19" t="s">
        <v>36</v>
      </c>
      <c r="U3187" s="20" t="s">
        <v>39</v>
      </c>
      <c r="V3187" s="21" t="s">
        <v>40</v>
      </c>
      <c r="W3187" s="22">
        <v>5</v>
      </c>
      <c r="X3187" s="23"/>
    </row>
    <row r="3188" spans="1:24" s="1" customFormat="1" ht="52.05" customHeight="1" x14ac:dyDescent="0.3">
      <c r="A3188" s="11" t="s">
        <v>23</v>
      </c>
      <c r="B3188" s="11" t="s">
        <v>2844</v>
      </c>
      <c r="C3188" s="12" t="s">
        <v>2845</v>
      </c>
      <c r="D3188" s="55"/>
      <c r="E3188" s="41" t="str">
        <f>HYPERLINK("https://www.google.ru/search?q=1379768-025&amp;newwindow=1&amp;tbm=isch","Еще фото")</f>
        <v>Еще фото</v>
      </c>
      <c r="F3188" s="13" t="s">
        <v>103</v>
      </c>
      <c r="G3188" s="11" t="s">
        <v>2819</v>
      </c>
      <c r="H3188" s="11" t="s">
        <v>27</v>
      </c>
      <c r="I3188" s="14" t="s">
        <v>2820</v>
      </c>
      <c r="J3188" s="14" t="s">
        <v>29</v>
      </c>
      <c r="K3188" s="15" t="s">
        <v>30</v>
      </c>
      <c r="L3188" s="57" t="s">
        <v>2846</v>
      </c>
      <c r="M3188" s="14" t="s">
        <v>68</v>
      </c>
      <c r="N3188" s="14" t="s">
        <v>62</v>
      </c>
      <c r="O3188" s="14"/>
      <c r="P3188" s="15" t="s">
        <v>120</v>
      </c>
      <c r="Q3188" s="16">
        <v>12399</v>
      </c>
      <c r="R3188" s="17">
        <v>40</v>
      </c>
      <c r="S3188" s="18">
        <v>8555.31</v>
      </c>
      <c r="T3188" s="19" t="s">
        <v>36</v>
      </c>
      <c r="U3188" s="20" t="s">
        <v>37</v>
      </c>
      <c r="V3188" s="21" t="s">
        <v>38</v>
      </c>
      <c r="W3188" s="22">
        <v>7</v>
      </c>
      <c r="X3188" s="23"/>
    </row>
    <row r="3189" spans="1:24" s="1" customFormat="1" ht="61.05" customHeight="1" x14ac:dyDescent="0.3">
      <c r="A3189" s="24" t="s">
        <v>23</v>
      </c>
      <c r="B3189" s="24" t="s">
        <v>2844</v>
      </c>
      <c r="C3189" s="12" t="s">
        <v>2845</v>
      </c>
      <c r="D3189" s="56"/>
      <c r="E3189" s="41" t="str">
        <f>HYPERLINK("https://www.google.ru/search?q=1379768-025&amp;newwindow=1&amp;tbm=isch","Еще фото")</f>
        <v>Еще фото</v>
      </c>
      <c r="F3189" s="13" t="s">
        <v>103</v>
      </c>
      <c r="G3189" s="24" t="s">
        <v>2819</v>
      </c>
      <c r="H3189" s="24" t="s">
        <v>27</v>
      </c>
      <c r="I3189" s="24" t="s">
        <v>2820</v>
      </c>
      <c r="J3189" s="14" t="s">
        <v>29</v>
      </c>
      <c r="K3189" s="15" t="s">
        <v>30</v>
      </c>
      <c r="L3189" s="58"/>
      <c r="M3189" s="14" t="s">
        <v>68</v>
      </c>
      <c r="N3189" s="14" t="s">
        <v>62</v>
      </c>
      <c r="O3189" s="14"/>
      <c r="P3189" s="15" t="s">
        <v>120</v>
      </c>
      <c r="Q3189" s="16">
        <v>12399</v>
      </c>
      <c r="R3189" s="17">
        <v>40</v>
      </c>
      <c r="S3189" s="18">
        <v>8555.31</v>
      </c>
      <c r="T3189" s="19" t="s">
        <v>36</v>
      </c>
      <c r="U3189" s="20" t="s">
        <v>39</v>
      </c>
      <c r="V3189" s="21" t="s">
        <v>40</v>
      </c>
      <c r="W3189" s="22">
        <v>19</v>
      </c>
      <c r="X3189" s="23"/>
    </row>
    <row r="3190" spans="1:24" s="1" customFormat="1" ht="35" customHeight="1" x14ac:dyDescent="0.3">
      <c r="A3190" s="11" t="s">
        <v>23</v>
      </c>
      <c r="B3190" s="11" t="s">
        <v>2847</v>
      </c>
      <c r="C3190" s="12" t="s">
        <v>2848</v>
      </c>
      <c r="D3190" s="59"/>
      <c r="E3190" s="41" t="str">
        <f>HYPERLINK("https://www.google.ru/search?q=6001966-498&amp;newwindow=1&amp;tbm=isch","Еще фото")</f>
        <v>Еще фото</v>
      </c>
      <c r="F3190" s="13" t="s">
        <v>103</v>
      </c>
      <c r="G3190" s="11" t="s">
        <v>2819</v>
      </c>
      <c r="H3190" s="11" t="s">
        <v>27</v>
      </c>
      <c r="I3190" s="14" t="s">
        <v>2820</v>
      </c>
      <c r="J3190" s="14" t="s">
        <v>43</v>
      </c>
      <c r="K3190" s="15" t="s">
        <v>59</v>
      </c>
      <c r="L3190" s="57" t="s">
        <v>2849</v>
      </c>
      <c r="M3190" s="14"/>
      <c r="N3190" s="14" t="s">
        <v>115</v>
      </c>
      <c r="O3190" s="14"/>
      <c r="P3190" s="15" t="s">
        <v>47</v>
      </c>
      <c r="Q3190" s="16">
        <v>8799</v>
      </c>
      <c r="R3190" s="17">
        <v>40</v>
      </c>
      <c r="S3190" s="18">
        <v>6071.3099999999995</v>
      </c>
      <c r="T3190" s="19" t="s">
        <v>36</v>
      </c>
      <c r="U3190" s="20" t="s">
        <v>63</v>
      </c>
      <c r="V3190" s="21" t="s">
        <v>64</v>
      </c>
      <c r="W3190" s="22">
        <v>13</v>
      </c>
      <c r="X3190" s="23"/>
    </row>
    <row r="3191" spans="1:24" s="1" customFormat="1" ht="35" customHeight="1" x14ac:dyDescent="0.3">
      <c r="A3191" s="24" t="s">
        <v>23</v>
      </c>
      <c r="B3191" s="24" t="s">
        <v>2847</v>
      </c>
      <c r="C3191" s="12" t="s">
        <v>2848</v>
      </c>
      <c r="D3191" s="60"/>
      <c r="E3191" s="41" t="str">
        <f>HYPERLINK("https://www.google.ru/search?q=6001966-498&amp;newwindow=1&amp;tbm=isch","Еще фото")</f>
        <v>Еще фото</v>
      </c>
      <c r="F3191" s="13" t="s">
        <v>103</v>
      </c>
      <c r="G3191" s="24" t="s">
        <v>2819</v>
      </c>
      <c r="H3191" s="24" t="s">
        <v>27</v>
      </c>
      <c r="I3191" s="24" t="s">
        <v>2820</v>
      </c>
      <c r="J3191" s="14" t="s">
        <v>43</v>
      </c>
      <c r="K3191" s="15" t="s">
        <v>59</v>
      </c>
      <c r="L3191" s="62"/>
      <c r="M3191" s="14"/>
      <c r="N3191" s="14" t="s">
        <v>115</v>
      </c>
      <c r="O3191" s="14"/>
      <c r="P3191" s="15" t="s">
        <v>47</v>
      </c>
      <c r="Q3191" s="16">
        <v>8799</v>
      </c>
      <c r="R3191" s="17">
        <v>40</v>
      </c>
      <c r="S3191" s="18">
        <v>6071.3099999999995</v>
      </c>
      <c r="T3191" s="19" t="s">
        <v>36</v>
      </c>
      <c r="U3191" s="20" t="s">
        <v>37</v>
      </c>
      <c r="V3191" s="21" t="s">
        <v>106</v>
      </c>
      <c r="W3191" s="22">
        <v>13</v>
      </c>
      <c r="X3191" s="23"/>
    </row>
    <row r="3192" spans="1:24" s="1" customFormat="1" ht="37.049999999999997" customHeight="1" x14ac:dyDescent="0.3">
      <c r="A3192" s="24" t="s">
        <v>23</v>
      </c>
      <c r="B3192" s="24" t="s">
        <v>2847</v>
      </c>
      <c r="C3192" s="12" t="s">
        <v>2848</v>
      </c>
      <c r="D3192" s="61"/>
      <c r="E3192" s="41" t="str">
        <f>HYPERLINK("https://www.google.ru/search?q=6001966-498&amp;newwindow=1&amp;tbm=isch","Еще фото")</f>
        <v>Еще фото</v>
      </c>
      <c r="F3192" s="13" t="s">
        <v>103</v>
      </c>
      <c r="G3192" s="24" t="s">
        <v>2819</v>
      </c>
      <c r="H3192" s="24" t="s">
        <v>27</v>
      </c>
      <c r="I3192" s="24" t="s">
        <v>2820</v>
      </c>
      <c r="J3192" s="14" t="s">
        <v>43</v>
      </c>
      <c r="K3192" s="15" t="s">
        <v>59</v>
      </c>
      <c r="L3192" s="58"/>
      <c r="M3192" s="14"/>
      <c r="N3192" s="14" t="s">
        <v>115</v>
      </c>
      <c r="O3192" s="14"/>
      <c r="P3192" s="15" t="s">
        <v>47</v>
      </c>
      <c r="Q3192" s="16">
        <v>8799</v>
      </c>
      <c r="R3192" s="17">
        <v>40</v>
      </c>
      <c r="S3192" s="18">
        <v>6071.3099999999995</v>
      </c>
      <c r="T3192" s="19" t="s">
        <v>36</v>
      </c>
      <c r="U3192" s="20" t="s">
        <v>86</v>
      </c>
      <c r="V3192" s="21" t="s">
        <v>38</v>
      </c>
      <c r="W3192" s="22">
        <v>6</v>
      </c>
      <c r="X3192" s="23"/>
    </row>
    <row r="3193" spans="1:24" s="1" customFormat="1" ht="52.05" customHeight="1" x14ac:dyDescent="0.3">
      <c r="A3193" s="11" t="s">
        <v>23</v>
      </c>
      <c r="B3193" s="11" t="s">
        <v>2850</v>
      </c>
      <c r="C3193" s="12" t="s">
        <v>2851</v>
      </c>
      <c r="D3193" s="55"/>
      <c r="E3193" s="41" t="str">
        <f>HYPERLINK("https://www.google.ru/search?q=6004052-587&amp;newwindow=1&amp;tbm=isch","Еще фото")</f>
        <v>Еще фото</v>
      </c>
      <c r="F3193" s="13" t="s">
        <v>103</v>
      </c>
      <c r="G3193" s="11" t="s">
        <v>2819</v>
      </c>
      <c r="H3193" s="11" t="s">
        <v>27</v>
      </c>
      <c r="I3193" s="14" t="s">
        <v>2820</v>
      </c>
      <c r="J3193" s="14" t="s">
        <v>311</v>
      </c>
      <c r="K3193" s="15" t="s">
        <v>30</v>
      </c>
      <c r="L3193" s="57" t="s">
        <v>2852</v>
      </c>
      <c r="M3193" s="14"/>
      <c r="N3193" s="14" t="s">
        <v>115</v>
      </c>
      <c r="O3193" s="14"/>
      <c r="P3193" s="15" t="s">
        <v>47</v>
      </c>
      <c r="Q3193" s="16">
        <v>10399</v>
      </c>
      <c r="R3193" s="17">
        <v>40</v>
      </c>
      <c r="S3193" s="18">
        <v>7175.3099999999986</v>
      </c>
      <c r="T3193" s="19" t="s">
        <v>36</v>
      </c>
      <c r="U3193" s="20" t="s">
        <v>37</v>
      </c>
      <c r="V3193" s="21" t="s">
        <v>38</v>
      </c>
      <c r="W3193" s="22">
        <v>1</v>
      </c>
      <c r="X3193" s="23"/>
    </row>
    <row r="3194" spans="1:24" s="1" customFormat="1" ht="61.05" customHeight="1" x14ac:dyDescent="0.3">
      <c r="A3194" s="24" t="s">
        <v>23</v>
      </c>
      <c r="B3194" s="24" t="s">
        <v>2850</v>
      </c>
      <c r="C3194" s="12" t="s">
        <v>2851</v>
      </c>
      <c r="D3194" s="56"/>
      <c r="E3194" s="41" t="str">
        <f>HYPERLINK("https://www.google.ru/search?q=6004052-587&amp;newwindow=1&amp;tbm=isch","Еще фото")</f>
        <v>Еще фото</v>
      </c>
      <c r="F3194" s="13" t="s">
        <v>103</v>
      </c>
      <c r="G3194" s="24" t="s">
        <v>2819</v>
      </c>
      <c r="H3194" s="24" t="s">
        <v>27</v>
      </c>
      <c r="I3194" s="24" t="s">
        <v>2820</v>
      </c>
      <c r="J3194" s="14" t="s">
        <v>311</v>
      </c>
      <c r="K3194" s="15" t="s">
        <v>30</v>
      </c>
      <c r="L3194" s="58"/>
      <c r="M3194" s="14"/>
      <c r="N3194" s="14" t="s">
        <v>115</v>
      </c>
      <c r="O3194" s="14"/>
      <c r="P3194" s="15" t="s">
        <v>47</v>
      </c>
      <c r="Q3194" s="16">
        <v>10399</v>
      </c>
      <c r="R3194" s="17">
        <v>40</v>
      </c>
      <c r="S3194" s="18">
        <v>7175.3099999999986</v>
      </c>
      <c r="T3194" s="19" t="s">
        <v>36</v>
      </c>
      <c r="U3194" s="20" t="s">
        <v>39</v>
      </c>
      <c r="V3194" s="21" t="s">
        <v>40</v>
      </c>
      <c r="W3194" s="22">
        <v>2</v>
      </c>
      <c r="X3194" s="23"/>
    </row>
    <row r="3195" spans="1:24" s="1" customFormat="1" ht="35" customHeight="1" x14ac:dyDescent="0.3">
      <c r="A3195" s="11" t="s">
        <v>23</v>
      </c>
      <c r="B3195" s="11" t="s">
        <v>2853</v>
      </c>
      <c r="C3195" s="12" t="s">
        <v>2854</v>
      </c>
      <c r="D3195" s="59"/>
      <c r="E3195" s="41" t="str">
        <f>HYPERLINK("https://www.google.ru/search?q=6004054-002&amp;newwindow=1&amp;tbm=isch","Еще фото")</f>
        <v>Еще фото</v>
      </c>
      <c r="F3195" s="13" t="s">
        <v>103</v>
      </c>
      <c r="G3195" s="11" t="s">
        <v>2819</v>
      </c>
      <c r="H3195" s="11" t="s">
        <v>27</v>
      </c>
      <c r="I3195" s="14" t="s">
        <v>2820</v>
      </c>
      <c r="J3195" s="14" t="s">
        <v>311</v>
      </c>
      <c r="K3195" s="15" t="s">
        <v>30</v>
      </c>
      <c r="L3195" s="57" t="s">
        <v>2855</v>
      </c>
      <c r="M3195" s="14"/>
      <c r="N3195" s="14" t="s">
        <v>33</v>
      </c>
      <c r="O3195" s="14"/>
      <c r="P3195" s="15" t="s">
        <v>53</v>
      </c>
      <c r="Q3195" s="16">
        <v>16799</v>
      </c>
      <c r="R3195" s="17">
        <v>40</v>
      </c>
      <c r="S3195" s="18">
        <v>11591.31</v>
      </c>
      <c r="T3195" s="19" t="s">
        <v>36</v>
      </c>
      <c r="U3195" s="20" t="s">
        <v>37</v>
      </c>
      <c r="V3195" s="21" t="s">
        <v>38</v>
      </c>
      <c r="W3195" s="22">
        <v>1</v>
      </c>
      <c r="X3195" s="23"/>
    </row>
    <row r="3196" spans="1:24" s="1" customFormat="1" ht="35" customHeight="1" x14ac:dyDescent="0.3">
      <c r="A3196" s="24" t="s">
        <v>23</v>
      </c>
      <c r="B3196" s="24" t="s">
        <v>2853</v>
      </c>
      <c r="C3196" s="12" t="s">
        <v>2854</v>
      </c>
      <c r="D3196" s="60"/>
      <c r="E3196" s="41" t="str">
        <f>HYPERLINK("https://www.google.ru/search?q=6004054-002&amp;newwindow=1&amp;tbm=isch","Еще фото")</f>
        <v>Еще фото</v>
      </c>
      <c r="F3196" s="13" t="s">
        <v>103</v>
      </c>
      <c r="G3196" s="24" t="s">
        <v>2819</v>
      </c>
      <c r="H3196" s="24" t="s">
        <v>27</v>
      </c>
      <c r="I3196" s="24" t="s">
        <v>2820</v>
      </c>
      <c r="J3196" s="14" t="s">
        <v>311</v>
      </c>
      <c r="K3196" s="15" t="s">
        <v>30</v>
      </c>
      <c r="L3196" s="62"/>
      <c r="M3196" s="14"/>
      <c r="N3196" s="14" t="s">
        <v>33</v>
      </c>
      <c r="O3196" s="14"/>
      <c r="P3196" s="15" t="s">
        <v>53</v>
      </c>
      <c r="Q3196" s="16">
        <v>16799</v>
      </c>
      <c r="R3196" s="17">
        <v>40</v>
      </c>
      <c r="S3196" s="18">
        <v>11591.31</v>
      </c>
      <c r="T3196" s="19" t="s">
        <v>36</v>
      </c>
      <c r="U3196" s="20" t="s">
        <v>39</v>
      </c>
      <c r="V3196" s="21" t="s">
        <v>40</v>
      </c>
      <c r="W3196" s="22">
        <v>8</v>
      </c>
      <c r="X3196" s="23"/>
    </row>
    <row r="3197" spans="1:24" s="1" customFormat="1" ht="37.049999999999997" customHeight="1" x14ac:dyDescent="0.3">
      <c r="A3197" s="24" t="s">
        <v>23</v>
      </c>
      <c r="B3197" s="24" t="s">
        <v>2853</v>
      </c>
      <c r="C3197" s="12" t="s">
        <v>2854</v>
      </c>
      <c r="D3197" s="61"/>
      <c r="E3197" s="41" t="str">
        <f>HYPERLINK("https://www.google.ru/search?q=6004054-002&amp;newwindow=1&amp;tbm=isch","Еще фото")</f>
        <v>Еще фото</v>
      </c>
      <c r="F3197" s="13" t="s">
        <v>103</v>
      </c>
      <c r="G3197" s="24" t="s">
        <v>2819</v>
      </c>
      <c r="H3197" s="24" t="s">
        <v>27</v>
      </c>
      <c r="I3197" s="24" t="s">
        <v>2820</v>
      </c>
      <c r="J3197" s="14" t="s">
        <v>311</v>
      </c>
      <c r="K3197" s="15" t="s">
        <v>30</v>
      </c>
      <c r="L3197" s="58"/>
      <c r="M3197" s="14"/>
      <c r="N3197" s="14" t="s">
        <v>33</v>
      </c>
      <c r="O3197" s="14"/>
      <c r="P3197" s="15" t="s">
        <v>53</v>
      </c>
      <c r="Q3197" s="16">
        <v>16799</v>
      </c>
      <c r="R3197" s="17">
        <v>40</v>
      </c>
      <c r="S3197" s="18">
        <v>11591.31</v>
      </c>
      <c r="T3197" s="19" t="s">
        <v>36</v>
      </c>
      <c r="U3197" s="20" t="s">
        <v>86</v>
      </c>
      <c r="V3197" s="21" t="s">
        <v>87</v>
      </c>
      <c r="W3197" s="22">
        <v>13</v>
      </c>
      <c r="X3197" s="23"/>
    </row>
    <row r="3198" spans="1:24" s="1" customFormat="1" ht="26" customHeight="1" x14ac:dyDescent="0.3">
      <c r="A3198" s="11" t="s">
        <v>23</v>
      </c>
      <c r="B3198" s="11" t="s">
        <v>2853</v>
      </c>
      <c r="C3198" s="12" t="s">
        <v>2856</v>
      </c>
      <c r="D3198" s="59"/>
      <c r="E3198" s="41" t="str">
        <f>HYPERLINK("https://www.google.ru/search?q=6004054-919&amp;newwindow=1&amp;tbm=isch","Еще фото")</f>
        <v>Еще фото</v>
      </c>
      <c r="F3198" s="13" t="s">
        <v>103</v>
      </c>
      <c r="G3198" s="11" t="s">
        <v>2819</v>
      </c>
      <c r="H3198" s="11" t="s">
        <v>27</v>
      </c>
      <c r="I3198" s="14" t="s">
        <v>2820</v>
      </c>
      <c r="J3198" s="14" t="s">
        <v>311</v>
      </c>
      <c r="K3198" s="15" t="s">
        <v>30</v>
      </c>
      <c r="L3198" s="57" t="s">
        <v>2855</v>
      </c>
      <c r="M3198" s="14"/>
      <c r="N3198" s="14" t="s">
        <v>127</v>
      </c>
      <c r="O3198" s="14"/>
      <c r="P3198" s="15" t="s">
        <v>53</v>
      </c>
      <c r="Q3198" s="16">
        <v>16799</v>
      </c>
      <c r="R3198" s="17">
        <v>40</v>
      </c>
      <c r="S3198" s="18">
        <v>11591.31</v>
      </c>
      <c r="T3198" s="19" t="s">
        <v>36</v>
      </c>
      <c r="U3198" s="20" t="s">
        <v>37</v>
      </c>
      <c r="V3198" s="21" t="s">
        <v>38</v>
      </c>
      <c r="W3198" s="22">
        <v>2</v>
      </c>
      <c r="X3198" s="23"/>
    </row>
    <row r="3199" spans="1:24" s="1" customFormat="1" ht="26" customHeight="1" x14ac:dyDescent="0.3">
      <c r="A3199" s="24" t="s">
        <v>23</v>
      </c>
      <c r="B3199" s="24" t="s">
        <v>2853</v>
      </c>
      <c r="C3199" s="12" t="s">
        <v>2856</v>
      </c>
      <c r="D3199" s="60"/>
      <c r="E3199" s="41" t="str">
        <f>HYPERLINK("https://www.google.ru/search?q=6004054-919&amp;newwindow=1&amp;tbm=isch","Еще фото")</f>
        <v>Еще фото</v>
      </c>
      <c r="F3199" s="13" t="s">
        <v>103</v>
      </c>
      <c r="G3199" s="24" t="s">
        <v>2819</v>
      </c>
      <c r="H3199" s="24" t="s">
        <v>27</v>
      </c>
      <c r="I3199" s="24" t="s">
        <v>2820</v>
      </c>
      <c r="J3199" s="14" t="s">
        <v>311</v>
      </c>
      <c r="K3199" s="15" t="s">
        <v>30</v>
      </c>
      <c r="L3199" s="62"/>
      <c r="M3199" s="14"/>
      <c r="N3199" s="14" t="s">
        <v>127</v>
      </c>
      <c r="O3199" s="14"/>
      <c r="P3199" s="15" t="s">
        <v>53</v>
      </c>
      <c r="Q3199" s="16">
        <v>16799</v>
      </c>
      <c r="R3199" s="17">
        <v>40</v>
      </c>
      <c r="S3199" s="18">
        <v>11591.31</v>
      </c>
      <c r="T3199" s="19" t="s">
        <v>36</v>
      </c>
      <c r="U3199" s="20" t="s">
        <v>86</v>
      </c>
      <c r="V3199" s="21" t="s">
        <v>87</v>
      </c>
      <c r="W3199" s="22">
        <v>13</v>
      </c>
      <c r="X3199" s="23"/>
    </row>
    <row r="3200" spans="1:24" s="1" customFormat="1" ht="26" customHeight="1" x14ac:dyDescent="0.3">
      <c r="A3200" s="24" t="s">
        <v>23</v>
      </c>
      <c r="B3200" s="24" t="s">
        <v>2853</v>
      </c>
      <c r="C3200" s="12" t="s">
        <v>2856</v>
      </c>
      <c r="D3200" s="60"/>
      <c r="E3200" s="41" t="str">
        <f>HYPERLINK("https://www.google.ru/search?q=6004054-919&amp;newwindow=1&amp;tbm=isch","Еще фото")</f>
        <v>Еще фото</v>
      </c>
      <c r="F3200" s="13" t="s">
        <v>103</v>
      </c>
      <c r="G3200" s="24" t="s">
        <v>2819</v>
      </c>
      <c r="H3200" s="24" t="s">
        <v>27</v>
      </c>
      <c r="I3200" s="24" t="s">
        <v>2820</v>
      </c>
      <c r="J3200" s="14" t="s">
        <v>311</v>
      </c>
      <c r="K3200" s="15" t="s">
        <v>30</v>
      </c>
      <c r="L3200" s="62"/>
      <c r="M3200" s="14"/>
      <c r="N3200" s="14" t="s">
        <v>127</v>
      </c>
      <c r="O3200" s="14"/>
      <c r="P3200" s="15" t="s">
        <v>53</v>
      </c>
      <c r="Q3200" s="16">
        <v>16799</v>
      </c>
      <c r="R3200" s="17">
        <v>40</v>
      </c>
      <c r="S3200" s="18">
        <v>11591.31</v>
      </c>
      <c r="T3200" s="19" t="s">
        <v>36</v>
      </c>
      <c r="U3200" s="20" t="s">
        <v>88</v>
      </c>
      <c r="V3200" s="21" t="s">
        <v>89</v>
      </c>
      <c r="W3200" s="22">
        <v>5</v>
      </c>
      <c r="X3200" s="23"/>
    </row>
    <row r="3201" spans="1:24" s="1" customFormat="1" ht="26" customHeight="1" x14ac:dyDescent="0.3">
      <c r="A3201" s="24" t="s">
        <v>23</v>
      </c>
      <c r="B3201" s="24" t="s">
        <v>2853</v>
      </c>
      <c r="C3201" s="12" t="s">
        <v>2856</v>
      </c>
      <c r="D3201" s="61"/>
      <c r="E3201" s="41" t="str">
        <f>HYPERLINK("https://www.google.ru/search?q=6004054-919&amp;newwindow=1&amp;tbm=isch","Еще фото")</f>
        <v>Еще фото</v>
      </c>
      <c r="F3201" s="13" t="s">
        <v>103</v>
      </c>
      <c r="G3201" s="24" t="s">
        <v>2819</v>
      </c>
      <c r="H3201" s="24" t="s">
        <v>27</v>
      </c>
      <c r="I3201" s="24" t="s">
        <v>2820</v>
      </c>
      <c r="J3201" s="14" t="s">
        <v>311</v>
      </c>
      <c r="K3201" s="15" t="s">
        <v>30</v>
      </c>
      <c r="L3201" s="58"/>
      <c r="M3201" s="14"/>
      <c r="N3201" s="14" t="s">
        <v>127</v>
      </c>
      <c r="O3201" s="14"/>
      <c r="P3201" s="15" t="s">
        <v>53</v>
      </c>
      <c r="Q3201" s="16">
        <v>16799</v>
      </c>
      <c r="R3201" s="17">
        <v>40</v>
      </c>
      <c r="S3201" s="18">
        <v>11591.31</v>
      </c>
      <c r="T3201" s="19" t="s">
        <v>36</v>
      </c>
      <c r="U3201" s="20" t="s">
        <v>90</v>
      </c>
      <c r="V3201" s="21" t="s">
        <v>91</v>
      </c>
      <c r="W3201" s="22">
        <v>2</v>
      </c>
      <c r="X3201" s="23"/>
    </row>
    <row r="3202" spans="1:24" s="1" customFormat="1" ht="21" customHeight="1" x14ac:dyDescent="0.3">
      <c r="A3202" s="11" t="s">
        <v>23</v>
      </c>
      <c r="B3202" s="11" t="s">
        <v>2822</v>
      </c>
      <c r="C3202" s="26" t="s">
        <v>2857</v>
      </c>
      <c r="D3202" s="59"/>
      <c r="E3202" s="41" t="str">
        <f>HYPERLINK("https://www.google.ru/search?q=6004082-001&amp;newwindow=1&amp;tbm=isch","Еще фото")</f>
        <v>Еще фото</v>
      </c>
      <c r="F3202" s="13"/>
      <c r="G3202" s="11" t="s">
        <v>2819</v>
      </c>
      <c r="H3202" s="11" t="s">
        <v>27</v>
      </c>
      <c r="I3202" s="14" t="s">
        <v>2820</v>
      </c>
      <c r="J3202" s="14" t="s">
        <v>311</v>
      </c>
      <c r="K3202" s="15" t="s">
        <v>50</v>
      </c>
      <c r="L3202" s="57" t="s">
        <v>2824</v>
      </c>
      <c r="M3202" s="14"/>
      <c r="N3202" s="14" t="s">
        <v>33</v>
      </c>
      <c r="O3202" s="14"/>
      <c r="P3202" s="15" t="s">
        <v>47</v>
      </c>
      <c r="Q3202" s="16">
        <v>8799</v>
      </c>
      <c r="R3202" s="17">
        <v>40</v>
      </c>
      <c r="S3202" s="18">
        <v>6071.3099999999995</v>
      </c>
      <c r="T3202" s="19" t="s">
        <v>36</v>
      </c>
      <c r="U3202" s="20" t="s">
        <v>99</v>
      </c>
      <c r="V3202" s="21" t="s">
        <v>100</v>
      </c>
      <c r="W3202" s="22">
        <v>4</v>
      </c>
      <c r="X3202" s="23"/>
    </row>
    <row r="3203" spans="1:24" s="1" customFormat="1" ht="21" customHeight="1" x14ac:dyDescent="0.3">
      <c r="A3203" s="24" t="s">
        <v>23</v>
      </c>
      <c r="B3203" s="24" t="s">
        <v>2822</v>
      </c>
      <c r="C3203" s="27" t="s">
        <v>2857</v>
      </c>
      <c r="D3203" s="60"/>
      <c r="E3203" s="41" t="str">
        <f>HYPERLINK("https://www.google.ru/search?q=6004082-001&amp;newwindow=1&amp;tbm=isch","Еще фото")</f>
        <v>Еще фото</v>
      </c>
      <c r="F3203" s="13"/>
      <c r="G3203" s="24" t="s">
        <v>2819</v>
      </c>
      <c r="H3203" s="24" t="s">
        <v>27</v>
      </c>
      <c r="I3203" s="24" t="s">
        <v>2820</v>
      </c>
      <c r="J3203" s="14" t="s">
        <v>311</v>
      </c>
      <c r="K3203" s="15" t="s">
        <v>50</v>
      </c>
      <c r="L3203" s="62"/>
      <c r="M3203" s="14"/>
      <c r="N3203" s="14" t="s">
        <v>33</v>
      </c>
      <c r="O3203" s="14"/>
      <c r="P3203" s="15" t="s">
        <v>47</v>
      </c>
      <c r="Q3203" s="16">
        <v>8799</v>
      </c>
      <c r="R3203" s="17">
        <v>40</v>
      </c>
      <c r="S3203" s="18">
        <v>6071.3099999999995</v>
      </c>
      <c r="T3203" s="19" t="s">
        <v>36</v>
      </c>
      <c r="U3203" s="20" t="s">
        <v>54</v>
      </c>
      <c r="V3203" s="21" t="s">
        <v>55</v>
      </c>
      <c r="W3203" s="22">
        <v>7</v>
      </c>
      <c r="X3203" s="23"/>
    </row>
    <row r="3204" spans="1:24" s="1" customFormat="1" ht="21" customHeight="1" x14ac:dyDescent="0.3">
      <c r="A3204" s="24" t="s">
        <v>23</v>
      </c>
      <c r="B3204" s="24" t="s">
        <v>2822</v>
      </c>
      <c r="C3204" s="27" t="s">
        <v>2857</v>
      </c>
      <c r="D3204" s="60"/>
      <c r="E3204" s="41" t="str">
        <f>HYPERLINK("https://www.google.ru/search?q=6004082-001&amp;newwindow=1&amp;tbm=isch","Еще фото")</f>
        <v>Еще фото</v>
      </c>
      <c r="F3204" s="13"/>
      <c r="G3204" s="24" t="s">
        <v>2819</v>
      </c>
      <c r="H3204" s="24" t="s">
        <v>27</v>
      </c>
      <c r="I3204" s="24" t="s">
        <v>2820</v>
      </c>
      <c r="J3204" s="14" t="s">
        <v>311</v>
      </c>
      <c r="K3204" s="15" t="s">
        <v>50</v>
      </c>
      <c r="L3204" s="62"/>
      <c r="M3204" s="14"/>
      <c r="N3204" s="14" t="s">
        <v>33</v>
      </c>
      <c r="O3204" s="14"/>
      <c r="P3204" s="15" t="s">
        <v>47</v>
      </c>
      <c r="Q3204" s="16">
        <v>8799</v>
      </c>
      <c r="R3204" s="17">
        <v>40</v>
      </c>
      <c r="S3204" s="18">
        <v>6071.3099999999995</v>
      </c>
      <c r="T3204" s="19" t="s">
        <v>36</v>
      </c>
      <c r="U3204" s="20" t="s">
        <v>234</v>
      </c>
      <c r="V3204" s="21" t="s">
        <v>235</v>
      </c>
      <c r="W3204" s="22">
        <v>1</v>
      </c>
      <c r="X3204" s="23"/>
    </row>
    <row r="3205" spans="1:24" s="1" customFormat="1" ht="21" customHeight="1" x14ac:dyDescent="0.3">
      <c r="A3205" s="24" t="s">
        <v>23</v>
      </c>
      <c r="B3205" s="24" t="s">
        <v>2822</v>
      </c>
      <c r="C3205" s="27" t="s">
        <v>2857</v>
      </c>
      <c r="D3205" s="60"/>
      <c r="E3205" s="41" t="str">
        <f>HYPERLINK("https://www.google.ru/search?q=6004082-001&amp;newwindow=1&amp;tbm=isch","Еще фото")</f>
        <v>Еще фото</v>
      </c>
      <c r="F3205" s="13"/>
      <c r="G3205" s="24" t="s">
        <v>2819</v>
      </c>
      <c r="H3205" s="24" t="s">
        <v>27</v>
      </c>
      <c r="I3205" s="24" t="s">
        <v>2820</v>
      </c>
      <c r="J3205" s="14" t="s">
        <v>311</v>
      </c>
      <c r="K3205" s="15" t="s">
        <v>50</v>
      </c>
      <c r="L3205" s="62"/>
      <c r="M3205" s="14"/>
      <c r="N3205" s="14" t="s">
        <v>33</v>
      </c>
      <c r="O3205" s="14"/>
      <c r="P3205" s="15" t="s">
        <v>47</v>
      </c>
      <c r="Q3205" s="16">
        <v>8799</v>
      </c>
      <c r="R3205" s="17">
        <v>40</v>
      </c>
      <c r="S3205" s="18">
        <v>6071.3099999999995</v>
      </c>
      <c r="T3205" s="19" t="s">
        <v>36</v>
      </c>
      <c r="U3205" s="20" t="s">
        <v>71</v>
      </c>
      <c r="V3205" s="21" t="s">
        <v>72</v>
      </c>
      <c r="W3205" s="22">
        <v>9</v>
      </c>
      <c r="X3205" s="23"/>
    </row>
    <row r="3206" spans="1:24" s="1" customFormat="1" ht="32" customHeight="1" x14ac:dyDescent="0.3">
      <c r="A3206" s="24" t="s">
        <v>23</v>
      </c>
      <c r="B3206" s="24" t="s">
        <v>2822</v>
      </c>
      <c r="C3206" s="27" t="s">
        <v>2857</v>
      </c>
      <c r="D3206" s="61"/>
      <c r="E3206" s="41" t="str">
        <f>HYPERLINK("https://www.google.ru/search?q=6004082-001&amp;newwindow=1&amp;tbm=isch","Еще фото")</f>
        <v>Еще фото</v>
      </c>
      <c r="F3206" s="13"/>
      <c r="G3206" s="24" t="s">
        <v>2819</v>
      </c>
      <c r="H3206" s="24" t="s">
        <v>27</v>
      </c>
      <c r="I3206" s="24" t="s">
        <v>2820</v>
      </c>
      <c r="J3206" s="14" t="s">
        <v>311</v>
      </c>
      <c r="K3206" s="15" t="s">
        <v>50</v>
      </c>
      <c r="L3206" s="58"/>
      <c r="M3206" s="14"/>
      <c r="N3206" s="14" t="s">
        <v>33</v>
      </c>
      <c r="O3206" s="14"/>
      <c r="P3206" s="15" t="s">
        <v>47</v>
      </c>
      <c r="Q3206" s="16">
        <v>8799</v>
      </c>
      <c r="R3206" s="17">
        <v>40</v>
      </c>
      <c r="S3206" s="18">
        <v>6071.3099999999995</v>
      </c>
      <c r="T3206" s="19" t="s">
        <v>36</v>
      </c>
      <c r="U3206" s="20" t="s">
        <v>73</v>
      </c>
      <c r="V3206" s="21" t="s">
        <v>74</v>
      </c>
      <c r="W3206" s="22">
        <v>3</v>
      </c>
      <c r="X3206" s="23"/>
    </row>
    <row r="3207" spans="1:24" s="1" customFormat="1" ht="108" customHeight="1" x14ac:dyDescent="0.3">
      <c r="A3207" s="11" t="s">
        <v>23</v>
      </c>
      <c r="B3207" s="11" t="s">
        <v>2858</v>
      </c>
      <c r="C3207" s="12" t="s">
        <v>2859</v>
      </c>
      <c r="D3207" s="25"/>
      <c r="E3207" s="41" t="str">
        <f>HYPERLINK("https://www.google.ru/search?q=1369221-001&amp;newwindow=1&amp;tbm=isch","Еще фото")</f>
        <v>Еще фото</v>
      </c>
      <c r="F3207" s="13" t="s">
        <v>103</v>
      </c>
      <c r="G3207" s="11" t="s">
        <v>2860</v>
      </c>
      <c r="H3207" s="11" t="s">
        <v>2659</v>
      </c>
      <c r="I3207" s="14" t="s">
        <v>2861</v>
      </c>
      <c r="J3207" s="14" t="s">
        <v>29</v>
      </c>
      <c r="K3207" s="15" t="s">
        <v>723</v>
      </c>
      <c r="L3207" s="14" t="s">
        <v>2862</v>
      </c>
      <c r="M3207" s="14" t="s">
        <v>32</v>
      </c>
      <c r="N3207" s="14" t="s">
        <v>33</v>
      </c>
      <c r="O3207" s="14"/>
      <c r="P3207" s="15" t="s">
        <v>47</v>
      </c>
      <c r="Q3207" s="16">
        <v>4299</v>
      </c>
      <c r="R3207" s="17">
        <v>40</v>
      </c>
      <c r="S3207" s="18">
        <v>2966.31</v>
      </c>
      <c r="T3207" s="19" t="s">
        <v>725</v>
      </c>
      <c r="U3207" s="20" t="s">
        <v>726</v>
      </c>
      <c r="V3207" s="21" t="s">
        <v>2630</v>
      </c>
      <c r="W3207" s="22">
        <v>3</v>
      </c>
      <c r="X3207" s="23"/>
    </row>
    <row r="3208" spans="1:24" s="1" customFormat="1" ht="108" customHeight="1" x14ac:dyDescent="0.3">
      <c r="A3208" s="11" t="s">
        <v>23</v>
      </c>
      <c r="B3208" s="11" t="s">
        <v>2858</v>
      </c>
      <c r="C3208" s="12" t="s">
        <v>2863</v>
      </c>
      <c r="D3208" s="25"/>
      <c r="E3208" s="41" t="str">
        <f>HYPERLINK("https://www.google.ru/search?q=1369221-012&amp;newwindow=1&amp;tbm=isch","Еще фото")</f>
        <v>Еще фото</v>
      </c>
      <c r="F3208" s="13" t="s">
        <v>103</v>
      </c>
      <c r="G3208" s="11" t="s">
        <v>2860</v>
      </c>
      <c r="H3208" s="11" t="s">
        <v>2659</v>
      </c>
      <c r="I3208" s="14" t="s">
        <v>2861</v>
      </c>
      <c r="J3208" s="14" t="s">
        <v>29</v>
      </c>
      <c r="K3208" s="15" t="s">
        <v>723</v>
      </c>
      <c r="L3208" s="14" t="s">
        <v>2862</v>
      </c>
      <c r="M3208" s="14"/>
      <c r="N3208" s="14" t="s">
        <v>62</v>
      </c>
      <c r="O3208" s="14"/>
      <c r="P3208" s="15" t="s">
        <v>47</v>
      </c>
      <c r="Q3208" s="16">
        <v>4299</v>
      </c>
      <c r="R3208" s="17">
        <v>40</v>
      </c>
      <c r="S3208" s="18">
        <v>2966.31</v>
      </c>
      <c r="T3208" s="19" t="s">
        <v>725</v>
      </c>
      <c r="U3208" s="20" t="s">
        <v>726</v>
      </c>
      <c r="V3208" s="21" t="s">
        <v>2630</v>
      </c>
      <c r="W3208" s="22">
        <v>31</v>
      </c>
      <c r="X3208" s="23"/>
    </row>
    <row r="3209" spans="1:24" s="1" customFormat="1" ht="108" customHeight="1" x14ac:dyDescent="0.3">
      <c r="A3209" s="11" t="s">
        <v>23</v>
      </c>
      <c r="B3209" s="11" t="s">
        <v>2864</v>
      </c>
      <c r="C3209" s="12" t="s">
        <v>2865</v>
      </c>
      <c r="D3209" s="25"/>
      <c r="E3209" s="41" t="str">
        <f>HYPERLINK("https://www.google.ru/search?q=1369222-007&amp;newwindow=1&amp;tbm=isch","Еще фото")</f>
        <v>Еще фото</v>
      </c>
      <c r="F3209" s="13" t="s">
        <v>103</v>
      </c>
      <c r="G3209" s="11" t="s">
        <v>2860</v>
      </c>
      <c r="H3209" s="11" t="s">
        <v>2659</v>
      </c>
      <c r="I3209" s="14" t="s">
        <v>2861</v>
      </c>
      <c r="J3209" s="14" t="s">
        <v>29</v>
      </c>
      <c r="K3209" s="15" t="s">
        <v>723</v>
      </c>
      <c r="L3209" s="14" t="s">
        <v>2866</v>
      </c>
      <c r="M3209" s="14" t="s">
        <v>32</v>
      </c>
      <c r="N3209" s="14" t="s">
        <v>33</v>
      </c>
      <c r="O3209" s="14"/>
      <c r="P3209" s="15" t="s">
        <v>47</v>
      </c>
      <c r="Q3209" s="16">
        <v>5199</v>
      </c>
      <c r="R3209" s="17">
        <v>40</v>
      </c>
      <c r="S3209" s="18">
        <v>3587.31</v>
      </c>
      <c r="T3209" s="19" t="s">
        <v>725</v>
      </c>
      <c r="U3209" s="20" t="s">
        <v>726</v>
      </c>
      <c r="V3209" s="21" t="s">
        <v>2630</v>
      </c>
      <c r="W3209" s="22">
        <v>6</v>
      </c>
      <c r="X3209" s="23"/>
    </row>
    <row r="3210" spans="1:24" s="1" customFormat="1" ht="108" customHeight="1" x14ac:dyDescent="0.3">
      <c r="A3210" s="11" t="s">
        <v>23</v>
      </c>
      <c r="B3210" s="11" t="s">
        <v>2864</v>
      </c>
      <c r="C3210" s="12" t="s">
        <v>2867</v>
      </c>
      <c r="D3210" s="25"/>
      <c r="E3210" s="41" t="str">
        <f>HYPERLINK("https://www.google.ru/search?q=1369222-100&amp;newwindow=1&amp;tbm=isch","Еще фото")</f>
        <v>Еще фото</v>
      </c>
      <c r="F3210" s="13"/>
      <c r="G3210" s="11" t="s">
        <v>2860</v>
      </c>
      <c r="H3210" s="11" t="s">
        <v>2659</v>
      </c>
      <c r="I3210" s="14" t="s">
        <v>2861</v>
      </c>
      <c r="J3210" s="14" t="s">
        <v>29</v>
      </c>
      <c r="K3210" s="15" t="s">
        <v>723</v>
      </c>
      <c r="L3210" s="14" t="s">
        <v>2866</v>
      </c>
      <c r="M3210" s="14"/>
      <c r="N3210" s="14" t="s">
        <v>1957</v>
      </c>
      <c r="O3210" s="14"/>
      <c r="P3210" s="15" t="s">
        <v>47</v>
      </c>
      <c r="Q3210" s="16">
        <v>5199</v>
      </c>
      <c r="R3210" s="17">
        <v>40</v>
      </c>
      <c r="S3210" s="18">
        <v>3587.31</v>
      </c>
      <c r="T3210" s="19" t="s">
        <v>725</v>
      </c>
      <c r="U3210" s="20" t="s">
        <v>726</v>
      </c>
      <c r="V3210" s="21" t="s">
        <v>2630</v>
      </c>
      <c r="W3210" s="22">
        <v>7</v>
      </c>
      <c r="X3210" s="23"/>
    </row>
    <row r="3211" spans="1:24" s="1" customFormat="1" ht="108" customHeight="1" x14ac:dyDescent="0.3">
      <c r="A3211" s="11" t="s">
        <v>23</v>
      </c>
      <c r="B3211" s="11" t="s">
        <v>2864</v>
      </c>
      <c r="C3211" s="12" t="s">
        <v>2868</v>
      </c>
      <c r="D3211" s="25"/>
      <c r="E3211" s="41" t="str">
        <f>HYPERLINK("https://www.google.ru/search?q=1369222-290&amp;newwindow=1&amp;tbm=isch","Еще фото")</f>
        <v>Еще фото</v>
      </c>
      <c r="F3211" s="13" t="s">
        <v>103</v>
      </c>
      <c r="G3211" s="11" t="s">
        <v>2860</v>
      </c>
      <c r="H3211" s="11" t="s">
        <v>2659</v>
      </c>
      <c r="I3211" s="14" t="s">
        <v>2861</v>
      </c>
      <c r="J3211" s="14" t="s">
        <v>29</v>
      </c>
      <c r="K3211" s="15" t="s">
        <v>723</v>
      </c>
      <c r="L3211" s="14" t="s">
        <v>2866</v>
      </c>
      <c r="M3211" s="14"/>
      <c r="N3211" s="14" t="s">
        <v>229</v>
      </c>
      <c r="O3211" s="14"/>
      <c r="P3211" s="15" t="s">
        <v>47</v>
      </c>
      <c r="Q3211" s="16">
        <v>5199</v>
      </c>
      <c r="R3211" s="17">
        <v>40</v>
      </c>
      <c r="S3211" s="18">
        <v>3587.31</v>
      </c>
      <c r="T3211" s="19" t="s">
        <v>725</v>
      </c>
      <c r="U3211" s="20" t="s">
        <v>726</v>
      </c>
      <c r="V3211" s="21" t="s">
        <v>2630</v>
      </c>
      <c r="W3211" s="22">
        <v>8</v>
      </c>
      <c r="X3211" s="23"/>
    </row>
    <row r="3212" spans="1:24" s="1" customFormat="1" ht="108" customHeight="1" x14ac:dyDescent="0.3">
      <c r="A3212" s="11" t="s">
        <v>23</v>
      </c>
      <c r="B3212" s="11" t="s">
        <v>2864</v>
      </c>
      <c r="C3212" s="12" t="s">
        <v>2869</v>
      </c>
      <c r="D3212" s="25"/>
      <c r="E3212" s="41" t="str">
        <f>HYPERLINK("https://www.google.ru/search?q=1369222-410&amp;newwindow=1&amp;tbm=isch","Еще фото")</f>
        <v>Еще фото</v>
      </c>
      <c r="F3212" s="13" t="s">
        <v>103</v>
      </c>
      <c r="G3212" s="11" t="s">
        <v>2860</v>
      </c>
      <c r="H3212" s="11" t="s">
        <v>2659</v>
      </c>
      <c r="I3212" s="14" t="s">
        <v>2861</v>
      </c>
      <c r="J3212" s="14" t="s">
        <v>29</v>
      </c>
      <c r="K3212" s="15" t="s">
        <v>723</v>
      </c>
      <c r="L3212" s="14" t="s">
        <v>2870</v>
      </c>
      <c r="M3212" s="14" t="s">
        <v>32</v>
      </c>
      <c r="N3212" s="14" t="s">
        <v>115</v>
      </c>
      <c r="O3212" s="14"/>
      <c r="P3212" s="15" t="s">
        <v>47</v>
      </c>
      <c r="Q3212" s="16">
        <v>5199</v>
      </c>
      <c r="R3212" s="17">
        <v>40</v>
      </c>
      <c r="S3212" s="18">
        <v>3587.31</v>
      </c>
      <c r="T3212" s="19" t="s">
        <v>725</v>
      </c>
      <c r="U3212" s="20" t="s">
        <v>726</v>
      </c>
      <c r="V3212" s="21" t="s">
        <v>2630</v>
      </c>
      <c r="W3212" s="22">
        <v>11</v>
      </c>
      <c r="X3212" s="23"/>
    </row>
    <row r="3213" spans="1:24" s="1" customFormat="1" ht="108" customHeight="1" x14ac:dyDescent="0.3">
      <c r="A3213" s="11" t="s">
        <v>23</v>
      </c>
      <c r="B3213" s="11" t="s">
        <v>2871</v>
      </c>
      <c r="C3213" s="12" t="s">
        <v>2872</v>
      </c>
      <c r="D3213" s="25"/>
      <c r="E3213" s="41" t="str">
        <f>HYPERLINK("https://www.google.ru/search?q=1369223-010&amp;newwindow=1&amp;tbm=isch","Еще фото")</f>
        <v>Еще фото</v>
      </c>
      <c r="F3213" s="13" t="s">
        <v>103</v>
      </c>
      <c r="G3213" s="11" t="s">
        <v>2860</v>
      </c>
      <c r="H3213" s="11" t="s">
        <v>2659</v>
      </c>
      <c r="I3213" s="14" t="s">
        <v>2861</v>
      </c>
      <c r="J3213" s="14" t="s">
        <v>29</v>
      </c>
      <c r="K3213" s="15" t="s">
        <v>723</v>
      </c>
      <c r="L3213" s="14" t="s">
        <v>2873</v>
      </c>
      <c r="M3213" s="14"/>
      <c r="N3213" s="14" t="s">
        <v>33</v>
      </c>
      <c r="O3213" s="14"/>
      <c r="P3213" s="15" t="s">
        <v>47</v>
      </c>
      <c r="Q3213" s="16">
        <v>5799</v>
      </c>
      <c r="R3213" s="17">
        <v>40</v>
      </c>
      <c r="S3213" s="18">
        <v>4001.31</v>
      </c>
      <c r="T3213" s="19" t="s">
        <v>725</v>
      </c>
      <c r="U3213" s="20" t="s">
        <v>726</v>
      </c>
      <c r="V3213" s="21" t="s">
        <v>2630</v>
      </c>
      <c r="W3213" s="22">
        <v>15</v>
      </c>
      <c r="X3213" s="23"/>
    </row>
    <row r="3214" spans="1:24" s="1" customFormat="1" ht="108" customHeight="1" x14ac:dyDescent="0.3">
      <c r="A3214" s="11" t="s">
        <v>23</v>
      </c>
      <c r="B3214" s="11" t="s">
        <v>2871</v>
      </c>
      <c r="C3214" s="12" t="s">
        <v>2874</v>
      </c>
      <c r="D3214" s="25"/>
      <c r="E3214" s="41" t="str">
        <f>HYPERLINK("https://www.google.ru/search?q=1369223-011&amp;newwindow=1&amp;tbm=isch","Еще фото")</f>
        <v>Еще фото</v>
      </c>
      <c r="F3214" s="13"/>
      <c r="G3214" s="11" t="s">
        <v>2860</v>
      </c>
      <c r="H3214" s="11" t="s">
        <v>2659</v>
      </c>
      <c r="I3214" s="14" t="s">
        <v>2861</v>
      </c>
      <c r="J3214" s="14" t="s">
        <v>29</v>
      </c>
      <c r="K3214" s="15" t="s">
        <v>723</v>
      </c>
      <c r="L3214" s="14" t="s">
        <v>2873</v>
      </c>
      <c r="M3214" s="14"/>
      <c r="N3214" s="14" t="s">
        <v>284</v>
      </c>
      <c r="O3214" s="14"/>
      <c r="P3214" s="15" t="s">
        <v>47</v>
      </c>
      <c r="Q3214" s="16">
        <v>5799</v>
      </c>
      <c r="R3214" s="17">
        <v>40</v>
      </c>
      <c r="S3214" s="18">
        <v>4001.31</v>
      </c>
      <c r="T3214" s="19" t="s">
        <v>725</v>
      </c>
      <c r="U3214" s="20" t="s">
        <v>726</v>
      </c>
      <c r="V3214" s="21" t="s">
        <v>2630</v>
      </c>
      <c r="W3214" s="22">
        <v>18</v>
      </c>
      <c r="X3214" s="23"/>
    </row>
    <row r="3215" spans="1:24" s="1" customFormat="1" ht="108" customHeight="1" x14ac:dyDescent="0.3">
      <c r="A3215" s="11" t="s">
        <v>23</v>
      </c>
      <c r="B3215" s="11" t="s">
        <v>2871</v>
      </c>
      <c r="C3215" s="12" t="s">
        <v>2875</v>
      </c>
      <c r="D3215" s="25"/>
      <c r="E3215" s="41" t="str">
        <f>HYPERLINK("https://www.google.ru/search?q=1369223-290&amp;newwindow=1&amp;tbm=isch","Еще фото")</f>
        <v>Еще фото</v>
      </c>
      <c r="F3215" s="13"/>
      <c r="G3215" s="11" t="s">
        <v>2860</v>
      </c>
      <c r="H3215" s="11" t="s">
        <v>2659</v>
      </c>
      <c r="I3215" s="14" t="s">
        <v>2861</v>
      </c>
      <c r="J3215" s="14" t="s">
        <v>29</v>
      </c>
      <c r="K3215" s="15" t="s">
        <v>723</v>
      </c>
      <c r="L3215" s="14" t="s">
        <v>2873</v>
      </c>
      <c r="M3215" s="14"/>
      <c r="N3215" s="14" t="s">
        <v>229</v>
      </c>
      <c r="O3215" s="14"/>
      <c r="P3215" s="15" t="s">
        <v>47</v>
      </c>
      <c r="Q3215" s="16">
        <v>5799</v>
      </c>
      <c r="R3215" s="17">
        <v>40</v>
      </c>
      <c r="S3215" s="18">
        <v>4001.31</v>
      </c>
      <c r="T3215" s="19" t="s">
        <v>725</v>
      </c>
      <c r="U3215" s="20" t="s">
        <v>726</v>
      </c>
      <c r="V3215" s="21" t="s">
        <v>2630</v>
      </c>
      <c r="W3215" s="22">
        <v>39</v>
      </c>
      <c r="X3215" s="23"/>
    </row>
    <row r="3216" spans="1:24" s="1" customFormat="1" ht="108" customHeight="1" x14ac:dyDescent="0.3">
      <c r="A3216" s="11" t="s">
        <v>23</v>
      </c>
      <c r="B3216" s="11" t="s">
        <v>2871</v>
      </c>
      <c r="C3216" s="12" t="s">
        <v>2876</v>
      </c>
      <c r="D3216" s="25"/>
      <c r="E3216" s="41" t="str">
        <f>HYPERLINK("https://www.google.ru/search?q=1369223-410&amp;newwindow=1&amp;tbm=isch","Еще фото")</f>
        <v>Еще фото</v>
      </c>
      <c r="F3216" s="13" t="s">
        <v>103</v>
      </c>
      <c r="G3216" s="11" t="s">
        <v>2860</v>
      </c>
      <c r="H3216" s="11" t="s">
        <v>2659</v>
      </c>
      <c r="I3216" s="14" t="s">
        <v>2861</v>
      </c>
      <c r="J3216" s="14" t="s">
        <v>29</v>
      </c>
      <c r="K3216" s="15" t="s">
        <v>723</v>
      </c>
      <c r="L3216" s="14" t="s">
        <v>2877</v>
      </c>
      <c r="M3216" s="14"/>
      <c r="N3216" s="14" t="s">
        <v>115</v>
      </c>
      <c r="O3216" s="14"/>
      <c r="P3216" s="15" t="s">
        <v>47</v>
      </c>
      <c r="Q3216" s="16">
        <v>5799</v>
      </c>
      <c r="R3216" s="17">
        <v>40</v>
      </c>
      <c r="S3216" s="18">
        <v>4001.31</v>
      </c>
      <c r="T3216" s="19" t="s">
        <v>725</v>
      </c>
      <c r="U3216" s="20" t="s">
        <v>726</v>
      </c>
      <c r="V3216" s="21" t="s">
        <v>2630</v>
      </c>
      <c r="W3216" s="22">
        <v>42</v>
      </c>
      <c r="X3216" s="23"/>
    </row>
    <row r="3217" spans="1:24" s="1" customFormat="1" ht="108" customHeight="1" x14ac:dyDescent="0.3">
      <c r="A3217" s="11" t="s">
        <v>23</v>
      </c>
      <c r="B3217" s="11" t="s">
        <v>2871</v>
      </c>
      <c r="C3217" s="12" t="s">
        <v>2878</v>
      </c>
      <c r="D3217" s="25"/>
      <c r="E3217" s="41" t="str">
        <f>HYPERLINK("https://www.google.ru/search?q=1369223-477&amp;newwindow=1&amp;tbm=isch","Еще фото")</f>
        <v>Еще фото</v>
      </c>
      <c r="F3217" s="13"/>
      <c r="G3217" s="11" t="s">
        <v>2860</v>
      </c>
      <c r="H3217" s="11" t="s">
        <v>2659</v>
      </c>
      <c r="I3217" s="14" t="s">
        <v>2861</v>
      </c>
      <c r="J3217" s="14" t="s">
        <v>29</v>
      </c>
      <c r="K3217" s="15" t="s">
        <v>723</v>
      </c>
      <c r="L3217" s="14" t="s">
        <v>2873</v>
      </c>
      <c r="M3217" s="14"/>
      <c r="N3217" s="14" t="s">
        <v>46</v>
      </c>
      <c r="O3217" s="14"/>
      <c r="P3217" s="15" t="s">
        <v>47</v>
      </c>
      <c r="Q3217" s="16">
        <v>5799</v>
      </c>
      <c r="R3217" s="17">
        <v>40</v>
      </c>
      <c r="S3217" s="18">
        <v>4001.31</v>
      </c>
      <c r="T3217" s="19" t="s">
        <v>725</v>
      </c>
      <c r="U3217" s="20" t="s">
        <v>726</v>
      </c>
      <c r="V3217" s="21" t="s">
        <v>2630</v>
      </c>
      <c r="W3217" s="22">
        <v>53</v>
      </c>
      <c r="X3217" s="23"/>
    </row>
    <row r="3218" spans="1:24" s="1" customFormat="1" ht="108" customHeight="1" x14ac:dyDescent="0.3">
      <c r="A3218" s="11" t="s">
        <v>23</v>
      </c>
      <c r="B3218" s="11" t="s">
        <v>2879</v>
      </c>
      <c r="C3218" s="12" t="s">
        <v>2880</v>
      </c>
      <c r="D3218" s="25"/>
      <c r="E3218" s="41" t="str">
        <f>HYPERLINK("https://www.google.ru/search?q=1369224-012&amp;newwindow=1&amp;tbm=isch","Еще фото")</f>
        <v>Еще фото</v>
      </c>
      <c r="F3218" s="13" t="s">
        <v>103</v>
      </c>
      <c r="G3218" s="11" t="s">
        <v>2860</v>
      </c>
      <c r="H3218" s="11" t="s">
        <v>2659</v>
      </c>
      <c r="I3218" s="14" t="s">
        <v>2861</v>
      </c>
      <c r="J3218" s="14" t="s">
        <v>29</v>
      </c>
      <c r="K3218" s="15" t="s">
        <v>723</v>
      </c>
      <c r="L3218" s="14" t="s">
        <v>2881</v>
      </c>
      <c r="M3218" s="14"/>
      <c r="N3218" s="14" t="s">
        <v>62</v>
      </c>
      <c r="O3218" s="14"/>
      <c r="P3218" s="15" t="s">
        <v>47</v>
      </c>
      <c r="Q3218" s="16">
        <v>7199</v>
      </c>
      <c r="R3218" s="17">
        <v>40</v>
      </c>
      <c r="S3218" s="18">
        <v>4967.3099999999995</v>
      </c>
      <c r="T3218" s="19" t="s">
        <v>725</v>
      </c>
      <c r="U3218" s="20" t="s">
        <v>726</v>
      </c>
      <c r="V3218" s="21" t="s">
        <v>2630</v>
      </c>
      <c r="W3218" s="22">
        <v>25</v>
      </c>
      <c r="X3218" s="23"/>
    </row>
    <row r="3219" spans="1:24" s="1" customFormat="1" ht="108" customHeight="1" x14ac:dyDescent="0.3">
      <c r="A3219" s="11" t="s">
        <v>23</v>
      </c>
      <c r="B3219" s="11" t="s">
        <v>2882</v>
      </c>
      <c r="C3219" s="12" t="s">
        <v>2883</v>
      </c>
      <c r="D3219" s="25"/>
      <c r="E3219" s="41" t="str">
        <f>HYPERLINK("https://www.google.ru/search?q=1381907-002&amp;newwindow=1&amp;tbm=isch","Еще фото")</f>
        <v>Еще фото</v>
      </c>
      <c r="F3219" s="13" t="s">
        <v>103</v>
      </c>
      <c r="G3219" s="11" t="s">
        <v>2860</v>
      </c>
      <c r="H3219" s="11" t="s">
        <v>2659</v>
      </c>
      <c r="I3219" s="14" t="s">
        <v>2861</v>
      </c>
      <c r="J3219" s="14" t="s">
        <v>29</v>
      </c>
      <c r="K3219" s="15" t="s">
        <v>59</v>
      </c>
      <c r="L3219" s="14" t="s">
        <v>2884</v>
      </c>
      <c r="M3219" s="14"/>
      <c r="N3219" s="14" t="s">
        <v>33</v>
      </c>
      <c r="O3219" s="14"/>
      <c r="P3219" s="15" t="s">
        <v>2885</v>
      </c>
      <c r="Q3219" s="16">
        <v>7699</v>
      </c>
      <c r="R3219" s="17">
        <v>40</v>
      </c>
      <c r="S3219" s="18">
        <v>5312.3099999999995</v>
      </c>
      <c r="T3219" s="19" t="s">
        <v>725</v>
      </c>
      <c r="U3219" s="20" t="s">
        <v>726</v>
      </c>
      <c r="V3219" s="21" t="s">
        <v>2630</v>
      </c>
      <c r="W3219" s="22">
        <v>30</v>
      </c>
      <c r="X3219" s="23"/>
    </row>
    <row r="3220" spans="1:24" s="1" customFormat="1" ht="108" customHeight="1" x14ac:dyDescent="0.3">
      <c r="A3220" s="11" t="s">
        <v>23</v>
      </c>
      <c r="B3220" s="11" t="s">
        <v>2882</v>
      </c>
      <c r="C3220" s="12" t="s">
        <v>2886</v>
      </c>
      <c r="D3220" s="25"/>
      <c r="E3220" s="41" t="str">
        <f>HYPERLINK("https://www.google.ru/search?q=1381907-703&amp;newwindow=1&amp;tbm=isch","Еще фото")</f>
        <v>Еще фото</v>
      </c>
      <c r="F3220" s="13"/>
      <c r="G3220" s="11" t="s">
        <v>2860</v>
      </c>
      <c r="H3220" s="11" t="s">
        <v>2659</v>
      </c>
      <c r="I3220" s="14" t="s">
        <v>2861</v>
      </c>
      <c r="J3220" s="14" t="s">
        <v>43</v>
      </c>
      <c r="K3220" s="15" t="s">
        <v>59</v>
      </c>
      <c r="L3220" s="14" t="s">
        <v>2884</v>
      </c>
      <c r="M3220" s="14"/>
      <c r="N3220" s="14" t="s">
        <v>46</v>
      </c>
      <c r="O3220" s="14"/>
      <c r="P3220" s="15" t="s">
        <v>2885</v>
      </c>
      <c r="Q3220" s="16">
        <v>6499</v>
      </c>
      <c r="R3220" s="17">
        <v>40</v>
      </c>
      <c r="S3220" s="18">
        <v>4484.3099999999995</v>
      </c>
      <c r="T3220" s="19" t="s">
        <v>725</v>
      </c>
      <c r="U3220" s="20" t="s">
        <v>726</v>
      </c>
      <c r="V3220" s="21" t="s">
        <v>2630</v>
      </c>
      <c r="W3220" s="22">
        <v>51</v>
      </c>
      <c r="X3220" s="23"/>
    </row>
    <row r="3221" spans="1:24" s="1" customFormat="1" ht="108" customHeight="1" x14ac:dyDescent="0.3">
      <c r="A3221" s="11" t="s">
        <v>23</v>
      </c>
      <c r="B3221" s="11" t="s">
        <v>2887</v>
      </c>
      <c r="C3221" s="12" t="s">
        <v>2888</v>
      </c>
      <c r="D3221" s="25"/>
      <c r="E3221" s="41" t="str">
        <f>HYPERLINK("https://www.google.ru/search?q=1381920-001&amp;newwindow=1&amp;tbm=isch","Еще фото")</f>
        <v>Еще фото</v>
      </c>
      <c r="F3221" s="13" t="s">
        <v>103</v>
      </c>
      <c r="G3221" s="11" t="s">
        <v>2860</v>
      </c>
      <c r="H3221" s="11" t="s">
        <v>2659</v>
      </c>
      <c r="I3221" s="14" t="s">
        <v>2861</v>
      </c>
      <c r="J3221" s="14" t="s">
        <v>29</v>
      </c>
      <c r="K3221" s="15" t="s">
        <v>723</v>
      </c>
      <c r="L3221" s="14" t="s">
        <v>2889</v>
      </c>
      <c r="M3221" s="14"/>
      <c r="N3221" s="14" t="s">
        <v>33</v>
      </c>
      <c r="O3221" s="14"/>
      <c r="P3221" s="15" t="s">
        <v>47</v>
      </c>
      <c r="Q3221" s="16">
        <v>8899</v>
      </c>
      <c r="R3221" s="17">
        <v>40</v>
      </c>
      <c r="S3221" s="18">
        <v>6140.3099999999995</v>
      </c>
      <c r="T3221" s="19" t="s">
        <v>725</v>
      </c>
      <c r="U3221" s="20" t="s">
        <v>726</v>
      </c>
      <c r="V3221" s="21" t="s">
        <v>2630</v>
      </c>
      <c r="W3221" s="22">
        <v>29</v>
      </c>
      <c r="X3221" s="23"/>
    </row>
    <row r="3222" spans="1:24" s="1" customFormat="1" ht="108" customHeight="1" x14ac:dyDescent="0.3">
      <c r="A3222" s="11" t="s">
        <v>23</v>
      </c>
      <c r="B3222" s="11" t="s">
        <v>2890</v>
      </c>
      <c r="C3222" s="12" t="s">
        <v>2891</v>
      </c>
      <c r="D3222" s="25"/>
      <c r="E3222" s="41" t="str">
        <f>HYPERLINK("https://www.google.ru/search?q=1388920-600&amp;newwindow=1&amp;tbm=isch","Еще фото")</f>
        <v>Еще фото</v>
      </c>
      <c r="F3222" s="13"/>
      <c r="G3222" s="11" t="s">
        <v>2860</v>
      </c>
      <c r="H3222" s="11" t="s">
        <v>2659</v>
      </c>
      <c r="I3222" s="14" t="s">
        <v>2861</v>
      </c>
      <c r="J3222" s="14" t="s">
        <v>43</v>
      </c>
      <c r="K3222" s="15" t="s">
        <v>59</v>
      </c>
      <c r="L3222" s="14" t="s">
        <v>2892</v>
      </c>
      <c r="M3222" s="14"/>
      <c r="N3222" s="14" t="s">
        <v>69</v>
      </c>
      <c r="O3222" s="14"/>
      <c r="P3222" s="15" t="s">
        <v>47</v>
      </c>
      <c r="Q3222" s="16">
        <v>3599</v>
      </c>
      <c r="R3222" s="17">
        <v>40</v>
      </c>
      <c r="S3222" s="18">
        <v>2483.31</v>
      </c>
      <c r="T3222" s="19" t="s">
        <v>725</v>
      </c>
      <c r="U3222" s="20" t="s">
        <v>726</v>
      </c>
      <c r="V3222" s="21" t="s">
        <v>2630</v>
      </c>
      <c r="W3222" s="22">
        <v>31</v>
      </c>
      <c r="X3222" s="23"/>
    </row>
    <row r="3223" spans="1:24" s="1" customFormat="1" ht="21" customHeight="1" x14ac:dyDescent="0.3">
      <c r="A3223" s="11" t="s">
        <v>23</v>
      </c>
      <c r="B3223" s="11" t="s">
        <v>293</v>
      </c>
      <c r="C3223" s="26" t="s">
        <v>2893</v>
      </c>
      <c r="D3223" s="59"/>
      <c r="E3223" s="41" t="str">
        <f>HYPERLINK("https://www.google.ru/search?q=1366060-390&amp;newwindow=1&amp;tbm=isch","Еще фото")</f>
        <v>Еще фото</v>
      </c>
      <c r="F3223" s="13"/>
      <c r="G3223" s="11" t="s">
        <v>295</v>
      </c>
      <c r="H3223" s="11" t="s">
        <v>27</v>
      </c>
      <c r="I3223" s="14" t="s">
        <v>2894</v>
      </c>
      <c r="J3223" s="14" t="s">
        <v>29</v>
      </c>
      <c r="K3223" s="15" t="s">
        <v>30</v>
      </c>
      <c r="L3223" s="57" t="s">
        <v>2895</v>
      </c>
      <c r="M3223" s="14" t="s">
        <v>297</v>
      </c>
      <c r="N3223" s="14" t="s">
        <v>871</v>
      </c>
      <c r="O3223" s="14"/>
      <c r="P3223" s="15" t="s">
        <v>298</v>
      </c>
      <c r="Q3223" s="16">
        <v>10999</v>
      </c>
      <c r="R3223" s="17">
        <v>61.56</v>
      </c>
      <c r="S3223" s="18">
        <v>4861.9355000000005</v>
      </c>
      <c r="T3223" s="19" t="s">
        <v>36</v>
      </c>
      <c r="U3223" s="20" t="s">
        <v>63</v>
      </c>
      <c r="V3223" s="21" t="s">
        <v>85</v>
      </c>
      <c r="W3223" s="22">
        <v>5</v>
      </c>
      <c r="X3223" s="23"/>
    </row>
    <row r="3224" spans="1:24" s="1" customFormat="1" ht="21" customHeight="1" x14ac:dyDescent="0.3">
      <c r="A3224" s="24" t="s">
        <v>23</v>
      </c>
      <c r="B3224" s="24" t="s">
        <v>293</v>
      </c>
      <c r="C3224" s="27" t="s">
        <v>2893</v>
      </c>
      <c r="D3224" s="60"/>
      <c r="E3224" s="41" t="str">
        <f>HYPERLINK("https://www.google.ru/search?q=1366060-390&amp;newwindow=1&amp;tbm=isch","Еще фото")</f>
        <v>Еще фото</v>
      </c>
      <c r="F3224" s="13"/>
      <c r="G3224" s="24" t="s">
        <v>295</v>
      </c>
      <c r="H3224" s="24" t="s">
        <v>27</v>
      </c>
      <c r="I3224" s="24" t="s">
        <v>2894</v>
      </c>
      <c r="J3224" s="14" t="s">
        <v>29</v>
      </c>
      <c r="K3224" s="15" t="s">
        <v>30</v>
      </c>
      <c r="L3224" s="62"/>
      <c r="M3224" s="14" t="s">
        <v>297</v>
      </c>
      <c r="N3224" s="14" t="s">
        <v>871</v>
      </c>
      <c r="O3224" s="14"/>
      <c r="P3224" s="15" t="s">
        <v>298</v>
      </c>
      <c r="Q3224" s="16">
        <v>10999</v>
      </c>
      <c r="R3224" s="17">
        <v>61.56</v>
      </c>
      <c r="S3224" s="18">
        <v>4861.9355000000005</v>
      </c>
      <c r="T3224" s="19" t="s">
        <v>36</v>
      </c>
      <c r="U3224" s="20" t="s">
        <v>37</v>
      </c>
      <c r="V3224" s="21" t="s">
        <v>38</v>
      </c>
      <c r="W3224" s="22">
        <v>5</v>
      </c>
      <c r="X3224" s="23"/>
    </row>
    <row r="3225" spans="1:24" s="1" customFormat="1" ht="21" customHeight="1" x14ac:dyDescent="0.3">
      <c r="A3225" s="24" t="s">
        <v>23</v>
      </c>
      <c r="B3225" s="24" t="s">
        <v>293</v>
      </c>
      <c r="C3225" s="27" t="s">
        <v>2893</v>
      </c>
      <c r="D3225" s="60"/>
      <c r="E3225" s="41" t="str">
        <f>HYPERLINK("https://www.google.ru/search?q=1366060-390&amp;newwindow=1&amp;tbm=isch","Еще фото")</f>
        <v>Еще фото</v>
      </c>
      <c r="F3225" s="13"/>
      <c r="G3225" s="24" t="s">
        <v>295</v>
      </c>
      <c r="H3225" s="24" t="s">
        <v>27</v>
      </c>
      <c r="I3225" s="24" t="s">
        <v>2894</v>
      </c>
      <c r="J3225" s="14" t="s">
        <v>29</v>
      </c>
      <c r="K3225" s="15" t="s">
        <v>30</v>
      </c>
      <c r="L3225" s="62"/>
      <c r="M3225" s="14" t="s">
        <v>297</v>
      </c>
      <c r="N3225" s="14" t="s">
        <v>871</v>
      </c>
      <c r="O3225" s="14"/>
      <c r="P3225" s="15" t="s">
        <v>298</v>
      </c>
      <c r="Q3225" s="16">
        <v>10999</v>
      </c>
      <c r="R3225" s="17">
        <v>61.56</v>
      </c>
      <c r="S3225" s="18">
        <v>4861.9355000000005</v>
      </c>
      <c r="T3225" s="19" t="s">
        <v>36</v>
      </c>
      <c r="U3225" s="20" t="s">
        <v>39</v>
      </c>
      <c r="V3225" s="21" t="s">
        <v>40</v>
      </c>
      <c r="W3225" s="22">
        <v>8</v>
      </c>
      <c r="X3225" s="23"/>
    </row>
    <row r="3226" spans="1:24" s="1" customFormat="1" ht="21" customHeight="1" x14ac:dyDescent="0.3">
      <c r="A3226" s="24" t="s">
        <v>23</v>
      </c>
      <c r="B3226" s="24" t="s">
        <v>293</v>
      </c>
      <c r="C3226" s="27" t="s">
        <v>2893</v>
      </c>
      <c r="D3226" s="60"/>
      <c r="E3226" s="41" t="str">
        <f>HYPERLINK("https://www.google.ru/search?q=1366060-390&amp;newwindow=1&amp;tbm=isch","Еще фото")</f>
        <v>Еще фото</v>
      </c>
      <c r="F3226" s="13"/>
      <c r="G3226" s="24" t="s">
        <v>295</v>
      </c>
      <c r="H3226" s="24" t="s">
        <v>27</v>
      </c>
      <c r="I3226" s="24" t="s">
        <v>2894</v>
      </c>
      <c r="J3226" s="14" t="s">
        <v>29</v>
      </c>
      <c r="K3226" s="15" t="s">
        <v>30</v>
      </c>
      <c r="L3226" s="62"/>
      <c r="M3226" s="14" t="s">
        <v>297</v>
      </c>
      <c r="N3226" s="14" t="s">
        <v>871</v>
      </c>
      <c r="O3226" s="14"/>
      <c r="P3226" s="15" t="s">
        <v>298</v>
      </c>
      <c r="Q3226" s="16">
        <v>10999</v>
      </c>
      <c r="R3226" s="17">
        <v>61.56</v>
      </c>
      <c r="S3226" s="18">
        <v>4861.9355000000005</v>
      </c>
      <c r="T3226" s="19" t="s">
        <v>36</v>
      </c>
      <c r="U3226" s="20" t="s">
        <v>86</v>
      </c>
      <c r="V3226" s="21" t="s">
        <v>87</v>
      </c>
      <c r="W3226" s="22">
        <v>3</v>
      </c>
      <c r="X3226" s="23"/>
    </row>
    <row r="3227" spans="1:24" s="1" customFormat="1" ht="32" customHeight="1" x14ac:dyDescent="0.3">
      <c r="A3227" s="24" t="s">
        <v>23</v>
      </c>
      <c r="B3227" s="24" t="s">
        <v>293</v>
      </c>
      <c r="C3227" s="27" t="s">
        <v>2893</v>
      </c>
      <c r="D3227" s="61"/>
      <c r="E3227" s="41" t="str">
        <f>HYPERLINK("https://www.google.ru/search?q=1366060-390&amp;newwindow=1&amp;tbm=isch","Еще фото")</f>
        <v>Еще фото</v>
      </c>
      <c r="F3227" s="13"/>
      <c r="G3227" s="24" t="s">
        <v>295</v>
      </c>
      <c r="H3227" s="24" t="s">
        <v>27</v>
      </c>
      <c r="I3227" s="24" t="s">
        <v>2894</v>
      </c>
      <c r="J3227" s="14" t="s">
        <v>29</v>
      </c>
      <c r="K3227" s="15" t="s">
        <v>30</v>
      </c>
      <c r="L3227" s="58"/>
      <c r="M3227" s="14" t="s">
        <v>297</v>
      </c>
      <c r="N3227" s="14" t="s">
        <v>871</v>
      </c>
      <c r="O3227" s="14"/>
      <c r="P3227" s="15" t="s">
        <v>298</v>
      </c>
      <c r="Q3227" s="16">
        <v>10999</v>
      </c>
      <c r="R3227" s="17">
        <v>61.56</v>
      </c>
      <c r="S3227" s="18">
        <v>4861.9355000000005</v>
      </c>
      <c r="T3227" s="19" t="s">
        <v>36</v>
      </c>
      <c r="U3227" s="20" t="s">
        <v>90</v>
      </c>
      <c r="V3227" s="21" t="s">
        <v>91</v>
      </c>
      <c r="W3227" s="22">
        <v>1</v>
      </c>
      <c r="X3227" s="23"/>
    </row>
    <row r="3228" spans="1:24" s="1" customFormat="1" ht="108" customHeight="1" x14ac:dyDescent="0.3">
      <c r="A3228" s="11" t="s">
        <v>23</v>
      </c>
      <c r="B3228" s="11" t="s">
        <v>2896</v>
      </c>
      <c r="C3228" s="12" t="s">
        <v>2897</v>
      </c>
      <c r="D3228" s="25"/>
      <c r="E3228" s="41" t="str">
        <f>HYPERLINK("https://www.google.ru/search?q=1379821-011&amp;newwindow=1&amp;tbm=isch","Еще фото")</f>
        <v>Еще фото</v>
      </c>
      <c r="F3228" s="13"/>
      <c r="G3228" s="11" t="s">
        <v>295</v>
      </c>
      <c r="H3228" s="11" t="s">
        <v>27</v>
      </c>
      <c r="I3228" s="14" t="s">
        <v>2894</v>
      </c>
      <c r="J3228" s="14" t="s">
        <v>29</v>
      </c>
      <c r="K3228" s="15" t="s">
        <v>30</v>
      </c>
      <c r="L3228" s="14" t="s">
        <v>2898</v>
      </c>
      <c r="M3228" s="14" t="s">
        <v>2899</v>
      </c>
      <c r="N3228" s="14" t="s">
        <v>284</v>
      </c>
      <c r="O3228" s="14"/>
      <c r="P3228" s="15" t="s">
        <v>1008</v>
      </c>
      <c r="Q3228" s="16">
        <v>8299</v>
      </c>
      <c r="R3228" s="17">
        <v>53.03</v>
      </c>
      <c r="S3228" s="18">
        <v>4482.4354999999996</v>
      </c>
      <c r="T3228" s="19" t="s">
        <v>36</v>
      </c>
      <c r="U3228" s="20" t="s">
        <v>63</v>
      </c>
      <c r="V3228" s="21" t="s">
        <v>85</v>
      </c>
      <c r="W3228" s="22">
        <v>1</v>
      </c>
      <c r="X3228" s="23"/>
    </row>
    <row r="3229" spans="1:24" s="1" customFormat="1" ht="26" customHeight="1" x14ac:dyDescent="0.3">
      <c r="A3229" s="11" t="s">
        <v>23</v>
      </c>
      <c r="B3229" s="11" t="s">
        <v>2900</v>
      </c>
      <c r="C3229" s="12" t="s">
        <v>2901</v>
      </c>
      <c r="D3229" s="59"/>
      <c r="E3229" s="41" t="str">
        <f>HYPERLINK("https://www.google.ru/search?q=1366068-020&amp;newwindow=1&amp;tbm=isch","Еще фото")</f>
        <v>Еще фото</v>
      </c>
      <c r="F3229" s="13" t="s">
        <v>103</v>
      </c>
      <c r="G3229" s="11" t="s">
        <v>2902</v>
      </c>
      <c r="H3229" s="11" t="s">
        <v>27</v>
      </c>
      <c r="I3229" s="14" t="s">
        <v>2894</v>
      </c>
      <c r="J3229" s="14" t="s">
        <v>29</v>
      </c>
      <c r="K3229" s="15" t="s">
        <v>30</v>
      </c>
      <c r="L3229" s="57" t="s">
        <v>2903</v>
      </c>
      <c r="M3229" s="14" t="s">
        <v>2899</v>
      </c>
      <c r="N3229" s="14" t="s">
        <v>62</v>
      </c>
      <c r="O3229" s="14"/>
      <c r="P3229" s="15" t="s">
        <v>53</v>
      </c>
      <c r="Q3229" s="16">
        <v>7599</v>
      </c>
      <c r="R3229" s="17">
        <v>49.76</v>
      </c>
      <c r="S3229" s="18">
        <v>4390.4354999999996</v>
      </c>
      <c r="T3229" s="19" t="s">
        <v>36</v>
      </c>
      <c r="U3229" s="20" t="s">
        <v>63</v>
      </c>
      <c r="V3229" s="21" t="s">
        <v>85</v>
      </c>
      <c r="W3229" s="22">
        <v>2</v>
      </c>
      <c r="X3229" s="23"/>
    </row>
    <row r="3230" spans="1:24" s="1" customFormat="1" ht="26" customHeight="1" x14ac:dyDescent="0.3">
      <c r="A3230" s="24" t="s">
        <v>23</v>
      </c>
      <c r="B3230" s="24" t="s">
        <v>2900</v>
      </c>
      <c r="C3230" s="12" t="s">
        <v>2901</v>
      </c>
      <c r="D3230" s="60"/>
      <c r="E3230" s="41" t="str">
        <f>HYPERLINK("https://www.google.ru/search?q=1366068-020&amp;newwindow=1&amp;tbm=isch","Еще фото")</f>
        <v>Еще фото</v>
      </c>
      <c r="F3230" s="13" t="s">
        <v>103</v>
      </c>
      <c r="G3230" s="24" t="s">
        <v>2902</v>
      </c>
      <c r="H3230" s="24" t="s">
        <v>27</v>
      </c>
      <c r="I3230" s="24" t="s">
        <v>2894</v>
      </c>
      <c r="J3230" s="14" t="s">
        <v>29</v>
      </c>
      <c r="K3230" s="15" t="s">
        <v>30</v>
      </c>
      <c r="L3230" s="62"/>
      <c r="M3230" s="14" t="s">
        <v>2899</v>
      </c>
      <c r="N3230" s="14" t="s">
        <v>62</v>
      </c>
      <c r="O3230" s="14"/>
      <c r="P3230" s="15" t="s">
        <v>53</v>
      </c>
      <c r="Q3230" s="16">
        <v>7599</v>
      </c>
      <c r="R3230" s="17">
        <v>49.76</v>
      </c>
      <c r="S3230" s="18">
        <v>4390.4354999999996</v>
      </c>
      <c r="T3230" s="19" t="s">
        <v>36</v>
      </c>
      <c r="U3230" s="20" t="s">
        <v>37</v>
      </c>
      <c r="V3230" s="21" t="s">
        <v>38</v>
      </c>
      <c r="W3230" s="22">
        <v>19</v>
      </c>
      <c r="X3230" s="23"/>
    </row>
    <row r="3231" spans="1:24" s="1" customFormat="1" ht="26" customHeight="1" x14ac:dyDescent="0.3">
      <c r="A3231" s="24" t="s">
        <v>23</v>
      </c>
      <c r="B3231" s="24" t="s">
        <v>2900</v>
      </c>
      <c r="C3231" s="12" t="s">
        <v>2901</v>
      </c>
      <c r="D3231" s="60"/>
      <c r="E3231" s="41" t="str">
        <f>HYPERLINK("https://www.google.ru/search?q=1366068-020&amp;newwindow=1&amp;tbm=isch","Еще фото")</f>
        <v>Еще фото</v>
      </c>
      <c r="F3231" s="13" t="s">
        <v>103</v>
      </c>
      <c r="G3231" s="24" t="s">
        <v>2902</v>
      </c>
      <c r="H3231" s="24" t="s">
        <v>27</v>
      </c>
      <c r="I3231" s="24" t="s">
        <v>2894</v>
      </c>
      <c r="J3231" s="14" t="s">
        <v>29</v>
      </c>
      <c r="K3231" s="15" t="s">
        <v>30</v>
      </c>
      <c r="L3231" s="62"/>
      <c r="M3231" s="14" t="s">
        <v>2899</v>
      </c>
      <c r="N3231" s="14" t="s">
        <v>62</v>
      </c>
      <c r="O3231" s="14"/>
      <c r="P3231" s="15" t="s">
        <v>53</v>
      </c>
      <c r="Q3231" s="16">
        <v>7599</v>
      </c>
      <c r="R3231" s="17">
        <v>49.76</v>
      </c>
      <c r="S3231" s="18">
        <v>4390.4354999999996</v>
      </c>
      <c r="T3231" s="19" t="s">
        <v>36</v>
      </c>
      <c r="U3231" s="20" t="s">
        <v>39</v>
      </c>
      <c r="V3231" s="21" t="s">
        <v>40</v>
      </c>
      <c r="W3231" s="22">
        <v>22</v>
      </c>
      <c r="X3231" s="23"/>
    </row>
    <row r="3232" spans="1:24" s="1" customFormat="1" ht="26" customHeight="1" x14ac:dyDescent="0.3">
      <c r="A3232" s="24" t="s">
        <v>23</v>
      </c>
      <c r="B3232" s="24" t="s">
        <v>2900</v>
      </c>
      <c r="C3232" s="12" t="s">
        <v>2901</v>
      </c>
      <c r="D3232" s="61"/>
      <c r="E3232" s="41" t="str">
        <f>HYPERLINK("https://www.google.ru/search?q=1366068-020&amp;newwindow=1&amp;tbm=isch","Еще фото")</f>
        <v>Еще фото</v>
      </c>
      <c r="F3232" s="13" t="s">
        <v>103</v>
      </c>
      <c r="G3232" s="24" t="s">
        <v>2902</v>
      </c>
      <c r="H3232" s="24" t="s">
        <v>27</v>
      </c>
      <c r="I3232" s="24" t="s">
        <v>2894</v>
      </c>
      <c r="J3232" s="14" t="s">
        <v>29</v>
      </c>
      <c r="K3232" s="15" t="s">
        <v>30</v>
      </c>
      <c r="L3232" s="58"/>
      <c r="M3232" s="14" t="s">
        <v>2899</v>
      </c>
      <c r="N3232" s="14" t="s">
        <v>62</v>
      </c>
      <c r="O3232" s="14"/>
      <c r="P3232" s="15" t="s">
        <v>53</v>
      </c>
      <c r="Q3232" s="16">
        <v>7599</v>
      </c>
      <c r="R3232" s="17">
        <v>49.76</v>
      </c>
      <c r="S3232" s="18">
        <v>4390.4354999999996</v>
      </c>
      <c r="T3232" s="19" t="s">
        <v>36</v>
      </c>
      <c r="U3232" s="20" t="s">
        <v>86</v>
      </c>
      <c r="V3232" s="21" t="s">
        <v>87</v>
      </c>
      <c r="W3232" s="22">
        <v>19</v>
      </c>
      <c r="X3232" s="23"/>
    </row>
    <row r="3233" spans="1:24" s="1" customFormat="1" ht="108" customHeight="1" x14ac:dyDescent="0.3">
      <c r="A3233" s="11" t="s">
        <v>23</v>
      </c>
      <c r="B3233" s="11" t="s">
        <v>2904</v>
      </c>
      <c r="C3233" s="12" t="s">
        <v>2905</v>
      </c>
      <c r="D3233" s="25"/>
      <c r="E3233" s="41" t="str">
        <f>HYPERLINK("https://www.google.ru/search?q=1368700-001&amp;newwindow=1&amp;tbm=isch","Еще фото")</f>
        <v>Еще фото</v>
      </c>
      <c r="F3233" s="13" t="s">
        <v>103</v>
      </c>
      <c r="G3233" s="11" t="s">
        <v>295</v>
      </c>
      <c r="H3233" s="11" t="s">
        <v>27</v>
      </c>
      <c r="I3233" s="14" t="s">
        <v>2894</v>
      </c>
      <c r="J3233" s="14" t="s">
        <v>29</v>
      </c>
      <c r="K3233" s="15" t="s">
        <v>59</v>
      </c>
      <c r="L3233" s="14" t="s">
        <v>2906</v>
      </c>
      <c r="M3233" s="14"/>
      <c r="N3233" s="14" t="s">
        <v>33</v>
      </c>
      <c r="O3233" s="14"/>
      <c r="P3233" s="15" t="s">
        <v>53</v>
      </c>
      <c r="Q3233" s="16">
        <v>3999</v>
      </c>
      <c r="R3233" s="17">
        <v>47.49</v>
      </c>
      <c r="S3233" s="18">
        <v>2414.9884999999995</v>
      </c>
      <c r="T3233" s="19" t="s">
        <v>36</v>
      </c>
      <c r="U3233" s="20" t="s">
        <v>63</v>
      </c>
      <c r="V3233" s="21" t="s">
        <v>64</v>
      </c>
      <c r="W3233" s="22">
        <v>6</v>
      </c>
      <c r="X3233" s="23"/>
    </row>
    <row r="3234" spans="1:24" s="1" customFormat="1" ht="108" customHeight="1" x14ac:dyDescent="0.3">
      <c r="A3234" s="11" t="s">
        <v>23</v>
      </c>
      <c r="B3234" s="11" t="s">
        <v>2907</v>
      </c>
      <c r="C3234" s="12" t="s">
        <v>2908</v>
      </c>
      <c r="D3234" s="25"/>
      <c r="E3234" s="41" t="str">
        <f>HYPERLINK("https://www.google.ru/search?q=1366072-001&amp;newwindow=1&amp;tbm=isch","Еще фото")</f>
        <v>Еще фото</v>
      </c>
      <c r="F3234" s="13" t="s">
        <v>103</v>
      </c>
      <c r="G3234" s="11" t="s">
        <v>2902</v>
      </c>
      <c r="H3234" s="11" t="s">
        <v>27</v>
      </c>
      <c r="I3234" s="14" t="s">
        <v>2894</v>
      </c>
      <c r="J3234" s="14" t="s">
        <v>29</v>
      </c>
      <c r="K3234" s="15" t="s">
        <v>30</v>
      </c>
      <c r="L3234" s="14" t="s">
        <v>2909</v>
      </c>
      <c r="M3234" s="14"/>
      <c r="N3234" s="14" t="s">
        <v>33</v>
      </c>
      <c r="O3234" s="14"/>
      <c r="P3234" s="15" t="s">
        <v>53</v>
      </c>
      <c r="Q3234" s="16">
        <v>5599</v>
      </c>
      <c r="R3234" s="17">
        <v>46.42</v>
      </c>
      <c r="S3234" s="18">
        <v>3449.9884999999995</v>
      </c>
      <c r="T3234" s="19" t="s">
        <v>36</v>
      </c>
      <c r="U3234" s="20" t="s">
        <v>63</v>
      </c>
      <c r="V3234" s="21" t="s">
        <v>85</v>
      </c>
      <c r="W3234" s="22">
        <v>1</v>
      </c>
      <c r="X3234" s="23"/>
    </row>
    <row r="3235" spans="1:24" s="1" customFormat="1" ht="108" customHeight="1" x14ac:dyDescent="0.3">
      <c r="A3235" s="11" t="s">
        <v>23</v>
      </c>
      <c r="B3235" s="11" t="s">
        <v>2910</v>
      </c>
      <c r="C3235" s="12" t="s">
        <v>2911</v>
      </c>
      <c r="D3235" s="25"/>
      <c r="E3235" s="41" t="str">
        <f>HYPERLINK("https://www.google.ru/search?q=1366075-001&amp;newwindow=1&amp;tbm=isch","Еще фото")</f>
        <v>Еще фото</v>
      </c>
      <c r="F3235" s="13" t="s">
        <v>103</v>
      </c>
      <c r="G3235" s="11" t="s">
        <v>295</v>
      </c>
      <c r="H3235" s="11" t="s">
        <v>27</v>
      </c>
      <c r="I3235" s="14" t="s">
        <v>2894</v>
      </c>
      <c r="J3235" s="14" t="s">
        <v>29</v>
      </c>
      <c r="K3235" s="15" t="s">
        <v>30</v>
      </c>
      <c r="L3235" s="14" t="s">
        <v>2912</v>
      </c>
      <c r="M3235" s="14" t="s">
        <v>2899</v>
      </c>
      <c r="N3235" s="14" t="s">
        <v>33</v>
      </c>
      <c r="O3235" s="14"/>
      <c r="P3235" s="15" t="s">
        <v>53</v>
      </c>
      <c r="Q3235" s="16">
        <v>4099</v>
      </c>
      <c r="R3235" s="17">
        <v>46.33</v>
      </c>
      <c r="S3235" s="18">
        <v>2529.9884999999995</v>
      </c>
      <c r="T3235" s="19" t="s">
        <v>36</v>
      </c>
      <c r="U3235" s="20" t="s">
        <v>37</v>
      </c>
      <c r="V3235" s="21" t="s">
        <v>38</v>
      </c>
      <c r="W3235" s="22">
        <v>17</v>
      </c>
      <c r="X3235" s="23"/>
    </row>
    <row r="3236" spans="1:24" s="1" customFormat="1" ht="108" customHeight="1" x14ac:dyDescent="0.3">
      <c r="A3236" s="11" t="s">
        <v>23</v>
      </c>
      <c r="B3236" s="11" t="s">
        <v>2913</v>
      </c>
      <c r="C3236" s="12" t="s">
        <v>2914</v>
      </c>
      <c r="D3236" s="25"/>
      <c r="E3236" s="41" t="str">
        <f>HYPERLINK("https://www.google.ru/search?q=1379820-011&amp;newwindow=1&amp;tbm=isch","Еще фото")</f>
        <v>Еще фото</v>
      </c>
      <c r="F3236" s="13"/>
      <c r="G3236" s="11" t="s">
        <v>2902</v>
      </c>
      <c r="H3236" s="11" t="s">
        <v>27</v>
      </c>
      <c r="I3236" s="14" t="s">
        <v>2894</v>
      </c>
      <c r="J3236" s="14" t="s">
        <v>29</v>
      </c>
      <c r="K3236" s="15" t="s">
        <v>30</v>
      </c>
      <c r="L3236" s="14" t="s">
        <v>2915</v>
      </c>
      <c r="M3236" s="14" t="s">
        <v>2899</v>
      </c>
      <c r="N3236" s="14" t="s">
        <v>62</v>
      </c>
      <c r="O3236" s="14"/>
      <c r="P3236" s="15" t="s">
        <v>1008</v>
      </c>
      <c r="Q3236" s="16">
        <v>7999</v>
      </c>
      <c r="R3236" s="17">
        <v>46.24</v>
      </c>
      <c r="S3236" s="18">
        <v>4944.9884999999995</v>
      </c>
      <c r="T3236" s="19" t="s">
        <v>36</v>
      </c>
      <c r="U3236" s="20" t="s">
        <v>63</v>
      </c>
      <c r="V3236" s="21" t="s">
        <v>85</v>
      </c>
      <c r="W3236" s="22">
        <v>1</v>
      </c>
      <c r="X3236" s="23"/>
    </row>
    <row r="3237" spans="1:24" s="1" customFormat="1" ht="108" customHeight="1" x14ac:dyDescent="0.3">
      <c r="A3237" s="11" t="s">
        <v>23</v>
      </c>
      <c r="B3237" s="11" t="s">
        <v>2916</v>
      </c>
      <c r="C3237" s="12" t="s">
        <v>2917</v>
      </c>
      <c r="D3237" s="25"/>
      <c r="E3237" s="41" t="str">
        <f>HYPERLINK("https://www.google.ru/search?q=1265648-100&amp;newwindow=1&amp;tbm=isch","Еще фото")</f>
        <v>Еще фото</v>
      </c>
      <c r="F3237" s="13"/>
      <c r="G3237" s="11" t="s">
        <v>2902</v>
      </c>
      <c r="H3237" s="11" t="s">
        <v>27</v>
      </c>
      <c r="I3237" s="14" t="s">
        <v>2894</v>
      </c>
      <c r="J3237" s="14" t="s">
        <v>29</v>
      </c>
      <c r="K3237" s="15" t="s">
        <v>30</v>
      </c>
      <c r="L3237" s="14" t="s">
        <v>2918</v>
      </c>
      <c r="M3237" s="14" t="s">
        <v>2919</v>
      </c>
      <c r="N3237" s="14" t="s">
        <v>84</v>
      </c>
      <c r="O3237" s="14" t="s">
        <v>306</v>
      </c>
      <c r="P3237" s="15" t="s">
        <v>2920</v>
      </c>
      <c r="Q3237" s="16">
        <v>5190</v>
      </c>
      <c r="R3237" s="17">
        <v>46.05</v>
      </c>
      <c r="S3237" s="18">
        <v>3219.9884999999995</v>
      </c>
      <c r="T3237" s="19" t="s">
        <v>36</v>
      </c>
      <c r="U3237" s="20" t="s">
        <v>37</v>
      </c>
      <c r="V3237" s="21" t="s">
        <v>38</v>
      </c>
      <c r="W3237" s="22">
        <v>1</v>
      </c>
      <c r="X3237" s="23"/>
    </row>
    <row r="3238" spans="1:24" s="1" customFormat="1" ht="52.05" customHeight="1" x14ac:dyDescent="0.3">
      <c r="A3238" s="11" t="s">
        <v>23</v>
      </c>
      <c r="B3238" s="11" t="s">
        <v>2900</v>
      </c>
      <c r="C3238" s="12" t="s">
        <v>2921</v>
      </c>
      <c r="D3238" s="55"/>
      <c r="E3238" s="41" t="str">
        <f>HYPERLINK("https://www.google.ru/search?q=1366068-410&amp;newwindow=1&amp;tbm=isch","Еще фото")</f>
        <v>Еще фото</v>
      </c>
      <c r="F3238" s="13"/>
      <c r="G3238" s="11" t="s">
        <v>2902</v>
      </c>
      <c r="H3238" s="11" t="s">
        <v>27</v>
      </c>
      <c r="I3238" s="14" t="s">
        <v>2894</v>
      </c>
      <c r="J3238" s="14" t="s">
        <v>29</v>
      </c>
      <c r="K3238" s="15" t="s">
        <v>30</v>
      </c>
      <c r="L3238" s="57" t="s">
        <v>2903</v>
      </c>
      <c r="M3238" s="14" t="s">
        <v>2899</v>
      </c>
      <c r="N3238" s="14" t="s">
        <v>115</v>
      </c>
      <c r="O3238" s="14"/>
      <c r="P3238" s="15" t="s">
        <v>53</v>
      </c>
      <c r="Q3238" s="16">
        <v>7599</v>
      </c>
      <c r="R3238" s="17">
        <v>46.05</v>
      </c>
      <c r="S3238" s="18">
        <v>4714.9884999999995</v>
      </c>
      <c r="T3238" s="19" t="s">
        <v>36</v>
      </c>
      <c r="U3238" s="20" t="s">
        <v>63</v>
      </c>
      <c r="V3238" s="21" t="s">
        <v>85</v>
      </c>
      <c r="W3238" s="22">
        <v>1</v>
      </c>
      <c r="X3238" s="23"/>
    </row>
    <row r="3239" spans="1:24" s="1" customFormat="1" ht="61.05" customHeight="1" x14ac:dyDescent="0.3">
      <c r="A3239" s="24" t="s">
        <v>23</v>
      </c>
      <c r="B3239" s="24" t="s">
        <v>2900</v>
      </c>
      <c r="C3239" s="12" t="s">
        <v>2921</v>
      </c>
      <c r="D3239" s="56"/>
      <c r="E3239" s="41" t="str">
        <f>HYPERLINK("https://www.google.ru/search?q=1366068-410&amp;newwindow=1&amp;tbm=isch","Еще фото")</f>
        <v>Еще фото</v>
      </c>
      <c r="F3239" s="13"/>
      <c r="G3239" s="24" t="s">
        <v>2902</v>
      </c>
      <c r="H3239" s="24" t="s">
        <v>27</v>
      </c>
      <c r="I3239" s="24" t="s">
        <v>2894</v>
      </c>
      <c r="J3239" s="14" t="s">
        <v>29</v>
      </c>
      <c r="K3239" s="15" t="s">
        <v>30</v>
      </c>
      <c r="L3239" s="58"/>
      <c r="M3239" s="14" t="s">
        <v>2899</v>
      </c>
      <c r="N3239" s="14" t="s">
        <v>115</v>
      </c>
      <c r="O3239" s="14"/>
      <c r="P3239" s="15" t="s">
        <v>53</v>
      </c>
      <c r="Q3239" s="16">
        <v>7599</v>
      </c>
      <c r="R3239" s="17">
        <v>46.05</v>
      </c>
      <c r="S3239" s="18">
        <v>4714.9884999999995</v>
      </c>
      <c r="T3239" s="19" t="s">
        <v>36</v>
      </c>
      <c r="U3239" s="20" t="s">
        <v>37</v>
      </c>
      <c r="V3239" s="21" t="s">
        <v>38</v>
      </c>
      <c r="W3239" s="22">
        <v>1</v>
      </c>
      <c r="X3239" s="23"/>
    </row>
    <row r="3240" spans="1:24" s="1" customFormat="1" ht="108" customHeight="1" x14ac:dyDescent="0.3">
      <c r="A3240" s="11" t="s">
        <v>23</v>
      </c>
      <c r="B3240" s="11" t="s">
        <v>2922</v>
      </c>
      <c r="C3240" s="12" t="s">
        <v>2923</v>
      </c>
      <c r="D3240" s="25"/>
      <c r="E3240" s="41" t="str">
        <f>HYPERLINK("https://www.google.ru/search?q=1343245-001&amp;newwindow=1&amp;tbm=isch","Еще фото")</f>
        <v>Еще фото</v>
      </c>
      <c r="F3240" s="13"/>
      <c r="G3240" s="11" t="s">
        <v>295</v>
      </c>
      <c r="H3240" s="11" t="s">
        <v>27</v>
      </c>
      <c r="I3240" s="14" t="s">
        <v>2894</v>
      </c>
      <c r="J3240" s="14" t="s">
        <v>29</v>
      </c>
      <c r="K3240" s="15" t="s">
        <v>30</v>
      </c>
      <c r="L3240" s="14" t="s">
        <v>2924</v>
      </c>
      <c r="M3240" s="14" t="s">
        <v>2899</v>
      </c>
      <c r="N3240" s="14" t="s">
        <v>33</v>
      </c>
      <c r="O3240" s="14" t="s">
        <v>760</v>
      </c>
      <c r="P3240" s="15" t="s">
        <v>47</v>
      </c>
      <c r="Q3240" s="16">
        <v>11999</v>
      </c>
      <c r="R3240" s="17">
        <v>45.83</v>
      </c>
      <c r="S3240" s="18">
        <v>7474.9884999999995</v>
      </c>
      <c r="T3240" s="19" t="s">
        <v>36</v>
      </c>
      <c r="U3240" s="20" t="s">
        <v>37</v>
      </c>
      <c r="V3240" s="21" t="s">
        <v>38</v>
      </c>
      <c r="W3240" s="22">
        <v>1</v>
      </c>
      <c r="X3240" s="23"/>
    </row>
    <row r="3241" spans="1:24" s="1" customFormat="1" ht="108" customHeight="1" x14ac:dyDescent="0.3">
      <c r="A3241" s="11" t="s">
        <v>23</v>
      </c>
      <c r="B3241" s="11" t="s">
        <v>2896</v>
      </c>
      <c r="C3241" s="12" t="s">
        <v>2925</v>
      </c>
      <c r="D3241" s="25"/>
      <c r="E3241" s="41" t="str">
        <f>HYPERLINK("https://www.google.ru/search?q=1379821-001&amp;newwindow=1&amp;tbm=isch","Еще фото")</f>
        <v>Еще фото</v>
      </c>
      <c r="F3241" s="13"/>
      <c r="G3241" s="11" t="s">
        <v>295</v>
      </c>
      <c r="H3241" s="11" t="s">
        <v>27</v>
      </c>
      <c r="I3241" s="14" t="s">
        <v>2894</v>
      </c>
      <c r="J3241" s="14" t="s">
        <v>29</v>
      </c>
      <c r="K3241" s="15" t="s">
        <v>30</v>
      </c>
      <c r="L3241" s="14" t="s">
        <v>2898</v>
      </c>
      <c r="M3241" s="14" t="s">
        <v>2899</v>
      </c>
      <c r="N3241" s="14" t="s">
        <v>98</v>
      </c>
      <c r="O3241" s="14"/>
      <c r="P3241" s="15" t="s">
        <v>1008</v>
      </c>
      <c r="Q3241" s="16">
        <v>8299</v>
      </c>
      <c r="R3241" s="17">
        <v>45.78</v>
      </c>
      <c r="S3241" s="18">
        <v>5174.9884999999995</v>
      </c>
      <c r="T3241" s="19" t="s">
        <v>36</v>
      </c>
      <c r="U3241" s="20" t="s">
        <v>63</v>
      </c>
      <c r="V3241" s="21" t="s">
        <v>85</v>
      </c>
      <c r="W3241" s="22">
        <v>1</v>
      </c>
      <c r="X3241" s="23"/>
    </row>
    <row r="3242" spans="1:24" s="1" customFormat="1" ht="108" customHeight="1" x14ac:dyDescent="0.3">
      <c r="A3242" s="11" t="s">
        <v>23</v>
      </c>
      <c r="B3242" s="11" t="s">
        <v>2910</v>
      </c>
      <c r="C3242" s="12" t="s">
        <v>2926</v>
      </c>
      <c r="D3242" s="25"/>
      <c r="E3242" s="41" t="str">
        <f>HYPERLINK("https://www.google.ru/search?q=1366075-600&amp;newwindow=1&amp;tbm=isch","Еще фото")</f>
        <v>Еще фото</v>
      </c>
      <c r="F3242" s="13"/>
      <c r="G3242" s="11" t="s">
        <v>295</v>
      </c>
      <c r="H3242" s="11" t="s">
        <v>27</v>
      </c>
      <c r="I3242" s="14" t="s">
        <v>2894</v>
      </c>
      <c r="J3242" s="14" t="s">
        <v>29</v>
      </c>
      <c r="K3242" s="15" t="s">
        <v>30</v>
      </c>
      <c r="L3242" s="14" t="s">
        <v>2927</v>
      </c>
      <c r="M3242" s="14" t="s">
        <v>2899</v>
      </c>
      <c r="N3242" s="14" t="s">
        <v>2928</v>
      </c>
      <c r="O3242" s="14"/>
      <c r="P3242" s="15" t="s">
        <v>53</v>
      </c>
      <c r="Q3242" s="16">
        <v>7699</v>
      </c>
      <c r="R3242" s="17">
        <v>45.45</v>
      </c>
      <c r="S3242" s="18">
        <v>4829.9884999999995</v>
      </c>
      <c r="T3242" s="19" t="s">
        <v>36</v>
      </c>
      <c r="U3242" s="20" t="s">
        <v>63</v>
      </c>
      <c r="V3242" s="21" t="s">
        <v>85</v>
      </c>
      <c r="W3242" s="22">
        <v>1</v>
      </c>
      <c r="X3242" s="23"/>
    </row>
    <row r="3243" spans="1:24" s="1" customFormat="1" ht="52.05" customHeight="1" x14ac:dyDescent="0.3">
      <c r="A3243" s="11" t="s">
        <v>23</v>
      </c>
      <c r="B3243" s="11" t="s">
        <v>2910</v>
      </c>
      <c r="C3243" s="12" t="s">
        <v>2929</v>
      </c>
      <c r="D3243" s="55"/>
      <c r="E3243" s="41" t="str">
        <f>HYPERLINK("https://www.google.ru/search?q=1366075-410&amp;newwindow=1&amp;tbm=isch","Еще фото")</f>
        <v>Еще фото</v>
      </c>
      <c r="F3243" s="13"/>
      <c r="G3243" s="11" t="s">
        <v>295</v>
      </c>
      <c r="H3243" s="11" t="s">
        <v>27</v>
      </c>
      <c r="I3243" s="14" t="s">
        <v>2894</v>
      </c>
      <c r="J3243" s="14" t="s">
        <v>29</v>
      </c>
      <c r="K3243" s="15" t="s">
        <v>30</v>
      </c>
      <c r="L3243" s="57" t="s">
        <v>2927</v>
      </c>
      <c r="M3243" s="14" t="s">
        <v>2899</v>
      </c>
      <c r="N3243" s="14" t="s">
        <v>115</v>
      </c>
      <c r="O3243" s="14"/>
      <c r="P3243" s="15" t="s">
        <v>53</v>
      </c>
      <c r="Q3243" s="16">
        <v>7899</v>
      </c>
      <c r="R3243" s="17">
        <v>40</v>
      </c>
      <c r="S3243" s="18">
        <v>5450.3099999999995</v>
      </c>
      <c r="T3243" s="19" t="s">
        <v>36</v>
      </c>
      <c r="U3243" s="20" t="s">
        <v>37</v>
      </c>
      <c r="V3243" s="21" t="s">
        <v>38</v>
      </c>
      <c r="W3243" s="22">
        <v>9</v>
      </c>
      <c r="X3243" s="23"/>
    </row>
    <row r="3244" spans="1:24" s="1" customFormat="1" ht="61.05" customHeight="1" x14ac:dyDescent="0.3">
      <c r="A3244" s="24" t="s">
        <v>23</v>
      </c>
      <c r="B3244" s="24" t="s">
        <v>2910</v>
      </c>
      <c r="C3244" s="12" t="s">
        <v>2929</v>
      </c>
      <c r="D3244" s="56"/>
      <c r="E3244" s="41" t="str">
        <f>HYPERLINK("https://www.google.ru/search?q=1366075-410&amp;newwindow=1&amp;tbm=isch","Еще фото")</f>
        <v>Еще фото</v>
      </c>
      <c r="F3244" s="13"/>
      <c r="G3244" s="24" t="s">
        <v>295</v>
      </c>
      <c r="H3244" s="24" t="s">
        <v>27</v>
      </c>
      <c r="I3244" s="24" t="s">
        <v>2894</v>
      </c>
      <c r="J3244" s="14" t="s">
        <v>29</v>
      </c>
      <c r="K3244" s="15" t="s">
        <v>30</v>
      </c>
      <c r="L3244" s="58"/>
      <c r="M3244" s="14" t="s">
        <v>2899</v>
      </c>
      <c r="N3244" s="14" t="s">
        <v>115</v>
      </c>
      <c r="O3244" s="14"/>
      <c r="P3244" s="15" t="s">
        <v>53</v>
      </c>
      <c r="Q3244" s="16">
        <v>7899</v>
      </c>
      <c r="R3244" s="17">
        <v>40</v>
      </c>
      <c r="S3244" s="18">
        <v>5450.3099999999995</v>
      </c>
      <c r="T3244" s="19" t="s">
        <v>36</v>
      </c>
      <c r="U3244" s="20" t="s">
        <v>39</v>
      </c>
      <c r="V3244" s="21" t="s">
        <v>40</v>
      </c>
      <c r="W3244" s="22">
        <v>5</v>
      </c>
      <c r="X3244" s="23"/>
    </row>
    <row r="3245" spans="1:24" s="1" customFormat="1" ht="35" customHeight="1" x14ac:dyDescent="0.3">
      <c r="A3245" s="11" t="s">
        <v>23</v>
      </c>
      <c r="B3245" s="11" t="s">
        <v>2930</v>
      </c>
      <c r="C3245" s="12" t="s">
        <v>2931</v>
      </c>
      <c r="D3245" s="59"/>
      <c r="E3245" s="41" t="str">
        <f>HYPERLINK("https://www.google.ru/search?q=1366200-390&amp;newwindow=1&amp;tbm=isch","Еще фото")</f>
        <v>Еще фото</v>
      </c>
      <c r="F3245" s="13"/>
      <c r="G3245" s="11" t="s">
        <v>2902</v>
      </c>
      <c r="H3245" s="11" t="s">
        <v>27</v>
      </c>
      <c r="I3245" s="14" t="s">
        <v>2894</v>
      </c>
      <c r="J3245" s="14" t="s">
        <v>29</v>
      </c>
      <c r="K3245" s="15" t="s">
        <v>30</v>
      </c>
      <c r="L3245" s="57" t="s">
        <v>2932</v>
      </c>
      <c r="M3245" s="14" t="s">
        <v>2933</v>
      </c>
      <c r="N3245" s="14" t="s">
        <v>127</v>
      </c>
      <c r="O3245" s="14" t="s">
        <v>34</v>
      </c>
      <c r="P3245" s="15" t="s">
        <v>47</v>
      </c>
      <c r="Q3245" s="16">
        <v>6999</v>
      </c>
      <c r="R3245" s="17">
        <v>40</v>
      </c>
      <c r="S3245" s="18">
        <v>4829.3099999999995</v>
      </c>
      <c r="T3245" s="19" t="s">
        <v>36</v>
      </c>
      <c r="U3245" s="20" t="s">
        <v>63</v>
      </c>
      <c r="V3245" s="21" t="s">
        <v>85</v>
      </c>
      <c r="W3245" s="22">
        <v>3</v>
      </c>
      <c r="X3245" s="23"/>
    </row>
    <row r="3246" spans="1:24" s="1" customFormat="1" ht="35" customHeight="1" x14ac:dyDescent="0.3">
      <c r="A3246" s="24" t="s">
        <v>23</v>
      </c>
      <c r="B3246" s="24" t="s">
        <v>2930</v>
      </c>
      <c r="C3246" s="12" t="s">
        <v>2931</v>
      </c>
      <c r="D3246" s="60"/>
      <c r="E3246" s="41" t="str">
        <f>HYPERLINK("https://www.google.ru/search?q=1366200-390&amp;newwindow=1&amp;tbm=isch","Еще фото")</f>
        <v>Еще фото</v>
      </c>
      <c r="F3246" s="13"/>
      <c r="G3246" s="24" t="s">
        <v>2902</v>
      </c>
      <c r="H3246" s="24" t="s">
        <v>27</v>
      </c>
      <c r="I3246" s="24" t="s">
        <v>2894</v>
      </c>
      <c r="J3246" s="14" t="s">
        <v>29</v>
      </c>
      <c r="K3246" s="15" t="s">
        <v>30</v>
      </c>
      <c r="L3246" s="62"/>
      <c r="M3246" s="14" t="s">
        <v>2933</v>
      </c>
      <c r="N3246" s="14" t="s">
        <v>127</v>
      </c>
      <c r="O3246" s="14" t="s">
        <v>34</v>
      </c>
      <c r="P3246" s="15" t="s">
        <v>47</v>
      </c>
      <c r="Q3246" s="16">
        <v>6999</v>
      </c>
      <c r="R3246" s="17">
        <v>40</v>
      </c>
      <c r="S3246" s="18">
        <v>4829.3099999999995</v>
      </c>
      <c r="T3246" s="19" t="s">
        <v>36</v>
      </c>
      <c r="U3246" s="20" t="s">
        <v>37</v>
      </c>
      <c r="V3246" s="21" t="s">
        <v>38</v>
      </c>
      <c r="W3246" s="22">
        <v>5</v>
      </c>
      <c r="X3246" s="23"/>
    </row>
    <row r="3247" spans="1:24" s="1" customFormat="1" ht="37.049999999999997" customHeight="1" x14ac:dyDescent="0.3">
      <c r="A3247" s="24" t="s">
        <v>23</v>
      </c>
      <c r="B3247" s="24" t="s">
        <v>2930</v>
      </c>
      <c r="C3247" s="12" t="s">
        <v>2931</v>
      </c>
      <c r="D3247" s="61"/>
      <c r="E3247" s="41" t="str">
        <f>HYPERLINK("https://www.google.ru/search?q=1366200-390&amp;newwindow=1&amp;tbm=isch","Еще фото")</f>
        <v>Еще фото</v>
      </c>
      <c r="F3247" s="13"/>
      <c r="G3247" s="24" t="s">
        <v>2902</v>
      </c>
      <c r="H3247" s="24" t="s">
        <v>27</v>
      </c>
      <c r="I3247" s="24" t="s">
        <v>2894</v>
      </c>
      <c r="J3247" s="14" t="s">
        <v>29</v>
      </c>
      <c r="K3247" s="15" t="s">
        <v>30</v>
      </c>
      <c r="L3247" s="58"/>
      <c r="M3247" s="14" t="s">
        <v>2933</v>
      </c>
      <c r="N3247" s="14" t="s">
        <v>127</v>
      </c>
      <c r="O3247" s="14" t="s">
        <v>34</v>
      </c>
      <c r="P3247" s="15" t="s">
        <v>47</v>
      </c>
      <c r="Q3247" s="16">
        <v>6999</v>
      </c>
      <c r="R3247" s="17">
        <v>40</v>
      </c>
      <c r="S3247" s="18">
        <v>4829.3099999999995</v>
      </c>
      <c r="T3247" s="19" t="s">
        <v>36</v>
      </c>
      <c r="U3247" s="20" t="s">
        <v>39</v>
      </c>
      <c r="V3247" s="21" t="s">
        <v>40</v>
      </c>
      <c r="W3247" s="22">
        <v>1</v>
      </c>
      <c r="X3247" s="23"/>
    </row>
    <row r="3248" spans="1:24" s="1" customFormat="1" ht="52.05" customHeight="1" x14ac:dyDescent="0.3">
      <c r="A3248" s="11" t="s">
        <v>23</v>
      </c>
      <c r="B3248" s="11" t="s">
        <v>2930</v>
      </c>
      <c r="C3248" s="12" t="s">
        <v>2934</v>
      </c>
      <c r="D3248" s="55"/>
      <c r="E3248" s="41" t="str">
        <f>HYPERLINK("https://www.google.ru/search?q=1366200-413&amp;newwindow=1&amp;tbm=isch","Еще фото")</f>
        <v>Еще фото</v>
      </c>
      <c r="F3248" s="13" t="s">
        <v>103</v>
      </c>
      <c r="G3248" s="11" t="s">
        <v>2902</v>
      </c>
      <c r="H3248" s="11" t="s">
        <v>27</v>
      </c>
      <c r="I3248" s="14" t="s">
        <v>2894</v>
      </c>
      <c r="J3248" s="14" t="s">
        <v>29</v>
      </c>
      <c r="K3248" s="15" t="s">
        <v>30</v>
      </c>
      <c r="L3248" s="57" t="s">
        <v>2932</v>
      </c>
      <c r="M3248" s="14" t="s">
        <v>2935</v>
      </c>
      <c r="N3248" s="14" t="s">
        <v>115</v>
      </c>
      <c r="O3248" s="14" t="s">
        <v>945</v>
      </c>
      <c r="P3248" s="15" t="s">
        <v>47</v>
      </c>
      <c r="Q3248" s="16">
        <v>7599</v>
      </c>
      <c r="R3248" s="17">
        <v>40</v>
      </c>
      <c r="S3248" s="18">
        <v>5243.3099999999995</v>
      </c>
      <c r="T3248" s="19" t="s">
        <v>36</v>
      </c>
      <c r="U3248" s="20" t="s">
        <v>37</v>
      </c>
      <c r="V3248" s="21" t="s">
        <v>38</v>
      </c>
      <c r="W3248" s="22">
        <v>1</v>
      </c>
      <c r="X3248" s="23"/>
    </row>
    <row r="3249" spans="1:24" s="1" customFormat="1" ht="61.05" customHeight="1" x14ac:dyDescent="0.3">
      <c r="A3249" s="24" t="s">
        <v>23</v>
      </c>
      <c r="B3249" s="24" t="s">
        <v>2930</v>
      </c>
      <c r="C3249" s="12" t="s">
        <v>2934</v>
      </c>
      <c r="D3249" s="56"/>
      <c r="E3249" s="41" t="str">
        <f>HYPERLINK("https://www.google.ru/search?q=1366200-413&amp;newwindow=1&amp;tbm=isch","Еще фото")</f>
        <v>Еще фото</v>
      </c>
      <c r="F3249" s="13" t="s">
        <v>103</v>
      </c>
      <c r="G3249" s="24" t="s">
        <v>2902</v>
      </c>
      <c r="H3249" s="24" t="s">
        <v>27</v>
      </c>
      <c r="I3249" s="24" t="s">
        <v>2894</v>
      </c>
      <c r="J3249" s="14" t="s">
        <v>29</v>
      </c>
      <c r="K3249" s="15" t="s">
        <v>30</v>
      </c>
      <c r="L3249" s="58"/>
      <c r="M3249" s="14" t="s">
        <v>2935</v>
      </c>
      <c r="N3249" s="14" t="s">
        <v>115</v>
      </c>
      <c r="O3249" s="14" t="s">
        <v>945</v>
      </c>
      <c r="P3249" s="15" t="s">
        <v>47</v>
      </c>
      <c r="Q3249" s="16">
        <v>7599</v>
      </c>
      <c r="R3249" s="17">
        <v>40</v>
      </c>
      <c r="S3249" s="18">
        <v>5243.3099999999995</v>
      </c>
      <c r="T3249" s="19" t="s">
        <v>36</v>
      </c>
      <c r="U3249" s="20" t="s">
        <v>39</v>
      </c>
      <c r="V3249" s="21" t="s">
        <v>40</v>
      </c>
      <c r="W3249" s="22">
        <v>2</v>
      </c>
      <c r="X3249" s="23"/>
    </row>
    <row r="3250" spans="1:24" s="1" customFormat="1" ht="52.05" customHeight="1" x14ac:dyDescent="0.3">
      <c r="A3250" s="11" t="s">
        <v>23</v>
      </c>
      <c r="B3250" s="11" t="s">
        <v>2896</v>
      </c>
      <c r="C3250" s="12" t="s">
        <v>2936</v>
      </c>
      <c r="D3250" s="55"/>
      <c r="E3250" s="41" t="str">
        <f>HYPERLINK("https://www.google.ru/search?q=1379821-400&amp;newwindow=1&amp;tbm=isch","Еще фото")</f>
        <v>Еще фото</v>
      </c>
      <c r="F3250" s="13"/>
      <c r="G3250" s="11" t="s">
        <v>295</v>
      </c>
      <c r="H3250" s="11" t="s">
        <v>27</v>
      </c>
      <c r="I3250" s="14" t="s">
        <v>2894</v>
      </c>
      <c r="J3250" s="14" t="s">
        <v>29</v>
      </c>
      <c r="K3250" s="15" t="s">
        <v>30</v>
      </c>
      <c r="L3250" s="57" t="s">
        <v>2898</v>
      </c>
      <c r="M3250" s="14" t="s">
        <v>2899</v>
      </c>
      <c r="N3250" s="14" t="s">
        <v>485</v>
      </c>
      <c r="O3250" s="14"/>
      <c r="P3250" s="15" t="s">
        <v>1008</v>
      </c>
      <c r="Q3250" s="16">
        <v>8299</v>
      </c>
      <c r="R3250" s="17">
        <v>40</v>
      </c>
      <c r="S3250" s="18">
        <v>5726.3099999999995</v>
      </c>
      <c r="T3250" s="19" t="s">
        <v>36</v>
      </c>
      <c r="U3250" s="20" t="s">
        <v>63</v>
      </c>
      <c r="V3250" s="21" t="s">
        <v>85</v>
      </c>
      <c r="W3250" s="22">
        <v>1</v>
      </c>
      <c r="X3250" s="23"/>
    </row>
    <row r="3251" spans="1:24" s="1" customFormat="1" ht="61.05" customHeight="1" x14ac:dyDescent="0.3">
      <c r="A3251" s="24" t="s">
        <v>23</v>
      </c>
      <c r="B3251" s="24" t="s">
        <v>2896</v>
      </c>
      <c r="C3251" s="12" t="s">
        <v>2936</v>
      </c>
      <c r="D3251" s="56"/>
      <c r="E3251" s="41" t="str">
        <f>HYPERLINK("https://www.google.ru/search?q=1379821-400&amp;newwindow=1&amp;tbm=isch","Еще фото")</f>
        <v>Еще фото</v>
      </c>
      <c r="F3251" s="13"/>
      <c r="G3251" s="24" t="s">
        <v>295</v>
      </c>
      <c r="H3251" s="24" t="s">
        <v>27</v>
      </c>
      <c r="I3251" s="24" t="s">
        <v>2894</v>
      </c>
      <c r="J3251" s="14" t="s">
        <v>29</v>
      </c>
      <c r="K3251" s="15" t="s">
        <v>30</v>
      </c>
      <c r="L3251" s="58"/>
      <c r="M3251" s="14" t="s">
        <v>2899</v>
      </c>
      <c r="N3251" s="14" t="s">
        <v>485</v>
      </c>
      <c r="O3251" s="14"/>
      <c r="P3251" s="15" t="s">
        <v>1008</v>
      </c>
      <c r="Q3251" s="16">
        <v>8299</v>
      </c>
      <c r="R3251" s="17">
        <v>40</v>
      </c>
      <c r="S3251" s="18">
        <v>5726.3099999999995</v>
      </c>
      <c r="T3251" s="19" t="s">
        <v>36</v>
      </c>
      <c r="U3251" s="20" t="s">
        <v>39</v>
      </c>
      <c r="V3251" s="21" t="s">
        <v>40</v>
      </c>
      <c r="W3251" s="22">
        <v>1</v>
      </c>
      <c r="X3251" s="23"/>
    </row>
    <row r="3252" spans="1:24" s="1" customFormat="1" ht="52.05" customHeight="1" x14ac:dyDescent="0.3">
      <c r="A3252" s="11" t="s">
        <v>23</v>
      </c>
      <c r="B3252" s="11" t="s">
        <v>2937</v>
      </c>
      <c r="C3252" s="12" t="s">
        <v>2938</v>
      </c>
      <c r="D3252" s="55"/>
      <c r="E3252" s="41" t="str">
        <f>HYPERLINK("https://www.google.ru/search?q=1373541-001&amp;newwindow=1&amp;tbm=isch","Еще фото")</f>
        <v>Еще фото</v>
      </c>
      <c r="F3252" s="13"/>
      <c r="G3252" s="11" t="s">
        <v>2939</v>
      </c>
      <c r="H3252" s="11" t="s">
        <v>27</v>
      </c>
      <c r="I3252" s="14" t="s">
        <v>2940</v>
      </c>
      <c r="J3252" s="14" t="s">
        <v>29</v>
      </c>
      <c r="K3252" s="15" t="s">
        <v>50</v>
      </c>
      <c r="L3252" s="57" t="s">
        <v>2941</v>
      </c>
      <c r="M3252" s="14" t="s">
        <v>140</v>
      </c>
      <c r="N3252" s="14" t="s">
        <v>33</v>
      </c>
      <c r="O3252" s="14"/>
      <c r="P3252" s="15" t="s">
        <v>2942</v>
      </c>
      <c r="Q3252" s="16">
        <v>7799</v>
      </c>
      <c r="R3252" s="17">
        <v>84.9</v>
      </c>
      <c r="S3252" s="18">
        <v>1354.4354999999998</v>
      </c>
      <c r="T3252" s="19" t="s">
        <v>36</v>
      </c>
      <c r="U3252" s="20" t="s">
        <v>99</v>
      </c>
      <c r="V3252" s="21" t="s">
        <v>100</v>
      </c>
      <c r="W3252" s="22">
        <v>11</v>
      </c>
      <c r="X3252" s="23"/>
    </row>
    <row r="3253" spans="1:24" s="1" customFormat="1" ht="61.05" customHeight="1" x14ac:dyDescent="0.3">
      <c r="A3253" s="24" t="s">
        <v>23</v>
      </c>
      <c r="B3253" s="24" t="s">
        <v>2937</v>
      </c>
      <c r="C3253" s="12" t="s">
        <v>2938</v>
      </c>
      <c r="D3253" s="56"/>
      <c r="E3253" s="41" t="str">
        <f>HYPERLINK("https://www.google.ru/search?q=1373541-001&amp;newwindow=1&amp;tbm=isch","Еще фото")</f>
        <v>Еще фото</v>
      </c>
      <c r="F3253" s="13"/>
      <c r="G3253" s="24" t="s">
        <v>2939</v>
      </c>
      <c r="H3253" s="24" t="s">
        <v>27</v>
      </c>
      <c r="I3253" s="24" t="s">
        <v>2940</v>
      </c>
      <c r="J3253" s="14" t="s">
        <v>29</v>
      </c>
      <c r="K3253" s="15" t="s">
        <v>50</v>
      </c>
      <c r="L3253" s="58"/>
      <c r="M3253" s="14" t="s">
        <v>140</v>
      </c>
      <c r="N3253" s="14" t="s">
        <v>33</v>
      </c>
      <c r="O3253" s="14"/>
      <c r="P3253" s="15" t="s">
        <v>2942</v>
      </c>
      <c r="Q3253" s="16">
        <v>7799</v>
      </c>
      <c r="R3253" s="17">
        <v>84.9</v>
      </c>
      <c r="S3253" s="18">
        <v>1354.4354999999998</v>
      </c>
      <c r="T3253" s="19" t="s">
        <v>36</v>
      </c>
      <c r="U3253" s="20" t="s">
        <v>54</v>
      </c>
      <c r="V3253" s="21" t="s">
        <v>55</v>
      </c>
      <c r="W3253" s="22">
        <v>5</v>
      </c>
      <c r="X3253" s="23"/>
    </row>
    <row r="3254" spans="1:24" s="1" customFormat="1" ht="108" customHeight="1" x14ac:dyDescent="0.3">
      <c r="A3254" s="11" t="s">
        <v>23</v>
      </c>
      <c r="B3254" s="11" t="s">
        <v>2943</v>
      </c>
      <c r="C3254" s="12" t="s">
        <v>2944</v>
      </c>
      <c r="D3254" s="25"/>
      <c r="E3254" s="41" t="str">
        <f>HYPERLINK("https://www.google.ru/search?q=1373359-391&amp;newwindow=1&amp;tbm=isch","Еще фото")</f>
        <v>Еще фото</v>
      </c>
      <c r="F3254" s="13"/>
      <c r="G3254" s="11" t="s">
        <v>2945</v>
      </c>
      <c r="H3254" s="11" t="s">
        <v>27</v>
      </c>
      <c r="I3254" s="14" t="s">
        <v>2940</v>
      </c>
      <c r="J3254" s="14" t="s">
        <v>29</v>
      </c>
      <c r="K3254" s="15" t="s">
        <v>30</v>
      </c>
      <c r="L3254" s="14" t="s">
        <v>2946</v>
      </c>
      <c r="M3254" s="14" t="s">
        <v>140</v>
      </c>
      <c r="N3254" s="14" t="s">
        <v>871</v>
      </c>
      <c r="O3254" s="14"/>
      <c r="P3254" s="15" t="s">
        <v>47</v>
      </c>
      <c r="Q3254" s="16">
        <v>8999</v>
      </c>
      <c r="R3254" s="17">
        <v>75.36</v>
      </c>
      <c r="S3254" s="18">
        <v>2550.4354999999996</v>
      </c>
      <c r="T3254" s="19" t="s">
        <v>36</v>
      </c>
      <c r="U3254" s="20" t="s">
        <v>37</v>
      </c>
      <c r="V3254" s="21" t="s">
        <v>38</v>
      </c>
      <c r="W3254" s="22">
        <v>5</v>
      </c>
      <c r="X3254" s="23"/>
    </row>
    <row r="3255" spans="1:24" s="1" customFormat="1" ht="26" customHeight="1" x14ac:dyDescent="0.3">
      <c r="A3255" s="11" t="s">
        <v>23</v>
      </c>
      <c r="B3255" s="11" t="s">
        <v>2947</v>
      </c>
      <c r="C3255" s="12" t="s">
        <v>2948</v>
      </c>
      <c r="D3255" s="59"/>
      <c r="E3255" s="41" t="str">
        <f>HYPERLINK("https://www.google.ru/search?q=1387796-800&amp;newwindow=1&amp;tbm=isch","Еще фото")</f>
        <v>Еще фото</v>
      </c>
      <c r="F3255" s="13"/>
      <c r="G3255" s="11" t="s">
        <v>2949</v>
      </c>
      <c r="H3255" s="11" t="s">
        <v>27</v>
      </c>
      <c r="I3255" s="14" t="s">
        <v>2940</v>
      </c>
      <c r="J3255" s="14" t="s">
        <v>29</v>
      </c>
      <c r="K3255" s="15" t="s">
        <v>30</v>
      </c>
      <c r="L3255" s="57" t="s">
        <v>2950</v>
      </c>
      <c r="M3255" s="14"/>
      <c r="N3255" s="14" t="s">
        <v>2005</v>
      </c>
      <c r="O3255" s="14"/>
      <c r="P3255" s="15" t="s">
        <v>2951</v>
      </c>
      <c r="Q3255" s="16">
        <v>8999</v>
      </c>
      <c r="R3255" s="17">
        <v>74.02</v>
      </c>
      <c r="S3255" s="18">
        <v>2688.4354999999996</v>
      </c>
      <c r="T3255" s="19" t="s">
        <v>36</v>
      </c>
      <c r="U3255" s="20" t="s">
        <v>63</v>
      </c>
      <c r="V3255" s="21" t="s">
        <v>85</v>
      </c>
      <c r="W3255" s="22">
        <v>1</v>
      </c>
      <c r="X3255" s="23"/>
    </row>
    <row r="3256" spans="1:24" s="1" customFormat="1" ht="26" customHeight="1" x14ac:dyDescent="0.3">
      <c r="A3256" s="24" t="s">
        <v>23</v>
      </c>
      <c r="B3256" s="24" t="s">
        <v>2947</v>
      </c>
      <c r="C3256" s="12" t="s">
        <v>2948</v>
      </c>
      <c r="D3256" s="60"/>
      <c r="E3256" s="41" t="str">
        <f>HYPERLINK("https://www.google.ru/search?q=1387796-800&amp;newwindow=1&amp;tbm=isch","Еще фото")</f>
        <v>Еще фото</v>
      </c>
      <c r="F3256" s="13"/>
      <c r="G3256" s="24" t="s">
        <v>2949</v>
      </c>
      <c r="H3256" s="24" t="s">
        <v>27</v>
      </c>
      <c r="I3256" s="24" t="s">
        <v>2940</v>
      </c>
      <c r="J3256" s="14" t="s">
        <v>29</v>
      </c>
      <c r="K3256" s="15" t="s">
        <v>30</v>
      </c>
      <c r="L3256" s="62"/>
      <c r="M3256" s="14"/>
      <c r="N3256" s="14" t="s">
        <v>2005</v>
      </c>
      <c r="O3256" s="14"/>
      <c r="P3256" s="15" t="s">
        <v>2951</v>
      </c>
      <c r="Q3256" s="16">
        <v>8999</v>
      </c>
      <c r="R3256" s="17">
        <v>74.02</v>
      </c>
      <c r="S3256" s="18">
        <v>2688.4354999999996</v>
      </c>
      <c r="T3256" s="19" t="s">
        <v>36</v>
      </c>
      <c r="U3256" s="20" t="s">
        <v>37</v>
      </c>
      <c r="V3256" s="21" t="s">
        <v>38</v>
      </c>
      <c r="W3256" s="22">
        <v>1</v>
      </c>
      <c r="X3256" s="23"/>
    </row>
    <row r="3257" spans="1:24" s="1" customFormat="1" ht="26" customHeight="1" x14ac:dyDescent="0.3">
      <c r="A3257" s="24" t="s">
        <v>23</v>
      </c>
      <c r="B3257" s="24" t="s">
        <v>2947</v>
      </c>
      <c r="C3257" s="12" t="s">
        <v>2948</v>
      </c>
      <c r="D3257" s="60"/>
      <c r="E3257" s="41" t="str">
        <f>HYPERLINK("https://www.google.ru/search?q=1387796-800&amp;newwindow=1&amp;tbm=isch","Еще фото")</f>
        <v>Еще фото</v>
      </c>
      <c r="F3257" s="13"/>
      <c r="G3257" s="24" t="s">
        <v>2949</v>
      </c>
      <c r="H3257" s="24" t="s">
        <v>27</v>
      </c>
      <c r="I3257" s="24" t="s">
        <v>2940</v>
      </c>
      <c r="J3257" s="14" t="s">
        <v>29</v>
      </c>
      <c r="K3257" s="15" t="s">
        <v>30</v>
      </c>
      <c r="L3257" s="62"/>
      <c r="M3257" s="14"/>
      <c r="N3257" s="14" t="s">
        <v>2005</v>
      </c>
      <c r="O3257" s="14"/>
      <c r="P3257" s="15" t="s">
        <v>2951</v>
      </c>
      <c r="Q3257" s="16">
        <v>8999</v>
      </c>
      <c r="R3257" s="17">
        <v>74.02</v>
      </c>
      <c r="S3257" s="18">
        <v>2688.4354999999996</v>
      </c>
      <c r="T3257" s="19" t="s">
        <v>36</v>
      </c>
      <c r="U3257" s="20" t="s">
        <v>39</v>
      </c>
      <c r="V3257" s="21" t="s">
        <v>40</v>
      </c>
      <c r="W3257" s="22">
        <v>6</v>
      </c>
      <c r="X3257" s="23"/>
    </row>
    <row r="3258" spans="1:24" s="1" customFormat="1" ht="26" customHeight="1" x14ac:dyDescent="0.3">
      <c r="A3258" s="24" t="s">
        <v>23</v>
      </c>
      <c r="B3258" s="24" t="s">
        <v>2947</v>
      </c>
      <c r="C3258" s="12" t="s">
        <v>2948</v>
      </c>
      <c r="D3258" s="61"/>
      <c r="E3258" s="41" t="str">
        <f>HYPERLINK("https://www.google.ru/search?q=1387796-800&amp;newwindow=1&amp;tbm=isch","Еще фото")</f>
        <v>Еще фото</v>
      </c>
      <c r="F3258" s="13"/>
      <c r="G3258" s="24" t="s">
        <v>2949</v>
      </c>
      <c r="H3258" s="24" t="s">
        <v>27</v>
      </c>
      <c r="I3258" s="24" t="s">
        <v>2940</v>
      </c>
      <c r="J3258" s="14" t="s">
        <v>29</v>
      </c>
      <c r="K3258" s="15" t="s">
        <v>30</v>
      </c>
      <c r="L3258" s="58"/>
      <c r="M3258" s="14"/>
      <c r="N3258" s="14" t="s">
        <v>2005</v>
      </c>
      <c r="O3258" s="14"/>
      <c r="P3258" s="15" t="s">
        <v>2951</v>
      </c>
      <c r="Q3258" s="16">
        <v>8999</v>
      </c>
      <c r="R3258" s="17">
        <v>74.02</v>
      </c>
      <c r="S3258" s="18">
        <v>2688.4354999999996</v>
      </c>
      <c r="T3258" s="19" t="s">
        <v>36</v>
      </c>
      <c r="U3258" s="20" t="s">
        <v>86</v>
      </c>
      <c r="V3258" s="21" t="s">
        <v>87</v>
      </c>
      <c r="W3258" s="22">
        <v>5</v>
      </c>
      <c r="X3258" s="23"/>
    </row>
    <row r="3259" spans="1:24" s="1" customFormat="1" ht="52.05" customHeight="1" x14ac:dyDescent="0.3">
      <c r="A3259" s="11" t="s">
        <v>23</v>
      </c>
      <c r="B3259" s="11" t="s">
        <v>2952</v>
      </c>
      <c r="C3259" s="12" t="s">
        <v>2953</v>
      </c>
      <c r="D3259" s="55"/>
      <c r="E3259" s="41" t="str">
        <f>HYPERLINK("https://www.google.ru/search?q=1356168-001&amp;newwindow=1&amp;tbm=isch","Еще фото")</f>
        <v>Еще фото</v>
      </c>
      <c r="F3259" s="13"/>
      <c r="G3259" s="11" t="s">
        <v>855</v>
      </c>
      <c r="H3259" s="11" t="s">
        <v>27</v>
      </c>
      <c r="I3259" s="14" t="s">
        <v>2940</v>
      </c>
      <c r="J3259" s="14" t="s">
        <v>29</v>
      </c>
      <c r="K3259" s="15" t="s">
        <v>30</v>
      </c>
      <c r="L3259" s="57" t="s">
        <v>2954</v>
      </c>
      <c r="M3259" s="14" t="s">
        <v>45</v>
      </c>
      <c r="N3259" s="14" t="s">
        <v>33</v>
      </c>
      <c r="O3259" s="14" t="s">
        <v>34</v>
      </c>
      <c r="P3259" s="15" t="s">
        <v>2955</v>
      </c>
      <c r="Q3259" s="16">
        <v>10899</v>
      </c>
      <c r="R3259" s="17">
        <v>71.209999999999994</v>
      </c>
      <c r="S3259" s="18">
        <v>3608.4354999999996</v>
      </c>
      <c r="T3259" s="19" t="s">
        <v>36</v>
      </c>
      <c r="U3259" s="20" t="s">
        <v>37</v>
      </c>
      <c r="V3259" s="21" t="s">
        <v>38</v>
      </c>
      <c r="W3259" s="22">
        <v>4</v>
      </c>
      <c r="X3259" s="23"/>
    </row>
    <row r="3260" spans="1:24" s="1" customFormat="1" ht="61.05" customHeight="1" x14ac:dyDescent="0.3">
      <c r="A3260" s="24" t="s">
        <v>23</v>
      </c>
      <c r="B3260" s="24" t="s">
        <v>2952</v>
      </c>
      <c r="C3260" s="12" t="s">
        <v>2953</v>
      </c>
      <c r="D3260" s="56"/>
      <c r="E3260" s="41" t="str">
        <f>HYPERLINK("https://www.google.ru/search?q=1356168-001&amp;newwindow=1&amp;tbm=isch","Еще фото")</f>
        <v>Еще фото</v>
      </c>
      <c r="F3260" s="13"/>
      <c r="G3260" s="24" t="s">
        <v>855</v>
      </c>
      <c r="H3260" s="24" t="s">
        <v>27</v>
      </c>
      <c r="I3260" s="24" t="s">
        <v>2940</v>
      </c>
      <c r="J3260" s="14" t="s">
        <v>29</v>
      </c>
      <c r="K3260" s="15" t="s">
        <v>30</v>
      </c>
      <c r="L3260" s="58"/>
      <c r="M3260" s="14" t="s">
        <v>45</v>
      </c>
      <c r="N3260" s="14" t="s">
        <v>33</v>
      </c>
      <c r="O3260" s="14" t="s">
        <v>34</v>
      </c>
      <c r="P3260" s="15" t="s">
        <v>2955</v>
      </c>
      <c r="Q3260" s="16">
        <v>10899</v>
      </c>
      <c r="R3260" s="17">
        <v>71.209999999999994</v>
      </c>
      <c r="S3260" s="18">
        <v>3608.4354999999996</v>
      </c>
      <c r="T3260" s="19" t="s">
        <v>36</v>
      </c>
      <c r="U3260" s="20" t="s">
        <v>39</v>
      </c>
      <c r="V3260" s="21" t="s">
        <v>40</v>
      </c>
      <c r="W3260" s="22">
        <v>5</v>
      </c>
      <c r="X3260" s="23"/>
    </row>
    <row r="3261" spans="1:24" s="1" customFormat="1" ht="26" customHeight="1" x14ac:dyDescent="0.3">
      <c r="A3261" s="11" t="s">
        <v>23</v>
      </c>
      <c r="B3261" s="11" t="s">
        <v>2956</v>
      </c>
      <c r="C3261" s="12" t="s">
        <v>2957</v>
      </c>
      <c r="D3261" s="59"/>
      <c r="E3261" s="41" t="str">
        <f>HYPERLINK("https://www.google.ru/search?q=1389914-989&amp;newwindow=1&amp;tbm=isch","Еще фото")</f>
        <v>Еще фото</v>
      </c>
      <c r="F3261" s="13"/>
      <c r="G3261" s="11" t="s">
        <v>2939</v>
      </c>
      <c r="H3261" s="11" t="s">
        <v>27</v>
      </c>
      <c r="I3261" s="14" t="s">
        <v>2940</v>
      </c>
      <c r="J3261" s="14" t="s">
        <v>43</v>
      </c>
      <c r="K3261" s="15" t="s">
        <v>30</v>
      </c>
      <c r="L3261" s="57" t="s">
        <v>2958</v>
      </c>
      <c r="M3261" s="14"/>
      <c r="N3261" s="14" t="s">
        <v>198</v>
      </c>
      <c r="O3261" s="14"/>
      <c r="P3261" s="15" t="s">
        <v>120</v>
      </c>
      <c r="Q3261" s="16">
        <v>18799</v>
      </c>
      <c r="R3261" s="17">
        <v>66.92</v>
      </c>
      <c r="S3261" s="18">
        <v>7150.4354999999996</v>
      </c>
      <c r="T3261" s="19" t="s">
        <v>36</v>
      </c>
      <c r="U3261" s="20" t="s">
        <v>37</v>
      </c>
      <c r="V3261" s="21" t="s">
        <v>38</v>
      </c>
      <c r="W3261" s="22">
        <v>3</v>
      </c>
      <c r="X3261" s="23"/>
    </row>
    <row r="3262" spans="1:24" s="1" customFormat="1" ht="26" customHeight="1" x14ac:dyDescent="0.3">
      <c r="A3262" s="24" t="s">
        <v>23</v>
      </c>
      <c r="B3262" s="24" t="s">
        <v>2956</v>
      </c>
      <c r="C3262" s="12" t="s">
        <v>2957</v>
      </c>
      <c r="D3262" s="60"/>
      <c r="E3262" s="41" t="str">
        <f>HYPERLINK("https://www.google.ru/search?q=1389914-989&amp;newwindow=1&amp;tbm=isch","Еще фото")</f>
        <v>Еще фото</v>
      </c>
      <c r="F3262" s="13"/>
      <c r="G3262" s="24" t="s">
        <v>2939</v>
      </c>
      <c r="H3262" s="24" t="s">
        <v>27</v>
      </c>
      <c r="I3262" s="24" t="s">
        <v>2940</v>
      </c>
      <c r="J3262" s="14" t="s">
        <v>43</v>
      </c>
      <c r="K3262" s="15" t="s">
        <v>30</v>
      </c>
      <c r="L3262" s="62"/>
      <c r="M3262" s="14"/>
      <c r="N3262" s="14" t="s">
        <v>198</v>
      </c>
      <c r="O3262" s="14"/>
      <c r="P3262" s="15" t="s">
        <v>120</v>
      </c>
      <c r="Q3262" s="16">
        <v>18799</v>
      </c>
      <c r="R3262" s="17">
        <v>66.92</v>
      </c>
      <c r="S3262" s="18">
        <v>7150.4354999999996</v>
      </c>
      <c r="T3262" s="19" t="s">
        <v>36</v>
      </c>
      <c r="U3262" s="20" t="s">
        <v>39</v>
      </c>
      <c r="V3262" s="21" t="s">
        <v>40</v>
      </c>
      <c r="W3262" s="22">
        <v>3</v>
      </c>
      <c r="X3262" s="23"/>
    </row>
    <row r="3263" spans="1:24" s="1" customFormat="1" ht="26" customHeight="1" x14ac:dyDescent="0.3">
      <c r="A3263" s="24" t="s">
        <v>23</v>
      </c>
      <c r="B3263" s="24" t="s">
        <v>2956</v>
      </c>
      <c r="C3263" s="12" t="s">
        <v>2957</v>
      </c>
      <c r="D3263" s="60"/>
      <c r="E3263" s="41" t="str">
        <f>HYPERLINK("https://www.google.ru/search?q=1389914-989&amp;newwindow=1&amp;tbm=isch","Еще фото")</f>
        <v>Еще фото</v>
      </c>
      <c r="F3263" s="13"/>
      <c r="G3263" s="24" t="s">
        <v>2939</v>
      </c>
      <c r="H3263" s="24" t="s">
        <v>27</v>
      </c>
      <c r="I3263" s="24" t="s">
        <v>2940</v>
      </c>
      <c r="J3263" s="14" t="s">
        <v>43</v>
      </c>
      <c r="K3263" s="15" t="s">
        <v>30</v>
      </c>
      <c r="L3263" s="62"/>
      <c r="M3263" s="14"/>
      <c r="N3263" s="14" t="s">
        <v>198</v>
      </c>
      <c r="O3263" s="14"/>
      <c r="P3263" s="15" t="s">
        <v>120</v>
      </c>
      <c r="Q3263" s="16">
        <v>18799</v>
      </c>
      <c r="R3263" s="17">
        <v>66.92</v>
      </c>
      <c r="S3263" s="18">
        <v>7150.4354999999996</v>
      </c>
      <c r="T3263" s="19" t="s">
        <v>36</v>
      </c>
      <c r="U3263" s="20" t="s">
        <v>86</v>
      </c>
      <c r="V3263" s="21" t="s">
        <v>87</v>
      </c>
      <c r="W3263" s="22">
        <v>1</v>
      </c>
      <c r="X3263" s="23"/>
    </row>
    <row r="3264" spans="1:24" s="1" customFormat="1" ht="26" customHeight="1" x14ac:dyDescent="0.3">
      <c r="A3264" s="24" t="s">
        <v>23</v>
      </c>
      <c r="B3264" s="24" t="s">
        <v>2956</v>
      </c>
      <c r="C3264" s="12" t="s">
        <v>2957</v>
      </c>
      <c r="D3264" s="61"/>
      <c r="E3264" s="41" t="str">
        <f>HYPERLINK("https://www.google.ru/search?q=1389914-989&amp;newwindow=1&amp;tbm=isch","Еще фото")</f>
        <v>Еще фото</v>
      </c>
      <c r="F3264" s="13"/>
      <c r="G3264" s="24" t="s">
        <v>2939</v>
      </c>
      <c r="H3264" s="24" t="s">
        <v>27</v>
      </c>
      <c r="I3264" s="24" t="s">
        <v>2940</v>
      </c>
      <c r="J3264" s="14" t="s">
        <v>43</v>
      </c>
      <c r="K3264" s="15" t="s">
        <v>30</v>
      </c>
      <c r="L3264" s="58"/>
      <c r="M3264" s="14"/>
      <c r="N3264" s="14" t="s">
        <v>198</v>
      </c>
      <c r="O3264" s="14"/>
      <c r="P3264" s="15" t="s">
        <v>120</v>
      </c>
      <c r="Q3264" s="16">
        <v>18799</v>
      </c>
      <c r="R3264" s="17">
        <v>66.92</v>
      </c>
      <c r="S3264" s="18">
        <v>7150.4354999999996</v>
      </c>
      <c r="T3264" s="19" t="s">
        <v>36</v>
      </c>
      <c r="U3264" s="20" t="s">
        <v>88</v>
      </c>
      <c r="V3264" s="21" t="s">
        <v>89</v>
      </c>
      <c r="W3264" s="22">
        <v>1</v>
      </c>
      <c r="X3264" s="23"/>
    </row>
    <row r="3265" spans="1:24" s="1" customFormat="1" ht="108" customHeight="1" x14ac:dyDescent="0.3">
      <c r="A3265" s="11" t="s">
        <v>23</v>
      </c>
      <c r="B3265" s="11" t="s">
        <v>2959</v>
      </c>
      <c r="C3265" s="12" t="s">
        <v>2960</v>
      </c>
      <c r="D3265" s="25"/>
      <c r="E3265" s="41" t="str">
        <f>HYPERLINK("https://www.google.ru/search?q=1361619-001&amp;newwindow=1&amp;tbm=isch","Еще фото")</f>
        <v>Еще фото</v>
      </c>
      <c r="F3265" s="13"/>
      <c r="G3265" s="11" t="s">
        <v>2961</v>
      </c>
      <c r="H3265" s="11" t="s">
        <v>27</v>
      </c>
      <c r="I3265" s="14" t="s">
        <v>2940</v>
      </c>
      <c r="J3265" s="14" t="s">
        <v>29</v>
      </c>
      <c r="K3265" s="15" t="s">
        <v>30</v>
      </c>
      <c r="L3265" s="14" t="s">
        <v>2962</v>
      </c>
      <c r="M3265" s="14" t="s">
        <v>2963</v>
      </c>
      <c r="N3265" s="14" t="s">
        <v>33</v>
      </c>
      <c r="O3265" s="14"/>
      <c r="P3265" s="15" t="s">
        <v>47</v>
      </c>
      <c r="Q3265" s="16">
        <v>9999</v>
      </c>
      <c r="R3265" s="17">
        <v>64.819999999999993</v>
      </c>
      <c r="S3265" s="18">
        <v>4045.4354999999996</v>
      </c>
      <c r="T3265" s="19" t="s">
        <v>36</v>
      </c>
      <c r="U3265" s="20" t="s">
        <v>37</v>
      </c>
      <c r="V3265" s="21" t="s">
        <v>38</v>
      </c>
      <c r="W3265" s="22">
        <v>4</v>
      </c>
      <c r="X3265" s="23"/>
    </row>
    <row r="3266" spans="1:24" s="1" customFormat="1" ht="52.05" customHeight="1" x14ac:dyDescent="0.3">
      <c r="A3266" s="11" t="s">
        <v>23</v>
      </c>
      <c r="B3266" s="11" t="s">
        <v>2964</v>
      </c>
      <c r="C3266" s="12" t="s">
        <v>2965</v>
      </c>
      <c r="D3266" s="55"/>
      <c r="E3266" s="41" t="str">
        <f>HYPERLINK("https://www.google.ru/search?q=1371587-390&amp;newwindow=1&amp;tbm=isch","Еще фото")</f>
        <v>Еще фото</v>
      </c>
      <c r="F3266" s="13"/>
      <c r="G3266" s="11" t="s">
        <v>2966</v>
      </c>
      <c r="H3266" s="11" t="s">
        <v>27</v>
      </c>
      <c r="I3266" s="14" t="s">
        <v>2940</v>
      </c>
      <c r="J3266" s="14" t="s">
        <v>29</v>
      </c>
      <c r="K3266" s="15" t="s">
        <v>30</v>
      </c>
      <c r="L3266" s="57" t="s">
        <v>2967</v>
      </c>
      <c r="M3266" s="14" t="s">
        <v>2968</v>
      </c>
      <c r="N3266" s="14" t="s">
        <v>871</v>
      </c>
      <c r="O3266" s="14"/>
      <c r="P3266" s="15" t="s">
        <v>47</v>
      </c>
      <c r="Q3266" s="16">
        <v>18999</v>
      </c>
      <c r="R3266" s="17">
        <v>58.96</v>
      </c>
      <c r="S3266" s="18">
        <v>8967.4354999999996</v>
      </c>
      <c r="T3266" s="19" t="s">
        <v>36</v>
      </c>
      <c r="U3266" s="20" t="s">
        <v>63</v>
      </c>
      <c r="V3266" s="21" t="s">
        <v>85</v>
      </c>
      <c r="W3266" s="22">
        <v>1</v>
      </c>
      <c r="X3266" s="23"/>
    </row>
    <row r="3267" spans="1:24" s="1" customFormat="1" ht="61.05" customHeight="1" x14ac:dyDescent="0.3">
      <c r="A3267" s="24" t="s">
        <v>23</v>
      </c>
      <c r="B3267" s="24" t="s">
        <v>2964</v>
      </c>
      <c r="C3267" s="12" t="s">
        <v>2965</v>
      </c>
      <c r="D3267" s="56"/>
      <c r="E3267" s="41" t="str">
        <f>HYPERLINK("https://www.google.ru/search?q=1371587-390&amp;newwindow=1&amp;tbm=isch","Еще фото")</f>
        <v>Еще фото</v>
      </c>
      <c r="F3267" s="13"/>
      <c r="G3267" s="24" t="s">
        <v>2966</v>
      </c>
      <c r="H3267" s="24" t="s">
        <v>27</v>
      </c>
      <c r="I3267" s="24" t="s">
        <v>2940</v>
      </c>
      <c r="J3267" s="14" t="s">
        <v>29</v>
      </c>
      <c r="K3267" s="15" t="s">
        <v>30</v>
      </c>
      <c r="L3267" s="58"/>
      <c r="M3267" s="14" t="s">
        <v>2968</v>
      </c>
      <c r="N3267" s="14" t="s">
        <v>871</v>
      </c>
      <c r="O3267" s="14"/>
      <c r="P3267" s="15" t="s">
        <v>47</v>
      </c>
      <c r="Q3267" s="16">
        <v>18999</v>
      </c>
      <c r="R3267" s="17">
        <v>58.96</v>
      </c>
      <c r="S3267" s="18">
        <v>8967.4354999999996</v>
      </c>
      <c r="T3267" s="19" t="s">
        <v>36</v>
      </c>
      <c r="U3267" s="20" t="s">
        <v>37</v>
      </c>
      <c r="V3267" s="21" t="s">
        <v>38</v>
      </c>
      <c r="W3267" s="22">
        <v>9</v>
      </c>
      <c r="X3267" s="23"/>
    </row>
    <row r="3268" spans="1:24" s="1" customFormat="1" ht="52.05" customHeight="1" x14ac:dyDescent="0.3">
      <c r="A3268" s="11" t="s">
        <v>23</v>
      </c>
      <c r="B3268" s="11" t="s">
        <v>2969</v>
      </c>
      <c r="C3268" s="12" t="s">
        <v>2970</v>
      </c>
      <c r="D3268" s="55"/>
      <c r="E3268" s="41" t="str">
        <f>HYPERLINK("https://www.google.ru/search?q=1379285-001&amp;newwindow=1&amp;tbm=isch","Еще фото")</f>
        <v>Еще фото</v>
      </c>
      <c r="F3268" s="13"/>
      <c r="G3268" s="11" t="s">
        <v>2939</v>
      </c>
      <c r="H3268" s="11" t="s">
        <v>27</v>
      </c>
      <c r="I3268" s="14" t="s">
        <v>2940</v>
      </c>
      <c r="J3268" s="14" t="s">
        <v>29</v>
      </c>
      <c r="K3268" s="15" t="s">
        <v>50</v>
      </c>
      <c r="L3268" s="57" t="s">
        <v>2971</v>
      </c>
      <c r="M3268" s="14" t="s">
        <v>97</v>
      </c>
      <c r="N3268" s="14" t="s">
        <v>98</v>
      </c>
      <c r="O3268" s="14"/>
      <c r="P3268" s="15" t="s">
        <v>47</v>
      </c>
      <c r="Q3268" s="16">
        <v>8999</v>
      </c>
      <c r="R3268" s="17">
        <v>58.8</v>
      </c>
      <c r="S3268" s="18">
        <v>4263.9354999999996</v>
      </c>
      <c r="T3268" s="19" t="s">
        <v>36</v>
      </c>
      <c r="U3268" s="20" t="s">
        <v>99</v>
      </c>
      <c r="V3268" s="21" t="s">
        <v>100</v>
      </c>
      <c r="W3268" s="22">
        <v>14</v>
      </c>
      <c r="X3268" s="23"/>
    </row>
    <row r="3269" spans="1:24" s="1" customFormat="1" ht="61.05" customHeight="1" x14ac:dyDescent="0.3">
      <c r="A3269" s="24" t="s">
        <v>23</v>
      </c>
      <c r="B3269" s="24" t="s">
        <v>2969</v>
      </c>
      <c r="C3269" s="12" t="s">
        <v>2970</v>
      </c>
      <c r="D3269" s="56"/>
      <c r="E3269" s="41" t="str">
        <f>HYPERLINK("https://www.google.ru/search?q=1379285-001&amp;newwindow=1&amp;tbm=isch","Еще фото")</f>
        <v>Еще фото</v>
      </c>
      <c r="F3269" s="13"/>
      <c r="G3269" s="24" t="s">
        <v>2939</v>
      </c>
      <c r="H3269" s="24" t="s">
        <v>27</v>
      </c>
      <c r="I3269" s="24" t="s">
        <v>2940</v>
      </c>
      <c r="J3269" s="14" t="s">
        <v>29</v>
      </c>
      <c r="K3269" s="15" t="s">
        <v>50</v>
      </c>
      <c r="L3269" s="58"/>
      <c r="M3269" s="14" t="s">
        <v>97</v>
      </c>
      <c r="N3269" s="14" t="s">
        <v>98</v>
      </c>
      <c r="O3269" s="14"/>
      <c r="P3269" s="15" t="s">
        <v>47</v>
      </c>
      <c r="Q3269" s="16">
        <v>8999</v>
      </c>
      <c r="R3269" s="17">
        <v>58.8</v>
      </c>
      <c r="S3269" s="18">
        <v>4263.9354999999996</v>
      </c>
      <c r="T3269" s="19" t="s">
        <v>36</v>
      </c>
      <c r="U3269" s="20" t="s">
        <v>54</v>
      </c>
      <c r="V3269" s="21" t="s">
        <v>55</v>
      </c>
      <c r="W3269" s="22">
        <v>17</v>
      </c>
      <c r="X3269" s="23"/>
    </row>
    <row r="3270" spans="1:24" s="1" customFormat="1" ht="108" customHeight="1" x14ac:dyDescent="0.3">
      <c r="A3270" s="11" t="s">
        <v>23</v>
      </c>
      <c r="B3270" s="11" t="s">
        <v>2972</v>
      </c>
      <c r="C3270" s="12" t="s">
        <v>2973</v>
      </c>
      <c r="D3270" s="25"/>
      <c r="E3270" s="41" t="str">
        <f>HYPERLINK("https://www.google.ru/search?q=1374644-452&amp;newwindow=1&amp;tbm=isch","Еще фото")</f>
        <v>Еще фото</v>
      </c>
      <c r="F3270" s="13"/>
      <c r="G3270" s="11" t="s">
        <v>2966</v>
      </c>
      <c r="H3270" s="11" t="s">
        <v>27</v>
      </c>
      <c r="I3270" s="14" t="s">
        <v>2940</v>
      </c>
      <c r="J3270" s="14" t="s">
        <v>29</v>
      </c>
      <c r="K3270" s="15" t="s">
        <v>30</v>
      </c>
      <c r="L3270" s="14" t="s">
        <v>2974</v>
      </c>
      <c r="M3270" s="14"/>
      <c r="N3270" s="14" t="s">
        <v>115</v>
      </c>
      <c r="O3270" s="14"/>
      <c r="P3270" s="15" t="s">
        <v>248</v>
      </c>
      <c r="Q3270" s="16">
        <v>15499</v>
      </c>
      <c r="R3270" s="17">
        <v>58.79</v>
      </c>
      <c r="S3270" s="18">
        <v>7345.9354999999996</v>
      </c>
      <c r="T3270" s="19" t="s">
        <v>36</v>
      </c>
      <c r="U3270" s="20" t="s">
        <v>37</v>
      </c>
      <c r="V3270" s="21" t="s">
        <v>38</v>
      </c>
      <c r="W3270" s="22">
        <v>2</v>
      </c>
      <c r="X3270" s="23"/>
    </row>
    <row r="3271" spans="1:24" s="1" customFormat="1" ht="108" customHeight="1" x14ac:dyDescent="0.3">
      <c r="A3271" s="11" t="s">
        <v>23</v>
      </c>
      <c r="B3271" s="11" t="s">
        <v>2975</v>
      </c>
      <c r="C3271" s="12" t="s">
        <v>2976</v>
      </c>
      <c r="D3271" s="25"/>
      <c r="E3271" s="41" t="str">
        <f>HYPERLINK("https://www.google.ru/search?q=1373354-400&amp;newwindow=1&amp;tbm=isch","Еще фото")</f>
        <v>Еще фото</v>
      </c>
      <c r="F3271" s="13"/>
      <c r="G3271" s="11" t="s">
        <v>2939</v>
      </c>
      <c r="H3271" s="11" t="s">
        <v>27</v>
      </c>
      <c r="I3271" s="14" t="s">
        <v>2940</v>
      </c>
      <c r="J3271" s="14" t="s">
        <v>29</v>
      </c>
      <c r="K3271" s="15" t="s">
        <v>30</v>
      </c>
      <c r="L3271" s="14" t="s">
        <v>2977</v>
      </c>
      <c r="M3271" s="14" t="s">
        <v>140</v>
      </c>
      <c r="N3271" s="14" t="s">
        <v>485</v>
      </c>
      <c r="O3271" s="14"/>
      <c r="P3271" s="15" t="s">
        <v>47</v>
      </c>
      <c r="Q3271" s="16">
        <v>8999</v>
      </c>
      <c r="R3271" s="17">
        <v>55.69</v>
      </c>
      <c r="S3271" s="18">
        <v>4585.9354999999996</v>
      </c>
      <c r="T3271" s="19" t="s">
        <v>36</v>
      </c>
      <c r="U3271" s="20" t="s">
        <v>39</v>
      </c>
      <c r="V3271" s="21" t="s">
        <v>40</v>
      </c>
      <c r="W3271" s="22">
        <v>8</v>
      </c>
      <c r="X3271" s="23"/>
    </row>
    <row r="3272" spans="1:24" s="1" customFormat="1" ht="35" customHeight="1" x14ac:dyDescent="0.3">
      <c r="A3272" s="11" t="s">
        <v>23</v>
      </c>
      <c r="B3272" s="11" t="s">
        <v>2972</v>
      </c>
      <c r="C3272" s="12" t="s">
        <v>2978</v>
      </c>
      <c r="D3272" s="59"/>
      <c r="E3272" s="41" t="str">
        <f>HYPERLINK("https://www.google.ru/search?q=1374645-002&amp;newwindow=1&amp;tbm=isch","Еще фото")</f>
        <v>Еще фото</v>
      </c>
      <c r="F3272" s="13"/>
      <c r="G3272" s="11" t="s">
        <v>2966</v>
      </c>
      <c r="H3272" s="11" t="s">
        <v>27</v>
      </c>
      <c r="I3272" s="14" t="s">
        <v>2940</v>
      </c>
      <c r="J3272" s="14" t="s">
        <v>29</v>
      </c>
      <c r="K3272" s="15" t="s">
        <v>59</v>
      </c>
      <c r="L3272" s="57" t="s">
        <v>2979</v>
      </c>
      <c r="M3272" s="14" t="s">
        <v>32</v>
      </c>
      <c r="N3272" s="14" t="s">
        <v>33</v>
      </c>
      <c r="O3272" s="14"/>
      <c r="P3272" s="15" t="s">
        <v>248</v>
      </c>
      <c r="Q3272" s="16">
        <v>13399</v>
      </c>
      <c r="R3272" s="17">
        <v>55.68</v>
      </c>
      <c r="S3272" s="18">
        <v>6828.4354999999996</v>
      </c>
      <c r="T3272" s="19" t="s">
        <v>36</v>
      </c>
      <c r="U3272" s="20" t="s">
        <v>63</v>
      </c>
      <c r="V3272" s="21" t="s">
        <v>64</v>
      </c>
      <c r="W3272" s="22">
        <v>2</v>
      </c>
      <c r="X3272" s="23"/>
    </row>
    <row r="3273" spans="1:24" s="1" customFormat="1" ht="35" customHeight="1" x14ac:dyDescent="0.3">
      <c r="A3273" s="24" t="s">
        <v>23</v>
      </c>
      <c r="B3273" s="24" t="s">
        <v>2972</v>
      </c>
      <c r="C3273" s="12" t="s">
        <v>2978</v>
      </c>
      <c r="D3273" s="60"/>
      <c r="E3273" s="41" t="str">
        <f>HYPERLINK("https://www.google.ru/search?q=1374645-002&amp;newwindow=1&amp;tbm=isch","Еще фото")</f>
        <v>Еще фото</v>
      </c>
      <c r="F3273" s="13"/>
      <c r="G3273" s="24" t="s">
        <v>2966</v>
      </c>
      <c r="H3273" s="24" t="s">
        <v>27</v>
      </c>
      <c r="I3273" s="24" t="s">
        <v>2940</v>
      </c>
      <c r="J3273" s="14" t="s">
        <v>29</v>
      </c>
      <c r="K3273" s="15" t="s">
        <v>59</v>
      </c>
      <c r="L3273" s="62"/>
      <c r="M3273" s="14" t="s">
        <v>32</v>
      </c>
      <c r="N3273" s="14" t="s">
        <v>33</v>
      </c>
      <c r="O3273" s="14"/>
      <c r="P3273" s="15" t="s">
        <v>248</v>
      </c>
      <c r="Q3273" s="16">
        <v>13399</v>
      </c>
      <c r="R3273" s="17">
        <v>55.68</v>
      </c>
      <c r="S3273" s="18">
        <v>6828.4354999999996</v>
      </c>
      <c r="T3273" s="19" t="s">
        <v>36</v>
      </c>
      <c r="U3273" s="20" t="s">
        <v>37</v>
      </c>
      <c r="V3273" s="21" t="s">
        <v>106</v>
      </c>
      <c r="W3273" s="22">
        <v>8</v>
      </c>
      <c r="X3273" s="23"/>
    </row>
    <row r="3274" spans="1:24" s="1" customFormat="1" ht="37.049999999999997" customHeight="1" x14ac:dyDescent="0.3">
      <c r="A3274" s="24" t="s">
        <v>23</v>
      </c>
      <c r="B3274" s="24" t="s">
        <v>2972</v>
      </c>
      <c r="C3274" s="12" t="s">
        <v>2978</v>
      </c>
      <c r="D3274" s="61"/>
      <c r="E3274" s="41" t="str">
        <f>HYPERLINK("https://www.google.ru/search?q=1374645-002&amp;newwindow=1&amp;tbm=isch","Еще фото")</f>
        <v>Еще фото</v>
      </c>
      <c r="F3274" s="13"/>
      <c r="G3274" s="24" t="s">
        <v>2966</v>
      </c>
      <c r="H3274" s="24" t="s">
        <v>27</v>
      </c>
      <c r="I3274" s="24" t="s">
        <v>2940</v>
      </c>
      <c r="J3274" s="14" t="s">
        <v>29</v>
      </c>
      <c r="K3274" s="15" t="s">
        <v>59</v>
      </c>
      <c r="L3274" s="58"/>
      <c r="M3274" s="14" t="s">
        <v>32</v>
      </c>
      <c r="N3274" s="14" t="s">
        <v>33</v>
      </c>
      <c r="O3274" s="14"/>
      <c r="P3274" s="15" t="s">
        <v>248</v>
      </c>
      <c r="Q3274" s="16">
        <v>13399</v>
      </c>
      <c r="R3274" s="17">
        <v>55.68</v>
      </c>
      <c r="S3274" s="18">
        <v>6828.4354999999996</v>
      </c>
      <c r="T3274" s="19" t="s">
        <v>36</v>
      </c>
      <c r="U3274" s="20" t="s">
        <v>39</v>
      </c>
      <c r="V3274" s="21" t="s">
        <v>85</v>
      </c>
      <c r="W3274" s="22">
        <v>14</v>
      </c>
      <c r="X3274" s="23"/>
    </row>
    <row r="3275" spans="1:24" s="1" customFormat="1" ht="108" customHeight="1" x14ac:dyDescent="0.3">
      <c r="A3275" s="11" t="s">
        <v>23</v>
      </c>
      <c r="B3275" s="11" t="s">
        <v>2980</v>
      </c>
      <c r="C3275" s="12" t="s">
        <v>2981</v>
      </c>
      <c r="D3275" s="25"/>
      <c r="E3275" s="41" t="str">
        <f>HYPERLINK("https://www.google.ru/search?q=1357093-722&amp;newwindow=1&amp;tbm=isch","Еще фото")</f>
        <v>Еще фото</v>
      </c>
      <c r="F3275" s="13"/>
      <c r="G3275" s="11" t="s">
        <v>2939</v>
      </c>
      <c r="H3275" s="11" t="s">
        <v>27</v>
      </c>
      <c r="I3275" s="14" t="s">
        <v>2940</v>
      </c>
      <c r="J3275" s="14" t="s">
        <v>29</v>
      </c>
      <c r="K3275" s="15" t="s">
        <v>30</v>
      </c>
      <c r="L3275" s="14" t="s">
        <v>2982</v>
      </c>
      <c r="M3275" s="14" t="s">
        <v>68</v>
      </c>
      <c r="N3275" s="14" t="s">
        <v>127</v>
      </c>
      <c r="O3275" s="14"/>
      <c r="P3275" s="15" t="s">
        <v>120</v>
      </c>
      <c r="Q3275" s="16">
        <v>7599</v>
      </c>
      <c r="R3275" s="17">
        <v>53.18</v>
      </c>
      <c r="S3275" s="18">
        <v>4091.4354999999996</v>
      </c>
      <c r="T3275" s="19" t="s">
        <v>36</v>
      </c>
      <c r="U3275" s="20" t="s">
        <v>63</v>
      </c>
      <c r="V3275" s="21" t="s">
        <v>85</v>
      </c>
      <c r="W3275" s="22">
        <v>1</v>
      </c>
      <c r="X3275" s="23"/>
    </row>
    <row r="3276" spans="1:24" s="1" customFormat="1" ht="21" customHeight="1" x14ac:dyDescent="0.3">
      <c r="A3276" s="11" t="s">
        <v>23</v>
      </c>
      <c r="B3276" s="11" t="s">
        <v>2983</v>
      </c>
      <c r="C3276" s="26" t="s">
        <v>2984</v>
      </c>
      <c r="D3276" s="59"/>
      <c r="E3276" s="41" t="str">
        <f>HYPERLINK("https://www.google.ru/search?q=1383029-025&amp;newwindow=1&amp;tbm=isch","Еще фото")</f>
        <v>Еще фото</v>
      </c>
      <c r="F3276" s="13"/>
      <c r="G3276" s="11" t="s">
        <v>2966</v>
      </c>
      <c r="H3276" s="11" t="s">
        <v>27</v>
      </c>
      <c r="I3276" s="14" t="s">
        <v>2940</v>
      </c>
      <c r="J3276" s="14" t="s">
        <v>29</v>
      </c>
      <c r="K3276" s="15" t="s">
        <v>30</v>
      </c>
      <c r="L3276" s="57" t="s">
        <v>2985</v>
      </c>
      <c r="M3276" s="14"/>
      <c r="N3276" s="14" t="s">
        <v>62</v>
      </c>
      <c r="O3276" s="14"/>
      <c r="P3276" s="15" t="s">
        <v>2986</v>
      </c>
      <c r="Q3276" s="16">
        <v>13499</v>
      </c>
      <c r="R3276" s="17">
        <v>52.46</v>
      </c>
      <c r="S3276" s="18">
        <v>7380.4354999999996</v>
      </c>
      <c r="T3276" s="19" t="s">
        <v>36</v>
      </c>
      <c r="U3276" s="20" t="s">
        <v>37</v>
      </c>
      <c r="V3276" s="21" t="s">
        <v>38</v>
      </c>
      <c r="W3276" s="22">
        <v>5</v>
      </c>
      <c r="X3276" s="23"/>
    </row>
    <row r="3277" spans="1:24" s="1" customFormat="1" ht="21" customHeight="1" x14ac:dyDescent="0.3">
      <c r="A3277" s="24" t="s">
        <v>23</v>
      </c>
      <c r="B3277" s="24" t="s">
        <v>2983</v>
      </c>
      <c r="C3277" s="27" t="s">
        <v>2984</v>
      </c>
      <c r="D3277" s="60"/>
      <c r="E3277" s="41" t="str">
        <f>HYPERLINK("https://www.google.ru/search?q=1383029-025&amp;newwindow=1&amp;tbm=isch","Еще фото")</f>
        <v>Еще фото</v>
      </c>
      <c r="F3277" s="13"/>
      <c r="G3277" s="24" t="s">
        <v>2966</v>
      </c>
      <c r="H3277" s="24" t="s">
        <v>27</v>
      </c>
      <c r="I3277" s="24" t="s">
        <v>2940</v>
      </c>
      <c r="J3277" s="14" t="s">
        <v>29</v>
      </c>
      <c r="K3277" s="15" t="s">
        <v>30</v>
      </c>
      <c r="L3277" s="62"/>
      <c r="M3277" s="14"/>
      <c r="N3277" s="14" t="s">
        <v>62</v>
      </c>
      <c r="O3277" s="14"/>
      <c r="P3277" s="15" t="s">
        <v>2986</v>
      </c>
      <c r="Q3277" s="16">
        <v>13499</v>
      </c>
      <c r="R3277" s="17">
        <v>52.46</v>
      </c>
      <c r="S3277" s="18">
        <v>7380.4354999999996</v>
      </c>
      <c r="T3277" s="19" t="s">
        <v>36</v>
      </c>
      <c r="U3277" s="20" t="s">
        <v>39</v>
      </c>
      <c r="V3277" s="21" t="s">
        <v>40</v>
      </c>
      <c r="W3277" s="22">
        <v>7</v>
      </c>
      <c r="X3277" s="23"/>
    </row>
    <row r="3278" spans="1:24" s="1" customFormat="1" ht="21" customHeight="1" x14ac:dyDescent="0.3">
      <c r="A3278" s="24" t="s">
        <v>23</v>
      </c>
      <c r="B3278" s="24" t="s">
        <v>2983</v>
      </c>
      <c r="C3278" s="27" t="s">
        <v>2984</v>
      </c>
      <c r="D3278" s="60"/>
      <c r="E3278" s="41" t="str">
        <f>HYPERLINK("https://www.google.ru/search?q=1383029-025&amp;newwindow=1&amp;tbm=isch","Еще фото")</f>
        <v>Еще фото</v>
      </c>
      <c r="F3278" s="13"/>
      <c r="G3278" s="24" t="s">
        <v>2966</v>
      </c>
      <c r="H3278" s="24" t="s">
        <v>27</v>
      </c>
      <c r="I3278" s="24" t="s">
        <v>2940</v>
      </c>
      <c r="J3278" s="14" t="s">
        <v>29</v>
      </c>
      <c r="K3278" s="15" t="s">
        <v>30</v>
      </c>
      <c r="L3278" s="62"/>
      <c r="M3278" s="14"/>
      <c r="N3278" s="14" t="s">
        <v>62</v>
      </c>
      <c r="O3278" s="14"/>
      <c r="P3278" s="15" t="s">
        <v>2986</v>
      </c>
      <c r="Q3278" s="16">
        <v>13499</v>
      </c>
      <c r="R3278" s="17">
        <v>52.46</v>
      </c>
      <c r="S3278" s="18">
        <v>7380.4354999999996</v>
      </c>
      <c r="T3278" s="19" t="s">
        <v>36</v>
      </c>
      <c r="U3278" s="20" t="s">
        <v>86</v>
      </c>
      <c r="V3278" s="21" t="s">
        <v>87</v>
      </c>
      <c r="W3278" s="22">
        <v>3</v>
      </c>
      <c r="X3278" s="23"/>
    </row>
    <row r="3279" spans="1:24" s="1" customFormat="1" ht="21" customHeight="1" x14ac:dyDescent="0.3">
      <c r="A3279" s="24" t="s">
        <v>23</v>
      </c>
      <c r="B3279" s="24" t="s">
        <v>2983</v>
      </c>
      <c r="C3279" s="27" t="s">
        <v>2984</v>
      </c>
      <c r="D3279" s="60"/>
      <c r="E3279" s="41" t="str">
        <f>HYPERLINK("https://www.google.ru/search?q=1383029-025&amp;newwindow=1&amp;tbm=isch","Еще фото")</f>
        <v>Еще фото</v>
      </c>
      <c r="F3279" s="13"/>
      <c r="G3279" s="24" t="s">
        <v>2966</v>
      </c>
      <c r="H3279" s="24" t="s">
        <v>27</v>
      </c>
      <c r="I3279" s="24" t="s">
        <v>2940</v>
      </c>
      <c r="J3279" s="14" t="s">
        <v>29</v>
      </c>
      <c r="K3279" s="15" t="s">
        <v>30</v>
      </c>
      <c r="L3279" s="62"/>
      <c r="M3279" s="14"/>
      <c r="N3279" s="14" t="s">
        <v>62</v>
      </c>
      <c r="O3279" s="14"/>
      <c r="P3279" s="15" t="s">
        <v>2986</v>
      </c>
      <c r="Q3279" s="16">
        <v>13499</v>
      </c>
      <c r="R3279" s="17">
        <v>52.46</v>
      </c>
      <c r="S3279" s="18">
        <v>7380.4354999999996</v>
      </c>
      <c r="T3279" s="19" t="s">
        <v>36</v>
      </c>
      <c r="U3279" s="20" t="s">
        <v>88</v>
      </c>
      <c r="V3279" s="21" t="s">
        <v>89</v>
      </c>
      <c r="W3279" s="22">
        <v>3</v>
      </c>
      <c r="X3279" s="23"/>
    </row>
    <row r="3280" spans="1:24" s="1" customFormat="1" ht="32" customHeight="1" x14ac:dyDescent="0.3">
      <c r="A3280" s="24" t="s">
        <v>23</v>
      </c>
      <c r="B3280" s="24" t="s">
        <v>2983</v>
      </c>
      <c r="C3280" s="27" t="s">
        <v>2984</v>
      </c>
      <c r="D3280" s="61"/>
      <c r="E3280" s="41" t="str">
        <f>HYPERLINK("https://www.google.ru/search?q=1383029-025&amp;newwindow=1&amp;tbm=isch","Еще фото")</f>
        <v>Еще фото</v>
      </c>
      <c r="F3280" s="13"/>
      <c r="G3280" s="24" t="s">
        <v>2966</v>
      </c>
      <c r="H3280" s="24" t="s">
        <v>27</v>
      </c>
      <c r="I3280" s="24" t="s">
        <v>2940</v>
      </c>
      <c r="J3280" s="14" t="s">
        <v>29</v>
      </c>
      <c r="K3280" s="15" t="s">
        <v>30</v>
      </c>
      <c r="L3280" s="58"/>
      <c r="M3280" s="14"/>
      <c r="N3280" s="14" t="s">
        <v>62</v>
      </c>
      <c r="O3280" s="14"/>
      <c r="P3280" s="15" t="s">
        <v>2986</v>
      </c>
      <c r="Q3280" s="16">
        <v>13499</v>
      </c>
      <c r="R3280" s="17">
        <v>52.46</v>
      </c>
      <c r="S3280" s="18">
        <v>7380.4354999999996</v>
      </c>
      <c r="T3280" s="19" t="s">
        <v>36</v>
      </c>
      <c r="U3280" s="20" t="s">
        <v>90</v>
      </c>
      <c r="V3280" s="21" t="s">
        <v>91</v>
      </c>
      <c r="W3280" s="22">
        <v>2</v>
      </c>
      <c r="X3280" s="23"/>
    </row>
    <row r="3281" spans="1:24" s="1" customFormat="1" ht="52.05" customHeight="1" x14ac:dyDescent="0.3">
      <c r="A3281" s="11" t="s">
        <v>23</v>
      </c>
      <c r="B3281" s="11" t="s">
        <v>2987</v>
      </c>
      <c r="C3281" s="12" t="s">
        <v>2988</v>
      </c>
      <c r="D3281" s="55"/>
      <c r="E3281" s="41" t="str">
        <f>HYPERLINK("https://www.google.ru/search?q=1373357-400&amp;newwindow=1&amp;tbm=isch","Еще фото")</f>
        <v>Еще фото</v>
      </c>
      <c r="F3281" s="13" t="s">
        <v>103</v>
      </c>
      <c r="G3281" s="11" t="s">
        <v>2939</v>
      </c>
      <c r="H3281" s="11" t="s">
        <v>27</v>
      </c>
      <c r="I3281" s="14" t="s">
        <v>2940</v>
      </c>
      <c r="J3281" s="14" t="s">
        <v>29</v>
      </c>
      <c r="K3281" s="15" t="s">
        <v>30</v>
      </c>
      <c r="L3281" s="57" t="s">
        <v>2989</v>
      </c>
      <c r="M3281" s="14" t="s">
        <v>97</v>
      </c>
      <c r="N3281" s="14" t="s">
        <v>485</v>
      </c>
      <c r="O3281" s="14"/>
      <c r="P3281" s="15" t="s">
        <v>47</v>
      </c>
      <c r="Q3281" s="16">
        <v>9899</v>
      </c>
      <c r="R3281" s="17">
        <v>52.44</v>
      </c>
      <c r="S3281" s="18">
        <v>5413.9355000000005</v>
      </c>
      <c r="T3281" s="19" t="s">
        <v>36</v>
      </c>
      <c r="U3281" s="20" t="s">
        <v>37</v>
      </c>
      <c r="V3281" s="21" t="s">
        <v>38</v>
      </c>
      <c r="W3281" s="22">
        <v>7</v>
      </c>
      <c r="X3281" s="23"/>
    </row>
    <row r="3282" spans="1:24" s="1" customFormat="1" ht="61.05" customHeight="1" x14ac:dyDescent="0.3">
      <c r="A3282" s="24" t="s">
        <v>23</v>
      </c>
      <c r="B3282" s="24" t="s">
        <v>2987</v>
      </c>
      <c r="C3282" s="12" t="s">
        <v>2988</v>
      </c>
      <c r="D3282" s="56"/>
      <c r="E3282" s="41" t="str">
        <f>HYPERLINK("https://www.google.ru/search?q=1373357-400&amp;newwindow=1&amp;tbm=isch","Еще фото")</f>
        <v>Еще фото</v>
      </c>
      <c r="F3282" s="13" t="s">
        <v>103</v>
      </c>
      <c r="G3282" s="24" t="s">
        <v>2939</v>
      </c>
      <c r="H3282" s="24" t="s">
        <v>27</v>
      </c>
      <c r="I3282" s="24" t="s">
        <v>2940</v>
      </c>
      <c r="J3282" s="14" t="s">
        <v>29</v>
      </c>
      <c r="K3282" s="15" t="s">
        <v>30</v>
      </c>
      <c r="L3282" s="58"/>
      <c r="M3282" s="14" t="s">
        <v>97</v>
      </c>
      <c r="N3282" s="14" t="s">
        <v>485</v>
      </c>
      <c r="O3282" s="14"/>
      <c r="P3282" s="15" t="s">
        <v>47</v>
      </c>
      <c r="Q3282" s="16">
        <v>9899</v>
      </c>
      <c r="R3282" s="17">
        <v>52.44</v>
      </c>
      <c r="S3282" s="18">
        <v>5413.9355000000005</v>
      </c>
      <c r="T3282" s="19" t="s">
        <v>36</v>
      </c>
      <c r="U3282" s="20" t="s">
        <v>39</v>
      </c>
      <c r="V3282" s="21" t="s">
        <v>40</v>
      </c>
      <c r="W3282" s="22">
        <v>6</v>
      </c>
      <c r="X3282" s="23"/>
    </row>
    <row r="3283" spans="1:24" s="1" customFormat="1" ht="35" customHeight="1" x14ac:dyDescent="0.3">
      <c r="A3283" s="11" t="s">
        <v>23</v>
      </c>
      <c r="B3283" s="11" t="s">
        <v>2990</v>
      </c>
      <c r="C3283" s="12" t="s">
        <v>2991</v>
      </c>
      <c r="D3283" s="59"/>
      <c r="E3283" s="41" t="str">
        <f>HYPERLINK("https://www.google.ru/search?q=1373881-452&amp;newwindow=1&amp;tbm=isch","Еще фото")</f>
        <v>Еще фото</v>
      </c>
      <c r="F3283" s="13"/>
      <c r="G3283" s="11" t="s">
        <v>2939</v>
      </c>
      <c r="H3283" s="11" t="s">
        <v>27</v>
      </c>
      <c r="I3283" s="14" t="s">
        <v>2940</v>
      </c>
      <c r="J3283" s="14" t="s">
        <v>43</v>
      </c>
      <c r="K3283" s="15" t="s">
        <v>30</v>
      </c>
      <c r="L3283" s="57" t="s">
        <v>2992</v>
      </c>
      <c r="M3283" s="14"/>
      <c r="N3283" s="14" t="s">
        <v>115</v>
      </c>
      <c r="O3283" s="14"/>
      <c r="P3283" s="15" t="s">
        <v>120</v>
      </c>
      <c r="Q3283" s="16">
        <v>9999</v>
      </c>
      <c r="R3283" s="17">
        <v>52.42</v>
      </c>
      <c r="S3283" s="18">
        <v>5471.4355000000005</v>
      </c>
      <c r="T3283" s="19" t="s">
        <v>36</v>
      </c>
      <c r="U3283" s="20" t="s">
        <v>37</v>
      </c>
      <c r="V3283" s="21" t="s">
        <v>38</v>
      </c>
      <c r="W3283" s="22">
        <v>15</v>
      </c>
      <c r="X3283" s="23"/>
    </row>
    <row r="3284" spans="1:24" s="1" customFormat="1" ht="35" customHeight="1" x14ac:dyDescent="0.3">
      <c r="A3284" s="24" t="s">
        <v>23</v>
      </c>
      <c r="B3284" s="24" t="s">
        <v>2990</v>
      </c>
      <c r="C3284" s="12" t="s">
        <v>2991</v>
      </c>
      <c r="D3284" s="60"/>
      <c r="E3284" s="41" t="str">
        <f>HYPERLINK("https://www.google.ru/search?q=1373881-452&amp;newwindow=1&amp;tbm=isch","Еще фото")</f>
        <v>Еще фото</v>
      </c>
      <c r="F3284" s="13"/>
      <c r="G3284" s="24" t="s">
        <v>2939</v>
      </c>
      <c r="H3284" s="24" t="s">
        <v>27</v>
      </c>
      <c r="I3284" s="24" t="s">
        <v>2940</v>
      </c>
      <c r="J3284" s="14" t="s">
        <v>43</v>
      </c>
      <c r="K3284" s="15" t="s">
        <v>30</v>
      </c>
      <c r="L3284" s="62"/>
      <c r="M3284" s="14"/>
      <c r="N3284" s="14" t="s">
        <v>115</v>
      </c>
      <c r="O3284" s="14"/>
      <c r="P3284" s="15" t="s">
        <v>120</v>
      </c>
      <c r="Q3284" s="16">
        <v>9999</v>
      </c>
      <c r="R3284" s="17">
        <v>52.42</v>
      </c>
      <c r="S3284" s="18">
        <v>5471.4355000000005</v>
      </c>
      <c r="T3284" s="19" t="s">
        <v>36</v>
      </c>
      <c r="U3284" s="20" t="s">
        <v>39</v>
      </c>
      <c r="V3284" s="21" t="s">
        <v>40</v>
      </c>
      <c r="W3284" s="22">
        <v>20</v>
      </c>
      <c r="X3284" s="23"/>
    </row>
    <row r="3285" spans="1:24" s="1" customFormat="1" ht="37.049999999999997" customHeight="1" x14ac:dyDescent="0.3">
      <c r="A3285" s="24" t="s">
        <v>23</v>
      </c>
      <c r="B3285" s="24" t="s">
        <v>2990</v>
      </c>
      <c r="C3285" s="12" t="s">
        <v>2991</v>
      </c>
      <c r="D3285" s="61"/>
      <c r="E3285" s="41" t="str">
        <f>HYPERLINK("https://www.google.ru/search?q=1373881-452&amp;newwindow=1&amp;tbm=isch","Еще фото")</f>
        <v>Еще фото</v>
      </c>
      <c r="F3285" s="13"/>
      <c r="G3285" s="24" t="s">
        <v>2939</v>
      </c>
      <c r="H3285" s="24" t="s">
        <v>27</v>
      </c>
      <c r="I3285" s="24" t="s">
        <v>2940</v>
      </c>
      <c r="J3285" s="14" t="s">
        <v>43</v>
      </c>
      <c r="K3285" s="15" t="s">
        <v>30</v>
      </c>
      <c r="L3285" s="58"/>
      <c r="M3285" s="14"/>
      <c r="N3285" s="14" t="s">
        <v>115</v>
      </c>
      <c r="O3285" s="14"/>
      <c r="P3285" s="15" t="s">
        <v>120</v>
      </c>
      <c r="Q3285" s="16">
        <v>9999</v>
      </c>
      <c r="R3285" s="17">
        <v>52.42</v>
      </c>
      <c r="S3285" s="18">
        <v>5471.4355000000005</v>
      </c>
      <c r="T3285" s="19" t="s">
        <v>36</v>
      </c>
      <c r="U3285" s="20" t="s">
        <v>86</v>
      </c>
      <c r="V3285" s="21" t="s">
        <v>87</v>
      </c>
      <c r="W3285" s="22">
        <v>18</v>
      </c>
      <c r="X3285" s="23"/>
    </row>
    <row r="3286" spans="1:24" s="1" customFormat="1" ht="52.05" customHeight="1" x14ac:dyDescent="0.3">
      <c r="A3286" s="11" t="s">
        <v>23</v>
      </c>
      <c r="B3286" s="11" t="s">
        <v>2993</v>
      </c>
      <c r="C3286" s="12" t="s">
        <v>2994</v>
      </c>
      <c r="D3286" s="55"/>
      <c r="E3286" s="41" t="str">
        <f>HYPERLINK("https://www.google.ru/search?q=1378495-400&amp;newwindow=1&amp;tbm=isch","Еще фото")</f>
        <v>Еще фото</v>
      </c>
      <c r="F3286" s="13" t="s">
        <v>103</v>
      </c>
      <c r="G3286" s="11" t="s">
        <v>2966</v>
      </c>
      <c r="H3286" s="11" t="s">
        <v>27</v>
      </c>
      <c r="I3286" s="14" t="s">
        <v>2940</v>
      </c>
      <c r="J3286" s="14" t="s">
        <v>29</v>
      </c>
      <c r="K3286" s="15" t="s">
        <v>30</v>
      </c>
      <c r="L3286" s="57" t="s">
        <v>2995</v>
      </c>
      <c r="M3286" s="14" t="s">
        <v>32</v>
      </c>
      <c r="N3286" s="14" t="s">
        <v>115</v>
      </c>
      <c r="O3286" s="14"/>
      <c r="P3286" s="15" t="s">
        <v>1008</v>
      </c>
      <c r="Q3286" s="16">
        <v>21599</v>
      </c>
      <c r="R3286" s="17">
        <v>52.42</v>
      </c>
      <c r="S3286" s="18">
        <v>11819.4355</v>
      </c>
      <c r="T3286" s="19" t="s">
        <v>36</v>
      </c>
      <c r="U3286" s="20" t="s">
        <v>37</v>
      </c>
      <c r="V3286" s="21" t="s">
        <v>38</v>
      </c>
      <c r="W3286" s="22">
        <v>5</v>
      </c>
      <c r="X3286" s="23"/>
    </row>
    <row r="3287" spans="1:24" s="1" customFormat="1" ht="61.05" customHeight="1" x14ac:dyDescent="0.3">
      <c r="A3287" s="24" t="s">
        <v>23</v>
      </c>
      <c r="B3287" s="24" t="s">
        <v>2993</v>
      </c>
      <c r="C3287" s="12" t="s">
        <v>2994</v>
      </c>
      <c r="D3287" s="56"/>
      <c r="E3287" s="41" t="str">
        <f>HYPERLINK("https://www.google.ru/search?q=1378495-400&amp;newwindow=1&amp;tbm=isch","Еще фото")</f>
        <v>Еще фото</v>
      </c>
      <c r="F3287" s="13" t="s">
        <v>103</v>
      </c>
      <c r="G3287" s="24" t="s">
        <v>2966</v>
      </c>
      <c r="H3287" s="24" t="s">
        <v>27</v>
      </c>
      <c r="I3287" s="24" t="s">
        <v>2940</v>
      </c>
      <c r="J3287" s="14" t="s">
        <v>29</v>
      </c>
      <c r="K3287" s="15" t="s">
        <v>30</v>
      </c>
      <c r="L3287" s="58"/>
      <c r="M3287" s="14" t="s">
        <v>32</v>
      </c>
      <c r="N3287" s="14" t="s">
        <v>115</v>
      </c>
      <c r="O3287" s="14"/>
      <c r="P3287" s="15" t="s">
        <v>1008</v>
      </c>
      <c r="Q3287" s="16">
        <v>21599</v>
      </c>
      <c r="R3287" s="17">
        <v>52.42</v>
      </c>
      <c r="S3287" s="18">
        <v>11819.4355</v>
      </c>
      <c r="T3287" s="19" t="s">
        <v>36</v>
      </c>
      <c r="U3287" s="20" t="s">
        <v>39</v>
      </c>
      <c r="V3287" s="21" t="s">
        <v>40</v>
      </c>
      <c r="W3287" s="22">
        <v>6</v>
      </c>
      <c r="X3287" s="23"/>
    </row>
    <row r="3288" spans="1:24" s="1" customFormat="1" ht="35" customHeight="1" x14ac:dyDescent="0.3">
      <c r="A3288" s="11" t="s">
        <v>23</v>
      </c>
      <c r="B3288" s="11" t="s">
        <v>2996</v>
      </c>
      <c r="C3288" s="12" t="s">
        <v>2997</v>
      </c>
      <c r="D3288" s="59"/>
      <c r="E3288" s="41" t="str">
        <f>HYPERLINK("https://www.google.ru/search?q=1378824-390&amp;newwindow=1&amp;tbm=isch","Еще фото")</f>
        <v>Еще фото</v>
      </c>
      <c r="F3288" s="13"/>
      <c r="G3288" s="11" t="s">
        <v>2966</v>
      </c>
      <c r="H3288" s="11" t="s">
        <v>27</v>
      </c>
      <c r="I3288" s="14" t="s">
        <v>2940</v>
      </c>
      <c r="J3288" s="14" t="s">
        <v>29</v>
      </c>
      <c r="K3288" s="15" t="s">
        <v>30</v>
      </c>
      <c r="L3288" s="57" t="s">
        <v>2998</v>
      </c>
      <c r="M3288" s="14" t="s">
        <v>32</v>
      </c>
      <c r="N3288" s="14" t="s">
        <v>127</v>
      </c>
      <c r="O3288" s="14"/>
      <c r="P3288" s="15" t="s">
        <v>47</v>
      </c>
      <c r="Q3288" s="16">
        <v>17999</v>
      </c>
      <c r="R3288" s="17">
        <v>52.4</v>
      </c>
      <c r="S3288" s="18">
        <v>9852.9354999999996</v>
      </c>
      <c r="T3288" s="19" t="s">
        <v>36</v>
      </c>
      <c r="U3288" s="20" t="s">
        <v>37</v>
      </c>
      <c r="V3288" s="21" t="s">
        <v>38</v>
      </c>
      <c r="W3288" s="22">
        <v>1</v>
      </c>
      <c r="X3288" s="23"/>
    </row>
    <row r="3289" spans="1:24" s="1" customFormat="1" ht="35" customHeight="1" x14ac:dyDescent="0.3">
      <c r="A3289" s="24" t="s">
        <v>23</v>
      </c>
      <c r="B3289" s="24" t="s">
        <v>2996</v>
      </c>
      <c r="C3289" s="12" t="s">
        <v>2997</v>
      </c>
      <c r="D3289" s="60"/>
      <c r="E3289" s="41" t="str">
        <f>HYPERLINK("https://www.google.ru/search?q=1378824-390&amp;newwindow=1&amp;tbm=isch","Еще фото")</f>
        <v>Еще фото</v>
      </c>
      <c r="F3289" s="13"/>
      <c r="G3289" s="24" t="s">
        <v>2966</v>
      </c>
      <c r="H3289" s="24" t="s">
        <v>27</v>
      </c>
      <c r="I3289" s="24" t="s">
        <v>2940</v>
      </c>
      <c r="J3289" s="14" t="s">
        <v>29</v>
      </c>
      <c r="K3289" s="15" t="s">
        <v>30</v>
      </c>
      <c r="L3289" s="62"/>
      <c r="M3289" s="14" t="s">
        <v>32</v>
      </c>
      <c r="N3289" s="14" t="s">
        <v>127</v>
      </c>
      <c r="O3289" s="14"/>
      <c r="P3289" s="15" t="s">
        <v>47</v>
      </c>
      <c r="Q3289" s="16">
        <v>17999</v>
      </c>
      <c r="R3289" s="17">
        <v>52.4</v>
      </c>
      <c r="S3289" s="18">
        <v>9852.9354999999996</v>
      </c>
      <c r="T3289" s="19" t="s">
        <v>36</v>
      </c>
      <c r="U3289" s="20" t="s">
        <v>39</v>
      </c>
      <c r="V3289" s="21" t="s">
        <v>40</v>
      </c>
      <c r="W3289" s="22">
        <v>4</v>
      </c>
      <c r="X3289" s="23"/>
    </row>
    <row r="3290" spans="1:24" s="1" customFormat="1" ht="37.049999999999997" customHeight="1" x14ac:dyDescent="0.3">
      <c r="A3290" s="24" t="s">
        <v>23</v>
      </c>
      <c r="B3290" s="24" t="s">
        <v>2996</v>
      </c>
      <c r="C3290" s="12" t="s">
        <v>2997</v>
      </c>
      <c r="D3290" s="61"/>
      <c r="E3290" s="41" t="str">
        <f>HYPERLINK("https://www.google.ru/search?q=1378824-390&amp;newwindow=1&amp;tbm=isch","Еще фото")</f>
        <v>Еще фото</v>
      </c>
      <c r="F3290" s="13"/>
      <c r="G3290" s="24" t="s">
        <v>2966</v>
      </c>
      <c r="H3290" s="24" t="s">
        <v>27</v>
      </c>
      <c r="I3290" s="24" t="s">
        <v>2940</v>
      </c>
      <c r="J3290" s="14" t="s">
        <v>29</v>
      </c>
      <c r="K3290" s="15" t="s">
        <v>30</v>
      </c>
      <c r="L3290" s="58"/>
      <c r="M3290" s="14" t="s">
        <v>32</v>
      </c>
      <c r="N3290" s="14" t="s">
        <v>127</v>
      </c>
      <c r="O3290" s="14"/>
      <c r="P3290" s="15" t="s">
        <v>47</v>
      </c>
      <c r="Q3290" s="16">
        <v>17999</v>
      </c>
      <c r="R3290" s="17">
        <v>52.4</v>
      </c>
      <c r="S3290" s="18">
        <v>9852.9354999999996</v>
      </c>
      <c r="T3290" s="19" t="s">
        <v>36</v>
      </c>
      <c r="U3290" s="20" t="s">
        <v>86</v>
      </c>
      <c r="V3290" s="21" t="s">
        <v>87</v>
      </c>
      <c r="W3290" s="22">
        <v>1</v>
      </c>
      <c r="X3290" s="23"/>
    </row>
    <row r="3291" spans="1:24" s="1" customFormat="1" ht="21" customHeight="1" x14ac:dyDescent="0.3">
      <c r="A3291" s="11" t="s">
        <v>23</v>
      </c>
      <c r="B3291" s="11" t="s">
        <v>2975</v>
      </c>
      <c r="C3291" s="26" t="s">
        <v>2999</v>
      </c>
      <c r="D3291" s="59"/>
      <c r="E3291" s="41" t="str">
        <f>HYPERLINK("https://www.google.ru/search?q=1373354-410&amp;newwindow=1&amp;tbm=isch","Еще фото")</f>
        <v>Еще фото</v>
      </c>
      <c r="F3291" s="13"/>
      <c r="G3291" s="11" t="s">
        <v>2939</v>
      </c>
      <c r="H3291" s="11" t="s">
        <v>27</v>
      </c>
      <c r="I3291" s="14" t="s">
        <v>2940</v>
      </c>
      <c r="J3291" s="14" t="s">
        <v>29</v>
      </c>
      <c r="K3291" s="15" t="s">
        <v>30</v>
      </c>
      <c r="L3291" s="57" t="s">
        <v>2977</v>
      </c>
      <c r="M3291" s="14" t="s">
        <v>140</v>
      </c>
      <c r="N3291" s="14" t="s">
        <v>115</v>
      </c>
      <c r="O3291" s="14"/>
      <c r="P3291" s="15" t="s">
        <v>47</v>
      </c>
      <c r="Q3291" s="16">
        <v>8999</v>
      </c>
      <c r="R3291" s="17">
        <v>52.35</v>
      </c>
      <c r="S3291" s="18">
        <v>4930.9355000000005</v>
      </c>
      <c r="T3291" s="19" t="s">
        <v>36</v>
      </c>
      <c r="U3291" s="20" t="s">
        <v>63</v>
      </c>
      <c r="V3291" s="21" t="s">
        <v>85</v>
      </c>
      <c r="W3291" s="22">
        <v>1</v>
      </c>
      <c r="X3291" s="23"/>
    </row>
    <row r="3292" spans="1:24" s="1" customFormat="1" ht="21" customHeight="1" x14ac:dyDescent="0.3">
      <c r="A3292" s="24" t="s">
        <v>23</v>
      </c>
      <c r="B3292" s="24" t="s">
        <v>2975</v>
      </c>
      <c r="C3292" s="27" t="s">
        <v>2999</v>
      </c>
      <c r="D3292" s="60"/>
      <c r="E3292" s="41" t="str">
        <f>HYPERLINK("https://www.google.ru/search?q=1373354-410&amp;newwindow=1&amp;tbm=isch","Еще фото")</f>
        <v>Еще фото</v>
      </c>
      <c r="F3292" s="13"/>
      <c r="G3292" s="24" t="s">
        <v>2939</v>
      </c>
      <c r="H3292" s="24" t="s">
        <v>27</v>
      </c>
      <c r="I3292" s="24" t="s">
        <v>2940</v>
      </c>
      <c r="J3292" s="14" t="s">
        <v>29</v>
      </c>
      <c r="K3292" s="15" t="s">
        <v>30</v>
      </c>
      <c r="L3292" s="62"/>
      <c r="M3292" s="14" t="s">
        <v>140</v>
      </c>
      <c r="N3292" s="14" t="s">
        <v>115</v>
      </c>
      <c r="O3292" s="14"/>
      <c r="P3292" s="15" t="s">
        <v>47</v>
      </c>
      <c r="Q3292" s="16">
        <v>8999</v>
      </c>
      <c r="R3292" s="17">
        <v>52.35</v>
      </c>
      <c r="S3292" s="18">
        <v>4930.9355000000005</v>
      </c>
      <c r="T3292" s="19" t="s">
        <v>36</v>
      </c>
      <c r="U3292" s="20" t="s">
        <v>37</v>
      </c>
      <c r="V3292" s="21" t="s">
        <v>38</v>
      </c>
      <c r="W3292" s="22">
        <v>2</v>
      </c>
      <c r="X3292" s="23"/>
    </row>
    <row r="3293" spans="1:24" s="1" customFormat="1" ht="21" customHeight="1" x14ac:dyDescent="0.3">
      <c r="A3293" s="24" t="s">
        <v>23</v>
      </c>
      <c r="B3293" s="24" t="s">
        <v>2975</v>
      </c>
      <c r="C3293" s="27" t="s">
        <v>2999</v>
      </c>
      <c r="D3293" s="60"/>
      <c r="E3293" s="41" t="str">
        <f>HYPERLINK("https://www.google.ru/search?q=1373354-410&amp;newwindow=1&amp;tbm=isch","Еще фото")</f>
        <v>Еще фото</v>
      </c>
      <c r="F3293" s="13"/>
      <c r="G3293" s="24" t="s">
        <v>2939</v>
      </c>
      <c r="H3293" s="24" t="s">
        <v>27</v>
      </c>
      <c r="I3293" s="24" t="s">
        <v>2940</v>
      </c>
      <c r="J3293" s="14" t="s">
        <v>29</v>
      </c>
      <c r="K3293" s="15" t="s">
        <v>30</v>
      </c>
      <c r="L3293" s="62"/>
      <c r="M3293" s="14" t="s">
        <v>140</v>
      </c>
      <c r="N3293" s="14" t="s">
        <v>115</v>
      </c>
      <c r="O3293" s="14"/>
      <c r="P3293" s="15" t="s">
        <v>47</v>
      </c>
      <c r="Q3293" s="16">
        <v>8999</v>
      </c>
      <c r="R3293" s="17">
        <v>52.35</v>
      </c>
      <c r="S3293" s="18">
        <v>4930.9355000000005</v>
      </c>
      <c r="T3293" s="19" t="s">
        <v>36</v>
      </c>
      <c r="U3293" s="20" t="s">
        <v>39</v>
      </c>
      <c r="V3293" s="21" t="s">
        <v>40</v>
      </c>
      <c r="W3293" s="22">
        <v>1</v>
      </c>
      <c r="X3293" s="23"/>
    </row>
    <row r="3294" spans="1:24" s="1" customFormat="1" ht="21" customHeight="1" x14ac:dyDescent="0.3">
      <c r="A3294" s="24" t="s">
        <v>23</v>
      </c>
      <c r="B3294" s="24" t="s">
        <v>2975</v>
      </c>
      <c r="C3294" s="27" t="s">
        <v>2999</v>
      </c>
      <c r="D3294" s="60"/>
      <c r="E3294" s="41" t="str">
        <f>HYPERLINK("https://www.google.ru/search?q=1373354-410&amp;newwindow=1&amp;tbm=isch","Еще фото")</f>
        <v>Еще фото</v>
      </c>
      <c r="F3294" s="13"/>
      <c r="G3294" s="24" t="s">
        <v>2939</v>
      </c>
      <c r="H3294" s="24" t="s">
        <v>27</v>
      </c>
      <c r="I3294" s="24" t="s">
        <v>2940</v>
      </c>
      <c r="J3294" s="14" t="s">
        <v>29</v>
      </c>
      <c r="K3294" s="15" t="s">
        <v>30</v>
      </c>
      <c r="L3294" s="62"/>
      <c r="M3294" s="14" t="s">
        <v>140</v>
      </c>
      <c r="N3294" s="14" t="s">
        <v>115</v>
      </c>
      <c r="O3294" s="14"/>
      <c r="P3294" s="15" t="s">
        <v>47</v>
      </c>
      <c r="Q3294" s="16">
        <v>8999</v>
      </c>
      <c r="R3294" s="17">
        <v>52.35</v>
      </c>
      <c r="S3294" s="18">
        <v>4930.9355000000005</v>
      </c>
      <c r="T3294" s="19" t="s">
        <v>36</v>
      </c>
      <c r="U3294" s="20" t="s">
        <v>86</v>
      </c>
      <c r="V3294" s="21" t="s">
        <v>87</v>
      </c>
      <c r="W3294" s="22">
        <v>1</v>
      </c>
      <c r="X3294" s="23"/>
    </row>
    <row r="3295" spans="1:24" s="1" customFormat="1" ht="32" customHeight="1" x14ac:dyDescent="0.3">
      <c r="A3295" s="24" t="s">
        <v>23</v>
      </c>
      <c r="B3295" s="24" t="s">
        <v>2975</v>
      </c>
      <c r="C3295" s="27" t="s">
        <v>2999</v>
      </c>
      <c r="D3295" s="61"/>
      <c r="E3295" s="41" t="str">
        <f>HYPERLINK("https://www.google.ru/search?q=1373354-410&amp;newwindow=1&amp;tbm=isch","Еще фото")</f>
        <v>Еще фото</v>
      </c>
      <c r="F3295" s="13"/>
      <c r="G3295" s="24" t="s">
        <v>2939</v>
      </c>
      <c r="H3295" s="24" t="s">
        <v>27</v>
      </c>
      <c r="I3295" s="24" t="s">
        <v>2940</v>
      </c>
      <c r="J3295" s="14" t="s">
        <v>29</v>
      </c>
      <c r="K3295" s="15" t="s">
        <v>30</v>
      </c>
      <c r="L3295" s="58"/>
      <c r="M3295" s="14" t="s">
        <v>140</v>
      </c>
      <c r="N3295" s="14" t="s">
        <v>115</v>
      </c>
      <c r="O3295" s="14"/>
      <c r="P3295" s="15" t="s">
        <v>47</v>
      </c>
      <c r="Q3295" s="16">
        <v>8999</v>
      </c>
      <c r="R3295" s="17">
        <v>52.35</v>
      </c>
      <c r="S3295" s="18">
        <v>4930.9355000000005</v>
      </c>
      <c r="T3295" s="19" t="s">
        <v>36</v>
      </c>
      <c r="U3295" s="20" t="s">
        <v>88</v>
      </c>
      <c r="V3295" s="21" t="s">
        <v>89</v>
      </c>
      <c r="W3295" s="22">
        <v>3</v>
      </c>
      <c r="X3295" s="23"/>
    </row>
    <row r="3296" spans="1:24" s="1" customFormat="1" ht="52.05" customHeight="1" x14ac:dyDescent="0.3">
      <c r="A3296" s="11" t="s">
        <v>23</v>
      </c>
      <c r="B3296" s="11" t="s">
        <v>3000</v>
      </c>
      <c r="C3296" s="12" t="s">
        <v>3001</v>
      </c>
      <c r="D3296" s="55"/>
      <c r="E3296" s="41" t="str">
        <f>HYPERLINK("https://www.google.ru/search?q=1366067-001&amp;newwindow=1&amp;tbm=isch","Еще фото")</f>
        <v>Еще фото</v>
      </c>
      <c r="F3296" s="13"/>
      <c r="G3296" s="11" t="s">
        <v>2945</v>
      </c>
      <c r="H3296" s="11" t="s">
        <v>27</v>
      </c>
      <c r="I3296" s="14" t="s">
        <v>2940</v>
      </c>
      <c r="J3296" s="14" t="s">
        <v>43</v>
      </c>
      <c r="K3296" s="15" t="s">
        <v>50</v>
      </c>
      <c r="L3296" s="57" t="s">
        <v>3002</v>
      </c>
      <c r="M3296" s="14" t="s">
        <v>2899</v>
      </c>
      <c r="N3296" s="14" t="s">
        <v>33</v>
      </c>
      <c r="O3296" s="14" t="s">
        <v>34</v>
      </c>
      <c r="P3296" s="15" t="s">
        <v>1008</v>
      </c>
      <c r="Q3296" s="16">
        <v>4099</v>
      </c>
      <c r="R3296" s="17">
        <v>52.24</v>
      </c>
      <c r="S3296" s="18">
        <v>2251.4354999999996</v>
      </c>
      <c r="T3296" s="19" t="s">
        <v>36</v>
      </c>
      <c r="U3296" s="20" t="s">
        <v>54</v>
      </c>
      <c r="V3296" s="21" t="s">
        <v>55</v>
      </c>
      <c r="W3296" s="22">
        <v>1</v>
      </c>
      <c r="X3296" s="23"/>
    </row>
    <row r="3297" spans="1:24" s="1" customFormat="1" ht="61.05" customHeight="1" x14ac:dyDescent="0.3">
      <c r="A3297" s="24" t="s">
        <v>23</v>
      </c>
      <c r="B3297" s="24" t="s">
        <v>3000</v>
      </c>
      <c r="C3297" s="12" t="s">
        <v>3001</v>
      </c>
      <c r="D3297" s="56"/>
      <c r="E3297" s="41" t="str">
        <f>HYPERLINK("https://www.google.ru/search?q=1366067-001&amp;newwindow=1&amp;tbm=isch","Еще фото")</f>
        <v>Еще фото</v>
      </c>
      <c r="F3297" s="13"/>
      <c r="G3297" s="24" t="s">
        <v>2945</v>
      </c>
      <c r="H3297" s="24" t="s">
        <v>27</v>
      </c>
      <c r="I3297" s="24" t="s">
        <v>2940</v>
      </c>
      <c r="J3297" s="14" t="s">
        <v>43</v>
      </c>
      <c r="K3297" s="15" t="s">
        <v>50</v>
      </c>
      <c r="L3297" s="58"/>
      <c r="M3297" s="14" t="s">
        <v>2899</v>
      </c>
      <c r="N3297" s="14" t="s">
        <v>33</v>
      </c>
      <c r="O3297" s="14" t="s">
        <v>34</v>
      </c>
      <c r="P3297" s="15" t="s">
        <v>1008</v>
      </c>
      <c r="Q3297" s="16">
        <v>4099</v>
      </c>
      <c r="R3297" s="17">
        <v>52.24</v>
      </c>
      <c r="S3297" s="18">
        <v>2251.4354999999996</v>
      </c>
      <c r="T3297" s="19" t="s">
        <v>36</v>
      </c>
      <c r="U3297" s="20" t="s">
        <v>73</v>
      </c>
      <c r="V3297" s="21" t="s">
        <v>74</v>
      </c>
      <c r="W3297" s="22">
        <v>2</v>
      </c>
      <c r="X3297" s="23"/>
    </row>
    <row r="3298" spans="1:24" s="1" customFormat="1" ht="26" customHeight="1" x14ac:dyDescent="0.3">
      <c r="A3298" s="11" t="s">
        <v>23</v>
      </c>
      <c r="B3298" s="11" t="s">
        <v>2990</v>
      </c>
      <c r="C3298" s="12" t="s">
        <v>3003</v>
      </c>
      <c r="D3298" s="59"/>
      <c r="E3298" s="41" t="str">
        <f>HYPERLINK("https://www.google.ru/search?q=1373881-402&amp;newwindow=1&amp;tbm=isch","Еще фото")</f>
        <v>Еще фото</v>
      </c>
      <c r="F3298" s="13"/>
      <c r="G3298" s="11" t="s">
        <v>2939</v>
      </c>
      <c r="H3298" s="11" t="s">
        <v>27</v>
      </c>
      <c r="I3298" s="14" t="s">
        <v>2940</v>
      </c>
      <c r="J3298" s="14" t="s">
        <v>43</v>
      </c>
      <c r="K3298" s="15" t="s">
        <v>30</v>
      </c>
      <c r="L3298" s="57" t="s">
        <v>3004</v>
      </c>
      <c r="M3298" s="14"/>
      <c r="N3298" s="14" t="s">
        <v>115</v>
      </c>
      <c r="O3298" s="14"/>
      <c r="P3298" s="15" t="s">
        <v>120</v>
      </c>
      <c r="Q3298" s="16">
        <v>9199</v>
      </c>
      <c r="R3298" s="17">
        <v>49.8</v>
      </c>
      <c r="S3298" s="18">
        <v>5310.4355000000005</v>
      </c>
      <c r="T3298" s="19" t="s">
        <v>36</v>
      </c>
      <c r="U3298" s="20" t="s">
        <v>37</v>
      </c>
      <c r="V3298" s="21" t="s">
        <v>38</v>
      </c>
      <c r="W3298" s="22">
        <v>9</v>
      </c>
      <c r="X3298" s="23"/>
    </row>
    <row r="3299" spans="1:24" s="1" customFormat="1" ht="26" customHeight="1" x14ac:dyDescent="0.3">
      <c r="A3299" s="24" t="s">
        <v>23</v>
      </c>
      <c r="B3299" s="24" t="s">
        <v>2990</v>
      </c>
      <c r="C3299" s="12" t="s">
        <v>3003</v>
      </c>
      <c r="D3299" s="60"/>
      <c r="E3299" s="41" t="str">
        <f>HYPERLINK("https://www.google.ru/search?q=1373881-402&amp;newwindow=1&amp;tbm=isch","Еще фото")</f>
        <v>Еще фото</v>
      </c>
      <c r="F3299" s="13"/>
      <c r="G3299" s="24" t="s">
        <v>2939</v>
      </c>
      <c r="H3299" s="24" t="s">
        <v>27</v>
      </c>
      <c r="I3299" s="24" t="s">
        <v>2940</v>
      </c>
      <c r="J3299" s="14" t="s">
        <v>43</v>
      </c>
      <c r="K3299" s="15" t="s">
        <v>30</v>
      </c>
      <c r="L3299" s="62"/>
      <c r="M3299" s="14"/>
      <c r="N3299" s="14" t="s">
        <v>115</v>
      </c>
      <c r="O3299" s="14"/>
      <c r="P3299" s="15" t="s">
        <v>120</v>
      </c>
      <c r="Q3299" s="16">
        <v>9199</v>
      </c>
      <c r="R3299" s="17">
        <v>49.8</v>
      </c>
      <c r="S3299" s="18">
        <v>5310.4355000000005</v>
      </c>
      <c r="T3299" s="19" t="s">
        <v>36</v>
      </c>
      <c r="U3299" s="20" t="s">
        <v>39</v>
      </c>
      <c r="V3299" s="21" t="s">
        <v>40</v>
      </c>
      <c r="W3299" s="22">
        <v>15</v>
      </c>
      <c r="X3299" s="23"/>
    </row>
    <row r="3300" spans="1:24" s="1" customFormat="1" ht="26" customHeight="1" x14ac:dyDescent="0.3">
      <c r="A3300" s="24" t="s">
        <v>23</v>
      </c>
      <c r="B3300" s="24" t="s">
        <v>2990</v>
      </c>
      <c r="C3300" s="12" t="s">
        <v>3003</v>
      </c>
      <c r="D3300" s="60"/>
      <c r="E3300" s="41" t="str">
        <f>HYPERLINK("https://www.google.ru/search?q=1373881-402&amp;newwindow=1&amp;tbm=isch","Еще фото")</f>
        <v>Еще фото</v>
      </c>
      <c r="F3300" s="13"/>
      <c r="G3300" s="24" t="s">
        <v>2939</v>
      </c>
      <c r="H3300" s="24" t="s">
        <v>27</v>
      </c>
      <c r="I3300" s="24" t="s">
        <v>2940</v>
      </c>
      <c r="J3300" s="14" t="s">
        <v>43</v>
      </c>
      <c r="K3300" s="15" t="s">
        <v>30</v>
      </c>
      <c r="L3300" s="62"/>
      <c r="M3300" s="14"/>
      <c r="N3300" s="14" t="s">
        <v>115</v>
      </c>
      <c r="O3300" s="14"/>
      <c r="P3300" s="15" t="s">
        <v>120</v>
      </c>
      <c r="Q3300" s="16">
        <v>9199</v>
      </c>
      <c r="R3300" s="17">
        <v>49.8</v>
      </c>
      <c r="S3300" s="18">
        <v>5310.4355000000005</v>
      </c>
      <c r="T3300" s="19" t="s">
        <v>36</v>
      </c>
      <c r="U3300" s="20" t="s">
        <v>86</v>
      </c>
      <c r="V3300" s="21" t="s">
        <v>87</v>
      </c>
      <c r="W3300" s="22">
        <v>9</v>
      </c>
      <c r="X3300" s="23"/>
    </row>
    <row r="3301" spans="1:24" s="1" customFormat="1" ht="26" customHeight="1" x14ac:dyDescent="0.3">
      <c r="A3301" s="24" t="s">
        <v>23</v>
      </c>
      <c r="B3301" s="24" t="s">
        <v>2990</v>
      </c>
      <c r="C3301" s="12" t="s">
        <v>3003</v>
      </c>
      <c r="D3301" s="61"/>
      <c r="E3301" s="41" t="str">
        <f>HYPERLINK("https://www.google.ru/search?q=1373881-402&amp;newwindow=1&amp;tbm=isch","Еще фото")</f>
        <v>Еще фото</v>
      </c>
      <c r="F3301" s="13"/>
      <c r="G3301" s="24" t="s">
        <v>2939</v>
      </c>
      <c r="H3301" s="24" t="s">
        <v>27</v>
      </c>
      <c r="I3301" s="24" t="s">
        <v>2940</v>
      </c>
      <c r="J3301" s="14" t="s">
        <v>43</v>
      </c>
      <c r="K3301" s="15" t="s">
        <v>30</v>
      </c>
      <c r="L3301" s="58"/>
      <c r="M3301" s="14"/>
      <c r="N3301" s="14" t="s">
        <v>115</v>
      </c>
      <c r="O3301" s="14"/>
      <c r="P3301" s="15" t="s">
        <v>120</v>
      </c>
      <c r="Q3301" s="16">
        <v>9199</v>
      </c>
      <c r="R3301" s="17">
        <v>49.8</v>
      </c>
      <c r="S3301" s="18">
        <v>5310.4355000000005</v>
      </c>
      <c r="T3301" s="19" t="s">
        <v>36</v>
      </c>
      <c r="U3301" s="20" t="s">
        <v>88</v>
      </c>
      <c r="V3301" s="21" t="s">
        <v>89</v>
      </c>
      <c r="W3301" s="22">
        <v>2</v>
      </c>
      <c r="X3301" s="23"/>
    </row>
    <row r="3302" spans="1:24" s="1" customFormat="1" ht="35" customHeight="1" x14ac:dyDescent="0.3">
      <c r="A3302" s="11" t="s">
        <v>23</v>
      </c>
      <c r="B3302" s="11" t="s">
        <v>3005</v>
      </c>
      <c r="C3302" s="12" t="s">
        <v>3006</v>
      </c>
      <c r="D3302" s="59"/>
      <c r="E3302" s="41" t="str">
        <f>HYPERLINK("https://www.google.ru/search?q=1386444-707&amp;newwindow=1&amp;tbm=isch","Еще фото")</f>
        <v>Еще фото</v>
      </c>
      <c r="F3302" s="13"/>
      <c r="G3302" s="11" t="s">
        <v>2945</v>
      </c>
      <c r="H3302" s="11" t="s">
        <v>27</v>
      </c>
      <c r="I3302" s="14" t="s">
        <v>2940</v>
      </c>
      <c r="J3302" s="14" t="s">
        <v>29</v>
      </c>
      <c r="K3302" s="15" t="s">
        <v>59</v>
      </c>
      <c r="L3302" s="57" t="s">
        <v>3007</v>
      </c>
      <c r="M3302" s="14"/>
      <c r="N3302" s="14" t="s">
        <v>332</v>
      </c>
      <c r="O3302" s="14"/>
      <c r="P3302" s="15" t="s">
        <v>302</v>
      </c>
      <c r="Q3302" s="16">
        <v>9099</v>
      </c>
      <c r="R3302" s="17">
        <v>49.8</v>
      </c>
      <c r="S3302" s="18">
        <v>5252.9355000000005</v>
      </c>
      <c r="T3302" s="19" t="s">
        <v>36</v>
      </c>
      <c r="U3302" s="20" t="s">
        <v>63</v>
      </c>
      <c r="V3302" s="21" t="s">
        <v>64</v>
      </c>
      <c r="W3302" s="22">
        <v>9</v>
      </c>
      <c r="X3302" s="23"/>
    </row>
    <row r="3303" spans="1:24" s="1" customFormat="1" ht="35" customHeight="1" x14ac:dyDescent="0.3">
      <c r="A3303" s="24" t="s">
        <v>23</v>
      </c>
      <c r="B3303" s="24" t="s">
        <v>3005</v>
      </c>
      <c r="C3303" s="12" t="s">
        <v>3006</v>
      </c>
      <c r="D3303" s="60"/>
      <c r="E3303" s="41" t="str">
        <f>HYPERLINK("https://www.google.ru/search?q=1386444-707&amp;newwindow=1&amp;tbm=isch","Еще фото")</f>
        <v>Еще фото</v>
      </c>
      <c r="F3303" s="13"/>
      <c r="G3303" s="24" t="s">
        <v>2945</v>
      </c>
      <c r="H3303" s="24" t="s">
        <v>27</v>
      </c>
      <c r="I3303" s="24" t="s">
        <v>2940</v>
      </c>
      <c r="J3303" s="14" t="s">
        <v>29</v>
      </c>
      <c r="K3303" s="15" t="s">
        <v>59</v>
      </c>
      <c r="L3303" s="62"/>
      <c r="M3303" s="14"/>
      <c r="N3303" s="14" t="s">
        <v>332</v>
      </c>
      <c r="O3303" s="14"/>
      <c r="P3303" s="15" t="s">
        <v>302</v>
      </c>
      <c r="Q3303" s="16">
        <v>9099</v>
      </c>
      <c r="R3303" s="17">
        <v>49.8</v>
      </c>
      <c r="S3303" s="18">
        <v>5252.9355000000005</v>
      </c>
      <c r="T3303" s="19" t="s">
        <v>36</v>
      </c>
      <c r="U3303" s="20" t="s">
        <v>37</v>
      </c>
      <c r="V3303" s="21" t="s">
        <v>106</v>
      </c>
      <c r="W3303" s="22">
        <v>18</v>
      </c>
      <c r="X3303" s="23"/>
    </row>
    <row r="3304" spans="1:24" s="1" customFormat="1" ht="37.049999999999997" customHeight="1" x14ac:dyDescent="0.3">
      <c r="A3304" s="24" t="s">
        <v>23</v>
      </c>
      <c r="B3304" s="24" t="s">
        <v>3005</v>
      </c>
      <c r="C3304" s="12" t="s">
        <v>3006</v>
      </c>
      <c r="D3304" s="61"/>
      <c r="E3304" s="41" t="str">
        <f>HYPERLINK("https://www.google.ru/search?q=1386444-707&amp;newwindow=1&amp;tbm=isch","Еще фото")</f>
        <v>Еще фото</v>
      </c>
      <c r="F3304" s="13"/>
      <c r="G3304" s="24" t="s">
        <v>2945</v>
      </c>
      <c r="H3304" s="24" t="s">
        <v>27</v>
      </c>
      <c r="I3304" s="24" t="s">
        <v>2940</v>
      </c>
      <c r="J3304" s="14" t="s">
        <v>29</v>
      </c>
      <c r="K3304" s="15" t="s">
        <v>59</v>
      </c>
      <c r="L3304" s="58"/>
      <c r="M3304" s="14"/>
      <c r="N3304" s="14" t="s">
        <v>332</v>
      </c>
      <c r="O3304" s="14"/>
      <c r="P3304" s="15" t="s">
        <v>302</v>
      </c>
      <c r="Q3304" s="16">
        <v>9099</v>
      </c>
      <c r="R3304" s="17">
        <v>49.8</v>
      </c>
      <c r="S3304" s="18">
        <v>5252.9355000000005</v>
      </c>
      <c r="T3304" s="19" t="s">
        <v>36</v>
      </c>
      <c r="U3304" s="20" t="s">
        <v>86</v>
      </c>
      <c r="V3304" s="21" t="s">
        <v>38</v>
      </c>
      <c r="W3304" s="22">
        <v>1</v>
      </c>
      <c r="X3304" s="23"/>
    </row>
    <row r="3305" spans="1:24" s="1" customFormat="1" ht="52.05" customHeight="1" x14ac:dyDescent="0.3">
      <c r="A3305" s="11" t="s">
        <v>23</v>
      </c>
      <c r="B3305" s="11" t="s">
        <v>2947</v>
      </c>
      <c r="C3305" s="12" t="s">
        <v>3008</v>
      </c>
      <c r="D3305" s="55"/>
      <c r="E3305" s="41" t="str">
        <f>HYPERLINK("https://www.google.ru/search?q=1387796-709&amp;newwindow=1&amp;tbm=isch","Еще фото")</f>
        <v>Еще фото</v>
      </c>
      <c r="F3305" s="13"/>
      <c r="G3305" s="11" t="s">
        <v>2949</v>
      </c>
      <c r="H3305" s="11" t="s">
        <v>27</v>
      </c>
      <c r="I3305" s="14" t="s">
        <v>2940</v>
      </c>
      <c r="J3305" s="14" t="s">
        <v>29</v>
      </c>
      <c r="K3305" s="15" t="s">
        <v>30</v>
      </c>
      <c r="L3305" s="57" t="s">
        <v>2950</v>
      </c>
      <c r="M3305" s="14"/>
      <c r="N3305" s="14" t="s">
        <v>62</v>
      </c>
      <c r="O3305" s="14"/>
      <c r="P3305" s="15" t="s">
        <v>2951</v>
      </c>
      <c r="Q3305" s="16">
        <v>8999</v>
      </c>
      <c r="R3305" s="17">
        <v>49.8</v>
      </c>
      <c r="S3305" s="18">
        <v>5195.4355000000005</v>
      </c>
      <c r="T3305" s="19" t="s">
        <v>36</v>
      </c>
      <c r="U3305" s="20" t="s">
        <v>37</v>
      </c>
      <c r="V3305" s="21" t="s">
        <v>38</v>
      </c>
      <c r="W3305" s="22">
        <v>3</v>
      </c>
      <c r="X3305" s="23"/>
    </row>
    <row r="3306" spans="1:24" s="1" customFormat="1" ht="61.05" customHeight="1" x14ac:dyDescent="0.3">
      <c r="A3306" s="24" t="s">
        <v>23</v>
      </c>
      <c r="B3306" s="24" t="s">
        <v>2947</v>
      </c>
      <c r="C3306" s="12" t="s">
        <v>3008</v>
      </c>
      <c r="D3306" s="56"/>
      <c r="E3306" s="41" t="str">
        <f>HYPERLINK("https://www.google.ru/search?q=1387796-709&amp;newwindow=1&amp;tbm=isch","Еще фото")</f>
        <v>Еще фото</v>
      </c>
      <c r="F3306" s="13"/>
      <c r="G3306" s="24" t="s">
        <v>2949</v>
      </c>
      <c r="H3306" s="24" t="s">
        <v>27</v>
      </c>
      <c r="I3306" s="24" t="s">
        <v>2940</v>
      </c>
      <c r="J3306" s="14" t="s">
        <v>29</v>
      </c>
      <c r="K3306" s="15" t="s">
        <v>30</v>
      </c>
      <c r="L3306" s="58"/>
      <c r="M3306" s="14"/>
      <c r="N3306" s="14" t="s">
        <v>62</v>
      </c>
      <c r="O3306" s="14"/>
      <c r="P3306" s="15" t="s">
        <v>2951</v>
      </c>
      <c r="Q3306" s="16">
        <v>8999</v>
      </c>
      <c r="R3306" s="17">
        <v>49.8</v>
      </c>
      <c r="S3306" s="18">
        <v>5195.4355000000005</v>
      </c>
      <c r="T3306" s="19" t="s">
        <v>36</v>
      </c>
      <c r="U3306" s="20" t="s">
        <v>86</v>
      </c>
      <c r="V3306" s="21" t="s">
        <v>87</v>
      </c>
      <c r="W3306" s="22">
        <v>5</v>
      </c>
      <c r="X3306" s="23"/>
    </row>
    <row r="3307" spans="1:24" s="1" customFormat="1" ht="26" customHeight="1" x14ac:dyDescent="0.3">
      <c r="A3307" s="11" t="s">
        <v>23</v>
      </c>
      <c r="B3307" s="11" t="s">
        <v>3009</v>
      </c>
      <c r="C3307" s="12" t="s">
        <v>3010</v>
      </c>
      <c r="D3307" s="59"/>
      <c r="E3307" s="41" t="str">
        <f>HYPERLINK("https://www.google.ru/search?q=1389356-390&amp;newwindow=1&amp;tbm=isch","Еще фото")</f>
        <v>Еще фото</v>
      </c>
      <c r="F3307" s="13" t="s">
        <v>103</v>
      </c>
      <c r="G3307" s="11" t="s">
        <v>2939</v>
      </c>
      <c r="H3307" s="11" t="s">
        <v>27</v>
      </c>
      <c r="I3307" s="14" t="s">
        <v>2940</v>
      </c>
      <c r="J3307" s="14" t="s">
        <v>29</v>
      </c>
      <c r="K3307" s="15" t="s">
        <v>30</v>
      </c>
      <c r="L3307" s="57" t="s">
        <v>3011</v>
      </c>
      <c r="M3307" s="14"/>
      <c r="N3307" s="14" t="s">
        <v>127</v>
      </c>
      <c r="O3307" s="14"/>
      <c r="P3307" s="15" t="s">
        <v>120</v>
      </c>
      <c r="Q3307" s="16">
        <v>8699</v>
      </c>
      <c r="R3307" s="17">
        <v>49.79</v>
      </c>
      <c r="S3307" s="18">
        <v>5022.9355000000005</v>
      </c>
      <c r="T3307" s="19" t="s">
        <v>36</v>
      </c>
      <c r="U3307" s="20" t="s">
        <v>37</v>
      </c>
      <c r="V3307" s="21" t="s">
        <v>38</v>
      </c>
      <c r="W3307" s="22">
        <v>8</v>
      </c>
      <c r="X3307" s="23"/>
    </row>
    <row r="3308" spans="1:24" s="1" customFormat="1" ht="26" customHeight="1" x14ac:dyDescent="0.3">
      <c r="A3308" s="24" t="s">
        <v>23</v>
      </c>
      <c r="B3308" s="24" t="s">
        <v>3009</v>
      </c>
      <c r="C3308" s="12" t="s">
        <v>3010</v>
      </c>
      <c r="D3308" s="60"/>
      <c r="E3308" s="41" t="str">
        <f>HYPERLINK("https://www.google.ru/search?q=1389356-390&amp;newwindow=1&amp;tbm=isch","Еще фото")</f>
        <v>Еще фото</v>
      </c>
      <c r="F3308" s="13" t="s">
        <v>103</v>
      </c>
      <c r="G3308" s="24" t="s">
        <v>2939</v>
      </c>
      <c r="H3308" s="24" t="s">
        <v>27</v>
      </c>
      <c r="I3308" s="24" t="s">
        <v>2940</v>
      </c>
      <c r="J3308" s="14" t="s">
        <v>29</v>
      </c>
      <c r="K3308" s="15" t="s">
        <v>30</v>
      </c>
      <c r="L3308" s="62"/>
      <c r="M3308" s="14"/>
      <c r="N3308" s="14" t="s">
        <v>127</v>
      </c>
      <c r="O3308" s="14"/>
      <c r="P3308" s="15" t="s">
        <v>120</v>
      </c>
      <c r="Q3308" s="16">
        <v>8699</v>
      </c>
      <c r="R3308" s="17">
        <v>49.79</v>
      </c>
      <c r="S3308" s="18">
        <v>5022.9355000000005</v>
      </c>
      <c r="T3308" s="19" t="s">
        <v>36</v>
      </c>
      <c r="U3308" s="20" t="s">
        <v>39</v>
      </c>
      <c r="V3308" s="21" t="s">
        <v>40</v>
      </c>
      <c r="W3308" s="22">
        <v>13</v>
      </c>
      <c r="X3308" s="23"/>
    </row>
    <row r="3309" spans="1:24" s="1" customFormat="1" ht="26" customHeight="1" x14ac:dyDescent="0.3">
      <c r="A3309" s="24" t="s">
        <v>23</v>
      </c>
      <c r="B3309" s="24" t="s">
        <v>3009</v>
      </c>
      <c r="C3309" s="12" t="s">
        <v>3010</v>
      </c>
      <c r="D3309" s="60"/>
      <c r="E3309" s="41" t="str">
        <f>HYPERLINK("https://www.google.ru/search?q=1389356-390&amp;newwindow=1&amp;tbm=isch","Еще фото")</f>
        <v>Еще фото</v>
      </c>
      <c r="F3309" s="13" t="s">
        <v>103</v>
      </c>
      <c r="G3309" s="24" t="s">
        <v>2939</v>
      </c>
      <c r="H3309" s="24" t="s">
        <v>27</v>
      </c>
      <c r="I3309" s="24" t="s">
        <v>2940</v>
      </c>
      <c r="J3309" s="14" t="s">
        <v>29</v>
      </c>
      <c r="K3309" s="15" t="s">
        <v>30</v>
      </c>
      <c r="L3309" s="62"/>
      <c r="M3309" s="14"/>
      <c r="N3309" s="14" t="s">
        <v>127</v>
      </c>
      <c r="O3309" s="14"/>
      <c r="P3309" s="15" t="s">
        <v>120</v>
      </c>
      <c r="Q3309" s="16">
        <v>8699</v>
      </c>
      <c r="R3309" s="17">
        <v>49.79</v>
      </c>
      <c r="S3309" s="18">
        <v>5022.9355000000005</v>
      </c>
      <c r="T3309" s="19" t="s">
        <v>36</v>
      </c>
      <c r="U3309" s="20" t="s">
        <v>86</v>
      </c>
      <c r="V3309" s="21" t="s">
        <v>87</v>
      </c>
      <c r="W3309" s="22">
        <v>19</v>
      </c>
      <c r="X3309" s="23"/>
    </row>
    <row r="3310" spans="1:24" s="1" customFormat="1" ht="26" customHeight="1" x14ac:dyDescent="0.3">
      <c r="A3310" s="24" t="s">
        <v>23</v>
      </c>
      <c r="B3310" s="24" t="s">
        <v>3009</v>
      </c>
      <c r="C3310" s="12" t="s">
        <v>3010</v>
      </c>
      <c r="D3310" s="61"/>
      <c r="E3310" s="41" t="str">
        <f>HYPERLINK("https://www.google.ru/search?q=1389356-390&amp;newwindow=1&amp;tbm=isch","Еще фото")</f>
        <v>Еще фото</v>
      </c>
      <c r="F3310" s="13" t="s">
        <v>103</v>
      </c>
      <c r="G3310" s="24" t="s">
        <v>2939</v>
      </c>
      <c r="H3310" s="24" t="s">
        <v>27</v>
      </c>
      <c r="I3310" s="24" t="s">
        <v>2940</v>
      </c>
      <c r="J3310" s="14" t="s">
        <v>29</v>
      </c>
      <c r="K3310" s="15" t="s">
        <v>30</v>
      </c>
      <c r="L3310" s="58"/>
      <c r="M3310" s="14"/>
      <c r="N3310" s="14" t="s">
        <v>127</v>
      </c>
      <c r="O3310" s="14"/>
      <c r="P3310" s="15" t="s">
        <v>120</v>
      </c>
      <c r="Q3310" s="16">
        <v>8699</v>
      </c>
      <c r="R3310" s="17">
        <v>49.79</v>
      </c>
      <c r="S3310" s="18">
        <v>5022.9355000000005</v>
      </c>
      <c r="T3310" s="19" t="s">
        <v>36</v>
      </c>
      <c r="U3310" s="20" t="s">
        <v>88</v>
      </c>
      <c r="V3310" s="21" t="s">
        <v>89</v>
      </c>
      <c r="W3310" s="22">
        <v>4</v>
      </c>
      <c r="X3310" s="23"/>
    </row>
    <row r="3311" spans="1:24" s="1" customFormat="1" ht="21" customHeight="1" x14ac:dyDescent="0.3">
      <c r="A3311" s="11" t="s">
        <v>23</v>
      </c>
      <c r="B3311" s="11" t="s">
        <v>3012</v>
      </c>
      <c r="C3311" s="26" t="s">
        <v>3013</v>
      </c>
      <c r="D3311" s="59"/>
      <c r="E3311" s="41" t="str">
        <f>HYPERLINK("https://www.google.ru/search?q=1373880-402&amp;newwindow=1&amp;tbm=isch","Еще фото")</f>
        <v>Еще фото</v>
      </c>
      <c r="F3311" s="13" t="s">
        <v>103</v>
      </c>
      <c r="G3311" s="11" t="s">
        <v>2939</v>
      </c>
      <c r="H3311" s="11" t="s">
        <v>27</v>
      </c>
      <c r="I3311" s="14" t="s">
        <v>2940</v>
      </c>
      <c r="J3311" s="14" t="s">
        <v>43</v>
      </c>
      <c r="K3311" s="15" t="s">
        <v>30</v>
      </c>
      <c r="L3311" s="57" t="s">
        <v>3014</v>
      </c>
      <c r="M3311" s="14"/>
      <c r="N3311" s="14" t="s">
        <v>115</v>
      </c>
      <c r="O3311" s="14"/>
      <c r="P3311" s="15" t="s">
        <v>120</v>
      </c>
      <c r="Q3311" s="16">
        <v>8099</v>
      </c>
      <c r="R3311" s="17">
        <v>49.77</v>
      </c>
      <c r="S3311" s="18">
        <v>4677.9354999999996</v>
      </c>
      <c r="T3311" s="19" t="s">
        <v>36</v>
      </c>
      <c r="U3311" s="20" t="s">
        <v>37</v>
      </c>
      <c r="V3311" s="21" t="s">
        <v>38</v>
      </c>
      <c r="W3311" s="22">
        <v>6</v>
      </c>
      <c r="X3311" s="23"/>
    </row>
    <row r="3312" spans="1:24" s="1" customFormat="1" ht="21" customHeight="1" x14ac:dyDescent="0.3">
      <c r="A3312" s="24" t="s">
        <v>23</v>
      </c>
      <c r="B3312" s="24" t="s">
        <v>3012</v>
      </c>
      <c r="C3312" s="27" t="s">
        <v>3013</v>
      </c>
      <c r="D3312" s="60"/>
      <c r="E3312" s="41" t="str">
        <f>HYPERLINK("https://www.google.ru/search?q=1373880-402&amp;newwindow=1&amp;tbm=isch","Еще фото")</f>
        <v>Еще фото</v>
      </c>
      <c r="F3312" s="13" t="s">
        <v>103</v>
      </c>
      <c r="G3312" s="24" t="s">
        <v>2939</v>
      </c>
      <c r="H3312" s="24" t="s">
        <v>27</v>
      </c>
      <c r="I3312" s="24" t="s">
        <v>2940</v>
      </c>
      <c r="J3312" s="14" t="s">
        <v>43</v>
      </c>
      <c r="K3312" s="15" t="s">
        <v>30</v>
      </c>
      <c r="L3312" s="62"/>
      <c r="M3312" s="14"/>
      <c r="N3312" s="14" t="s">
        <v>115</v>
      </c>
      <c r="O3312" s="14"/>
      <c r="P3312" s="15" t="s">
        <v>120</v>
      </c>
      <c r="Q3312" s="16">
        <v>8099</v>
      </c>
      <c r="R3312" s="17">
        <v>49.77</v>
      </c>
      <c r="S3312" s="18">
        <v>4677.9354999999996</v>
      </c>
      <c r="T3312" s="19" t="s">
        <v>36</v>
      </c>
      <c r="U3312" s="20" t="s">
        <v>39</v>
      </c>
      <c r="V3312" s="21" t="s">
        <v>40</v>
      </c>
      <c r="W3312" s="22">
        <v>21</v>
      </c>
      <c r="X3312" s="23"/>
    </row>
    <row r="3313" spans="1:24" s="1" customFormat="1" ht="21" customHeight="1" x14ac:dyDescent="0.3">
      <c r="A3313" s="24" t="s">
        <v>23</v>
      </c>
      <c r="B3313" s="24" t="s">
        <v>3012</v>
      </c>
      <c r="C3313" s="27" t="s">
        <v>3013</v>
      </c>
      <c r="D3313" s="60"/>
      <c r="E3313" s="41" t="str">
        <f>HYPERLINK("https://www.google.ru/search?q=1373880-402&amp;newwindow=1&amp;tbm=isch","Еще фото")</f>
        <v>Еще фото</v>
      </c>
      <c r="F3313" s="13" t="s">
        <v>103</v>
      </c>
      <c r="G3313" s="24" t="s">
        <v>2939</v>
      </c>
      <c r="H3313" s="24" t="s">
        <v>27</v>
      </c>
      <c r="I3313" s="24" t="s">
        <v>2940</v>
      </c>
      <c r="J3313" s="14" t="s">
        <v>43</v>
      </c>
      <c r="K3313" s="15" t="s">
        <v>30</v>
      </c>
      <c r="L3313" s="62"/>
      <c r="M3313" s="14"/>
      <c r="N3313" s="14" t="s">
        <v>115</v>
      </c>
      <c r="O3313" s="14"/>
      <c r="P3313" s="15" t="s">
        <v>120</v>
      </c>
      <c r="Q3313" s="16">
        <v>8099</v>
      </c>
      <c r="R3313" s="17">
        <v>49.77</v>
      </c>
      <c r="S3313" s="18">
        <v>4677.9354999999996</v>
      </c>
      <c r="T3313" s="19" t="s">
        <v>36</v>
      </c>
      <c r="U3313" s="20" t="s">
        <v>86</v>
      </c>
      <c r="V3313" s="21" t="s">
        <v>87</v>
      </c>
      <c r="W3313" s="22">
        <v>27</v>
      </c>
      <c r="X3313" s="23"/>
    </row>
    <row r="3314" spans="1:24" s="1" customFormat="1" ht="21" customHeight="1" x14ac:dyDescent="0.3">
      <c r="A3314" s="24" t="s">
        <v>23</v>
      </c>
      <c r="B3314" s="24" t="s">
        <v>3012</v>
      </c>
      <c r="C3314" s="27" t="s">
        <v>3013</v>
      </c>
      <c r="D3314" s="60"/>
      <c r="E3314" s="41" t="str">
        <f>HYPERLINK("https://www.google.ru/search?q=1373880-402&amp;newwindow=1&amp;tbm=isch","Еще фото")</f>
        <v>Еще фото</v>
      </c>
      <c r="F3314" s="13" t="s">
        <v>103</v>
      </c>
      <c r="G3314" s="24" t="s">
        <v>2939</v>
      </c>
      <c r="H3314" s="24" t="s">
        <v>27</v>
      </c>
      <c r="I3314" s="24" t="s">
        <v>2940</v>
      </c>
      <c r="J3314" s="14" t="s">
        <v>43</v>
      </c>
      <c r="K3314" s="15" t="s">
        <v>30</v>
      </c>
      <c r="L3314" s="62"/>
      <c r="M3314" s="14"/>
      <c r="N3314" s="14" t="s">
        <v>115</v>
      </c>
      <c r="O3314" s="14"/>
      <c r="P3314" s="15" t="s">
        <v>120</v>
      </c>
      <c r="Q3314" s="16">
        <v>8099</v>
      </c>
      <c r="R3314" s="17">
        <v>49.77</v>
      </c>
      <c r="S3314" s="18">
        <v>4677.9354999999996</v>
      </c>
      <c r="T3314" s="19" t="s">
        <v>36</v>
      </c>
      <c r="U3314" s="20" t="s">
        <v>88</v>
      </c>
      <c r="V3314" s="21" t="s">
        <v>89</v>
      </c>
      <c r="W3314" s="22">
        <v>7</v>
      </c>
      <c r="X3314" s="23"/>
    </row>
    <row r="3315" spans="1:24" s="1" customFormat="1" ht="32" customHeight="1" x14ac:dyDescent="0.3">
      <c r="A3315" s="24" t="s">
        <v>23</v>
      </c>
      <c r="B3315" s="24" t="s">
        <v>3012</v>
      </c>
      <c r="C3315" s="27" t="s">
        <v>3013</v>
      </c>
      <c r="D3315" s="61"/>
      <c r="E3315" s="41" t="str">
        <f>HYPERLINK("https://www.google.ru/search?q=1373880-402&amp;newwindow=1&amp;tbm=isch","Еще фото")</f>
        <v>Еще фото</v>
      </c>
      <c r="F3315" s="13" t="s">
        <v>103</v>
      </c>
      <c r="G3315" s="24" t="s">
        <v>2939</v>
      </c>
      <c r="H3315" s="24" t="s">
        <v>27</v>
      </c>
      <c r="I3315" s="24" t="s">
        <v>2940</v>
      </c>
      <c r="J3315" s="14" t="s">
        <v>43</v>
      </c>
      <c r="K3315" s="15" t="s">
        <v>30</v>
      </c>
      <c r="L3315" s="58"/>
      <c r="M3315" s="14"/>
      <c r="N3315" s="14" t="s">
        <v>115</v>
      </c>
      <c r="O3315" s="14"/>
      <c r="P3315" s="15" t="s">
        <v>120</v>
      </c>
      <c r="Q3315" s="16">
        <v>8099</v>
      </c>
      <c r="R3315" s="17">
        <v>49.77</v>
      </c>
      <c r="S3315" s="18">
        <v>4677.9354999999996</v>
      </c>
      <c r="T3315" s="19" t="s">
        <v>36</v>
      </c>
      <c r="U3315" s="20" t="s">
        <v>90</v>
      </c>
      <c r="V3315" s="21" t="s">
        <v>91</v>
      </c>
      <c r="W3315" s="22">
        <v>5</v>
      </c>
      <c r="X3315" s="23"/>
    </row>
    <row r="3316" spans="1:24" s="1" customFormat="1" ht="35" customHeight="1" x14ac:dyDescent="0.3">
      <c r="A3316" s="11" t="s">
        <v>23</v>
      </c>
      <c r="B3316" s="11" t="s">
        <v>3015</v>
      </c>
      <c r="C3316" s="12" t="s">
        <v>3016</v>
      </c>
      <c r="D3316" s="59"/>
      <c r="E3316" s="41" t="str">
        <f>HYPERLINK("https://www.google.ru/search?q=1373353-025&amp;newwindow=1&amp;tbm=isch","Еще фото")</f>
        <v>Еще фото</v>
      </c>
      <c r="F3316" s="13" t="s">
        <v>103</v>
      </c>
      <c r="G3316" s="11" t="s">
        <v>2939</v>
      </c>
      <c r="H3316" s="11" t="s">
        <v>27</v>
      </c>
      <c r="I3316" s="14" t="s">
        <v>2940</v>
      </c>
      <c r="J3316" s="14" t="s">
        <v>29</v>
      </c>
      <c r="K3316" s="15" t="s">
        <v>30</v>
      </c>
      <c r="L3316" s="57" t="s">
        <v>3017</v>
      </c>
      <c r="M3316" s="14"/>
      <c r="N3316" s="14" t="s">
        <v>62</v>
      </c>
      <c r="O3316" s="14"/>
      <c r="P3316" s="15" t="s">
        <v>47</v>
      </c>
      <c r="Q3316" s="16">
        <v>7699</v>
      </c>
      <c r="R3316" s="17">
        <v>49.76</v>
      </c>
      <c r="S3316" s="18">
        <v>4447.9354999999996</v>
      </c>
      <c r="T3316" s="19" t="s">
        <v>36</v>
      </c>
      <c r="U3316" s="20" t="s">
        <v>37</v>
      </c>
      <c r="V3316" s="21" t="s">
        <v>38</v>
      </c>
      <c r="W3316" s="22">
        <v>4</v>
      </c>
      <c r="X3316" s="23"/>
    </row>
    <row r="3317" spans="1:24" s="1" customFormat="1" ht="35" customHeight="1" x14ac:dyDescent="0.3">
      <c r="A3317" s="24" t="s">
        <v>23</v>
      </c>
      <c r="B3317" s="24" t="s">
        <v>3015</v>
      </c>
      <c r="C3317" s="12" t="s">
        <v>3016</v>
      </c>
      <c r="D3317" s="60"/>
      <c r="E3317" s="41" t="str">
        <f>HYPERLINK("https://www.google.ru/search?q=1373353-025&amp;newwindow=1&amp;tbm=isch","Еще фото")</f>
        <v>Еще фото</v>
      </c>
      <c r="F3317" s="13" t="s">
        <v>103</v>
      </c>
      <c r="G3317" s="24" t="s">
        <v>2939</v>
      </c>
      <c r="H3317" s="24" t="s">
        <v>27</v>
      </c>
      <c r="I3317" s="24" t="s">
        <v>2940</v>
      </c>
      <c r="J3317" s="14" t="s">
        <v>29</v>
      </c>
      <c r="K3317" s="15" t="s">
        <v>30</v>
      </c>
      <c r="L3317" s="62"/>
      <c r="M3317" s="14"/>
      <c r="N3317" s="14" t="s">
        <v>62</v>
      </c>
      <c r="O3317" s="14"/>
      <c r="P3317" s="15" t="s">
        <v>47</v>
      </c>
      <c r="Q3317" s="16">
        <v>7699</v>
      </c>
      <c r="R3317" s="17">
        <v>49.76</v>
      </c>
      <c r="S3317" s="18">
        <v>4447.9354999999996</v>
      </c>
      <c r="T3317" s="19" t="s">
        <v>36</v>
      </c>
      <c r="U3317" s="20" t="s">
        <v>39</v>
      </c>
      <c r="V3317" s="21" t="s">
        <v>40</v>
      </c>
      <c r="W3317" s="22">
        <v>2</v>
      </c>
      <c r="X3317" s="23"/>
    </row>
    <row r="3318" spans="1:24" s="1" customFormat="1" ht="37.049999999999997" customHeight="1" x14ac:dyDescent="0.3">
      <c r="A3318" s="24" t="s">
        <v>23</v>
      </c>
      <c r="B3318" s="24" t="s">
        <v>3015</v>
      </c>
      <c r="C3318" s="12" t="s">
        <v>3016</v>
      </c>
      <c r="D3318" s="61"/>
      <c r="E3318" s="41" t="str">
        <f>HYPERLINK("https://www.google.ru/search?q=1373353-025&amp;newwindow=1&amp;tbm=isch","Еще фото")</f>
        <v>Еще фото</v>
      </c>
      <c r="F3318" s="13" t="s">
        <v>103</v>
      </c>
      <c r="G3318" s="24" t="s">
        <v>2939</v>
      </c>
      <c r="H3318" s="24" t="s">
        <v>27</v>
      </c>
      <c r="I3318" s="24" t="s">
        <v>2940</v>
      </c>
      <c r="J3318" s="14" t="s">
        <v>29</v>
      </c>
      <c r="K3318" s="15" t="s">
        <v>30</v>
      </c>
      <c r="L3318" s="58"/>
      <c r="M3318" s="14"/>
      <c r="N3318" s="14" t="s">
        <v>62</v>
      </c>
      <c r="O3318" s="14"/>
      <c r="P3318" s="15" t="s">
        <v>47</v>
      </c>
      <c r="Q3318" s="16">
        <v>7699</v>
      </c>
      <c r="R3318" s="17">
        <v>49.76</v>
      </c>
      <c r="S3318" s="18">
        <v>4447.9354999999996</v>
      </c>
      <c r="T3318" s="19" t="s">
        <v>36</v>
      </c>
      <c r="U3318" s="20" t="s">
        <v>86</v>
      </c>
      <c r="V3318" s="21" t="s">
        <v>87</v>
      </c>
      <c r="W3318" s="22">
        <v>12</v>
      </c>
      <c r="X3318" s="23"/>
    </row>
    <row r="3319" spans="1:24" s="1" customFormat="1" ht="108" customHeight="1" x14ac:dyDescent="0.3">
      <c r="A3319" s="11" t="s">
        <v>23</v>
      </c>
      <c r="B3319" s="11" t="s">
        <v>2980</v>
      </c>
      <c r="C3319" s="12" t="s">
        <v>3018</v>
      </c>
      <c r="D3319" s="25"/>
      <c r="E3319" s="41" t="str">
        <f>HYPERLINK("https://www.google.ru/search?q=1357093-176&amp;newwindow=1&amp;tbm=isch","Еще фото")</f>
        <v>Еще фото</v>
      </c>
      <c r="F3319" s="13" t="s">
        <v>103</v>
      </c>
      <c r="G3319" s="11" t="s">
        <v>2939</v>
      </c>
      <c r="H3319" s="11" t="s">
        <v>27</v>
      </c>
      <c r="I3319" s="14" t="s">
        <v>2940</v>
      </c>
      <c r="J3319" s="14" t="s">
        <v>29</v>
      </c>
      <c r="K3319" s="15" t="s">
        <v>30</v>
      </c>
      <c r="L3319" s="14" t="s">
        <v>3019</v>
      </c>
      <c r="M3319" s="14" t="s">
        <v>68</v>
      </c>
      <c r="N3319" s="14" t="s">
        <v>62</v>
      </c>
      <c r="O3319" s="14" t="s">
        <v>34</v>
      </c>
      <c r="P3319" s="15" t="s">
        <v>120</v>
      </c>
      <c r="Q3319" s="16">
        <v>7599</v>
      </c>
      <c r="R3319" s="17">
        <v>49.76</v>
      </c>
      <c r="S3319" s="18">
        <v>4390.4354999999996</v>
      </c>
      <c r="T3319" s="19" t="s">
        <v>36</v>
      </c>
      <c r="U3319" s="20" t="s">
        <v>39</v>
      </c>
      <c r="V3319" s="21" t="s">
        <v>40</v>
      </c>
      <c r="W3319" s="22">
        <v>5</v>
      </c>
      <c r="X3319" s="23"/>
    </row>
    <row r="3320" spans="1:24" s="1" customFormat="1" ht="26" customHeight="1" x14ac:dyDescent="0.3">
      <c r="A3320" s="11" t="s">
        <v>23</v>
      </c>
      <c r="B3320" s="11" t="s">
        <v>3020</v>
      </c>
      <c r="C3320" s="12" t="s">
        <v>3021</v>
      </c>
      <c r="D3320" s="59"/>
      <c r="E3320" s="41" t="str">
        <f>HYPERLINK("https://www.google.ru/search?q=6003939-390&amp;newwindow=1&amp;tbm=isch","Еще фото")</f>
        <v>Еще фото</v>
      </c>
      <c r="F3320" s="13"/>
      <c r="G3320" s="11" t="s">
        <v>2945</v>
      </c>
      <c r="H3320" s="11" t="s">
        <v>27</v>
      </c>
      <c r="I3320" s="14" t="s">
        <v>2940</v>
      </c>
      <c r="J3320" s="14" t="s">
        <v>43</v>
      </c>
      <c r="K3320" s="15" t="s">
        <v>30</v>
      </c>
      <c r="L3320" s="57" t="s">
        <v>3022</v>
      </c>
      <c r="M3320" s="14"/>
      <c r="N3320" s="14" t="s">
        <v>127</v>
      </c>
      <c r="O3320" s="14"/>
      <c r="P3320" s="15" t="s">
        <v>120</v>
      </c>
      <c r="Q3320" s="16">
        <v>19999</v>
      </c>
      <c r="R3320" s="17">
        <v>49.76</v>
      </c>
      <c r="S3320" s="18">
        <v>11554.9355</v>
      </c>
      <c r="T3320" s="19" t="s">
        <v>36</v>
      </c>
      <c r="U3320" s="20" t="s">
        <v>37</v>
      </c>
      <c r="V3320" s="21" t="s">
        <v>38</v>
      </c>
      <c r="W3320" s="22">
        <v>1</v>
      </c>
      <c r="X3320" s="23"/>
    </row>
    <row r="3321" spans="1:24" s="1" customFormat="1" ht="26" customHeight="1" x14ac:dyDescent="0.3">
      <c r="A3321" s="24" t="s">
        <v>23</v>
      </c>
      <c r="B3321" s="24" t="s">
        <v>3020</v>
      </c>
      <c r="C3321" s="12" t="s">
        <v>3021</v>
      </c>
      <c r="D3321" s="60"/>
      <c r="E3321" s="41" t="str">
        <f>HYPERLINK("https://www.google.ru/search?q=6003939-390&amp;newwindow=1&amp;tbm=isch","Еще фото")</f>
        <v>Еще фото</v>
      </c>
      <c r="F3321" s="13"/>
      <c r="G3321" s="24" t="s">
        <v>2945</v>
      </c>
      <c r="H3321" s="24" t="s">
        <v>27</v>
      </c>
      <c r="I3321" s="24" t="s">
        <v>2940</v>
      </c>
      <c r="J3321" s="14" t="s">
        <v>43</v>
      </c>
      <c r="K3321" s="15" t="s">
        <v>30</v>
      </c>
      <c r="L3321" s="62"/>
      <c r="M3321" s="14"/>
      <c r="N3321" s="14" t="s">
        <v>127</v>
      </c>
      <c r="O3321" s="14"/>
      <c r="P3321" s="15" t="s">
        <v>120</v>
      </c>
      <c r="Q3321" s="16">
        <v>19999</v>
      </c>
      <c r="R3321" s="17">
        <v>49.76</v>
      </c>
      <c r="S3321" s="18">
        <v>11554.9355</v>
      </c>
      <c r="T3321" s="19" t="s">
        <v>36</v>
      </c>
      <c r="U3321" s="20" t="s">
        <v>39</v>
      </c>
      <c r="V3321" s="21" t="s">
        <v>40</v>
      </c>
      <c r="W3321" s="22">
        <v>6</v>
      </c>
      <c r="X3321" s="23"/>
    </row>
    <row r="3322" spans="1:24" s="1" customFormat="1" ht="26" customHeight="1" x14ac:dyDescent="0.3">
      <c r="A3322" s="24" t="s">
        <v>23</v>
      </c>
      <c r="B3322" s="24" t="s">
        <v>3020</v>
      </c>
      <c r="C3322" s="12" t="s">
        <v>3021</v>
      </c>
      <c r="D3322" s="60"/>
      <c r="E3322" s="41" t="str">
        <f>HYPERLINK("https://www.google.ru/search?q=6003939-390&amp;newwindow=1&amp;tbm=isch","Еще фото")</f>
        <v>Еще фото</v>
      </c>
      <c r="F3322" s="13"/>
      <c r="G3322" s="24" t="s">
        <v>2945</v>
      </c>
      <c r="H3322" s="24" t="s">
        <v>27</v>
      </c>
      <c r="I3322" s="24" t="s">
        <v>2940</v>
      </c>
      <c r="J3322" s="14" t="s">
        <v>43</v>
      </c>
      <c r="K3322" s="15" t="s">
        <v>30</v>
      </c>
      <c r="L3322" s="62"/>
      <c r="M3322" s="14"/>
      <c r="N3322" s="14" t="s">
        <v>127</v>
      </c>
      <c r="O3322" s="14"/>
      <c r="P3322" s="15" t="s">
        <v>120</v>
      </c>
      <c r="Q3322" s="16">
        <v>19999</v>
      </c>
      <c r="R3322" s="17">
        <v>49.76</v>
      </c>
      <c r="S3322" s="18">
        <v>11554.9355</v>
      </c>
      <c r="T3322" s="19" t="s">
        <v>36</v>
      </c>
      <c r="U3322" s="20" t="s">
        <v>86</v>
      </c>
      <c r="V3322" s="21" t="s">
        <v>87</v>
      </c>
      <c r="W3322" s="22">
        <v>1</v>
      </c>
      <c r="X3322" s="23"/>
    </row>
    <row r="3323" spans="1:24" s="1" customFormat="1" ht="26" customHeight="1" x14ac:dyDescent="0.3">
      <c r="A3323" s="24" t="s">
        <v>23</v>
      </c>
      <c r="B3323" s="24" t="s">
        <v>3020</v>
      </c>
      <c r="C3323" s="12" t="s">
        <v>3021</v>
      </c>
      <c r="D3323" s="61"/>
      <c r="E3323" s="41" t="str">
        <f>HYPERLINK("https://www.google.ru/search?q=6003939-390&amp;newwindow=1&amp;tbm=isch","Еще фото")</f>
        <v>Еще фото</v>
      </c>
      <c r="F3323" s="13"/>
      <c r="G3323" s="24" t="s">
        <v>2945</v>
      </c>
      <c r="H3323" s="24" t="s">
        <v>27</v>
      </c>
      <c r="I3323" s="24" t="s">
        <v>2940</v>
      </c>
      <c r="J3323" s="14" t="s">
        <v>43</v>
      </c>
      <c r="K3323" s="15" t="s">
        <v>30</v>
      </c>
      <c r="L3323" s="58"/>
      <c r="M3323" s="14"/>
      <c r="N3323" s="14" t="s">
        <v>127</v>
      </c>
      <c r="O3323" s="14"/>
      <c r="P3323" s="15" t="s">
        <v>120</v>
      </c>
      <c r="Q3323" s="16">
        <v>19999</v>
      </c>
      <c r="R3323" s="17">
        <v>49.76</v>
      </c>
      <c r="S3323" s="18">
        <v>11554.9355</v>
      </c>
      <c r="T3323" s="19" t="s">
        <v>36</v>
      </c>
      <c r="U3323" s="20" t="s">
        <v>88</v>
      </c>
      <c r="V3323" s="21" t="s">
        <v>89</v>
      </c>
      <c r="W3323" s="22">
        <v>1</v>
      </c>
      <c r="X3323" s="23"/>
    </row>
    <row r="3324" spans="1:24" s="1" customFormat="1" ht="52.05" customHeight="1" x14ac:dyDescent="0.3">
      <c r="A3324" s="11" t="s">
        <v>23</v>
      </c>
      <c r="B3324" s="11" t="s">
        <v>3023</v>
      </c>
      <c r="C3324" s="12" t="s">
        <v>3024</v>
      </c>
      <c r="D3324" s="55"/>
      <c r="E3324" s="41" t="str">
        <f>HYPERLINK("https://www.google.ru/search?q=1356318-626&amp;newwindow=1&amp;tbm=isch","Еще фото")</f>
        <v>Еще фото</v>
      </c>
      <c r="F3324" s="13"/>
      <c r="G3324" s="11" t="s">
        <v>2939</v>
      </c>
      <c r="H3324" s="11" t="s">
        <v>27</v>
      </c>
      <c r="I3324" s="14" t="s">
        <v>2940</v>
      </c>
      <c r="J3324" s="14" t="s">
        <v>29</v>
      </c>
      <c r="K3324" s="15" t="s">
        <v>59</v>
      </c>
      <c r="L3324" s="57" t="s">
        <v>3025</v>
      </c>
      <c r="M3324" s="14" t="s">
        <v>68</v>
      </c>
      <c r="N3324" s="14" t="s">
        <v>382</v>
      </c>
      <c r="O3324" s="14" t="s">
        <v>34</v>
      </c>
      <c r="P3324" s="15" t="s">
        <v>120</v>
      </c>
      <c r="Q3324" s="16">
        <v>7399</v>
      </c>
      <c r="R3324" s="17">
        <v>49.75</v>
      </c>
      <c r="S3324" s="18">
        <v>4275.4354999999996</v>
      </c>
      <c r="T3324" s="19" t="s">
        <v>36</v>
      </c>
      <c r="U3324" s="20" t="s">
        <v>63</v>
      </c>
      <c r="V3324" s="21" t="s">
        <v>64</v>
      </c>
      <c r="W3324" s="22">
        <v>5</v>
      </c>
      <c r="X3324" s="23"/>
    </row>
    <row r="3325" spans="1:24" s="1" customFormat="1" ht="61.05" customHeight="1" x14ac:dyDescent="0.3">
      <c r="A3325" s="24" t="s">
        <v>23</v>
      </c>
      <c r="B3325" s="24" t="s">
        <v>3023</v>
      </c>
      <c r="C3325" s="12" t="s">
        <v>3024</v>
      </c>
      <c r="D3325" s="56"/>
      <c r="E3325" s="41" t="str">
        <f>HYPERLINK("https://www.google.ru/search?q=1356318-626&amp;newwindow=1&amp;tbm=isch","Еще фото")</f>
        <v>Еще фото</v>
      </c>
      <c r="F3325" s="13"/>
      <c r="G3325" s="24" t="s">
        <v>2939</v>
      </c>
      <c r="H3325" s="24" t="s">
        <v>27</v>
      </c>
      <c r="I3325" s="24" t="s">
        <v>2940</v>
      </c>
      <c r="J3325" s="14" t="s">
        <v>29</v>
      </c>
      <c r="K3325" s="15" t="s">
        <v>59</v>
      </c>
      <c r="L3325" s="58"/>
      <c r="M3325" s="14" t="s">
        <v>68</v>
      </c>
      <c r="N3325" s="14" t="s">
        <v>382</v>
      </c>
      <c r="O3325" s="14" t="s">
        <v>34</v>
      </c>
      <c r="P3325" s="15" t="s">
        <v>120</v>
      </c>
      <c r="Q3325" s="16">
        <v>7399</v>
      </c>
      <c r="R3325" s="17">
        <v>49.75</v>
      </c>
      <c r="S3325" s="18">
        <v>4275.4354999999996</v>
      </c>
      <c r="T3325" s="19" t="s">
        <v>36</v>
      </c>
      <c r="U3325" s="20" t="s">
        <v>37</v>
      </c>
      <c r="V3325" s="21" t="s">
        <v>106</v>
      </c>
      <c r="W3325" s="22">
        <v>6</v>
      </c>
      <c r="X3325" s="23"/>
    </row>
    <row r="3326" spans="1:24" s="1" customFormat="1" ht="52.05" customHeight="1" x14ac:dyDescent="0.3">
      <c r="A3326" s="11" t="s">
        <v>23</v>
      </c>
      <c r="B3326" s="11" t="s">
        <v>3026</v>
      </c>
      <c r="C3326" s="12" t="s">
        <v>3027</v>
      </c>
      <c r="D3326" s="55"/>
      <c r="E3326" s="41" t="str">
        <f>HYPERLINK("https://www.google.ru/search?q=1386902-707&amp;newwindow=1&amp;tbm=isch","Еще фото")</f>
        <v>Еще фото</v>
      </c>
      <c r="F3326" s="13"/>
      <c r="G3326" s="11" t="s">
        <v>2939</v>
      </c>
      <c r="H3326" s="11" t="s">
        <v>27</v>
      </c>
      <c r="I3326" s="14" t="s">
        <v>2940</v>
      </c>
      <c r="J3326" s="14" t="s">
        <v>29</v>
      </c>
      <c r="K3326" s="15" t="s">
        <v>30</v>
      </c>
      <c r="L3326" s="57" t="s">
        <v>3028</v>
      </c>
      <c r="M3326" s="14"/>
      <c r="N3326" s="14" t="s">
        <v>332</v>
      </c>
      <c r="O3326" s="14"/>
      <c r="P3326" s="15" t="s">
        <v>120</v>
      </c>
      <c r="Q3326" s="16">
        <v>14699</v>
      </c>
      <c r="R3326" s="17">
        <v>49.74</v>
      </c>
      <c r="S3326" s="18">
        <v>8495.9354999999996</v>
      </c>
      <c r="T3326" s="19" t="s">
        <v>36</v>
      </c>
      <c r="U3326" s="20" t="s">
        <v>63</v>
      </c>
      <c r="V3326" s="21" t="s">
        <v>85</v>
      </c>
      <c r="W3326" s="22">
        <v>2</v>
      </c>
      <c r="X3326" s="23"/>
    </row>
    <row r="3327" spans="1:24" s="1" customFormat="1" ht="61.05" customHeight="1" x14ac:dyDescent="0.3">
      <c r="A3327" s="24" t="s">
        <v>23</v>
      </c>
      <c r="B3327" s="24" t="s">
        <v>3026</v>
      </c>
      <c r="C3327" s="12" t="s">
        <v>3027</v>
      </c>
      <c r="D3327" s="56"/>
      <c r="E3327" s="41" t="str">
        <f>HYPERLINK("https://www.google.ru/search?q=1386902-707&amp;newwindow=1&amp;tbm=isch","Еще фото")</f>
        <v>Еще фото</v>
      </c>
      <c r="F3327" s="13"/>
      <c r="G3327" s="24" t="s">
        <v>2939</v>
      </c>
      <c r="H3327" s="24" t="s">
        <v>27</v>
      </c>
      <c r="I3327" s="24" t="s">
        <v>2940</v>
      </c>
      <c r="J3327" s="14" t="s">
        <v>29</v>
      </c>
      <c r="K3327" s="15" t="s">
        <v>30</v>
      </c>
      <c r="L3327" s="58"/>
      <c r="M3327" s="14"/>
      <c r="N3327" s="14" t="s">
        <v>332</v>
      </c>
      <c r="O3327" s="14"/>
      <c r="P3327" s="15" t="s">
        <v>120</v>
      </c>
      <c r="Q3327" s="16">
        <v>14699</v>
      </c>
      <c r="R3327" s="17">
        <v>49.74</v>
      </c>
      <c r="S3327" s="18">
        <v>8495.9354999999996</v>
      </c>
      <c r="T3327" s="19" t="s">
        <v>36</v>
      </c>
      <c r="U3327" s="20" t="s">
        <v>37</v>
      </c>
      <c r="V3327" s="21" t="s">
        <v>38</v>
      </c>
      <c r="W3327" s="22">
        <v>3</v>
      </c>
      <c r="X3327" s="23"/>
    </row>
    <row r="3328" spans="1:24" s="1" customFormat="1" ht="108" customHeight="1" x14ac:dyDescent="0.3">
      <c r="A3328" s="11" t="s">
        <v>23</v>
      </c>
      <c r="B3328" s="11" t="s">
        <v>2959</v>
      </c>
      <c r="C3328" s="12" t="s">
        <v>3029</v>
      </c>
      <c r="D3328" s="25"/>
      <c r="E3328" s="41" t="str">
        <f>HYPERLINK("https://www.google.ru/search?q=1361619-415&amp;newwindow=1&amp;tbm=isch","Еще фото")</f>
        <v>Еще фото</v>
      </c>
      <c r="F3328" s="13"/>
      <c r="G3328" s="11" t="s">
        <v>2961</v>
      </c>
      <c r="H3328" s="11" t="s">
        <v>27</v>
      </c>
      <c r="I3328" s="14" t="s">
        <v>2940</v>
      </c>
      <c r="J3328" s="14" t="s">
        <v>29</v>
      </c>
      <c r="K3328" s="15" t="s">
        <v>30</v>
      </c>
      <c r="L3328" s="14" t="s">
        <v>2962</v>
      </c>
      <c r="M3328" s="14" t="s">
        <v>45</v>
      </c>
      <c r="N3328" s="14" t="s">
        <v>115</v>
      </c>
      <c r="O3328" s="14"/>
      <c r="P3328" s="15" t="s">
        <v>47</v>
      </c>
      <c r="Q3328" s="16">
        <v>9999</v>
      </c>
      <c r="R3328" s="17">
        <v>49.72</v>
      </c>
      <c r="S3328" s="18">
        <v>5781.9355000000005</v>
      </c>
      <c r="T3328" s="19" t="s">
        <v>36</v>
      </c>
      <c r="U3328" s="20" t="s">
        <v>39</v>
      </c>
      <c r="V3328" s="21" t="s">
        <v>40</v>
      </c>
      <c r="W3328" s="22">
        <v>2</v>
      </c>
      <c r="X3328" s="23"/>
    </row>
    <row r="3329" spans="1:24" s="1" customFormat="1" ht="21" customHeight="1" x14ac:dyDescent="0.3">
      <c r="A3329" s="11" t="s">
        <v>23</v>
      </c>
      <c r="B3329" s="11" t="s">
        <v>3030</v>
      </c>
      <c r="C3329" s="26" t="s">
        <v>3031</v>
      </c>
      <c r="D3329" s="59"/>
      <c r="E3329" s="41" t="str">
        <f>HYPERLINK("https://www.google.ru/search?q=1379027-722&amp;newwindow=1&amp;tbm=isch","Еще фото")</f>
        <v>Еще фото</v>
      </c>
      <c r="F3329" s="13"/>
      <c r="G3329" s="11" t="s">
        <v>2939</v>
      </c>
      <c r="H3329" s="11" t="s">
        <v>27</v>
      </c>
      <c r="I3329" s="14" t="s">
        <v>2940</v>
      </c>
      <c r="J3329" s="14" t="s">
        <v>29</v>
      </c>
      <c r="K3329" s="15" t="s">
        <v>50</v>
      </c>
      <c r="L3329" s="57" t="s">
        <v>3032</v>
      </c>
      <c r="M3329" s="14"/>
      <c r="N3329" s="14" t="s">
        <v>127</v>
      </c>
      <c r="O3329" s="14"/>
      <c r="P3329" s="15" t="s">
        <v>732</v>
      </c>
      <c r="Q3329" s="16">
        <v>6399</v>
      </c>
      <c r="R3329" s="17">
        <v>49.71</v>
      </c>
      <c r="S3329" s="18">
        <v>3700.4354999999996</v>
      </c>
      <c r="T3329" s="19" t="s">
        <v>36</v>
      </c>
      <c r="U3329" s="20" t="s">
        <v>99</v>
      </c>
      <c r="V3329" s="21" t="s">
        <v>100</v>
      </c>
      <c r="W3329" s="22">
        <v>2</v>
      </c>
      <c r="X3329" s="23"/>
    </row>
    <row r="3330" spans="1:24" s="1" customFormat="1" ht="21" customHeight="1" x14ac:dyDescent="0.3">
      <c r="A3330" s="24" t="s">
        <v>23</v>
      </c>
      <c r="B3330" s="24" t="s">
        <v>3030</v>
      </c>
      <c r="C3330" s="27" t="s">
        <v>3031</v>
      </c>
      <c r="D3330" s="60"/>
      <c r="E3330" s="41" t="str">
        <f>HYPERLINK("https://www.google.ru/search?q=1379027-722&amp;newwindow=1&amp;tbm=isch","Еще фото")</f>
        <v>Еще фото</v>
      </c>
      <c r="F3330" s="13"/>
      <c r="G3330" s="24" t="s">
        <v>2939</v>
      </c>
      <c r="H3330" s="24" t="s">
        <v>27</v>
      </c>
      <c r="I3330" s="24" t="s">
        <v>2940</v>
      </c>
      <c r="J3330" s="14" t="s">
        <v>29</v>
      </c>
      <c r="K3330" s="15" t="s">
        <v>50</v>
      </c>
      <c r="L3330" s="62"/>
      <c r="M3330" s="14"/>
      <c r="N3330" s="14" t="s">
        <v>127</v>
      </c>
      <c r="O3330" s="14"/>
      <c r="P3330" s="15" t="s">
        <v>732</v>
      </c>
      <c r="Q3330" s="16">
        <v>6399</v>
      </c>
      <c r="R3330" s="17">
        <v>49.71</v>
      </c>
      <c r="S3330" s="18">
        <v>3700.4354999999996</v>
      </c>
      <c r="T3330" s="19" t="s">
        <v>36</v>
      </c>
      <c r="U3330" s="20" t="s">
        <v>54</v>
      </c>
      <c r="V3330" s="21" t="s">
        <v>55</v>
      </c>
      <c r="W3330" s="22">
        <v>5</v>
      </c>
      <c r="X3330" s="23"/>
    </row>
    <row r="3331" spans="1:24" s="1" customFormat="1" ht="21" customHeight="1" x14ac:dyDescent="0.3">
      <c r="A3331" s="24" t="s">
        <v>23</v>
      </c>
      <c r="B3331" s="24" t="s">
        <v>3030</v>
      </c>
      <c r="C3331" s="27" t="s">
        <v>3031</v>
      </c>
      <c r="D3331" s="60"/>
      <c r="E3331" s="41" t="str">
        <f>HYPERLINK("https://www.google.ru/search?q=1379027-722&amp;newwindow=1&amp;tbm=isch","Еще фото")</f>
        <v>Еще фото</v>
      </c>
      <c r="F3331" s="13"/>
      <c r="G3331" s="24" t="s">
        <v>2939</v>
      </c>
      <c r="H3331" s="24" t="s">
        <v>27</v>
      </c>
      <c r="I3331" s="24" t="s">
        <v>2940</v>
      </c>
      <c r="J3331" s="14" t="s">
        <v>29</v>
      </c>
      <c r="K3331" s="15" t="s">
        <v>50</v>
      </c>
      <c r="L3331" s="62"/>
      <c r="M3331" s="14"/>
      <c r="N3331" s="14" t="s">
        <v>127</v>
      </c>
      <c r="O3331" s="14"/>
      <c r="P3331" s="15" t="s">
        <v>732</v>
      </c>
      <c r="Q3331" s="16">
        <v>6399</v>
      </c>
      <c r="R3331" s="17">
        <v>49.71</v>
      </c>
      <c r="S3331" s="18">
        <v>3700.4354999999996</v>
      </c>
      <c r="T3331" s="19" t="s">
        <v>36</v>
      </c>
      <c r="U3331" s="20" t="s">
        <v>234</v>
      </c>
      <c r="V3331" s="21" t="s">
        <v>235</v>
      </c>
      <c r="W3331" s="22">
        <v>1</v>
      </c>
      <c r="X3331" s="23"/>
    </row>
    <row r="3332" spans="1:24" s="1" customFormat="1" ht="21" customHeight="1" x14ac:dyDescent="0.3">
      <c r="A3332" s="24" t="s">
        <v>23</v>
      </c>
      <c r="B3332" s="24" t="s">
        <v>3030</v>
      </c>
      <c r="C3332" s="27" t="s">
        <v>3031</v>
      </c>
      <c r="D3332" s="60"/>
      <c r="E3332" s="41" t="str">
        <f>HYPERLINK("https://www.google.ru/search?q=1379027-722&amp;newwindow=1&amp;tbm=isch","Еще фото")</f>
        <v>Еще фото</v>
      </c>
      <c r="F3332" s="13"/>
      <c r="G3332" s="24" t="s">
        <v>2939</v>
      </c>
      <c r="H3332" s="24" t="s">
        <v>27</v>
      </c>
      <c r="I3332" s="24" t="s">
        <v>2940</v>
      </c>
      <c r="J3332" s="14" t="s">
        <v>29</v>
      </c>
      <c r="K3332" s="15" t="s">
        <v>50</v>
      </c>
      <c r="L3332" s="62"/>
      <c r="M3332" s="14"/>
      <c r="N3332" s="14" t="s">
        <v>127</v>
      </c>
      <c r="O3332" s="14"/>
      <c r="P3332" s="15" t="s">
        <v>732</v>
      </c>
      <c r="Q3332" s="16">
        <v>6399</v>
      </c>
      <c r="R3332" s="17">
        <v>49.71</v>
      </c>
      <c r="S3332" s="18">
        <v>3700.4354999999996</v>
      </c>
      <c r="T3332" s="19" t="s">
        <v>36</v>
      </c>
      <c r="U3332" s="20" t="s">
        <v>71</v>
      </c>
      <c r="V3332" s="21" t="s">
        <v>72</v>
      </c>
      <c r="W3332" s="22">
        <v>1</v>
      </c>
      <c r="X3332" s="23"/>
    </row>
    <row r="3333" spans="1:24" s="1" customFormat="1" ht="32" customHeight="1" x14ac:dyDescent="0.3">
      <c r="A3333" s="24" t="s">
        <v>23</v>
      </c>
      <c r="B3333" s="24" t="s">
        <v>3030</v>
      </c>
      <c r="C3333" s="27" t="s">
        <v>3031</v>
      </c>
      <c r="D3333" s="61"/>
      <c r="E3333" s="41" t="str">
        <f>HYPERLINK("https://www.google.ru/search?q=1379027-722&amp;newwindow=1&amp;tbm=isch","Еще фото")</f>
        <v>Еще фото</v>
      </c>
      <c r="F3333" s="13"/>
      <c r="G3333" s="24" t="s">
        <v>2939</v>
      </c>
      <c r="H3333" s="24" t="s">
        <v>27</v>
      </c>
      <c r="I3333" s="24" t="s">
        <v>2940</v>
      </c>
      <c r="J3333" s="14" t="s">
        <v>29</v>
      </c>
      <c r="K3333" s="15" t="s">
        <v>50</v>
      </c>
      <c r="L3333" s="58"/>
      <c r="M3333" s="14"/>
      <c r="N3333" s="14" t="s">
        <v>127</v>
      </c>
      <c r="O3333" s="14"/>
      <c r="P3333" s="15" t="s">
        <v>732</v>
      </c>
      <c r="Q3333" s="16">
        <v>6399</v>
      </c>
      <c r="R3333" s="17">
        <v>49.71</v>
      </c>
      <c r="S3333" s="18">
        <v>3700.4354999999996</v>
      </c>
      <c r="T3333" s="19" t="s">
        <v>36</v>
      </c>
      <c r="U3333" s="20" t="s">
        <v>73</v>
      </c>
      <c r="V3333" s="21" t="s">
        <v>74</v>
      </c>
      <c r="W3333" s="22">
        <v>1</v>
      </c>
      <c r="X3333" s="23"/>
    </row>
    <row r="3334" spans="1:24" s="1" customFormat="1" ht="52.05" customHeight="1" x14ac:dyDescent="0.3">
      <c r="A3334" s="11" t="s">
        <v>23</v>
      </c>
      <c r="B3334" s="11" t="s">
        <v>3033</v>
      </c>
      <c r="C3334" s="12" t="s">
        <v>3034</v>
      </c>
      <c r="D3334" s="55"/>
      <c r="E3334" s="41" t="str">
        <f>HYPERLINK("https://www.google.ru/search?q=1390298-390&amp;newwindow=1&amp;tbm=isch","Еще фото")</f>
        <v>Еще фото</v>
      </c>
      <c r="F3334" s="13"/>
      <c r="G3334" s="11" t="s">
        <v>2939</v>
      </c>
      <c r="H3334" s="11" t="s">
        <v>27</v>
      </c>
      <c r="I3334" s="14" t="s">
        <v>2940</v>
      </c>
      <c r="J3334" s="14" t="s">
        <v>43</v>
      </c>
      <c r="K3334" s="15" t="s">
        <v>30</v>
      </c>
      <c r="L3334" s="57" t="s">
        <v>3035</v>
      </c>
      <c r="M3334" s="14"/>
      <c r="N3334" s="14" t="s">
        <v>127</v>
      </c>
      <c r="O3334" s="14"/>
      <c r="P3334" s="15" t="s">
        <v>120</v>
      </c>
      <c r="Q3334" s="16">
        <v>9799</v>
      </c>
      <c r="R3334" s="17">
        <v>49.71</v>
      </c>
      <c r="S3334" s="18">
        <v>5666.9355000000005</v>
      </c>
      <c r="T3334" s="19" t="s">
        <v>36</v>
      </c>
      <c r="U3334" s="20" t="s">
        <v>39</v>
      </c>
      <c r="V3334" s="21" t="s">
        <v>40</v>
      </c>
      <c r="W3334" s="22">
        <v>14</v>
      </c>
      <c r="X3334" s="23"/>
    </row>
    <row r="3335" spans="1:24" s="1" customFormat="1" ht="61.05" customHeight="1" x14ac:dyDescent="0.3">
      <c r="A3335" s="24" t="s">
        <v>23</v>
      </c>
      <c r="B3335" s="24" t="s">
        <v>3033</v>
      </c>
      <c r="C3335" s="12" t="s">
        <v>3034</v>
      </c>
      <c r="D3335" s="56"/>
      <c r="E3335" s="41" t="str">
        <f>HYPERLINK("https://www.google.ru/search?q=1390298-390&amp;newwindow=1&amp;tbm=isch","Еще фото")</f>
        <v>Еще фото</v>
      </c>
      <c r="F3335" s="13"/>
      <c r="G3335" s="24" t="s">
        <v>2939</v>
      </c>
      <c r="H3335" s="24" t="s">
        <v>27</v>
      </c>
      <c r="I3335" s="24" t="s">
        <v>2940</v>
      </c>
      <c r="J3335" s="14" t="s">
        <v>43</v>
      </c>
      <c r="K3335" s="15" t="s">
        <v>30</v>
      </c>
      <c r="L3335" s="58"/>
      <c r="M3335" s="14"/>
      <c r="N3335" s="14" t="s">
        <v>127</v>
      </c>
      <c r="O3335" s="14"/>
      <c r="P3335" s="15" t="s">
        <v>120</v>
      </c>
      <c r="Q3335" s="16">
        <v>9799</v>
      </c>
      <c r="R3335" s="17">
        <v>49.71</v>
      </c>
      <c r="S3335" s="18">
        <v>5666.9355000000005</v>
      </c>
      <c r="T3335" s="19" t="s">
        <v>36</v>
      </c>
      <c r="U3335" s="20" t="s">
        <v>86</v>
      </c>
      <c r="V3335" s="21" t="s">
        <v>87</v>
      </c>
      <c r="W3335" s="22">
        <v>15</v>
      </c>
      <c r="X3335" s="23"/>
    </row>
    <row r="3336" spans="1:24" s="1" customFormat="1" ht="52.05" customHeight="1" x14ac:dyDescent="0.3">
      <c r="A3336" s="11" t="s">
        <v>23</v>
      </c>
      <c r="B3336" s="11" t="s">
        <v>3036</v>
      </c>
      <c r="C3336" s="12" t="s">
        <v>3037</v>
      </c>
      <c r="D3336" s="55"/>
      <c r="E3336" s="41" t="str">
        <f>HYPERLINK("https://www.google.ru/search?q=1366178-410&amp;newwindow=1&amp;tbm=isch","Еще фото")</f>
        <v>Еще фото</v>
      </c>
      <c r="F3336" s="13"/>
      <c r="G3336" s="11" t="s">
        <v>2939</v>
      </c>
      <c r="H3336" s="11" t="s">
        <v>27</v>
      </c>
      <c r="I3336" s="14" t="s">
        <v>2940</v>
      </c>
      <c r="J3336" s="14" t="s">
        <v>29</v>
      </c>
      <c r="K3336" s="15" t="s">
        <v>30</v>
      </c>
      <c r="L3336" s="57" t="s">
        <v>3038</v>
      </c>
      <c r="M3336" s="14" t="s">
        <v>163</v>
      </c>
      <c r="N3336" s="14" t="s">
        <v>115</v>
      </c>
      <c r="O3336" s="14" t="s">
        <v>34</v>
      </c>
      <c r="P3336" s="15" t="s">
        <v>47</v>
      </c>
      <c r="Q3336" s="16">
        <v>10799</v>
      </c>
      <c r="R3336" s="17">
        <v>49.18</v>
      </c>
      <c r="S3336" s="18">
        <v>6310.9354999999996</v>
      </c>
      <c r="T3336" s="19" t="s">
        <v>36</v>
      </c>
      <c r="U3336" s="20" t="s">
        <v>63</v>
      </c>
      <c r="V3336" s="21" t="s">
        <v>85</v>
      </c>
      <c r="W3336" s="22">
        <v>1</v>
      </c>
      <c r="X3336" s="23"/>
    </row>
    <row r="3337" spans="1:24" s="1" customFormat="1" ht="61.05" customHeight="1" x14ac:dyDescent="0.3">
      <c r="A3337" s="24" t="s">
        <v>23</v>
      </c>
      <c r="B3337" s="24" t="s">
        <v>3036</v>
      </c>
      <c r="C3337" s="12" t="s">
        <v>3037</v>
      </c>
      <c r="D3337" s="56"/>
      <c r="E3337" s="41" t="str">
        <f>HYPERLINK("https://www.google.ru/search?q=1366178-410&amp;newwindow=1&amp;tbm=isch","Еще фото")</f>
        <v>Еще фото</v>
      </c>
      <c r="F3337" s="13"/>
      <c r="G3337" s="24" t="s">
        <v>2939</v>
      </c>
      <c r="H3337" s="24" t="s">
        <v>27</v>
      </c>
      <c r="I3337" s="24" t="s">
        <v>2940</v>
      </c>
      <c r="J3337" s="14" t="s">
        <v>29</v>
      </c>
      <c r="K3337" s="15" t="s">
        <v>30</v>
      </c>
      <c r="L3337" s="58"/>
      <c r="M3337" s="14" t="s">
        <v>163</v>
      </c>
      <c r="N3337" s="14" t="s">
        <v>115</v>
      </c>
      <c r="O3337" s="14" t="s">
        <v>34</v>
      </c>
      <c r="P3337" s="15" t="s">
        <v>47</v>
      </c>
      <c r="Q3337" s="16">
        <v>10799</v>
      </c>
      <c r="R3337" s="17">
        <v>49.18</v>
      </c>
      <c r="S3337" s="18">
        <v>6310.9354999999996</v>
      </c>
      <c r="T3337" s="19" t="s">
        <v>36</v>
      </c>
      <c r="U3337" s="20" t="s">
        <v>37</v>
      </c>
      <c r="V3337" s="21" t="s">
        <v>38</v>
      </c>
      <c r="W3337" s="22">
        <v>7</v>
      </c>
      <c r="X3337" s="23"/>
    </row>
    <row r="3338" spans="1:24" s="1" customFormat="1" ht="26" customHeight="1" x14ac:dyDescent="0.3">
      <c r="A3338" s="11" t="s">
        <v>23</v>
      </c>
      <c r="B3338" s="11" t="s">
        <v>3039</v>
      </c>
      <c r="C3338" s="12" t="s">
        <v>3040</v>
      </c>
      <c r="D3338" s="59"/>
      <c r="E3338" s="41" t="str">
        <f>HYPERLINK("https://www.google.ru/search?q=1373358-299&amp;newwindow=1&amp;tbm=isch","Еще фото")</f>
        <v>Еще фото</v>
      </c>
      <c r="F3338" s="13"/>
      <c r="G3338" s="11" t="s">
        <v>2945</v>
      </c>
      <c r="H3338" s="11" t="s">
        <v>27</v>
      </c>
      <c r="I3338" s="14" t="s">
        <v>2940</v>
      </c>
      <c r="J3338" s="14" t="s">
        <v>29</v>
      </c>
      <c r="K3338" s="15" t="s">
        <v>30</v>
      </c>
      <c r="L3338" s="57" t="s">
        <v>3041</v>
      </c>
      <c r="M3338" s="14" t="s">
        <v>140</v>
      </c>
      <c r="N3338" s="14" t="s">
        <v>3042</v>
      </c>
      <c r="O3338" s="14"/>
      <c r="P3338" s="15" t="s">
        <v>47</v>
      </c>
      <c r="Q3338" s="16">
        <v>8599</v>
      </c>
      <c r="R3338" s="17">
        <v>49</v>
      </c>
      <c r="S3338" s="18">
        <v>5043.3134999999993</v>
      </c>
      <c r="T3338" s="19" t="s">
        <v>36</v>
      </c>
      <c r="U3338" s="20" t="s">
        <v>37</v>
      </c>
      <c r="V3338" s="21" t="s">
        <v>38</v>
      </c>
      <c r="W3338" s="22">
        <v>1</v>
      </c>
      <c r="X3338" s="23"/>
    </row>
    <row r="3339" spans="1:24" s="1" customFormat="1" ht="26" customHeight="1" x14ac:dyDescent="0.3">
      <c r="A3339" s="24" t="s">
        <v>23</v>
      </c>
      <c r="B3339" s="24" t="s">
        <v>3039</v>
      </c>
      <c r="C3339" s="12" t="s">
        <v>3040</v>
      </c>
      <c r="D3339" s="60"/>
      <c r="E3339" s="41" t="str">
        <f>HYPERLINK("https://www.google.ru/search?q=1373358-299&amp;newwindow=1&amp;tbm=isch","Еще фото")</f>
        <v>Еще фото</v>
      </c>
      <c r="F3339" s="13"/>
      <c r="G3339" s="24" t="s">
        <v>2945</v>
      </c>
      <c r="H3339" s="24" t="s">
        <v>27</v>
      </c>
      <c r="I3339" s="24" t="s">
        <v>2940</v>
      </c>
      <c r="J3339" s="14" t="s">
        <v>29</v>
      </c>
      <c r="K3339" s="15" t="s">
        <v>30</v>
      </c>
      <c r="L3339" s="62"/>
      <c r="M3339" s="14" t="s">
        <v>140</v>
      </c>
      <c r="N3339" s="14" t="s">
        <v>3042</v>
      </c>
      <c r="O3339" s="14"/>
      <c r="P3339" s="15" t="s">
        <v>47</v>
      </c>
      <c r="Q3339" s="16">
        <v>8599</v>
      </c>
      <c r="R3339" s="17">
        <v>49</v>
      </c>
      <c r="S3339" s="18">
        <v>5043.3134999999993</v>
      </c>
      <c r="T3339" s="19" t="s">
        <v>36</v>
      </c>
      <c r="U3339" s="20" t="s">
        <v>39</v>
      </c>
      <c r="V3339" s="21" t="s">
        <v>40</v>
      </c>
      <c r="W3339" s="22">
        <v>8</v>
      </c>
      <c r="X3339" s="23"/>
    </row>
    <row r="3340" spans="1:24" s="1" customFormat="1" ht="26" customHeight="1" x14ac:dyDescent="0.3">
      <c r="A3340" s="24" t="s">
        <v>23</v>
      </c>
      <c r="B3340" s="24" t="s">
        <v>3039</v>
      </c>
      <c r="C3340" s="12" t="s">
        <v>3040</v>
      </c>
      <c r="D3340" s="60"/>
      <c r="E3340" s="41" t="str">
        <f>HYPERLINK("https://www.google.ru/search?q=1373358-299&amp;newwindow=1&amp;tbm=isch","Еще фото")</f>
        <v>Еще фото</v>
      </c>
      <c r="F3340" s="13"/>
      <c r="G3340" s="24" t="s">
        <v>2945</v>
      </c>
      <c r="H3340" s="24" t="s">
        <v>27</v>
      </c>
      <c r="I3340" s="24" t="s">
        <v>2940</v>
      </c>
      <c r="J3340" s="14" t="s">
        <v>29</v>
      </c>
      <c r="K3340" s="15" t="s">
        <v>30</v>
      </c>
      <c r="L3340" s="62"/>
      <c r="M3340" s="14" t="s">
        <v>140</v>
      </c>
      <c r="N3340" s="14" t="s">
        <v>3042</v>
      </c>
      <c r="O3340" s="14"/>
      <c r="P3340" s="15" t="s">
        <v>47</v>
      </c>
      <c r="Q3340" s="16">
        <v>8599</v>
      </c>
      <c r="R3340" s="17">
        <v>49</v>
      </c>
      <c r="S3340" s="18">
        <v>5043.3134999999993</v>
      </c>
      <c r="T3340" s="19" t="s">
        <v>36</v>
      </c>
      <c r="U3340" s="20" t="s">
        <v>88</v>
      </c>
      <c r="V3340" s="21" t="s">
        <v>89</v>
      </c>
      <c r="W3340" s="22">
        <v>7</v>
      </c>
      <c r="X3340" s="23"/>
    </row>
    <row r="3341" spans="1:24" s="1" customFormat="1" ht="26" customHeight="1" x14ac:dyDescent="0.3">
      <c r="A3341" s="24" t="s">
        <v>23</v>
      </c>
      <c r="B3341" s="24" t="s">
        <v>3039</v>
      </c>
      <c r="C3341" s="12" t="s">
        <v>3040</v>
      </c>
      <c r="D3341" s="61"/>
      <c r="E3341" s="41" t="str">
        <f>HYPERLINK("https://www.google.ru/search?q=1373358-299&amp;newwindow=1&amp;tbm=isch","Еще фото")</f>
        <v>Еще фото</v>
      </c>
      <c r="F3341" s="13"/>
      <c r="G3341" s="24" t="s">
        <v>2945</v>
      </c>
      <c r="H3341" s="24" t="s">
        <v>27</v>
      </c>
      <c r="I3341" s="24" t="s">
        <v>2940</v>
      </c>
      <c r="J3341" s="14" t="s">
        <v>29</v>
      </c>
      <c r="K3341" s="15" t="s">
        <v>30</v>
      </c>
      <c r="L3341" s="58"/>
      <c r="M3341" s="14" t="s">
        <v>140</v>
      </c>
      <c r="N3341" s="14" t="s">
        <v>3042</v>
      </c>
      <c r="O3341" s="14"/>
      <c r="P3341" s="15" t="s">
        <v>47</v>
      </c>
      <c r="Q3341" s="16">
        <v>8599</v>
      </c>
      <c r="R3341" s="17">
        <v>49</v>
      </c>
      <c r="S3341" s="18">
        <v>5043.3134999999993</v>
      </c>
      <c r="T3341" s="19" t="s">
        <v>36</v>
      </c>
      <c r="U3341" s="20" t="s">
        <v>90</v>
      </c>
      <c r="V3341" s="21" t="s">
        <v>91</v>
      </c>
      <c r="W3341" s="22">
        <v>1</v>
      </c>
      <c r="X3341" s="23"/>
    </row>
    <row r="3342" spans="1:24" s="1" customFormat="1" ht="26" customHeight="1" x14ac:dyDescent="0.3">
      <c r="A3342" s="11" t="s">
        <v>23</v>
      </c>
      <c r="B3342" s="11" t="s">
        <v>3043</v>
      </c>
      <c r="C3342" s="12" t="s">
        <v>3044</v>
      </c>
      <c r="D3342" s="59"/>
      <c r="E3342" s="41" t="str">
        <f>HYPERLINK("https://www.google.ru/search?q=1373357-410&amp;newwindow=1&amp;tbm=isch","Еще фото")</f>
        <v>Еще фото</v>
      </c>
      <c r="F3342" s="13" t="s">
        <v>103</v>
      </c>
      <c r="G3342" s="11" t="s">
        <v>2939</v>
      </c>
      <c r="H3342" s="11" t="s">
        <v>27</v>
      </c>
      <c r="I3342" s="14" t="s">
        <v>2940</v>
      </c>
      <c r="J3342" s="14" t="s">
        <v>29</v>
      </c>
      <c r="K3342" s="15" t="s">
        <v>30</v>
      </c>
      <c r="L3342" s="57" t="s">
        <v>3045</v>
      </c>
      <c r="M3342" s="14" t="s">
        <v>97</v>
      </c>
      <c r="N3342" s="14" t="s">
        <v>115</v>
      </c>
      <c r="O3342" s="14"/>
      <c r="P3342" s="15" t="s">
        <v>47</v>
      </c>
      <c r="Q3342" s="16">
        <v>9099</v>
      </c>
      <c r="R3342" s="17">
        <v>48.92</v>
      </c>
      <c r="S3342" s="18">
        <v>5344.9355000000005</v>
      </c>
      <c r="T3342" s="19" t="s">
        <v>36</v>
      </c>
      <c r="U3342" s="20" t="s">
        <v>37</v>
      </c>
      <c r="V3342" s="21" t="s">
        <v>38</v>
      </c>
      <c r="W3342" s="22">
        <v>8</v>
      </c>
      <c r="X3342" s="23"/>
    </row>
    <row r="3343" spans="1:24" s="1" customFormat="1" ht="26" customHeight="1" x14ac:dyDescent="0.3">
      <c r="A3343" s="24" t="s">
        <v>23</v>
      </c>
      <c r="B3343" s="24" t="s">
        <v>3043</v>
      </c>
      <c r="C3343" s="12" t="s">
        <v>3044</v>
      </c>
      <c r="D3343" s="60"/>
      <c r="E3343" s="41" t="str">
        <f>HYPERLINK("https://www.google.ru/search?q=1373357-410&amp;newwindow=1&amp;tbm=isch","Еще фото")</f>
        <v>Еще фото</v>
      </c>
      <c r="F3343" s="13" t="s">
        <v>103</v>
      </c>
      <c r="G3343" s="24" t="s">
        <v>2939</v>
      </c>
      <c r="H3343" s="24" t="s">
        <v>27</v>
      </c>
      <c r="I3343" s="24" t="s">
        <v>2940</v>
      </c>
      <c r="J3343" s="14" t="s">
        <v>29</v>
      </c>
      <c r="K3343" s="15" t="s">
        <v>30</v>
      </c>
      <c r="L3343" s="62"/>
      <c r="M3343" s="14" t="s">
        <v>97</v>
      </c>
      <c r="N3343" s="14" t="s">
        <v>115</v>
      </c>
      <c r="O3343" s="14"/>
      <c r="P3343" s="15" t="s">
        <v>47</v>
      </c>
      <c r="Q3343" s="16">
        <v>9099</v>
      </c>
      <c r="R3343" s="17">
        <v>48.92</v>
      </c>
      <c r="S3343" s="18">
        <v>5344.9355000000005</v>
      </c>
      <c r="T3343" s="19" t="s">
        <v>36</v>
      </c>
      <c r="U3343" s="20" t="s">
        <v>39</v>
      </c>
      <c r="V3343" s="21" t="s">
        <v>40</v>
      </c>
      <c r="W3343" s="22">
        <v>33</v>
      </c>
      <c r="X3343" s="23"/>
    </row>
    <row r="3344" spans="1:24" s="1" customFormat="1" ht="26" customHeight="1" x14ac:dyDescent="0.3">
      <c r="A3344" s="24" t="s">
        <v>23</v>
      </c>
      <c r="B3344" s="24" t="s">
        <v>3043</v>
      </c>
      <c r="C3344" s="12" t="s">
        <v>3044</v>
      </c>
      <c r="D3344" s="60"/>
      <c r="E3344" s="41" t="str">
        <f>HYPERLINK("https://www.google.ru/search?q=1373357-410&amp;newwindow=1&amp;tbm=isch","Еще фото")</f>
        <v>Еще фото</v>
      </c>
      <c r="F3344" s="13" t="s">
        <v>103</v>
      </c>
      <c r="G3344" s="24" t="s">
        <v>2939</v>
      </c>
      <c r="H3344" s="24" t="s">
        <v>27</v>
      </c>
      <c r="I3344" s="24" t="s">
        <v>2940</v>
      </c>
      <c r="J3344" s="14" t="s">
        <v>29</v>
      </c>
      <c r="K3344" s="15" t="s">
        <v>30</v>
      </c>
      <c r="L3344" s="62"/>
      <c r="M3344" s="14" t="s">
        <v>97</v>
      </c>
      <c r="N3344" s="14" t="s">
        <v>115</v>
      </c>
      <c r="O3344" s="14"/>
      <c r="P3344" s="15" t="s">
        <v>47</v>
      </c>
      <c r="Q3344" s="16">
        <v>9099</v>
      </c>
      <c r="R3344" s="17">
        <v>48.92</v>
      </c>
      <c r="S3344" s="18">
        <v>5344.9355000000005</v>
      </c>
      <c r="T3344" s="19" t="s">
        <v>36</v>
      </c>
      <c r="U3344" s="20" t="s">
        <v>86</v>
      </c>
      <c r="V3344" s="21" t="s">
        <v>87</v>
      </c>
      <c r="W3344" s="22">
        <v>19</v>
      </c>
      <c r="X3344" s="23"/>
    </row>
    <row r="3345" spans="1:24" s="1" customFormat="1" ht="26" customHeight="1" x14ac:dyDescent="0.3">
      <c r="A3345" s="24" t="s">
        <v>23</v>
      </c>
      <c r="B3345" s="24" t="s">
        <v>3043</v>
      </c>
      <c r="C3345" s="12" t="s">
        <v>3044</v>
      </c>
      <c r="D3345" s="61"/>
      <c r="E3345" s="41" t="str">
        <f>HYPERLINK("https://www.google.ru/search?q=1373357-410&amp;newwindow=1&amp;tbm=isch","Еще фото")</f>
        <v>Еще фото</v>
      </c>
      <c r="F3345" s="13" t="s">
        <v>103</v>
      </c>
      <c r="G3345" s="24" t="s">
        <v>2939</v>
      </c>
      <c r="H3345" s="24" t="s">
        <v>27</v>
      </c>
      <c r="I3345" s="24" t="s">
        <v>2940</v>
      </c>
      <c r="J3345" s="14" t="s">
        <v>29</v>
      </c>
      <c r="K3345" s="15" t="s">
        <v>30</v>
      </c>
      <c r="L3345" s="58"/>
      <c r="M3345" s="14" t="s">
        <v>97</v>
      </c>
      <c r="N3345" s="14" t="s">
        <v>115</v>
      </c>
      <c r="O3345" s="14"/>
      <c r="P3345" s="15" t="s">
        <v>47</v>
      </c>
      <c r="Q3345" s="16">
        <v>9099</v>
      </c>
      <c r="R3345" s="17">
        <v>48.92</v>
      </c>
      <c r="S3345" s="18">
        <v>5344.9355000000005</v>
      </c>
      <c r="T3345" s="19" t="s">
        <v>36</v>
      </c>
      <c r="U3345" s="20" t="s">
        <v>88</v>
      </c>
      <c r="V3345" s="21" t="s">
        <v>89</v>
      </c>
      <c r="W3345" s="22">
        <v>4</v>
      </c>
      <c r="X3345" s="23"/>
    </row>
    <row r="3346" spans="1:24" s="1" customFormat="1" ht="35" customHeight="1" x14ac:dyDescent="0.3">
      <c r="A3346" s="11" t="s">
        <v>23</v>
      </c>
      <c r="B3346" s="11" t="s">
        <v>3046</v>
      </c>
      <c r="C3346" s="12" t="s">
        <v>3047</v>
      </c>
      <c r="D3346" s="59"/>
      <c r="E3346" s="41" t="str">
        <f>HYPERLINK("https://www.google.ru/search?q=1370409-025&amp;newwindow=1&amp;tbm=isch","Еще фото")</f>
        <v>Еще фото</v>
      </c>
      <c r="F3346" s="13" t="s">
        <v>103</v>
      </c>
      <c r="G3346" s="11" t="s">
        <v>2939</v>
      </c>
      <c r="H3346" s="11" t="s">
        <v>27</v>
      </c>
      <c r="I3346" s="14" t="s">
        <v>2940</v>
      </c>
      <c r="J3346" s="14" t="s">
        <v>29</v>
      </c>
      <c r="K3346" s="15" t="s">
        <v>30</v>
      </c>
      <c r="L3346" s="57" t="s">
        <v>3048</v>
      </c>
      <c r="M3346" s="14"/>
      <c r="N3346" s="14" t="s">
        <v>62</v>
      </c>
      <c r="O3346" s="14"/>
      <c r="P3346" s="15" t="s">
        <v>120</v>
      </c>
      <c r="Q3346" s="16">
        <v>10899</v>
      </c>
      <c r="R3346" s="17">
        <v>48.91</v>
      </c>
      <c r="S3346" s="18">
        <v>6402.9354999999996</v>
      </c>
      <c r="T3346" s="19" t="s">
        <v>36</v>
      </c>
      <c r="U3346" s="20" t="s">
        <v>63</v>
      </c>
      <c r="V3346" s="21" t="s">
        <v>85</v>
      </c>
      <c r="W3346" s="22">
        <v>5</v>
      </c>
      <c r="X3346" s="23"/>
    </row>
    <row r="3347" spans="1:24" s="1" customFormat="1" ht="35" customHeight="1" x14ac:dyDescent="0.3">
      <c r="A3347" s="24" t="s">
        <v>23</v>
      </c>
      <c r="B3347" s="24" t="s">
        <v>3046</v>
      </c>
      <c r="C3347" s="12" t="s">
        <v>3047</v>
      </c>
      <c r="D3347" s="60"/>
      <c r="E3347" s="41" t="str">
        <f>HYPERLINK("https://www.google.ru/search?q=1370409-025&amp;newwindow=1&amp;tbm=isch","Еще фото")</f>
        <v>Еще фото</v>
      </c>
      <c r="F3347" s="13" t="s">
        <v>103</v>
      </c>
      <c r="G3347" s="24" t="s">
        <v>2939</v>
      </c>
      <c r="H3347" s="24" t="s">
        <v>27</v>
      </c>
      <c r="I3347" s="24" t="s">
        <v>2940</v>
      </c>
      <c r="J3347" s="14" t="s">
        <v>29</v>
      </c>
      <c r="K3347" s="15" t="s">
        <v>30</v>
      </c>
      <c r="L3347" s="62"/>
      <c r="M3347" s="14"/>
      <c r="N3347" s="14" t="s">
        <v>62</v>
      </c>
      <c r="O3347" s="14"/>
      <c r="P3347" s="15" t="s">
        <v>120</v>
      </c>
      <c r="Q3347" s="16">
        <v>10899</v>
      </c>
      <c r="R3347" s="17">
        <v>48.91</v>
      </c>
      <c r="S3347" s="18">
        <v>6402.9354999999996</v>
      </c>
      <c r="T3347" s="19" t="s">
        <v>36</v>
      </c>
      <c r="U3347" s="20" t="s">
        <v>37</v>
      </c>
      <c r="V3347" s="21" t="s">
        <v>38</v>
      </c>
      <c r="W3347" s="22">
        <v>14</v>
      </c>
      <c r="X3347" s="23"/>
    </row>
    <row r="3348" spans="1:24" s="1" customFormat="1" ht="37.049999999999997" customHeight="1" x14ac:dyDescent="0.3">
      <c r="A3348" s="24" t="s">
        <v>23</v>
      </c>
      <c r="B3348" s="24" t="s">
        <v>3046</v>
      </c>
      <c r="C3348" s="12" t="s">
        <v>3047</v>
      </c>
      <c r="D3348" s="61"/>
      <c r="E3348" s="41" t="str">
        <f>HYPERLINK("https://www.google.ru/search?q=1370409-025&amp;newwindow=1&amp;tbm=isch","Еще фото")</f>
        <v>Еще фото</v>
      </c>
      <c r="F3348" s="13" t="s">
        <v>103</v>
      </c>
      <c r="G3348" s="24" t="s">
        <v>2939</v>
      </c>
      <c r="H3348" s="24" t="s">
        <v>27</v>
      </c>
      <c r="I3348" s="24" t="s">
        <v>2940</v>
      </c>
      <c r="J3348" s="14" t="s">
        <v>29</v>
      </c>
      <c r="K3348" s="15" t="s">
        <v>30</v>
      </c>
      <c r="L3348" s="58"/>
      <c r="M3348" s="14"/>
      <c r="N3348" s="14" t="s">
        <v>62</v>
      </c>
      <c r="O3348" s="14"/>
      <c r="P3348" s="15" t="s">
        <v>120</v>
      </c>
      <c r="Q3348" s="16">
        <v>10899</v>
      </c>
      <c r="R3348" s="17">
        <v>48.91</v>
      </c>
      <c r="S3348" s="18">
        <v>6402.9354999999996</v>
      </c>
      <c r="T3348" s="19" t="s">
        <v>36</v>
      </c>
      <c r="U3348" s="20" t="s">
        <v>86</v>
      </c>
      <c r="V3348" s="21" t="s">
        <v>87</v>
      </c>
      <c r="W3348" s="22">
        <v>18</v>
      </c>
      <c r="X3348" s="23"/>
    </row>
    <row r="3349" spans="1:24" s="1" customFormat="1" ht="52.05" customHeight="1" x14ac:dyDescent="0.3">
      <c r="A3349" s="11" t="s">
        <v>23</v>
      </c>
      <c r="B3349" s="11" t="s">
        <v>3049</v>
      </c>
      <c r="C3349" s="12" t="s">
        <v>3050</v>
      </c>
      <c r="D3349" s="55"/>
      <c r="E3349" s="41" t="str">
        <f>HYPERLINK("https://www.google.ru/search?q=1389931-001&amp;newwindow=1&amp;tbm=isch","Еще фото")</f>
        <v>Еще фото</v>
      </c>
      <c r="F3349" s="13"/>
      <c r="G3349" s="11" t="s">
        <v>2966</v>
      </c>
      <c r="H3349" s="11" t="s">
        <v>27</v>
      </c>
      <c r="I3349" s="14" t="s">
        <v>2940</v>
      </c>
      <c r="J3349" s="14" t="s">
        <v>29</v>
      </c>
      <c r="K3349" s="15" t="s">
        <v>30</v>
      </c>
      <c r="L3349" s="57" t="s">
        <v>3051</v>
      </c>
      <c r="M3349" s="14" t="s">
        <v>32</v>
      </c>
      <c r="N3349" s="14" t="s">
        <v>33</v>
      </c>
      <c r="O3349" s="14"/>
      <c r="P3349" s="15" t="s">
        <v>47</v>
      </c>
      <c r="Q3349" s="16">
        <v>30899</v>
      </c>
      <c r="R3349" s="17">
        <v>48.87</v>
      </c>
      <c r="S3349" s="18">
        <v>18167.4355</v>
      </c>
      <c r="T3349" s="19" t="s">
        <v>36</v>
      </c>
      <c r="U3349" s="20" t="s">
        <v>37</v>
      </c>
      <c r="V3349" s="21" t="s">
        <v>38</v>
      </c>
      <c r="W3349" s="22">
        <v>2</v>
      </c>
      <c r="X3349" s="23"/>
    </row>
    <row r="3350" spans="1:24" s="1" customFormat="1" ht="61.05" customHeight="1" x14ac:dyDescent="0.3">
      <c r="A3350" s="24" t="s">
        <v>23</v>
      </c>
      <c r="B3350" s="24" t="s">
        <v>3049</v>
      </c>
      <c r="C3350" s="12" t="s">
        <v>3050</v>
      </c>
      <c r="D3350" s="56"/>
      <c r="E3350" s="41" t="str">
        <f>HYPERLINK("https://www.google.ru/search?q=1389931-001&amp;newwindow=1&amp;tbm=isch","Еще фото")</f>
        <v>Еще фото</v>
      </c>
      <c r="F3350" s="13"/>
      <c r="G3350" s="24" t="s">
        <v>2966</v>
      </c>
      <c r="H3350" s="24" t="s">
        <v>27</v>
      </c>
      <c r="I3350" s="24" t="s">
        <v>2940</v>
      </c>
      <c r="J3350" s="14" t="s">
        <v>29</v>
      </c>
      <c r="K3350" s="15" t="s">
        <v>30</v>
      </c>
      <c r="L3350" s="58"/>
      <c r="M3350" s="14" t="s">
        <v>32</v>
      </c>
      <c r="N3350" s="14" t="s">
        <v>33</v>
      </c>
      <c r="O3350" s="14"/>
      <c r="P3350" s="15" t="s">
        <v>47</v>
      </c>
      <c r="Q3350" s="16">
        <v>30899</v>
      </c>
      <c r="R3350" s="17">
        <v>48.87</v>
      </c>
      <c r="S3350" s="18">
        <v>18167.4355</v>
      </c>
      <c r="T3350" s="19" t="s">
        <v>36</v>
      </c>
      <c r="U3350" s="20" t="s">
        <v>39</v>
      </c>
      <c r="V3350" s="21" t="s">
        <v>40</v>
      </c>
      <c r="W3350" s="22">
        <v>2</v>
      </c>
      <c r="X3350" s="23"/>
    </row>
    <row r="3351" spans="1:24" s="1" customFormat="1" ht="21" customHeight="1" x14ac:dyDescent="0.3">
      <c r="A3351" s="11" t="s">
        <v>23</v>
      </c>
      <c r="B3351" s="11" t="s">
        <v>3052</v>
      </c>
      <c r="C3351" s="26" t="s">
        <v>3053</v>
      </c>
      <c r="D3351" s="59"/>
      <c r="E3351" s="41" t="str">
        <f>HYPERLINK("https://www.google.ru/search?q=1390287-001&amp;newwindow=1&amp;tbm=isch","Еще фото")</f>
        <v>Еще фото</v>
      </c>
      <c r="F3351" s="13" t="s">
        <v>103</v>
      </c>
      <c r="G3351" s="11" t="s">
        <v>2966</v>
      </c>
      <c r="H3351" s="11" t="s">
        <v>27</v>
      </c>
      <c r="I3351" s="14" t="s">
        <v>2940</v>
      </c>
      <c r="J3351" s="14" t="s">
        <v>43</v>
      </c>
      <c r="K3351" s="15" t="s">
        <v>30</v>
      </c>
      <c r="L3351" s="57" t="s">
        <v>3054</v>
      </c>
      <c r="M3351" s="14" t="s">
        <v>32</v>
      </c>
      <c r="N3351" s="14" t="s">
        <v>33</v>
      </c>
      <c r="O3351" s="14"/>
      <c r="P3351" s="15" t="s">
        <v>248</v>
      </c>
      <c r="Q3351" s="16">
        <v>16599</v>
      </c>
      <c r="R3351" s="17">
        <v>48.87</v>
      </c>
      <c r="S3351" s="18">
        <v>9760.9354999999996</v>
      </c>
      <c r="T3351" s="19" t="s">
        <v>36</v>
      </c>
      <c r="U3351" s="20" t="s">
        <v>37</v>
      </c>
      <c r="V3351" s="21" t="s">
        <v>38</v>
      </c>
      <c r="W3351" s="22">
        <v>7</v>
      </c>
      <c r="X3351" s="23"/>
    </row>
    <row r="3352" spans="1:24" s="1" customFormat="1" ht="21" customHeight="1" x14ac:dyDescent="0.3">
      <c r="A3352" s="24" t="s">
        <v>23</v>
      </c>
      <c r="B3352" s="24" t="s">
        <v>3052</v>
      </c>
      <c r="C3352" s="27" t="s">
        <v>3053</v>
      </c>
      <c r="D3352" s="60"/>
      <c r="E3352" s="41" t="str">
        <f>HYPERLINK("https://www.google.ru/search?q=1390287-001&amp;newwindow=1&amp;tbm=isch","Еще фото")</f>
        <v>Еще фото</v>
      </c>
      <c r="F3352" s="13" t="s">
        <v>103</v>
      </c>
      <c r="G3352" s="24" t="s">
        <v>2966</v>
      </c>
      <c r="H3352" s="24" t="s">
        <v>27</v>
      </c>
      <c r="I3352" s="24" t="s">
        <v>2940</v>
      </c>
      <c r="J3352" s="14" t="s">
        <v>43</v>
      </c>
      <c r="K3352" s="15" t="s">
        <v>30</v>
      </c>
      <c r="L3352" s="62"/>
      <c r="M3352" s="14" t="s">
        <v>32</v>
      </c>
      <c r="N3352" s="14" t="s">
        <v>33</v>
      </c>
      <c r="O3352" s="14"/>
      <c r="P3352" s="15" t="s">
        <v>248</v>
      </c>
      <c r="Q3352" s="16">
        <v>16599</v>
      </c>
      <c r="R3352" s="17">
        <v>48.87</v>
      </c>
      <c r="S3352" s="18">
        <v>9760.9354999999996</v>
      </c>
      <c r="T3352" s="19" t="s">
        <v>36</v>
      </c>
      <c r="U3352" s="20" t="s">
        <v>39</v>
      </c>
      <c r="V3352" s="21" t="s">
        <v>40</v>
      </c>
      <c r="W3352" s="22">
        <v>11</v>
      </c>
      <c r="X3352" s="23"/>
    </row>
    <row r="3353" spans="1:24" s="1" customFormat="1" ht="21" customHeight="1" x14ac:dyDescent="0.3">
      <c r="A3353" s="24" t="s">
        <v>23</v>
      </c>
      <c r="B3353" s="24" t="s">
        <v>3052</v>
      </c>
      <c r="C3353" s="27" t="s">
        <v>3053</v>
      </c>
      <c r="D3353" s="60"/>
      <c r="E3353" s="41" t="str">
        <f>HYPERLINK("https://www.google.ru/search?q=1390287-001&amp;newwindow=1&amp;tbm=isch","Еще фото")</f>
        <v>Еще фото</v>
      </c>
      <c r="F3353" s="13" t="s">
        <v>103</v>
      </c>
      <c r="G3353" s="24" t="s">
        <v>2966</v>
      </c>
      <c r="H3353" s="24" t="s">
        <v>27</v>
      </c>
      <c r="I3353" s="24" t="s">
        <v>2940</v>
      </c>
      <c r="J3353" s="14" t="s">
        <v>43</v>
      </c>
      <c r="K3353" s="15" t="s">
        <v>30</v>
      </c>
      <c r="L3353" s="62"/>
      <c r="M3353" s="14" t="s">
        <v>32</v>
      </c>
      <c r="N3353" s="14" t="s">
        <v>33</v>
      </c>
      <c r="O3353" s="14"/>
      <c r="P3353" s="15" t="s">
        <v>248</v>
      </c>
      <c r="Q3353" s="16">
        <v>16599</v>
      </c>
      <c r="R3353" s="17">
        <v>48.87</v>
      </c>
      <c r="S3353" s="18">
        <v>9760.9354999999996</v>
      </c>
      <c r="T3353" s="19" t="s">
        <v>36</v>
      </c>
      <c r="U3353" s="20" t="s">
        <v>86</v>
      </c>
      <c r="V3353" s="21" t="s">
        <v>87</v>
      </c>
      <c r="W3353" s="22">
        <v>5</v>
      </c>
      <c r="X3353" s="23"/>
    </row>
    <row r="3354" spans="1:24" s="1" customFormat="1" ht="21" customHeight="1" x14ac:dyDescent="0.3">
      <c r="A3354" s="24" t="s">
        <v>23</v>
      </c>
      <c r="B3354" s="24" t="s">
        <v>3052</v>
      </c>
      <c r="C3354" s="27" t="s">
        <v>3053</v>
      </c>
      <c r="D3354" s="60"/>
      <c r="E3354" s="41" t="str">
        <f>HYPERLINK("https://www.google.ru/search?q=1390287-001&amp;newwindow=1&amp;tbm=isch","Еще фото")</f>
        <v>Еще фото</v>
      </c>
      <c r="F3354" s="13" t="s">
        <v>103</v>
      </c>
      <c r="G3354" s="24" t="s">
        <v>2966</v>
      </c>
      <c r="H3354" s="24" t="s">
        <v>27</v>
      </c>
      <c r="I3354" s="24" t="s">
        <v>2940</v>
      </c>
      <c r="J3354" s="14" t="s">
        <v>43</v>
      </c>
      <c r="K3354" s="15" t="s">
        <v>30</v>
      </c>
      <c r="L3354" s="62"/>
      <c r="M3354" s="14" t="s">
        <v>32</v>
      </c>
      <c r="N3354" s="14" t="s">
        <v>33</v>
      </c>
      <c r="O3354" s="14"/>
      <c r="P3354" s="15" t="s">
        <v>248</v>
      </c>
      <c r="Q3354" s="16">
        <v>16599</v>
      </c>
      <c r="R3354" s="17">
        <v>48.87</v>
      </c>
      <c r="S3354" s="18">
        <v>9760.9354999999996</v>
      </c>
      <c r="T3354" s="19" t="s">
        <v>36</v>
      </c>
      <c r="U3354" s="20" t="s">
        <v>88</v>
      </c>
      <c r="V3354" s="21" t="s">
        <v>89</v>
      </c>
      <c r="W3354" s="22">
        <v>2</v>
      </c>
      <c r="X3354" s="23"/>
    </row>
    <row r="3355" spans="1:24" s="1" customFormat="1" ht="32" customHeight="1" x14ac:dyDescent="0.3">
      <c r="A3355" s="24" t="s">
        <v>23</v>
      </c>
      <c r="B3355" s="24" t="s">
        <v>3052</v>
      </c>
      <c r="C3355" s="27" t="s">
        <v>3053</v>
      </c>
      <c r="D3355" s="61"/>
      <c r="E3355" s="41" t="str">
        <f>HYPERLINK("https://www.google.ru/search?q=1390287-001&amp;newwindow=1&amp;tbm=isch","Еще фото")</f>
        <v>Еще фото</v>
      </c>
      <c r="F3355" s="13" t="s">
        <v>103</v>
      </c>
      <c r="G3355" s="24" t="s">
        <v>2966</v>
      </c>
      <c r="H3355" s="24" t="s">
        <v>27</v>
      </c>
      <c r="I3355" s="24" t="s">
        <v>2940</v>
      </c>
      <c r="J3355" s="14" t="s">
        <v>43</v>
      </c>
      <c r="K3355" s="15" t="s">
        <v>30</v>
      </c>
      <c r="L3355" s="58"/>
      <c r="M3355" s="14" t="s">
        <v>32</v>
      </c>
      <c r="N3355" s="14" t="s">
        <v>33</v>
      </c>
      <c r="O3355" s="14"/>
      <c r="P3355" s="15" t="s">
        <v>248</v>
      </c>
      <c r="Q3355" s="16">
        <v>16599</v>
      </c>
      <c r="R3355" s="17">
        <v>48.87</v>
      </c>
      <c r="S3355" s="18">
        <v>9760.9354999999996</v>
      </c>
      <c r="T3355" s="19" t="s">
        <v>36</v>
      </c>
      <c r="U3355" s="20" t="s">
        <v>90</v>
      </c>
      <c r="V3355" s="21" t="s">
        <v>91</v>
      </c>
      <c r="W3355" s="22">
        <v>1</v>
      </c>
      <c r="X3355" s="23"/>
    </row>
    <row r="3356" spans="1:24" s="1" customFormat="1" ht="21" customHeight="1" x14ac:dyDescent="0.3">
      <c r="A3356" s="11" t="s">
        <v>23</v>
      </c>
      <c r="B3356" s="11" t="s">
        <v>3055</v>
      </c>
      <c r="C3356" s="26" t="s">
        <v>3056</v>
      </c>
      <c r="D3356" s="59"/>
      <c r="E3356" s="41" t="str">
        <f>HYPERLINK("https://www.google.ru/search?q=1379758-025&amp;newwindow=1&amp;tbm=isch","Еще фото")</f>
        <v>Еще фото</v>
      </c>
      <c r="F3356" s="13"/>
      <c r="G3356" s="11" t="s">
        <v>2939</v>
      </c>
      <c r="H3356" s="11" t="s">
        <v>27</v>
      </c>
      <c r="I3356" s="14" t="s">
        <v>2940</v>
      </c>
      <c r="J3356" s="14" t="s">
        <v>29</v>
      </c>
      <c r="K3356" s="15" t="s">
        <v>30</v>
      </c>
      <c r="L3356" s="57" t="s">
        <v>3057</v>
      </c>
      <c r="M3356" s="14" t="s">
        <v>68</v>
      </c>
      <c r="N3356" s="14" t="s">
        <v>62</v>
      </c>
      <c r="O3356" s="14"/>
      <c r="P3356" s="15" t="s">
        <v>120</v>
      </c>
      <c r="Q3356" s="16">
        <v>5999</v>
      </c>
      <c r="R3356" s="17">
        <v>48.86</v>
      </c>
      <c r="S3356" s="18">
        <v>3527.9354999999996</v>
      </c>
      <c r="T3356" s="19" t="s">
        <v>36</v>
      </c>
      <c r="U3356" s="20" t="s">
        <v>37</v>
      </c>
      <c r="V3356" s="21" t="s">
        <v>38</v>
      </c>
      <c r="W3356" s="22">
        <v>15</v>
      </c>
      <c r="X3356" s="23"/>
    </row>
    <row r="3357" spans="1:24" s="1" customFormat="1" ht="21" customHeight="1" x14ac:dyDescent="0.3">
      <c r="A3357" s="24" t="s">
        <v>23</v>
      </c>
      <c r="B3357" s="24" t="s">
        <v>3055</v>
      </c>
      <c r="C3357" s="27" t="s">
        <v>3056</v>
      </c>
      <c r="D3357" s="60"/>
      <c r="E3357" s="41" t="str">
        <f>HYPERLINK("https://www.google.ru/search?q=1379758-025&amp;newwindow=1&amp;tbm=isch","Еще фото")</f>
        <v>Еще фото</v>
      </c>
      <c r="F3357" s="13"/>
      <c r="G3357" s="24" t="s">
        <v>2939</v>
      </c>
      <c r="H3357" s="24" t="s">
        <v>27</v>
      </c>
      <c r="I3357" s="24" t="s">
        <v>2940</v>
      </c>
      <c r="J3357" s="14" t="s">
        <v>29</v>
      </c>
      <c r="K3357" s="15" t="s">
        <v>30</v>
      </c>
      <c r="L3357" s="62"/>
      <c r="M3357" s="14" t="s">
        <v>68</v>
      </c>
      <c r="N3357" s="14" t="s">
        <v>62</v>
      </c>
      <c r="O3357" s="14"/>
      <c r="P3357" s="15" t="s">
        <v>120</v>
      </c>
      <c r="Q3357" s="16">
        <v>5999</v>
      </c>
      <c r="R3357" s="17">
        <v>48.86</v>
      </c>
      <c r="S3357" s="18">
        <v>3527.9354999999996</v>
      </c>
      <c r="T3357" s="19" t="s">
        <v>36</v>
      </c>
      <c r="U3357" s="20" t="s">
        <v>39</v>
      </c>
      <c r="V3357" s="21" t="s">
        <v>40</v>
      </c>
      <c r="W3357" s="22">
        <v>32</v>
      </c>
      <c r="X3357" s="23"/>
    </row>
    <row r="3358" spans="1:24" s="1" customFormat="1" ht="21" customHeight="1" x14ac:dyDescent="0.3">
      <c r="A3358" s="24" t="s">
        <v>23</v>
      </c>
      <c r="B3358" s="24" t="s">
        <v>3055</v>
      </c>
      <c r="C3358" s="27" t="s">
        <v>3056</v>
      </c>
      <c r="D3358" s="60"/>
      <c r="E3358" s="41" t="str">
        <f>HYPERLINK("https://www.google.ru/search?q=1379758-025&amp;newwindow=1&amp;tbm=isch","Еще фото")</f>
        <v>Еще фото</v>
      </c>
      <c r="F3358" s="13"/>
      <c r="G3358" s="24" t="s">
        <v>2939</v>
      </c>
      <c r="H3358" s="24" t="s">
        <v>27</v>
      </c>
      <c r="I3358" s="24" t="s">
        <v>2940</v>
      </c>
      <c r="J3358" s="14" t="s">
        <v>29</v>
      </c>
      <c r="K3358" s="15" t="s">
        <v>30</v>
      </c>
      <c r="L3358" s="62"/>
      <c r="M3358" s="14" t="s">
        <v>68</v>
      </c>
      <c r="N3358" s="14" t="s">
        <v>62</v>
      </c>
      <c r="O3358" s="14"/>
      <c r="P3358" s="15" t="s">
        <v>120</v>
      </c>
      <c r="Q3358" s="16">
        <v>5999</v>
      </c>
      <c r="R3358" s="17">
        <v>48.86</v>
      </c>
      <c r="S3358" s="18">
        <v>3527.9354999999996</v>
      </c>
      <c r="T3358" s="19" t="s">
        <v>36</v>
      </c>
      <c r="U3358" s="20" t="s">
        <v>86</v>
      </c>
      <c r="V3358" s="21" t="s">
        <v>87</v>
      </c>
      <c r="W3358" s="22">
        <v>42</v>
      </c>
      <c r="X3358" s="23"/>
    </row>
    <row r="3359" spans="1:24" s="1" customFormat="1" ht="21" customHeight="1" x14ac:dyDescent="0.3">
      <c r="A3359" s="24" t="s">
        <v>23</v>
      </c>
      <c r="B3359" s="24" t="s">
        <v>3055</v>
      </c>
      <c r="C3359" s="27" t="s">
        <v>3056</v>
      </c>
      <c r="D3359" s="60"/>
      <c r="E3359" s="41" t="str">
        <f>HYPERLINK("https://www.google.ru/search?q=1379758-025&amp;newwindow=1&amp;tbm=isch","Еще фото")</f>
        <v>Еще фото</v>
      </c>
      <c r="F3359" s="13"/>
      <c r="G3359" s="24" t="s">
        <v>2939</v>
      </c>
      <c r="H3359" s="24" t="s">
        <v>27</v>
      </c>
      <c r="I3359" s="24" t="s">
        <v>2940</v>
      </c>
      <c r="J3359" s="14" t="s">
        <v>29</v>
      </c>
      <c r="K3359" s="15" t="s">
        <v>30</v>
      </c>
      <c r="L3359" s="62"/>
      <c r="M3359" s="14" t="s">
        <v>68</v>
      </c>
      <c r="N3359" s="14" t="s">
        <v>62</v>
      </c>
      <c r="O3359" s="14"/>
      <c r="P3359" s="15" t="s">
        <v>120</v>
      </c>
      <c r="Q3359" s="16">
        <v>5999</v>
      </c>
      <c r="R3359" s="17">
        <v>48.86</v>
      </c>
      <c r="S3359" s="18">
        <v>3527.9354999999996</v>
      </c>
      <c r="T3359" s="19" t="s">
        <v>36</v>
      </c>
      <c r="U3359" s="20" t="s">
        <v>88</v>
      </c>
      <c r="V3359" s="21" t="s">
        <v>89</v>
      </c>
      <c r="W3359" s="22">
        <v>12</v>
      </c>
      <c r="X3359" s="23"/>
    </row>
    <row r="3360" spans="1:24" s="1" customFormat="1" ht="32" customHeight="1" x14ac:dyDescent="0.3">
      <c r="A3360" s="24" t="s">
        <v>23</v>
      </c>
      <c r="B3360" s="24" t="s">
        <v>3055</v>
      </c>
      <c r="C3360" s="27" t="s">
        <v>3056</v>
      </c>
      <c r="D3360" s="61"/>
      <c r="E3360" s="41" t="str">
        <f>HYPERLINK("https://www.google.ru/search?q=1379758-025&amp;newwindow=1&amp;tbm=isch","Еще фото")</f>
        <v>Еще фото</v>
      </c>
      <c r="F3360" s="13"/>
      <c r="G3360" s="24" t="s">
        <v>2939</v>
      </c>
      <c r="H3360" s="24" t="s">
        <v>27</v>
      </c>
      <c r="I3360" s="24" t="s">
        <v>2940</v>
      </c>
      <c r="J3360" s="14" t="s">
        <v>29</v>
      </c>
      <c r="K3360" s="15" t="s">
        <v>30</v>
      </c>
      <c r="L3360" s="58"/>
      <c r="M3360" s="14" t="s">
        <v>68</v>
      </c>
      <c r="N3360" s="14" t="s">
        <v>62</v>
      </c>
      <c r="O3360" s="14"/>
      <c r="P3360" s="15" t="s">
        <v>120</v>
      </c>
      <c r="Q3360" s="16">
        <v>5999</v>
      </c>
      <c r="R3360" s="17">
        <v>48.86</v>
      </c>
      <c r="S3360" s="18">
        <v>3527.9354999999996</v>
      </c>
      <c r="T3360" s="19" t="s">
        <v>36</v>
      </c>
      <c r="U3360" s="20" t="s">
        <v>90</v>
      </c>
      <c r="V3360" s="21" t="s">
        <v>91</v>
      </c>
      <c r="W3360" s="22">
        <v>3</v>
      </c>
      <c r="X3360" s="23"/>
    </row>
    <row r="3361" spans="1:24" s="1" customFormat="1" ht="52.05" customHeight="1" x14ac:dyDescent="0.3">
      <c r="A3361" s="11" t="s">
        <v>23</v>
      </c>
      <c r="B3361" s="11" t="s">
        <v>3058</v>
      </c>
      <c r="C3361" s="12" t="s">
        <v>3059</v>
      </c>
      <c r="D3361" s="55"/>
      <c r="E3361" s="41" t="str">
        <f>HYPERLINK("https://www.google.ru/search?q=1383291-044&amp;newwindow=1&amp;tbm=isch","Еще фото")</f>
        <v>Еще фото</v>
      </c>
      <c r="F3361" s="13"/>
      <c r="G3361" s="11" t="s">
        <v>3060</v>
      </c>
      <c r="H3361" s="11" t="s">
        <v>27</v>
      </c>
      <c r="I3361" s="14" t="s">
        <v>2940</v>
      </c>
      <c r="J3361" s="14" t="s">
        <v>29</v>
      </c>
      <c r="K3361" s="15" t="s">
        <v>30</v>
      </c>
      <c r="L3361" s="57" t="s">
        <v>3061</v>
      </c>
      <c r="M3361" s="14" t="s">
        <v>32</v>
      </c>
      <c r="N3361" s="14" t="s">
        <v>62</v>
      </c>
      <c r="O3361" s="14"/>
      <c r="P3361" s="15" t="s">
        <v>53</v>
      </c>
      <c r="Q3361" s="16">
        <v>24199</v>
      </c>
      <c r="R3361" s="17">
        <v>48.85</v>
      </c>
      <c r="S3361" s="18">
        <v>14234.4355</v>
      </c>
      <c r="T3361" s="19" t="s">
        <v>36</v>
      </c>
      <c r="U3361" s="20" t="s">
        <v>37</v>
      </c>
      <c r="V3361" s="21" t="s">
        <v>38</v>
      </c>
      <c r="W3361" s="22">
        <v>1</v>
      </c>
      <c r="X3361" s="23"/>
    </row>
    <row r="3362" spans="1:24" s="1" customFormat="1" ht="61.05" customHeight="1" x14ac:dyDescent="0.3">
      <c r="A3362" s="24" t="s">
        <v>23</v>
      </c>
      <c r="B3362" s="24" t="s">
        <v>3058</v>
      </c>
      <c r="C3362" s="12" t="s">
        <v>3059</v>
      </c>
      <c r="D3362" s="56"/>
      <c r="E3362" s="41" t="str">
        <f>HYPERLINK("https://www.google.ru/search?q=1383291-044&amp;newwindow=1&amp;tbm=isch","Еще фото")</f>
        <v>Еще фото</v>
      </c>
      <c r="F3362" s="13"/>
      <c r="G3362" s="24" t="s">
        <v>3060</v>
      </c>
      <c r="H3362" s="24" t="s">
        <v>27</v>
      </c>
      <c r="I3362" s="24" t="s">
        <v>2940</v>
      </c>
      <c r="J3362" s="14" t="s">
        <v>29</v>
      </c>
      <c r="K3362" s="15" t="s">
        <v>30</v>
      </c>
      <c r="L3362" s="58"/>
      <c r="M3362" s="14" t="s">
        <v>32</v>
      </c>
      <c r="N3362" s="14" t="s">
        <v>62</v>
      </c>
      <c r="O3362" s="14"/>
      <c r="P3362" s="15" t="s">
        <v>53</v>
      </c>
      <c r="Q3362" s="16">
        <v>24199</v>
      </c>
      <c r="R3362" s="17">
        <v>48.85</v>
      </c>
      <c r="S3362" s="18">
        <v>14234.4355</v>
      </c>
      <c r="T3362" s="19" t="s">
        <v>36</v>
      </c>
      <c r="U3362" s="20" t="s">
        <v>39</v>
      </c>
      <c r="V3362" s="21" t="s">
        <v>40</v>
      </c>
      <c r="W3362" s="22">
        <v>3</v>
      </c>
      <c r="X3362" s="23"/>
    </row>
    <row r="3363" spans="1:24" s="1" customFormat="1" ht="35" customHeight="1" x14ac:dyDescent="0.3">
      <c r="A3363" s="11" t="s">
        <v>23</v>
      </c>
      <c r="B3363" s="11" t="s">
        <v>3062</v>
      </c>
      <c r="C3363" s="12" t="s">
        <v>3063</v>
      </c>
      <c r="D3363" s="59"/>
      <c r="E3363" s="41" t="str">
        <f>HYPERLINK("https://www.google.ru/search?q=1367770-626&amp;newwindow=1&amp;tbm=isch","Еще фото")</f>
        <v>Еще фото</v>
      </c>
      <c r="F3363" s="13" t="s">
        <v>103</v>
      </c>
      <c r="G3363" s="11" t="s">
        <v>2939</v>
      </c>
      <c r="H3363" s="11" t="s">
        <v>27</v>
      </c>
      <c r="I3363" s="14" t="s">
        <v>2940</v>
      </c>
      <c r="J3363" s="14" t="s">
        <v>29</v>
      </c>
      <c r="K3363" s="15" t="s">
        <v>30</v>
      </c>
      <c r="L3363" s="57" t="s">
        <v>3064</v>
      </c>
      <c r="M3363" s="14" t="s">
        <v>297</v>
      </c>
      <c r="N3363" s="14" t="s">
        <v>382</v>
      </c>
      <c r="O3363" s="14" t="s">
        <v>34</v>
      </c>
      <c r="P3363" s="15" t="s">
        <v>3065</v>
      </c>
      <c r="Q3363" s="16">
        <v>18899</v>
      </c>
      <c r="R3363" s="17">
        <v>48.85</v>
      </c>
      <c r="S3363" s="18">
        <v>11117.9355</v>
      </c>
      <c r="T3363" s="19" t="s">
        <v>36</v>
      </c>
      <c r="U3363" s="20" t="s">
        <v>37</v>
      </c>
      <c r="V3363" s="21" t="s">
        <v>38</v>
      </c>
      <c r="W3363" s="22">
        <v>3</v>
      </c>
      <c r="X3363" s="23"/>
    </row>
    <row r="3364" spans="1:24" s="1" customFormat="1" ht="35" customHeight="1" x14ac:dyDescent="0.3">
      <c r="A3364" s="24" t="s">
        <v>23</v>
      </c>
      <c r="B3364" s="24" t="s">
        <v>3062</v>
      </c>
      <c r="C3364" s="12" t="s">
        <v>3063</v>
      </c>
      <c r="D3364" s="60"/>
      <c r="E3364" s="41" t="str">
        <f>HYPERLINK("https://www.google.ru/search?q=1367770-626&amp;newwindow=1&amp;tbm=isch","Еще фото")</f>
        <v>Еще фото</v>
      </c>
      <c r="F3364" s="13" t="s">
        <v>103</v>
      </c>
      <c r="G3364" s="24" t="s">
        <v>2939</v>
      </c>
      <c r="H3364" s="24" t="s">
        <v>27</v>
      </c>
      <c r="I3364" s="24" t="s">
        <v>2940</v>
      </c>
      <c r="J3364" s="14" t="s">
        <v>29</v>
      </c>
      <c r="K3364" s="15" t="s">
        <v>30</v>
      </c>
      <c r="L3364" s="62"/>
      <c r="M3364" s="14" t="s">
        <v>297</v>
      </c>
      <c r="N3364" s="14" t="s">
        <v>382</v>
      </c>
      <c r="O3364" s="14" t="s">
        <v>34</v>
      </c>
      <c r="P3364" s="15" t="s">
        <v>3065</v>
      </c>
      <c r="Q3364" s="16">
        <v>18899</v>
      </c>
      <c r="R3364" s="17">
        <v>48.85</v>
      </c>
      <c r="S3364" s="18">
        <v>11117.9355</v>
      </c>
      <c r="T3364" s="19" t="s">
        <v>36</v>
      </c>
      <c r="U3364" s="20" t="s">
        <v>39</v>
      </c>
      <c r="V3364" s="21" t="s">
        <v>40</v>
      </c>
      <c r="W3364" s="22">
        <v>6</v>
      </c>
      <c r="X3364" s="23"/>
    </row>
    <row r="3365" spans="1:24" s="1" customFormat="1" ht="37.049999999999997" customHeight="1" x14ac:dyDescent="0.3">
      <c r="A3365" s="24" t="s">
        <v>23</v>
      </c>
      <c r="B3365" s="24" t="s">
        <v>3062</v>
      </c>
      <c r="C3365" s="12" t="s">
        <v>3063</v>
      </c>
      <c r="D3365" s="61"/>
      <c r="E3365" s="41" t="str">
        <f>HYPERLINK("https://www.google.ru/search?q=1367770-626&amp;newwindow=1&amp;tbm=isch","Еще фото")</f>
        <v>Еще фото</v>
      </c>
      <c r="F3365" s="13" t="s">
        <v>103</v>
      </c>
      <c r="G3365" s="24" t="s">
        <v>2939</v>
      </c>
      <c r="H3365" s="24" t="s">
        <v>27</v>
      </c>
      <c r="I3365" s="24" t="s">
        <v>2940</v>
      </c>
      <c r="J3365" s="14" t="s">
        <v>29</v>
      </c>
      <c r="K3365" s="15" t="s">
        <v>30</v>
      </c>
      <c r="L3365" s="58"/>
      <c r="M3365" s="14" t="s">
        <v>297</v>
      </c>
      <c r="N3365" s="14" t="s">
        <v>382</v>
      </c>
      <c r="O3365" s="14" t="s">
        <v>34</v>
      </c>
      <c r="P3365" s="15" t="s">
        <v>3065</v>
      </c>
      <c r="Q3365" s="16">
        <v>18899</v>
      </c>
      <c r="R3365" s="17">
        <v>48.85</v>
      </c>
      <c r="S3365" s="18">
        <v>11117.9355</v>
      </c>
      <c r="T3365" s="19" t="s">
        <v>36</v>
      </c>
      <c r="U3365" s="20" t="s">
        <v>86</v>
      </c>
      <c r="V3365" s="21" t="s">
        <v>87</v>
      </c>
      <c r="W3365" s="22">
        <v>11</v>
      </c>
      <c r="X3365" s="23"/>
    </row>
    <row r="3366" spans="1:24" s="1" customFormat="1" ht="35" customHeight="1" x14ac:dyDescent="0.3">
      <c r="A3366" s="11" t="s">
        <v>23</v>
      </c>
      <c r="B3366" s="11" t="s">
        <v>3066</v>
      </c>
      <c r="C3366" s="12" t="s">
        <v>3067</v>
      </c>
      <c r="D3366" s="59"/>
      <c r="E3366" s="41" t="str">
        <f>HYPERLINK("https://www.google.ru/search?q=1389357-390&amp;newwindow=1&amp;tbm=isch","Еще фото")</f>
        <v>Еще фото</v>
      </c>
      <c r="F3366" s="13"/>
      <c r="G3366" s="11" t="s">
        <v>2945</v>
      </c>
      <c r="H3366" s="11" t="s">
        <v>27</v>
      </c>
      <c r="I3366" s="14" t="s">
        <v>2940</v>
      </c>
      <c r="J3366" s="14" t="s">
        <v>29</v>
      </c>
      <c r="K3366" s="15" t="s">
        <v>30</v>
      </c>
      <c r="L3366" s="57" t="s">
        <v>3068</v>
      </c>
      <c r="M3366" s="14"/>
      <c r="N3366" s="14" t="s">
        <v>127</v>
      </c>
      <c r="O3366" s="14"/>
      <c r="P3366" s="15" t="s">
        <v>120</v>
      </c>
      <c r="Q3366" s="16">
        <v>9999</v>
      </c>
      <c r="R3366" s="17">
        <v>48.82</v>
      </c>
      <c r="S3366" s="18">
        <v>5885.4355000000005</v>
      </c>
      <c r="T3366" s="19" t="s">
        <v>36</v>
      </c>
      <c r="U3366" s="20" t="s">
        <v>37</v>
      </c>
      <c r="V3366" s="21" t="s">
        <v>38</v>
      </c>
      <c r="W3366" s="22">
        <v>1</v>
      </c>
      <c r="X3366" s="23"/>
    </row>
    <row r="3367" spans="1:24" s="1" customFormat="1" ht="35" customHeight="1" x14ac:dyDescent="0.3">
      <c r="A3367" s="24" t="s">
        <v>23</v>
      </c>
      <c r="B3367" s="24" t="s">
        <v>3066</v>
      </c>
      <c r="C3367" s="12" t="s">
        <v>3067</v>
      </c>
      <c r="D3367" s="60"/>
      <c r="E3367" s="41" t="str">
        <f>HYPERLINK("https://www.google.ru/search?q=1389357-390&amp;newwindow=1&amp;tbm=isch","Еще фото")</f>
        <v>Еще фото</v>
      </c>
      <c r="F3367" s="13"/>
      <c r="G3367" s="24" t="s">
        <v>2945</v>
      </c>
      <c r="H3367" s="24" t="s">
        <v>27</v>
      </c>
      <c r="I3367" s="24" t="s">
        <v>2940</v>
      </c>
      <c r="J3367" s="14" t="s">
        <v>29</v>
      </c>
      <c r="K3367" s="15" t="s">
        <v>30</v>
      </c>
      <c r="L3367" s="62"/>
      <c r="M3367" s="14"/>
      <c r="N3367" s="14" t="s">
        <v>127</v>
      </c>
      <c r="O3367" s="14"/>
      <c r="P3367" s="15" t="s">
        <v>120</v>
      </c>
      <c r="Q3367" s="16">
        <v>9999</v>
      </c>
      <c r="R3367" s="17">
        <v>48.82</v>
      </c>
      <c r="S3367" s="18">
        <v>5885.4355000000005</v>
      </c>
      <c r="T3367" s="19" t="s">
        <v>36</v>
      </c>
      <c r="U3367" s="20" t="s">
        <v>39</v>
      </c>
      <c r="V3367" s="21" t="s">
        <v>40</v>
      </c>
      <c r="W3367" s="22">
        <v>6</v>
      </c>
      <c r="X3367" s="23"/>
    </row>
    <row r="3368" spans="1:24" s="1" customFormat="1" ht="37.049999999999997" customHeight="1" x14ac:dyDescent="0.3">
      <c r="A3368" s="24" t="s">
        <v>23</v>
      </c>
      <c r="B3368" s="24" t="s">
        <v>3066</v>
      </c>
      <c r="C3368" s="12" t="s">
        <v>3067</v>
      </c>
      <c r="D3368" s="61"/>
      <c r="E3368" s="41" t="str">
        <f>HYPERLINK("https://www.google.ru/search?q=1389357-390&amp;newwindow=1&amp;tbm=isch","Еще фото")</f>
        <v>Еще фото</v>
      </c>
      <c r="F3368" s="13"/>
      <c r="G3368" s="24" t="s">
        <v>2945</v>
      </c>
      <c r="H3368" s="24" t="s">
        <v>27</v>
      </c>
      <c r="I3368" s="24" t="s">
        <v>2940</v>
      </c>
      <c r="J3368" s="14" t="s">
        <v>29</v>
      </c>
      <c r="K3368" s="15" t="s">
        <v>30</v>
      </c>
      <c r="L3368" s="58"/>
      <c r="M3368" s="14"/>
      <c r="N3368" s="14" t="s">
        <v>127</v>
      </c>
      <c r="O3368" s="14"/>
      <c r="P3368" s="15" t="s">
        <v>120</v>
      </c>
      <c r="Q3368" s="16">
        <v>9999</v>
      </c>
      <c r="R3368" s="17">
        <v>48.82</v>
      </c>
      <c r="S3368" s="18">
        <v>5885.4355000000005</v>
      </c>
      <c r="T3368" s="19" t="s">
        <v>36</v>
      </c>
      <c r="U3368" s="20" t="s">
        <v>86</v>
      </c>
      <c r="V3368" s="21" t="s">
        <v>87</v>
      </c>
      <c r="W3368" s="22">
        <v>1</v>
      </c>
      <c r="X3368" s="23"/>
    </row>
    <row r="3369" spans="1:24" s="1" customFormat="1" ht="35" customHeight="1" x14ac:dyDescent="0.3">
      <c r="A3369" s="11" t="s">
        <v>23</v>
      </c>
      <c r="B3369" s="11" t="s">
        <v>3039</v>
      </c>
      <c r="C3369" s="12" t="s">
        <v>3069</v>
      </c>
      <c r="D3369" s="59"/>
      <c r="E3369" s="41" t="str">
        <f>HYPERLINK("https://www.google.ru/search?q=1373358-600&amp;newwindow=1&amp;tbm=isch","Еще фото")</f>
        <v>Еще фото</v>
      </c>
      <c r="F3369" s="13"/>
      <c r="G3369" s="11" t="s">
        <v>2945</v>
      </c>
      <c r="H3369" s="11" t="s">
        <v>27</v>
      </c>
      <c r="I3369" s="14" t="s">
        <v>2940</v>
      </c>
      <c r="J3369" s="14" t="s">
        <v>29</v>
      </c>
      <c r="K3369" s="15" t="s">
        <v>30</v>
      </c>
      <c r="L3369" s="57" t="s">
        <v>3041</v>
      </c>
      <c r="M3369" s="14" t="s">
        <v>140</v>
      </c>
      <c r="N3369" s="14" t="s">
        <v>3070</v>
      </c>
      <c r="O3369" s="14"/>
      <c r="P3369" s="15" t="s">
        <v>47</v>
      </c>
      <c r="Q3369" s="16">
        <v>5899</v>
      </c>
      <c r="R3369" s="17">
        <v>46.98</v>
      </c>
      <c r="S3369" s="18">
        <v>3596.9354999999996</v>
      </c>
      <c r="T3369" s="19" t="s">
        <v>36</v>
      </c>
      <c r="U3369" s="20" t="s">
        <v>37</v>
      </c>
      <c r="V3369" s="21" t="s">
        <v>38</v>
      </c>
      <c r="W3369" s="22">
        <v>7</v>
      </c>
      <c r="X3369" s="23"/>
    </row>
    <row r="3370" spans="1:24" s="1" customFormat="1" ht="35" customHeight="1" x14ac:dyDescent="0.3">
      <c r="A3370" s="24" t="s">
        <v>23</v>
      </c>
      <c r="B3370" s="24" t="s">
        <v>3039</v>
      </c>
      <c r="C3370" s="12" t="s">
        <v>3069</v>
      </c>
      <c r="D3370" s="60"/>
      <c r="E3370" s="41" t="str">
        <f>HYPERLINK("https://www.google.ru/search?q=1373358-600&amp;newwindow=1&amp;tbm=isch","Еще фото")</f>
        <v>Еще фото</v>
      </c>
      <c r="F3370" s="13"/>
      <c r="G3370" s="24" t="s">
        <v>2945</v>
      </c>
      <c r="H3370" s="24" t="s">
        <v>27</v>
      </c>
      <c r="I3370" s="24" t="s">
        <v>2940</v>
      </c>
      <c r="J3370" s="14" t="s">
        <v>29</v>
      </c>
      <c r="K3370" s="15" t="s">
        <v>30</v>
      </c>
      <c r="L3370" s="62"/>
      <c r="M3370" s="14" t="s">
        <v>140</v>
      </c>
      <c r="N3370" s="14" t="s">
        <v>3070</v>
      </c>
      <c r="O3370" s="14"/>
      <c r="P3370" s="15" t="s">
        <v>47</v>
      </c>
      <c r="Q3370" s="16">
        <v>5899</v>
      </c>
      <c r="R3370" s="17">
        <v>46.98</v>
      </c>
      <c r="S3370" s="18">
        <v>3596.9354999999996</v>
      </c>
      <c r="T3370" s="19" t="s">
        <v>36</v>
      </c>
      <c r="U3370" s="20" t="s">
        <v>39</v>
      </c>
      <c r="V3370" s="21" t="s">
        <v>40</v>
      </c>
      <c r="W3370" s="22">
        <v>17</v>
      </c>
      <c r="X3370" s="23"/>
    </row>
    <row r="3371" spans="1:24" s="1" customFormat="1" ht="37.049999999999997" customHeight="1" x14ac:dyDescent="0.3">
      <c r="A3371" s="24" t="s">
        <v>23</v>
      </c>
      <c r="B3371" s="24" t="s">
        <v>3039</v>
      </c>
      <c r="C3371" s="12" t="s">
        <v>3069</v>
      </c>
      <c r="D3371" s="61"/>
      <c r="E3371" s="41" t="str">
        <f>HYPERLINK("https://www.google.ru/search?q=1373358-600&amp;newwindow=1&amp;tbm=isch","Еще фото")</f>
        <v>Еще фото</v>
      </c>
      <c r="F3371" s="13"/>
      <c r="G3371" s="24" t="s">
        <v>2945</v>
      </c>
      <c r="H3371" s="24" t="s">
        <v>27</v>
      </c>
      <c r="I3371" s="24" t="s">
        <v>2940</v>
      </c>
      <c r="J3371" s="14" t="s">
        <v>29</v>
      </c>
      <c r="K3371" s="15" t="s">
        <v>30</v>
      </c>
      <c r="L3371" s="58"/>
      <c r="M3371" s="14" t="s">
        <v>140</v>
      </c>
      <c r="N3371" s="14" t="s">
        <v>3070</v>
      </c>
      <c r="O3371" s="14"/>
      <c r="P3371" s="15" t="s">
        <v>47</v>
      </c>
      <c r="Q3371" s="16">
        <v>5899</v>
      </c>
      <c r="R3371" s="17">
        <v>46.98</v>
      </c>
      <c r="S3371" s="18">
        <v>3596.9354999999996</v>
      </c>
      <c r="T3371" s="19" t="s">
        <v>36</v>
      </c>
      <c r="U3371" s="20" t="s">
        <v>86</v>
      </c>
      <c r="V3371" s="21" t="s">
        <v>87</v>
      </c>
      <c r="W3371" s="22">
        <v>14</v>
      </c>
      <c r="X3371" s="23"/>
    </row>
    <row r="3372" spans="1:24" s="1" customFormat="1" ht="52.05" customHeight="1" x14ac:dyDescent="0.3">
      <c r="A3372" s="11" t="s">
        <v>23</v>
      </c>
      <c r="B3372" s="11" t="s">
        <v>3071</v>
      </c>
      <c r="C3372" s="12" t="s">
        <v>3072</v>
      </c>
      <c r="D3372" s="55"/>
      <c r="E3372" s="41" t="str">
        <f>HYPERLINK("https://www.google.ru/search?q=1373384-112&amp;newwindow=1&amp;tbm=isch","Еще фото")</f>
        <v>Еще фото</v>
      </c>
      <c r="F3372" s="13"/>
      <c r="G3372" s="11" t="s">
        <v>2945</v>
      </c>
      <c r="H3372" s="11" t="s">
        <v>27</v>
      </c>
      <c r="I3372" s="14" t="s">
        <v>2940</v>
      </c>
      <c r="J3372" s="14" t="s">
        <v>29</v>
      </c>
      <c r="K3372" s="15" t="s">
        <v>30</v>
      </c>
      <c r="L3372" s="57" t="s">
        <v>3073</v>
      </c>
      <c r="M3372" s="14" t="s">
        <v>119</v>
      </c>
      <c r="N3372" s="14" t="s">
        <v>62</v>
      </c>
      <c r="O3372" s="14"/>
      <c r="P3372" s="15" t="s">
        <v>120</v>
      </c>
      <c r="Q3372" s="16">
        <v>5599</v>
      </c>
      <c r="R3372" s="17">
        <v>46.42</v>
      </c>
      <c r="S3372" s="18">
        <v>3449.9884999999995</v>
      </c>
      <c r="T3372" s="19" t="s">
        <v>36</v>
      </c>
      <c r="U3372" s="20" t="s">
        <v>63</v>
      </c>
      <c r="V3372" s="21" t="s">
        <v>85</v>
      </c>
      <c r="W3372" s="22">
        <v>2</v>
      </c>
      <c r="X3372" s="23"/>
    </row>
    <row r="3373" spans="1:24" s="1" customFormat="1" ht="61.05" customHeight="1" x14ac:dyDescent="0.3">
      <c r="A3373" s="24" t="s">
        <v>23</v>
      </c>
      <c r="B3373" s="24" t="s">
        <v>3071</v>
      </c>
      <c r="C3373" s="12" t="s">
        <v>3072</v>
      </c>
      <c r="D3373" s="56"/>
      <c r="E3373" s="41" t="str">
        <f>HYPERLINK("https://www.google.ru/search?q=1373384-112&amp;newwindow=1&amp;tbm=isch","Еще фото")</f>
        <v>Еще фото</v>
      </c>
      <c r="F3373" s="13"/>
      <c r="G3373" s="24" t="s">
        <v>2945</v>
      </c>
      <c r="H3373" s="24" t="s">
        <v>27</v>
      </c>
      <c r="I3373" s="24" t="s">
        <v>2940</v>
      </c>
      <c r="J3373" s="14" t="s">
        <v>29</v>
      </c>
      <c r="K3373" s="15" t="s">
        <v>30</v>
      </c>
      <c r="L3373" s="58"/>
      <c r="M3373" s="14" t="s">
        <v>119</v>
      </c>
      <c r="N3373" s="14" t="s">
        <v>62</v>
      </c>
      <c r="O3373" s="14"/>
      <c r="P3373" s="15" t="s">
        <v>120</v>
      </c>
      <c r="Q3373" s="16">
        <v>5599</v>
      </c>
      <c r="R3373" s="17">
        <v>46.42</v>
      </c>
      <c r="S3373" s="18">
        <v>3449.9884999999995</v>
      </c>
      <c r="T3373" s="19" t="s">
        <v>36</v>
      </c>
      <c r="U3373" s="20" t="s">
        <v>37</v>
      </c>
      <c r="V3373" s="21" t="s">
        <v>38</v>
      </c>
      <c r="W3373" s="22">
        <v>1</v>
      </c>
      <c r="X3373" s="23"/>
    </row>
    <row r="3374" spans="1:24" s="1" customFormat="1" ht="108" customHeight="1" x14ac:dyDescent="0.3">
      <c r="A3374" s="11" t="s">
        <v>23</v>
      </c>
      <c r="B3374" s="11" t="s">
        <v>3074</v>
      </c>
      <c r="C3374" s="12" t="s">
        <v>3075</v>
      </c>
      <c r="D3374" s="25"/>
      <c r="E3374" s="41" t="str">
        <f>HYPERLINK("https://www.google.ru/search?q=1379588-390&amp;newwindow=1&amp;tbm=isch","Еще фото")</f>
        <v>Еще фото</v>
      </c>
      <c r="F3374" s="13"/>
      <c r="G3374" s="11" t="s">
        <v>2945</v>
      </c>
      <c r="H3374" s="11" t="s">
        <v>27</v>
      </c>
      <c r="I3374" s="14" t="s">
        <v>2940</v>
      </c>
      <c r="J3374" s="14" t="s">
        <v>311</v>
      </c>
      <c r="K3374" s="15" t="s">
        <v>30</v>
      </c>
      <c r="L3374" s="14" t="s">
        <v>3076</v>
      </c>
      <c r="M3374" s="14" t="s">
        <v>3077</v>
      </c>
      <c r="N3374" s="14" t="s">
        <v>127</v>
      </c>
      <c r="O3374" s="14"/>
      <c r="P3374" s="15" t="s">
        <v>47</v>
      </c>
      <c r="Q3374" s="16">
        <v>6899</v>
      </c>
      <c r="R3374" s="17">
        <v>46.37</v>
      </c>
      <c r="S3374" s="18">
        <v>4254.9884999999995</v>
      </c>
      <c r="T3374" s="19" t="s">
        <v>36</v>
      </c>
      <c r="U3374" s="20" t="s">
        <v>37</v>
      </c>
      <c r="V3374" s="21" t="s">
        <v>38</v>
      </c>
      <c r="W3374" s="22">
        <v>3</v>
      </c>
      <c r="X3374" s="23"/>
    </row>
    <row r="3375" spans="1:24" s="1" customFormat="1" ht="108" customHeight="1" x14ac:dyDescent="0.3">
      <c r="A3375" s="11" t="s">
        <v>23</v>
      </c>
      <c r="B3375" s="11" t="s">
        <v>3039</v>
      </c>
      <c r="C3375" s="12" t="s">
        <v>3078</v>
      </c>
      <c r="D3375" s="25"/>
      <c r="E3375" s="41" t="str">
        <f>HYPERLINK("https://www.google.ru/search?q=1373358-001&amp;newwindow=1&amp;tbm=isch","Еще фото")</f>
        <v>Еще фото</v>
      </c>
      <c r="F3375" s="13" t="s">
        <v>103</v>
      </c>
      <c r="G3375" s="11" t="s">
        <v>2945</v>
      </c>
      <c r="H3375" s="11" t="s">
        <v>27</v>
      </c>
      <c r="I3375" s="14" t="s">
        <v>2940</v>
      </c>
      <c r="J3375" s="14" t="s">
        <v>29</v>
      </c>
      <c r="K3375" s="15" t="s">
        <v>30</v>
      </c>
      <c r="L3375" s="14" t="s">
        <v>3079</v>
      </c>
      <c r="M3375" s="14" t="s">
        <v>140</v>
      </c>
      <c r="N3375" s="14" t="s">
        <v>33</v>
      </c>
      <c r="O3375" s="14"/>
      <c r="P3375" s="15" t="s">
        <v>47</v>
      </c>
      <c r="Q3375" s="16">
        <v>5399</v>
      </c>
      <c r="R3375" s="17">
        <v>46.29</v>
      </c>
      <c r="S3375" s="18">
        <v>3334.9884999999995</v>
      </c>
      <c r="T3375" s="19" t="s">
        <v>36</v>
      </c>
      <c r="U3375" s="20" t="s">
        <v>37</v>
      </c>
      <c r="V3375" s="21" t="s">
        <v>38</v>
      </c>
      <c r="W3375" s="22">
        <v>7</v>
      </c>
      <c r="X3375" s="23"/>
    </row>
    <row r="3376" spans="1:24" s="1" customFormat="1" ht="108" customHeight="1" x14ac:dyDescent="0.3">
      <c r="A3376" s="11" t="s">
        <v>23</v>
      </c>
      <c r="B3376" s="11" t="s">
        <v>3080</v>
      </c>
      <c r="C3376" s="12" t="s">
        <v>3081</v>
      </c>
      <c r="D3376" s="25"/>
      <c r="E3376" s="41" t="str">
        <f>HYPERLINK("https://www.google.ru/search?q=1366232-066&amp;newwindow=1&amp;tbm=isch","Еще фото")</f>
        <v>Еще фото</v>
      </c>
      <c r="F3376" s="13"/>
      <c r="G3376" s="11" t="s">
        <v>2939</v>
      </c>
      <c r="H3376" s="11" t="s">
        <v>27</v>
      </c>
      <c r="I3376" s="14" t="s">
        <v>2940</v>
      </c>
      <c r="J3376" s="14" t="s">
        <v>29</v>
      </c>
      <c r="K3376" s="15" t="s">
        <v>30</v>
      </c>
      <c r="L3376" s="14" t="s">
        <v>3082</v>
      </c>
      <c r="M3376" s="14" t="s">
        <v>45</v>
      </c>
      <c r="N3376" s="14" t="s">
        <v>62</v>
      </c>
      <c r="O3376" s="14"/>
      <c r="P3376" s="15" t="s">
        <v>3083</v>
      </c>
      <c r="Q3376" s="16">
        <v>7599</v>
      </c>
      <c r="R3376" s="17">
        <v>46.05</v>
      </c>
      <c r="S3376" s="18">
        <v>4714.9884999999995</v>
      </c>
      <c r="T3376" s="19" t="s">
        <v>36</v>
      </c>
      <c r="U3376" s="20" t="s">
        <v>63</v>
      </c>
      <c r="V3376" s="21" t="s">
        <v>85</v>
      </c>
      <c r="W3376" s="22">
        <v>2</v>
      </c>
      <c r="X3376" s="23"/>
    </row>
    <row r="3377" spans="1:24" s="1" customFormat="1" ht="26" customHeight="1" x14ac:dyDescent="0.3">
      <c r="A3377" s="11" t="s">
        <v>23</v>
      </c>
      <c r="B3377" s="11" t="s">
        <v>3084</v>
      </c>
      <c r="C3377" s="12" t="s">
        <v>3085</v>
      </c>
      <c r="D3377" s="59"/>
      <c r="E3377" s="41" t="str">
        <f>HYPERLINK("https://www.google.ru/search?q=1389352-709&amp;newwindow=1&amp;tbm=isch","Еще фото")</f>
        <v>Еще фото</v>
      </c>
      <c r="F3377" s="13"/>
      <c r="G3377" s="11" t="s">
        <v>2939</v>
      </c>
      <c r="H3377" s="11" t="s">
        <v>27</v>
      </c>
      <c r="I3377" s="14" t="s">
        <v>2940</v>
      </c>
      <c r="J3377" s="14" t="s">
        <v>43</v>
      </c>
      <c r="K3377" s="15" t="s">
        <v>30</v>
      </c>
      <c r="L3377" s="57" t="s">
        <v>3086</v>
      </c>
      <c r="M3377" s="14"/>
      <c r="N3377" s="14" t="s">
        <v>127</v>
      </c>
      <c r="O3377" s="14"/>
      <c r="P3377" s="15" t="s">
        <v>542</v>
      </c>
      <c r="Q3377" s="16">
        <v>12499</v>
      </c>
      <c r="R3377" s="17">
        <v>46</v>
      </c>
      <c r="S3377" s="18">
        <v>7761.878999999999</v>
      </c>
      <c r="T3377" s="19" t="s">
        <v>36</v>
      </c>
      <c r="U3377" s="20" t="s">
        <v>37</v>
      </c>
      <c r="V3377" s="21" t="s">
        <v>38</v>
      </c>
      <c r="W3377" s="22">
        <v>7</v>
      </c>
      <c r="X3377" s="23"/>
    </row>
    <row r="3378" spans="1:24" s="1" customFormat="1" ht="26" customHeight="1" x14ac:dyDescent="0.3">
      <c r="A3378" s="24" t="s">
        <v>23</v>
      </c>
      <c r="B3378" s="24" t="s">
        <v>3084</v>
      </c>
      <c r="C3378" s="12" t="s">
        <v>3085</v>
      </c>
      <c r="D3378" s="60"/>
      <c r="E3378" s="41" t="str">
        <f>HYPERLINK("https://www.google.ru/search?q=1389352-709&amp;newwindow=1&amp;tbm=isch","Еще фото")</f>
        <v>Еще фото</v>
      </c>
      <c r="F3378" s="13"/>
      <c r="G3378" s="24" t="s">
        <v>2939</v>
      </c>
      <c r="H3378" s="24" t="s">
        <v>27</v>
      </c>
      <c r="I3378" s="24" t="s">
        <v>2940</v>
      </c>
      <c r="J3378" s="14" t="s">
        <v>43</v>
      </c>
      <c r="K3378" s="15" t="s">
        <v>30</v>
      </c>
      <c r="L3378" s="62"/>
      <c r="M3378" s="14"/>
      <c r="N3378" s="14" t="s">
        <v>127</v>
      </c>
      <c r="O3378" s="14"/>
      <c r="P3378" s="15" t="s">
        <v>542</v>
      </c>
      <c r="Q3378" s="16">
        <v>12499</v>
      </c>
      <c r="R3378" s="17">
        <v>46</v>
      </c>
      <c r="S3378" s="18">
        <v>7761.878999999999</v>
      </c>
      <c r="T3378" s="19" t="s">
        <v>36</v>
      </c>
      <c r="U3378" s="20" t="s">
        <v>39</v>
      </c>
      <c r="V3378" s="21" t="s">
        <v>40</v>
      </c>
      <c r="W3378" s="22">
        <v>13</v>
      </c>
      <c r="X3378" s="23"/>
    </row>
    <row r="3379" spans="1:24" s="1" customFormat="1" ht="26" customHeight="1" x14ac:dyDescent="0.3">
      <c r="A3379" s="24" t="s">
        <v>23</v>
      </c>
      <c r="B3379" s="24" t="s">
        <v>3084</v>
      </c>
      <c r="C3379" s="12" t="s">
        <v>3085</v>
      </c>
      <c r="D3379" s="60"/>
      <c r="E3379" s="41" t="str">
        <f>HYPERLINK("https://www.google.ru/search?q=1389352-709&amp;newwindow=1&amp;tbm=isch","Еще фото")</f>
        <v>Еще фото</v>
      </c>
      <c r="F3379" s="13"/>
      <c r="G3379" s="24" t="s">
        <v>2939</v>
      </c>
      <c r="H3379" s="24" t="s">
        <v>27</v>
      </c>
      <c r="I3379" s="24" t="s">
        <v>2940</v>
      </c>
      <c r="J3379" s="14" t="s">
        <v>43</v>
      </c>
      <c r="K3379" s="15" t="s">
        <v>30</v>
      </c>
      <c r="L3379" s="62"/>
      <c r="M3379" s="14"/>
      <c r="N3379" s="14" t="s">
        <v>127</v>
      </c>
      <c r="O3379" s="14"/>
      <c r="P3379" s="15" t="s">
        <v>542</v>
      </c>
      <c r="Q3379" s="16">
        <v>12499</v>
      </c>
      <c r="R3379" s="17">
        <v>46</v>
      </c>
      <c r="S3379" s="18">
        <v>7761.878999999999</v>
      </c>
      <c r="T3379" s="19" t="s">
        <v>36</v>
      </c>
      <c r="U3379" s="20" t="s">
        <v>86</v>
      </c>
      <c r="V3379" s="21" t="s">
        <v>87</v>
      </c>
      <c r="W3379" s="22">
        <v>10</v>
      </c>
      <c r="X3379" s="23"/>
    </row>
    <row r="3380" spans="1:24" s="1" customFormat="1" ht="26" customHeight="1" x14ac:dyDescent="0.3">
      <c r="A3380" s="24" t="s">
        <v>23</v>
      </c>
      <c r="B3380" s="24" t="s">
        <v>3084</v>
      </c>
      <c r="C3380" s="12" t="s">
        <v>3085</v>
      </c>
      <c r="D3380" s="61"/>
      <c r="E3380" s="41" t="str">
        <f>HYPERLINK("https://www.google.ru/search?q=1389352-709&amp;newwindow=1&amp;tbm=isch","Еще фото")</f>
        <v>Еще фото</v>
      </c>
      <c r="F3380" s="13"/>
      <c r="G3380" s="24" t="s">
        <v>2939</v>
      </c>
      <c r="H3380" s="24" t="s">
        <v>27</v>
      </c>
      <c r="I3380" s="24" t="s">
        <v>2940</v>
      </c>
      <c r="J3380" s="14" t="s">
        <v>43</v>
      </c>
      <c r="K3380" s="15" t="s">
        <v>30</v>
      </c>
      <c r="L3380" s="58"/>
      <c r="M3380" s="14"/>
      <c r="N3380" s="14" t="s">
        <v>127</v>
      </c>
      <c r="O3380" s="14"/>
      <c r="P3380" s="15" t="s">
        <v>542</v>
      </c>
      <c r="Q3380" s="16">
        <v>12499</v>
      </c>
      <c r="R3380" s="17">
        <v>46</v>
      </c>
      <c r="S3380" s="18">
        <v>7761.878999999999</v>
      </c>
      <c r="T3380" s="19" t="s">
        <v>36</v>
      </c>
      <c r="U3380" s="20" t="s">
        <v>90</v>
      </c>
      <c r="V3380" s="21" t="s">
        <v>91</v>
      </c>
      <c r="W3380" s="22">
        <v>3</v>
      </c>
      <c r="X3380" s="23"/>
    </row>
    <row r="3381" spans="1:24" s="1" customFormat="1" ht="21" customHeight="1" x14ac:dyDescent="0.3">
      <c r="A3381" s="11" t="s">
        <v>23</v>
      </c>
      <c r="B3381" s="11" t="s">
        <v>3084</v>
      </c>
      <c r="C3381" s="26" t="s">
        <v>3087</v>
      </c>
      <c r="D3381" s="59"/>
      <c r="E3381" s="41" t="str">
        <f>HYPERLINK("https://www.google.ru/search?q=1389352-919&amp;newwindow=1&amp;tbm=isch","Еще фото")</f>
        <v>Еще фото</v>
      </c>
      <c r="F3381" s="13"/>
      <c r="G3381" s="11" t="s">
        <v>2939</v>
      </c>
      <c r="H3381" s="11" t="s">
        <v>27</v>
      </c>
      <c r="I3381" s="14" t="s">
        <v>2940</v>
      </c>
      <c r="J3381" s="14" t="s">
        <v>43</v>
      </c>
      <c r="K3381" s="15" t="s">
        <v>30</v>
      </c>
      <c r="L3381" s="57" t="s">
        <v>3086</v>
      </c>
      <c r="M3381" s="14"/>
      <c r="N3381" s="14" t="s">
        <v>127</v>
      </c>
      <c r="O3381" s="14"/>
      <c r="P3381" s="15" t="s">
        <v>542</v>
      </c>
      <c r="Q3381" s="16">
        <v>12499</v>
      </c>
      <c r="R3381" s="17">
        <v>46</v>
      </c>
      <c r="S3381" s="18">
        <v>7761.878999999999</v>
      </c>
      <c r="T3381" s="19" t="s">
        <v>36</v>
      </c>
      <c r="U3381" s="20" t="s">
        <v>37</v>
      </c>
      <c r="V3381" s="21" t="s">
        <v>38</v>
      </c>
      <c r="W3381" s="22">
        <v>11</v>
      </c>
      <c r="X3381" s="23"/>
    </row>
    <row r="3382" spans="1:24" s="1" customFormat="1" ht="21" customHeight="1" x14ac:dyDescent="0.3">
      <c r="A3382" s="24" t="s">
        <v>23</v>
      </c>
      <c r="B3382" s="24" t="s">
        <v>3084</v>
      </c>
      <c r="C3382" s="27" t="s">
        <v>3087</v>
      </c>
      <c r="D3382" s="60"/>
      <c r="E3382" s="41" t="str">
        <f>HYPERLINK("https://www.google.ru/search?q=1389352-919&amp;newwindow=1&amp;tbm=isch","Еще фото")</f>
        <v>Еще фото</v>
      </c>
      <c r="F3382" s="13"/>
      <c r="G3382" s="24" t="s">
        <v>2939</v>
      </c>
      <c r="H3382" s="24" t="s">
        <v>27</v>
      </c>
      <c r="I3382" s="24" t="s">
        <v>2940</v>
      </c>
      <c r="J3382" s="14" t="s">
        <v>43</v>
      </c>
      <c r="K3382" s="15" t="s">
        <v>30</v>
      </c>
      <c r="L3382" s="62"/>
      <c r="M3382" s="14"/>
      <c r="N3382" s="14" t="s">
        <v>127</v>
      </c>
      <c r="O3382" s="14"/>
      <c r="P3382" s="15" t="s">
        <v>542</v>
      </c>
      <c r="Q3382" s="16">
        <v>12499</v>
      </c>
      <c r="R3382" s="17">
        <v>46</v>
      </c>
      <c r="S3382" s="18">
        <v>7761.878999999999</v>
      </c>
      <c r="T3382" s="19" t="s">
        <v>36</v>
      </c>
      <c r="U3382" s="20" t="s">
        <v>39</v>
      </c>
      <c r="V3382" s="21" t="s">
        <v>40</v>
      </c>
      <c r="W3382" s="22">
        <v>18</v>
      </c>
      <c r="X3382" s="23"/>
    </row>
    <row r="3383" spans="1:24" s="1" customFormat="1" ht="21" customHeight="1" x14ac:dyDescent="0.3">
      <c r="A3383" s="24" t="s">
        <v>23</v>
      </c>
      <c r="B3383" s="24" t="s">
        <v>3084</v>
      </c>
      <c r="C3383" s="27" t="s">
        <v>3087</v>
      </c>
      <c r="D3383" s="60"/>
      <c r="E3383" s="41" t="str">
        <f>HYPERLINK("https://www.google.ru/search?q=1389352-919&amp;newwindow=1&amp;tbm=isch","Еще фото")</f>
        <v>Еще фото</v>
      </c>
      <c r="F3383" s="13"/>
      <c r="G3383" s="24" t="s">
        <v>2939</v>
      </c>
      <c r="H3383" s="24" t="s">
        <v>27</v>
      </c>
      <c r="I3383" s="24" t="s">
        <v>2940</v>
      </c>
      <c r="J3383" s="14" t="s">
        <v>43</v>
      </c>
      <c r="K3383" s="15" t="s">
        <v>30</v>
      </c>
      <c r="L3383" s="62"/>
      <c r="M3383" s="14"/>
      <c r="N3383" s="14" t="s">
        <v>127</v>
      </c>
      <c r="O3383" s="14"/>
      <c r="P3383" s="15" t="s">
        <v>542</v>
      </c>
      <c r="Q3383" s="16">
        <v>12499</v>
      </c>
      <c r="R3383" s="17">
        <v>46</v>
      </c>
      <c r="S3383" s="18">
        <v>7761.878999999999</v>
      </c>
      <c r="T3383" s="19" t="s">
        <v>36</v>
      </c>
      <c r="U3383" s="20" t="s">
        <v>86</v>
      </c>
      <c r="V3383" s="21" t="s">
        <v>87</v>
      </c>
      <c r="W3383" s="22">
        <v>12</v>
      </c>
      <c r="X3383" s="23"/>
    </row>
    <row r="3384" spans="1:24" s="1" customFormat="1" ht="21" customHeight="1" x14ac:dyDescent="0.3">
      <c r="A3384" s="24" t="s">
        <v>23</v>
      </c>
      <c r="B3384" s="24" t="s">
        <v>3084</v>
      </c>
      <c r="C3384" s="27" t="s">
        <v>3087</v>
      </c>
      <c r="D3384" s="60"/>
      <c r="E3384" s="41" t="str">
        <f>HYPERLINK("https://www.google.ru/search?q=1389352-919&amp;newwindow=1&amp;tbm=isch","Еще фото")</f>
        <v>Еще фото</v>
      </c>
      <c r="F3384" s="13"/>
      <c r="G3384" s="24" t="s">
        <v>2939</v>
      </c>
      <c r="H3384" s="24" t="s">
        <v>27</v>
      </c>
      <c r="I3384" s="24" t="s">
        <v>2940</v>
      </c>
      <c r="J3384" s="14" t="s">
        <v>43</v>
      </c>
      <c r="K3384" s="15" t="s">
        <v>30</v>
      </c>
      <c r="L3384" s="62"/>
      <c r="M3384" s="14"/>
      <c r="N3384" s="14" t="s">
        <v>127</v>
      </c>
      <c r="O3384" s="14"/>
      <c r="P3384" s="15" t="s">
        <v>542</v>
      </c>
      <c r="Q3384" s="16">
        <v>12499</v>
      </c>
      <c r="R3384" s="17">
        <v>46</v>
      </c>
      <c r="S3384" s="18">
        <v>7761.878999999999</v>
      </c>
      <c r="T3384" s="19" t="s">
        <v>36</v>
      </c>
      <c r="U3384" s="20" t="s">
        <v>88</v>
      </c>
      <c r="V3384" s="21" t="s">
        <v>89</v>
      </c>
      <c r="W3384" s="22">
        <v>8</v>
      </c>
      <c r="X3384" s="23"/>
    </row>
    <row r="3385" spans="1:24" s="1" customFormat="1" ht="32" customHeight="1" x14ac:dyDescent="0.3">
      <c r="A3385" s="24" t="s">
        <v>23</v>
      </c>
      <c r="B3385" s="24" t="s">
        <v>3084</v>
      </c>
      <c r="C3385" s="27" t="s">
        <v>3087</v>
      </c>
      <c r="D3385" s="61"/>
      <c r="E3385" s="41" t="str">
        <f>HYPERLINK("https://www.google.ru/search?q=1389352-919&amp;newwindow=1&amp;tbm=isch","Еще фото")</f>
        <v>Еще фото</v>
      </c>
      <c r="F3385" s="13"/>
      <c r="G3385" s="24" t="s">
        <v>2939</v>
      </c>
      <c r="H3385" s="24" t="s">
        <v>27</v>
      </c>
      <c r="I3385" s="24" t="s">
        <v>2940</v>
      </c>
      <c r="J3385" s="14" t="s">
        <v>43</v>
      </c>
      <c r="K3385" s="15" t="s">
        <v>30</v>
      </c>
      <c r="L3385" s="58"/>
      <c r="M3385" s="14"/>
      <c r="N3385" s="14" t="s">
        <v>127</v>
      </c>
      <c r="O3385" s="14"/>
      <c r="P3385" s="15" t="s">
        <v>542</v>
      </c>
      <c r="Q3385" s="16">
        <v>12499</v>
      </c>
      <c r="R3385" s="17">
        <v>46</v>
      </c>
      <c r="S3385" s="18">
        <v>7761.878999999999</v>
      </c>
      <c r="T3385" s="19" t="s">
        <v>36</v>
      </c>
      <c r="U3385" s="20" t="s">
        <v>90</v>
      </c>
      <c r="V3385" s="21" t="s">
        <v>91</v>
      </c>
      <c r="W3385" s="22">
        <v>2</v>
      </c>
      <c r="X3385" s="23"/>
    </row>
    <row r="3386" spans="1:24" s="1" customFormat="1" ht="21" customHeight="1" x14ac:dyDescent="0.3">
      <c r="A3386" s="11" t="s">
        <v>23</v>
      </c>
      <c r="B3386" s="11" t="s">
        <v>3088</v>
      </c>
      <c r="C3386" s="26" t="s">
        <v>3089</v>
      </c>
      <c r="D3386" s="59"/>
      <c r="E3386" s="41" t="str">
        <f>HYPERLINK("https://www.google.ru/search?q=1390154-390&amp;newwindow=1&amp;tbm=isch","Еще фото")</f>
        <v>Еще фото</v>
      </c>
      <c r="F3386" s="13"/>
      <c r="G3386" s="11" t="s">
        <v>2966</v>
      </c>
      <c r="H3386" s="11" t="s">
        <v>27</v>
      </c>
      <c r="I3386" s="14" t="s">
        <v>2940</v>
      </c>
      <c r="J3386" s="14" t="s">
        <v>43</v>
      </c>
      <c r="K3386" s="15" t="s">
        <v>50</v>
      </c>
      <c r="L3386" s="57" t="s">
        <v>3090</v>
      </c>
      <c r="M3386" s="14"/>
      <c r="N3386" s="14" t="s">
        <v>127</v>
      </c>
      <c r="O3386" s="14"/>
      <c r="P3386" s="15" t="s">
        <v>47</v>
      </c>
      <c r="Q3386" s="16">
        <v>6399</v>
      </c>
      <c r="R3386" s="17">
        <v>46</v>
      </c>
      <c r="S3386" s="18">
        <v>3973.7789999999995</v>
      </c>
      <c r="T3386" s="19" t="s">
        <v>36</v>
      </c>
      <c r="U3386" s="20" t="s">
        <v>99</v>
      </c>
      <c r="V3386" s="21" t="s">
        <v>100</v>
      </c>
      <c r="W3386" s="22">
        <v>5</v>
      </c>
      <c r="X3386" s="23"/>
    </row>
    <row r="3387" spans="1:24" s="1" customFormat="1" ht="21" customHeight="1" x14ac:dyDescent="0.3">
      <c r="A3387" s="24" t="s">
        <v>23</v>
      </c>
      <c r="B3387" s="24" t="s">
        <v>3088</v>
      </c>
      <c r="C3387" s="27" t="s">
        <v>3089</v>
      </c>
      <c r="D3387" s="60"/>
      <c r="E3387" s="41" t="str">
        <f>HYPERLINK("https://www.google.ru/search?q=1390154-390&amp;newwindow=1&amp;tbm=isch","Еще фото")</f>
        <v>Еще фото</v>
      </c>
      <c r="F3387" s="13"/>
      <c r="G3387" s="24" t="s">
        <v>2966</v>
      </c>
      <c r="H3387" s="24" t="s">
        <v>27</v>
      </c>
      <c r="I3387" s="24" t="s">
        <v>2940</v>
      </c>
      <c r="J3387" s="14" t="s">
        <v>43</v>
      </c>
      <c r="K3387" s="15" t="s">
        <v>50</v>
      </c>
      <c r="L3387" s="62"/>
      <c r="M3387" s="14"/>
      <c r="N3387" s="14" t="s">
        <v>127</v>
      </c>
      <c r="O3387" s="14"/>
      <c r="P3387" s="15" t="s">
        <v>47</v>
      </c>
      <c r="Q3387" s="16">
        <v>6399</v>
      </c>
      <c r="R3387" s="17">
        <v>46</v>
      </c>
      <c r="S3387" s="18">
        <v>3973.7789999999995</v>
      </c>
      <c r="T3387" s="19" t="s">
        <v>36</v>
      </c>
      <c r="U3387" s="20" t="s">
        <v>54</v>
      </c>
      <c r="V3387" s="21" t="s">
        <v>55</v>
      </c>
      <c r="W3387" s="22">
        <v>11</v>
      </c>
      <c r="X3387" s="23"/>
    </row>
    <row r="3388" spans="1:24" s="1" customFormat="1" ht="21" customHeight="1" x14ac:dyDescent="0.3">
      <c r="A3388" s="24" t="s">
        <v>23</v>
      </c>
      <c r="B3388" s="24" t="s">
        <v>3088</v>
      </c>
      <c r="C3388" s="27" t="s">
        <v>3089</v>
      </c>
      <c r="D3388" s="60"/>
      <c r="E3388" s="41" t="str">
        <f>HYPERLINK("https://www.google.ru/search?q=1390154-390&amp;newwindow=1&amp;tbm=isch","Еще фото")</f>
        <v>Еще фото</v>
      </c>
      <c r="F3388" s="13"/>
      <c r="G3388" s="24" t="s">
        <v>2966</v>
      </c>
      <c r="H3388" s="24" t="s">
        <v>27</v>
      </c>
      <c r="I3388" s="24" t="s">
        <v>2940</v>
      </c>
      <c r="J3388" s="14" t="s">
        <v>43</v>
      </c>
      <c r="K3388" s="15" t="s">
        <v>50</v>
      </c>
      <c r="L3388" s="62"/>
      <c r="M3388" s="14"/>
      <c r="N3388" s="14" t="s">
        <v>127</v>
      </c>
      <c r="O3388" s="14"/>
      <c r="P3388" s="15" t="s">
        <v>47</v>
      </c>
      <c r="Q3388" s="16">
        <v>6399</v>
      </c>
      <c r="R3388" s="17">
        <v>46</v>
      </c>
      <c r="S3388" s="18">
        <v>3973.7789999999995</v>
      </c>
      <c r="T3388" s="19" t="s">
        <v>36</v>
      </c>
      <c r="U3388" s="20" t="s">
        <v>234</v>
      </c>
      <c r="V3388" s="21" t="s">
        <v>235</v>
      </c>
      <c r="W3388" s="22">
        <v>9</v>
      </c>
      <c r="X3388" s="23"/>
    </row>
    <row r="3389" spans="1:24" s="1" customFormat="1" ht="21" customHeight="1" x14ac:dyDescent="0.3">
      <c r="A3389" s="24" t="s">
        <v>23</v>
      </c>
      <c r="B3389" s="24" t="s">
        <v>3088</v>
      </c>
      <c r="C3389" s="27" t="s">
        <v>3089</v>
      </c>
      <c r="D3389" s="60"/>
      <c r="E3389" s="41" t="str">
        <f>HYPERLINK("https://www.google.ru/search?q=1390154-390&amp;newwindow=1&amp;tbm=isch","Еще фото")</f>
        <v>Еще фото</v>
      </c>
      <c r="F3389" s="13"/>
      <c r="G3389" s="24" t="s">
        <v>2966</v>
      </c>
      <c r="H3389" s="24" t="s">
        <v>27</v>
      </c>
      <c r="I3389" s="24" t="s">
        <v>2940</v>
      </c>
      <c r="J3389" s="14" t="s">
        <v>43</v>
      </c>
      <c r="K3389" s="15" t="s">
        <v>50</v>
      </c>
      <c r="L3389" s="62"/>
      <c r="M3389" s="14"/>
      <c r="N3389" s="14" t="s">
        <v>127</v>
      </c>
      <c r="O3389" s="14"/>
      <c r="P3389" s="15" t="s">
        <v>47</v>
      </c>
      <c r="Q3389" s="16">
        <v>6399</v>
      </c>
      <c r="R3389" s="17">
        <v>46</v>
      </c>
      <c r="S3389" s="18">
        <v>3973.7789999999995</v>
      </c>
      <c r="T3389" s="19" t="s">
        <v>36</v>
      </c>
      <c r="U3389" s="20" t="s">
        <v>71</v>
      </c>
      <c r="V3389" s="21" t="s">
        <v>72</v>
      </c>
      <c r="W3389" s="22">
        <v>14</v>
      </c>
      <c r="X3389" s="23"/>
    </row>
    <row r="3390" spans="1:24" s="1" customFormat="1" ht="32" customHeight="1" x14ac:dyDescent="0.3">
      <c r="A3390" s="24" t="s">
        <v>23</v>
      </c>
      <c r="B3390" s="24" t="s">
        <v>3088</v>
      </c>
      <c r="C3390" s="27" t="s">
        <v>3089</v>
      </c>
      <c r="D3390" s="61"/>
      <c r="E3390" s="41" t="str">
        <f>HYPERLINK("https://www.google.ru/search?q=1390154-390&amp;newwindow=1&amp;tbm=isch","Еще фото")</f>
        <v>Еще фото</v>
      </c>
      <c r="F3390" s="13"/>
      <c r="G3390" s="24" t="s">
        <v>2966</v>
      </c>
      <c r="H3390" s="24" t="s">
        <v>27</v>
      </c>
      <c r="I3390" s="24" t="s">
        <v>2940</v>
      </c>
      <c r="J3390" s="14" t="s">
        <v>43</v>
      </c>
      <c r="K3390" s="15" t="s">
        <v>50</v>
      </c>
      <c r="L3390" s="58"/>
      <c r="M3390" s="14"/>
      <c r="N3390" s="14" t="s">
        <v>127</v>
      </c>
      <c r="O3390" s="14"/>
      <c r="P3390" s="15" t="s">
        <v>47</v>
      </c>
      <c r="Q3390" s="16">
        <v>6399</v>
      </c>
      <c r="R3390" s="17">
        <v>46</v>
      </c>
      <c r="S3390" s="18">
        <v>3973.7789999999995</v>
      </c>
      <c r="T3390" s="19" t="s">
        <v>36</v>
      </c>
      <c r="U3390" s="20" t="s">
        <v>73</v>
      </c>
      <c r="V3390" s="21" t="s">
        <v>74</v>
      </c>
      <c r="W3390" s="22">
        <v>10</v>
      </c>
      <c r="X3390" s="23"/>
    </row>
    <row r="3391" spans="1:24" s="1" customFormat="1" ht="26" customHeight="1" x14ac:dyDescent="0.3">
      <c r="A3391" s="11" t="s">
        <v>23</v>
      </c>
      <c r="B3391" s="11" t="s">
        <v>3091</v>
      </c>
      <c r="C3391" s="12" t="s">
        <v>3092</v>
      </c>
      <c r="D3391" s="59"/>
      <c r="E3391" s="41" t="str">
        <f>HYPERLINK("https://www.google.ru/search?q=1390293-001&amp;newwindow=1&amp;tbm=isch","Еще фото")</f>
        <v>Еще фото</v>
      </c>
      <c r="F3391" s="13"/>
      <c r="G3391" s="11" t="s">
        <v>2939</v>
      </c>
      <c r="H3391" s="11" t="s">
        <v>27</v>
      </c>
      <c r="I3391" s="14" t="s">
        <v>2940</v>
      </c>
      <c r="J3391" s="14" t="s">
        <v>43</v>
      </c>
      <c r="K3391" s="15" t="s">
        <v>50</v>
      </c>
      <c r="L3391" s="57" t="s">
        <v>3093</v>
      </c>
      <c r="M3391" s="14"/>
      <c r="N3391" s="14" t="s">
        <v>33</v>
      </c>
      <c r="O3391" s="14"/>
      <c r="P3391" s="15" t="s">
        <v>120</v>
      </c>
      <c r="Q3391" s="16">
        <v>6199</v>
      </c>
      <c r="R3391" s="17">
        <v>46</v>
      </c>
      <c r="S3391" s="18">
        <v>3849.5789999999997</v>
      </c>
      <c r="T3391" s="19" t="s">
        <v>36</v>
      </c>
      <c r="U3391" s="20" t="s">
        <v>54</v>
      </c>
      <c r="V3391" s="21" t="s">
        <v>55</v>
      </c>
      <c r="W3391" s="22">
        <v>12</v>
      </c>
      <c r="X3391" s="23"/>
    </row>
    <row r="3392" spans="1:24" s="1" customFormat="1" ht="26" customHeight="1" x14ac:dyDescent="0.3">
      <c r="A3392" s="24" t="s">
        <v>23</v>
      </c>
      <c r="B3392" s="24" t="s">
        <v>3091</v>
      </c>
      <c r="C3392" s="12" t="s">
        <v>3092</v>
      </c>
      <c r="D3392" s="60"/>
      <c r="E3392" s="41" t="str">
        <f>HYPERLINK("https://www.google.ru/search?q=1390293-001&amp;newwindow=1&amp;tbm=isch","Еще фото")</f>
        <v>Еще фото</v>
      </c>
      <c r="F3392" s="13"/>
      <c r="G3392" s="24" t="s">
        <v>2939</v>
      </c>
      <c r="H3392" s="24" t="s">
        <v>27</v>
      </c>
      <c r="I3392" s="24" t="s">
        <v>2940</v>
      </c>
      <c r="J3392" s="14" t="s">
        <v>43</v>
      </c>
      <c r="K3392" s="15" t="s">
        <v>50</v>
      </c>
      <c r="L3392" s="62"/>
      <c r="M3392" s="14"/>
      <c r="N3392" s="14" t="s">
        <v>33</v>
      </c>
      <c r="O3392" s="14"/>
      <c r="P3392" s="15" t="s">
        <v>120</v>
      </c>
      <c r="Q3392" s="16">
        <v>6199</v>
      </c>
      <c r="R3392" s="17">
        <v>46</v>
      </c>
      <c r="S3392" s="18">
        <v>3849.5789999999997</v>
      </c>
      <c r="T3392" s="19" t="s">
        <v>36</v>
      </c>
      <c r="U3392" s="20" t="s">
        <v>234</v>
      </c>
      <c r="V3392" s="21" t="s">
        <v>235</v>
      </c>
      <c r="W3392" s="22">
        <v>11</v>
      </c>
      <c r="X3392" s="23"/>
    </row>
    <row r="3393" spans="1:24" s="1" customFormat="1" ht="26" customHeight="1" x14ac:dyDescent="0.3">
      <c r="A3393" s="24" t="s">
        <v>23</v>
      </c>
      <c r="B3393" s="24" t="s">
        <v>3091</v>
      </c>
      <c r="C3393" s="12" t="s">
        <v>3092</v>
      </c>
      <c r="D3393" s="60"/>
      <c r="E3393" s="41" t="str">
        <f>HYPERLINK("https://www.google.ru/search?q=1390293-001&amp;newwindow=1&amp;tbm=isch","Еще фото")</f>
        <v>Еще фото</v>
      </c>
      <c r="F3393" s="13"/>
      <c r="G3393" s="24" t="s">
        <v>2939</v>
      </c>
      <c r="H3393" s="24" t="s">
        <v>27</v>
      </c>
      <c r="I3393" s="24" t="s">
        <v>2940</v>
      </c>
      <c r="J3393" s="14" t="s">
        <v>43</v>
      </c>
      <c r="K3393" s="15" t="s">
        <v>50</v>
      </c>
      <c r="L3393" s="62"/>
      <c r="M3393" s="14"/>
      <c r="N3393" s="14" t="s">
        <v>33</v>
      </c>
      <c r="O3393" s="14"/>
      <c r="P3393" s="15" t="s">
        <v>120</v>
      </c>
      <c r="Q3393" s="16">
        <v>6199</v>
      </c>
      <c r="R3393" s="17">
        <v>46</v>
      </c>
      <c r="S3393" s="18">
        <v>3849.5789999999997</v>
      </c>
      <c r="T3393" s="19" t="s">
        <v>36</v>
      </c>
      <c r="U3393" s="20" t="s">
        <v>71</v>
      </c>
      <c r="V3393" s="21" t="s">
        <v>72</v>
      </c>
      <c r="W3393" s="22">
        <v>16</v>
      </c>
      <c r="X3393" s="23"/>
    </row>
    <row r="3394" spans="1:24" s="1" customFormat="1" ht="26" customHeight="1" x14ac:dyDescent="0.3">
      <c r="A3394" s="24" t="s">
        <v>23</v>
      </c>
      <c r="B3394" s="24" t="s">
        <v>3091</v>
      </c>
      <c r="C3394" s="12" t="s">
        <v>3092</v>
      </c>
      <c r="D3394" s="61"/>
      <c r="E3394" s="41" t="str">
        <f>HYPERLINK("https://www.google.ru/search?q=1390293-001&amp;newwindow=1&amp;tbm=isch","Еще фото")</f>
        <v>Еще фото</v>
      </c>
      <c r="F3394" s="13"/>
      <c r="G3394" s="24" t="s">
        <v>2939</v>
      </c>
      <c r="H3394" s="24" t="s">
        <v>27</v>
      </c>
      <c r="I3394" s="24" t="s">
        <v>2940</v>
      </c>
      <c r="J3394" s="14" t="s">
        <v>43</v>
      </c>
      <c r="K3394" s="15" t="s">
        <v>50</v>
      </c>
      <c r="L3394" s="58"/>
      <c r="M3394" s="14"/>
      <c r="N3394" s="14" t="s">
        <v>33</v>
      </c>
      <c r="O3394" s="14"/>
      <c r="P3394" s="15" t="s">
        <v>120</v>
      </c>
      <c r="Q3394" s="16">
        <v>6199</v>
      </c>
      <c r="R3394" s="17">
        <v>46</v>
      </c>
      <c r="S3394" s="18">
        <v>3849.5789999999997</v>
      </c>
      <c r="T3394" s="19" t="s">
        <v>36</v>
      </c>
      <c r="U3394" s="20" t="s">
        <v>73</v>
      </c>
      <c r="V3394" s="21" t="s">
        <v>74</v>
      </c>
      <c r="W3394" s="22">
        <v>17</v>
      </c>
      <c r="X3394" s="23"/>
    </row>
    <row r="3395" spans="1:24" s="1" customFormat="1" ht="35" customHeight="1" x14ac:dyDescent="0.3">
      <c r="A3395" s="11" t="s">
        <v>23</v>
      </c>
      <c r="B3395" s="11" t="s">
        <v>3094</v>
      </c>
      <c r="C3395" s="12" t="s">
        <v>3095</v>
      </c>
      <c r="D3395" s="59"/>
      <c r="E3395" s="41" t="str">
        <f>HYPERLINK("https://www.google.ru/search?q=6003942-390&amp;newwindow=1&amp;tbm=isch","Еще фото")</f>
        <v>Еще фото</v>
      </c>
      <c r="F3395" s="13"/>
      <c r="G3395" s="11" t="s">
        <v>2945</v>
      </c>
      <c r="H3395" s="11" t="s">
        <v>27</v>
      </c>
      <c r="I3395" s="14" t="s">
        <v>2940</v>
      </c>
      <c r="J3395" s="14" t="s">
        <v>43</v>
      </c>
      <c r="K3395" s="15" t="s">
        <v>30</v>
      </c>
      <c r="L3395" s="57" t="s">
        <v>3096</v>
      </c>
      <c r="M3395" s="14"/>
      <c r="N3395" s="14" t="s">
        <v>127</v>
      </c>
      <c r="O3395" s="14"/>
      <c r="P3395" s="15" t="s">
        <v>732</v>
      </c>
      <c r="Q3395" s="16">
        <v>11099</v>
      </c>
      <c r="R3395" s="17">
        <v>46</v>
      </c>
      <c r="S3395" s="18">
        <v>6892.4789999999994</v>
      </c>
      <c r="T3395" s="19" t="s">
        <v>36</v>
      </c>
      <c r="U3395" s="20" t="s">
        <v>37</v>
      </c>
      <c r="V3395" s="21" t="s">
        <v>38</v>
      </c>
      <c r="W3395" s="22">
        <v>3</v>
      </c>
      <c r="X3395" s="23"/>
    </row>
    <row r="3396" spans="1:24" s="1" customFormat="1" ht="35" customHeight="1" x14ac:dyDescent="0.3">
      <c r="A3396" s="24" t="s">
        <v>23</v>
      </c>
      <c r="B3396" s="24" t="s">
        <v>3094</v>
      </c>
      <c r="C3396" s="12" t="s">
        <v>3095</v>
      </c>
      <c r="D3396" s="60"/>
      <c r="E3396" s="41" t="str">
        <f>HYPERLINK("https://www.google.ru/search?q=6003942-390&amp;newwindow=1&amp;tbm=isch","Еще фото")</f>
        <v>Еще фото</v>
      </c>
      <c r="F3396" s="13"/>
      <c r="G3396" s="24" t="s">
        <v>2945</v>
      </c>
      <c r="H3396" s="24" t="s">
        <v>27</v>
      </c>
      <c r="I3396" s="24" t="s">
        <v>2940</v>
      </c>
      <c r="J3396" s="14" t="s">
        <v>43</v>
      </c>
      <c r="K3396" s="15" t="s">
        <v>30</v>
      </c>
      <c r="L3396" s="62"/>
      <c r="M3396" s="14"/>
      <c r="N3396" s="14" t="s">
        <v>127</v>
      </c>
      <c r="O3396" s="14"/>
      <c r="P3396" s="15" t="s">
        <v>732</v>
      </c>
      <c r="Q3396" s="16">
        <v>11099</v>
      </c>
      <c r="R3396" s="17">
        <v>46</v>
      </c>
      <c r="S3396" s="18">
        <v>6892.4789999999994</v>
      </c>
      <c r="T3396" s="19" t="s">
        <v>36</v>
      </c>
      <c r="U3396" s="20" t="s">
        <v>39</v>
      </c>
      <c r="V3396" s="21" t="s">
        <v>40</v>
      </c>
      <c r="W3396" s="22">
        <v>1</v>
      </c>
      <c r="X3396" s="23"/>
    </row>
    <row r="3397" spans="1:24" s="1" customFormat="1" ht="37.049999999999997" customHeight="1" x14ac:dyDescent="0.3">
      <c r="A3397" s="24" t="s">
        <v>23</v>
      </c>
      <c r="B3397" s="24" t="s">
        <v>3094</v>
      </c>
      <c r="C3397" s="12" t="s">
        <v>3095</v>
      </c>
      <c r="D3397" s="61"/>
      <c r="E3397" s="41" t="str">
        <f>HYPERLINK("https://www.google.ru/search?q=6003942-390&amp;newwindow=1&amp;tbm=isch","Еще фото")</f>
        <v>Еще фото</v>
      </c>
      <c r="F3397" s="13"/>
      <c r="G3397" s="24" t="s">
        <v>2945</v>
      </c>
      <c r="H3397" s="24" t="s">
        <v>27</v>
      </c>
      <c r="I3397" s="24" t="s">
        <v>2940</v>
      </c>
      <c r="J3397" s="14" t="s">
        <v>43</v>
      </c>
      <c r="K3397" s="15" t="s">
        <v>30</v>
      </c>
      <c r="L3397" s="58"/>
      <c r="M3397" s="14"/>
      <c r="N3397" s="14" t="s">
        <v>127</v>
      </c>
      <c r="O3397" s="14"/>
      <c r="P3397" s="15" t="s">
        <v>732</v>
      </c>
      <c r="Q3397" s="16">
        <v>11099</v>
      </c>
      <c r="R3397" s="17">
        <v>46</v>
      </c>
      <c r="S3397" s="18">
        <v>6892.4789999999994</v>
      </c>
      <c r="T3397" s="19" t="s">
        <v>36</v>
      </c>
      <c r="U3397" s="20" t="s">
        <v>86</v>
      </c>
      <c r="V3397" s="21" t="s">
        <v>87</v>
      </c>
      <c r="W3397" s="22">
        <v>1</v>
      </c>
      <c r="X3397" s="23"/>
    </row>
    <row r="3398" spans="1:24" s="1" customFormat="1" ht="26" customHeight="1" x14ac:dyDescent="0.3">
      <c r="A3398" s="11" t="s">
        <v>23</v>
      </c>
      <c r="B3398" s="11" t="s">
        <v>3097</v>
      </c>
      <c r="C3398" s="12" t="s">
        <v>3098</v>
      </c>
      <c r="D3398" s="59"/>
      <c r="E3398" s="41" t="str">
        <f>HYPERLINK("https://www.google.ru/search?q=6003978-001&amp;newwindow=1&amp;tbm=isch","Еще фото")</f>
        <v>Еще фото</v>
      </c>
      <c r="F3398" s="13"/>
      <c r="G3398" s="11" t="s">
        <v>2966</v>
      </c>
      <c r="H3398" s="11" t="s">
        <v>27</v>
      </c>
      <c r="I3398" s="14" t="s">
        <v>2940</v>
      </c>
      <c r="J3398" s="14" t="s">
        <v>43</v>
      </c>
      <c r="K3398" s="15" t="s">
        <v>30</v>
      </c>
      <c r="L3398" s="57" t="s">
        <v>3099</v>
      </c>
      <c r="M3398" s="14" t="s">
        <v>32</v>
      </c>
      <c r="N3398" s="14" t="s">
        <v>33</v>
      </c>
      <c r="O3398" s="14"/>
      <c r="P3398" s="15" t="s">
        <v>248</v>
      </c>
      <c r="Q3398" s="16">
        <v>16599</v>
      </c>
      <c r="R3398" s="17">
        <v>46</v>
      </c>
      <c r="S3398" s="18">
        <v>10307.978999999998</v>
      </c>
      <c r="T3398" s="19" t="s">
        <v>36</v>
      </c>
      <c r="U3398" s="20" t="s">
        <v>37</v>
      </c>
      <c r="V3398" s="21" t="s">
        <v>38</v>
      </c>
      <c r="W3398" s="22">
        <v>7</v>
      </c>
      <c r="X3398" s="23"/>
    </row>
    <row r="3399" spans="1:24" s="1" customFormat="1" ht="26" customHeight="1" x14ac:dyDescent="0.3">
      <c r="A3399" s="24" t="s">
        <v>23</v>
      </c>
      <c r="B3399" s="24" t="s">
        <v>3097</v>
      </c>
      <c r="C3399" s="12" t="s">
        <v>3098</v>
      </c>
      <c r="D3399" s="60"/>
      <c r="E3399" s="41" t="str">
        <f>HYPERLINK("https://www.google.ru/search?q=6003978-001&amp;newwindow=1&amp;tbm=isch","Еще фото")</f>
        <v>Еще фото</v>
      </c>
      <c r="F3399" s="13"/>
      <c r="G3399" s="24" t="s">
        <v>2966</v>
      </c>
      <c r="H3399" s="24" t="s">
        <v>27</v>
      </c>
      <c r="I3399" s="24" t="s">
        <v>2940</v>
      </c>
      <c r="J3399" s="14" t="s">
        <v>43</v>
      </c>
      <c r="K3399" s="15" t="s">
        <v>30</v>
      </c>
      <c r="L3399" s="62"/>
      <c r="M3399" s="14" t="s">
        <v>32</v>
      </c>
      <c r="N3399" s="14" t="s">
        <v>33</v>
      </c>
      <c r="O3399" s="14"/>
      <c r="P3399" s="15" t="s">
        <v>248</v>
      </c>
      <c r="Q3399" s="16">
        <v>16599</v>
      </c>
      <c r="R3399" s="17">
        <v>46</v>
      </c>
      <c r="S3399" s="18">
        <v>10307.978999999998</v>
      </c>
      <c r="T3399" s="19" t="s">
        <v>36</v>
      </c>
      <c r="U3399" s="20" t="s">
        <v>39</v>
      </c>
      <c r="V3399" s="21" t="s">
        <v>40</v>
      </c>
      <c r="W3399" s="22">
        <v>18</v>
      </c>
      <c r="X3399" s="23"/>
    </row>
    <row r="3400" spans="1:24" s="1" customFormat="1" ht="26" customHeight="1" x14ac:dyDescent="0.3">
      <c r="A3400" s="24" t="s">
        <v>23</v>
      </c>
      <c r="B3400" s="24" t="s">
        <v>3097</v>
      </c>
      <c r="C3400" s="12" t="s">
        <v>3098</v>
      </c>
      <c r="D3400" s="60"/>
      <c r="E3400" s="41" t="str">
        <f>HYPERLINK("https://www.google.ru/search?q=6003978-001&amp;newwindow=1&amp;tbm=isch","Еще фото")</f>
        <v>Еще фото</v>
      </c>
      <c r="F3400" s="13"/>
      <c r="G3400" s="24" t="s">
        <v>2966</v>
      </c>
      <c r="H3400" s="24" t="s">
        <v>27</v>
      </c>
      <c r="I3400" s="24" t="s">
        <v>2940</v>
      </c>
      <c r="J3400" s="14" t="s">
        <v>43</v>
      </c>
      <c r="K3400" s="15" t="s">
        <v>30</v>
      </c>
      <c r="L3400" s="62"/>
      <c r="M3400" s="14" t="s">
        <v>32</v>
      </c>
      <c r="N3400" s="14" t="s">
        <v>33</v>
      </c>
      <c r="O3400" s="14"/>
      <c r="P3400" s="15" t="s">
        <v>248</v>
      </c>
      <c r="Q3400" s="16">
        <v>16599</v>
      </c>
      <c r="R3400" s="17">
        <v>46</v>
      </c>
      <c r="S3400" s="18">
        <v>10307.978999999998</v>
      </c>
      <c r="T3400" s="19" t="s">
        <v>36</v>
      </c>
      <c r="U3400" s="20" t="s">
        <v>86</v>
      </c>
      <c r="V3400" s="21" t="s">
        <v>87</v>
      </c>
      <c r="W3400" s="22">
        <v>20</v>
      </c>
      <c r="X3400" s="23"/>
    </row>
    <row r="3401" spans="1:24" s="1" customFormat="1" ht="26" customHeight="1" x14ac:dyDescent="0.3">
      <c r="A3401" s="24" t="s">
        <v>23</v>
      </c>
      <c r="B3401" s="24" t="s">
        <v>3097</v>
      </c>
      <c r="C3401" s="12" t="s">
        <v>3098</v>
      </c>
      <c r="D3401" s="61"/>
      <c r="E3401" s="41" t="str">
        <f>HYPERLINK("https://www.google.ru/search?q=6003978-001&amp;newwindow=1&amp;tbm=isch","Еще фото")</f>
        <v>Еще фото</v>
      </c>
      <c r="F3401" s="13"/>
      <c r="G3401" s="24" t="s">
        <v>2966</v>
      </c>
      <c r="H3401" s="24" t="s">
        <v>27</v>
      </c>
      <c r="I3401" s="24" t="s">
        <v>2940</v>
      </c>
      <c r="J3401" s="14" t="s">
        <v>43</v>
      </c>
      <c r="K3401" s="15" t="s">
        <v>30</v>
      </c>
      <c r="L3401" s="58"/>
      <c r="M3401" s="14" t="s">
        <v>32</v>
      </c>
      <c r="N3401" s="14" t="s">
        <v>33</v>
      </c>
      <c r="O3401" s="14"/>
      <c r="P3401" s="15" t="s">
        <v>248</v>
      </c>
      <c r="Q3401" s="16">
        <v>16599</v>
      </c>
      <c r="R3401" s="17">
        <v>46</v>
      </c>
      <c r="S3401" s="18">
        <v>10307.978999999998</v>
      </c>
      <c r="T3401" s="19" t="s">
        <v>36</v>
      </c>
      <c r="U3401" s="20" t="s">
        <v>88</v>
      </c>
      <c r="V3401" s="21" t="s">
        <v>89</v>
      </c>
      <c r="W3401" s="22">
        <v>5</v>
      </c>
      <c r="X3401" s="23"/>
    </row>
    <row r="3402" spans="1:24" s="1" customFormat="1" ht="21" customHeight="1" x14ac:dyDescent="0.3">
      <c r="A3402" s="11" t="s">
        <v>23</v>
      </c>
      <c r="B3402" s="11" t="s">
        <v>3100</v>
      </c>
      <c r="C3402" s="26" t="s">
        <v>3101</v>
      </c>
      <c r="D3402" s="59"/>
      <c r="E3402" s="41" t="str">
        <f>HYPERLINK("https://www.google.ru/search?q=6004979-001&amp;newwindow=1&amp;tbm=isch","Еще фото")</f>
        <v>Еще фото</v>
      </c>
      <c r="F3402" s="13"/>
      <c r="G3402" s="11" t="s">
        <v>2945</v>
      </c>
      <c r="H3402" s="11" t="s">
        <v>27</v>
      </c>
      <c r="I3402" s="14" t="s">
        <v>2940</v>
      </c>
      <c r="J3402" s="14" t="s">
        <v>29</v>
      </c>
      <c r="K3402" s="15" t="s">
        <v>50</v>
      </c>
      <c r="L3402" s="57" t="s">
        <v>3102</v>
      </c>
      <c r="M3402" s="14"/>
      <c r="N3402" s="14" t="s">
        <v>33</v>
      </c>
      <c r="O3402" s="14"/>
      <c r="P3402" s="15" t="s">
        <v>47</v>
      </c>
      <c r="Q3402" s="16">
        <v>4099</v>
      </c>
      <c r="R3402" s="17">
        <v>46</v>
      </c>
      <c r="S3402" s="18">
        <v>2545.4789999999998</v>
      </c>
      <c r="T3402" s="19" t="s">
        <v>36</v>
      </c>
      <c r="U3402" s="20" t="s">
        <v>99</v>
      </c>
      <c r="V3402" s="21" t="s">
        <v>100</v>
      </c>
      <c r="W3402" s="22">
        <v>6</v>
      </c>
      <c r="X3402" s="23"/>
    </row>
    <row r="3403" spans="1:24" s="1" customFormat="1" ht="21" customHeight="1" x14ac:dyDescent="0.3">
      <c r="A3403" s="24" t="s">
        <v>23</v>
      </c>
      <c r="B3403" s="24" t="s">
        <v>3100</v>
      </c>
      <c r="C3403" s="27" t="s">
        <v>3101</v>
      </c>
      <c r="D3403" s="60"/>
      <c r="E3403" s="41" t="str">
        <f>HYPERLINK("https://www.google.ru/search?q=6004979-001&amp;newwindow=1&amp;tbm=isch","Еще фото")</f>
        <v>Еще фото</v>
      </c>
      <c r="F3403" s="13"/>
      <c r="G3403" s="24" t="s">
        <v>2945</v>
      </c>
      <c r="H3403" s="24" t="s">
        <v>27</v>
      </c>
      <c r="I3403" s="24" t="s">
        <v>2940</v>
      </c>
      <c r="J3403" s="14" t="s">
        <v>29</v>
      </c>
      <c r="K3403" s="15" t="s">
        <v>50</v>
      </c>
      <c r="L3403" s="62"/>
      <c r="M3403" s="14"/>
      <c r="N3403" s="14" t="s">
        <v>33</v>
      </c>
      <c r="O3403" s="14"/>
      <c r="P3403" s="15" t="s">
        <v>47</v>
      </c>
      <c r="Q3403" s="16">
        <v>4099</v>
      </c>
      <c r="R3403" s="17">
        <v>46</v>
      </c>
      <c r="S3403" s="18">
        <v>2545.4789999999998</v>
      </c>
      <c r="T3403" s="19" t="s">
        <v>36</v>
      </c>
      <c r="U3403" s="20" t="s">
        <v>54</v>
      </c>
      <c r="V3403" s="21" t="s">
        <v>55</v>
      </c>
      <c r="W3403" s="22">
        <v>12</v>
      </c>
      <c r="X3403" s="23"/>
    </row>
    <row r="3404" spans="1:24" s="1" customFormat="1" ht="21" customHeight="1" x14ac:dyDescent="0.3">
      <c r="A3404" s="24" t="s">
        <v>23</v>
      </c>
      <c r="B3404" s="24" t="s">
        <v>3100</v>
      </c>
      <c r="C3404" s="27" t="s">
        <v>3101</v>
      </c>
      <c r="D3404" s="60"/>
      <c r="E3404" s="41" t="str">
        <f>HYPERLINK("https://www.google.ru/search?q=6004979-001&amp;newwindow=1&amp;tbm=isch","Еще фото")</f>
        <v>Еще фото</v>
      </c>
      <c r="F3404" s="13"/>
      <c r="G3404" s="24" t="s">
        <v>2945</v>
      </c>
      <c r="H3404" s="24" t="s">
        <v>27</v>
      </c>
      <c r="I3404" s="24" t="s">
        <v>2940</v>
      </c>
      <c r="J3404" s="14" t="s">
        <v>29</v>
      </c>
      <c r="K3404" s="15" t="s">
        <v>50</v>
      </c>
      <c r="L3404" s="62"/>
      <c r="M3404" s="14"/>
      <c r="N3404" s="14" t="s">
        <v>33</v>
      </c>
      <c r="O3404" s="14"/>
      <c r="P3404" s="15" t="s">
        <v>47</v>
      </c>
      <c r="Q3404" s="16">
        <v>4099</v>
      </c>
      <c r="R3404" s="17">
        <v>46</v>
      </c>
      <c r="S3404" s="18">
        <v>2545.4789999999998</v>
      </c>
      <c r="T3404" s="19" t="s">
        <v>36</v>
      </c>
      <c r="U3404" s="20" t="s">
        <v>234</v>
      </c>
      <c r="V3404" s="21" t="s">
        <v>235</v>
      </c>
      <c r="W3404" s="22">
        <v>10</v>
      </c>
      <c r="X3404" s="23"/>
    </row>
    <row r="3405" spans="1:24" s="1" customFormat="1" ht="21" customHeight="1" x14ac:dyDescent="0.3">
      <c r="A3405" s="24" t="s">
        <v>23</v>
      </c>
      <c r="B3405" s="24" t="s">
        <v>3100</v>
      </c>
      <c r="C3405" s="27" t="s">
        <v>3101</v>
      </c>
      <c r="D3405" s="60"/>
      <c r="E3405" s="41" t="str">
        <f>HYPERLINK("https://www.google.ru/search?q=6004979-001&amp;newwindow=1&amp;tbm=isch","Еще фото")</f>
        <v>Еще фото</v>
      </c>
      <c r="F3405" s="13"/>
      <c r="G3405" s="24" t="s">
        <v>2945</v>
      </c>
      <c r="H3405" s="24" t="s">
        <v>27</v>
      </c>
      <c r="I3405" s="24" t="s">
        <v>2940</v>
      </c>
      <c r="J3405" s="14" t="s">
        <v>29</v>
      </c>
      <c r="K3405" s="15" t="s">
        <v>50</v>
      </c>
      <c r="L3405" s="62"/>
      <c r="M3405" s="14"/>
      <c r="N3405" s="14" t="s">
        <v>33</v>
      </c>
      <c r="O3405" s="14"/>
      <c r="P3405" s="15" t="s">
        <v>47</v>
      </c>
      <c r="Q3405" s="16">
        <v>4099</v>
      </c>
      <c r="R3405" s="17">
        <v>46</v>
      </c>
      <c r="S3405" s="18">
        <v>2545.4789999999998</v>
      </c>
      <c r="T3405" s="19" t="s">
        <v>36</v>
      </c>
      <c r="U3405" s="20" t="s">
        <v>71</v>
      </c>
      <c r="V3405" s="21" t="s">
        <v>72</v>
      </c>
      <c r="W3405" s="22">
        <v>17</v>
      </c>
      <c r="X3405" s="23"/>
    </row>
    <row r="3406" spans="1:24" s="1" customFormat="1" ht="32" customHeight="1" x14ac:dyDescent="0.3">
      <c r="A3406" s="24" t="s">
        <v>23</v>
      </c>
      <c r="B3406" s="24" t="s">
        <v>3100</v>
      </c>
      <c r="C3406" s="27" t="s">
        <v>3101</v>
      </c>
      <c r="D3406" s="61"/>
      <c r="E3406" s="41" t="str">
        <f>HYPERLINK("https://www.google.ru/search?q=6004979-001&amp;newwindow=1&amp;tbm=isch","Еще фото")</f>
        <v>Еще фото</v>
      </c>
      <c r="F3406" s="13"/>
      <c r="G3406" s="24" t="s">
        <v>2945</v>
      </c>
      <c r="H3406" s="24" t="s">
        <v>27</v>
      </c>
      <c r="I3406" s="24" t="s">
        <v>2940</v>
      </c>
      <c r="J3406" s="14" t="s">
        <v>29</v>
      </c>
      <c r="K3406" s="15" t="s">
        <v>50</v>
      </c>
      <c r="L3406" s="58"/>
      <c r="M3406" s="14"/>
      <c r="N3406" s="14" t="s">
        <v>33</v>
      </c>
      <c r="O3406" s="14"/>
      <c r="P3406" s="15" t="s">
        <v>47</v>
      </c>
      <c r="Q3406" s="16">
        <v>4099</v>
      </c>
      <c r="R3406" s="17">
        <v>46</v>
      </c>
      <c r="S3406" s="18">
        <v>2545.4789999999998</v>
      </c>
      <c r="T3406" s="19" t="s">
        <v>36</v>
      </c>
      <c r="U3406" s="20" t="s">
        <v>73</v>
      </c>
      <c r="V3406" s="21" t="s">
        <v>74</v>
      </c>
      <c r="W3406" s="22">
        <v>11</v>
      </c>
      <c r="X3406" s="23"/>
    </row>
    <row r="3407" spans="1:24" s="1" customFormat="1" ht="21" customHeight="1" x14ac:dyDescent="0.3">
      <c r="A3407" s="11" t="s">
        <v>23</v>
      </c>
      <c r="B3407" s="11" t="s">
        <v>3103</v>
      </c>
      <c r="C3407" s="26" t="s">
        <v>3104</v>
      </c>
      <c r="D3407" s="59"/>
      <c r="E3407" s="41" t="str">
        <f>HYPERLINK("https://www.google.ru/search?q=6009316-001&amp;newwindow=1&amp;tbm=isch","Еще фото")</f>
        <v>Еще фото</v>
      </c>
      <c r="F3407" s="13"/>
      <c r="G3407" s="11" t="s">
        <v>2939</v>
      </c>
      <c r="H3407" s="11" t="s">
        <v>27</v>
      </c>
      <c r="I3407" s="14" t="s">
        <v>2940</v>
      </c>
      <c r="J3407" s="14" t="s">
        <v>43</v>
      </c>
      <c r="K3407" s="15" t="s">
        <v>50</v>
      </c>
      <c r="L3407" s="57" t="s">
        <v>3105</v>
      </c>
      <c r="M3407" s="14"/>
      <c r="N3407" s="14" t="s">
        <v>33</v>
      </c>
      <c r="O3407" s="14"/>
      <c r="P3407" s="15" t="s">
        <v>120</v>
      </c>
      <c r="Q3407" s="16">
        <v>6399</v>
      </c>
      <c r="R3407" s="17">
        <v>46</v>
      </c>
      <c r="S3407" s="18">
        <v>3973.7789999999995</v>
      </c>
      <c r="T3407" s="19" t="s">
        <v>36</v>
      </c>
      <c r="U3407" s="20" t="s">
        <v>99</v>
      </c>
      <c r="V3407" s="21" t="s">
        <v>100</v>
      </c>
      <c r="W3407" s="22">
        <v>6</v>
      </c>
      <c r="X3407" s="23"/>
    </row>
    <row r="3408" spans="1:24" s="1" customFormat="1" ht="21" customHeight="1" x14ac:dyDescent="0.3">
      <c r="A3408" s="24" t="s">
        <v>23</v>
      </c>
      <c r="B3408" s="24" t="s">
        <v>3103</v>
      </c>
      <c r="C3408" s="27" t="s">
        <v>3104</v>
      </c>
      <c r="D3408" s="60"/>
      <c r="E3408" s="41" t="str">
        <f>HYPERLINK("https://www.google.ru/search?q=6009316-001&amp;newwindow=1&amp;tbm=isch","Еще фото")</f>
        <v>Еще фото</v>
      </c>
      <c r="F3408" s="13"/>
      <c r="G3408" s="24" t="s">
        <v>2939</v>
      </c>
      <c r="H3408" s="24" t="s">
        <v>27</v>
      </c>
      <c r="I3408" s="24" t="s">
        <v>2940</v>
      </c>
      <c r="J3408" s="14" t="s">
        <v>43</v>
      </c>
      <c r="K3408" s="15" t="s">
        <v>50</v>
      </c>
      <c r="L3408" s="62"/>
      <c r="M3408" s="14"/>
      <c r="N3408" s="14" t="s">
        <v>33</v>
      </c>
      <c r="O3408" s="14"/>
      <c r="P3408" s="15" t="s">
        <v>120</v>
      </c>
      <c r="Q3408" s="16">
        <v>6399</v>
      </c>
      <c r="R3408" s="17">
        <v>46</v>
      </c>
      <c r="S3408" s="18">
        <v>3973.7789999999995</v>
      </c>
      <c r="T3408" s="19" t="s">
        <v>36</v>
      </c>
      <c r="U3408" s="20" t="s">
        <v>54</v>
      </c>
      <c r="V3408" s="21" t="s">
        <v>55</v>
      </c>
      <c r="W3408" s="22">
        <v>11</v>
      </c>
      <c r="X3408" s="23"/>
    </row>
    <row r="3409" spans="1:24" s="1" customFormat="1" ht="21" customHeight="1" x14ac:dyDescent="0.3">
      <c r="A3409" s="24" t="s">
        <v>23</v>
      </c>
      <c r="B3409" s="24" t="s">
        <v>3103</v>
      </c>
      <c r="C3409" s="27" t="s">
        <v>3104</v>
      </c>
      <c r="D3409" s="60"/>
      <c r="E3409" s="41" t="str">
        <f>HYPERLINK("https://www.google.ru/search?q=6009316-001&amp;newwindow=1&amp;tbm=isch","Еще фото")</f>
        <v>Еще фото</v>
      </c>
      <c r="F3409" s="13"/>
      <c r="G3409" s="24" t="s">
        <v>2939</v>
      </c>
      <c r="H3409" s="24" t="s">
        <v>27</v>
      </c>
      <c r="I3409" s="24" t="s">
        <v>2940</v>
      </c>
      <c r="J3409" s="14" t="s">
        <v>43</v>
      </c>
      <c r="K3409" s="15" t="s">
        <v>50</v>
      </c>
      <c r="L3409" s="62"/>
      <c r="M3409" s="14"/>
      <c r="N3409" s="14" t="s">
        <v>33</v>
      </c>
      <c r="O3409" s="14"/>
      <c r="P3409" s="15" t="s">
        <v>120</v>
      </c>
      <c r="Q3409" s="16">
        <v>6399</v>
      </c>
      <c r="R3409" s="17">
        <v>46</v>
      </c>
      <c r="S3409" s="18">
        <v>3973.7789999999995</v>
      </c>
      <c r="T3409" s="19" t="s">
        <v>36</v>
      </c>
      <c r="U3409" s="20" t="s">
        <v>234</v>
      </c>
      <c r="V3409" s="21" t="s">
        <v>235</v>
      </c>
      <c r="W3409" s="22">
        <v>10</v>
      </c>
      <c r="X3409" s="23"/>
    </row>
    <row r="3410" spans="1:24" s="1" customFormat="1" ht="21" customHeight="1" x14ac:dyDescent="0.3">
      <c r="A3410" s="24" t="s">
        <v>23</v>
      </c>
      <c r="B3410" s="24" t="s">
        <v>3103</v>
      </c>
      <c r="C3410" s="27" t="s">
        <v>3104</v>
      </c>
      <c r="D3410" s="60"/>
      <c r="E3410" s="41" t="str">
        <f>HYPERLINK("https://www.google.ru/search?q=6009316-001&amp;newwindow=1&amp;tbm=isch","Еще фото")</f>
        <v>Еще фото</v>
      </c>
      <c r="F3410" s="13"/>
      <c r="G3410" s="24" t="s">
        <v>2939</v>
      </c>
      <c r="H3410" s="24" t="s">
        <v>27</v>
      </c>
      <c r="I3410" s="24" t="s">
        <v>2940</v>
      </c>
      <c r="J3410" s="14" t="s">
        <v>43</v>
      </c>
      <c r="K3410" s="15" t="s">
        <v>50</v>
      </c>
      <c r="L3410" s="62"/>
      <c r="M3410" s="14"/>
      <c r="N3410" s="14" t="s">
        <v>33</v>
      </c>
      <c r="O3410" s="14"/>
      <c r="P3410" s="15" t="s">
        <v>120</v>
      </c>
      <c r="Q3410" s="16">
        <v>6399</v>
      </c>
      <c r="R3410" s="17">
        <v>46</v>
      </c>
      <c r="S3410" s="18">
        <v>3973.7789999999995</v>
      </c>
      <c r="T3410" s="19" t="s">
        <v>36</v>
      </c>
      <c r="U3410" s="20" t="s">
        <v>71</v>
      </c>
      <c r="V3410" s="21" t="s">
        <v>72</v>
      </c>
      <c r="W3410" s="22">
        <v>9</v>
      </c>
      <c r="X3410" s="23"/>
    </row>
    <row r="3411" spans="1:24" s="1" customFormat="1" ht="32" customHeight="1" x14ac:dyDescent="0.3">
      <c r="A3411" s="24" t="s">
        <v>23</v>
      </c>
      <c r="B3411" s="24" t="s">
        <v>3103</v>
      </c>
      <c r="C3411" s="27" t="s">
        <v>3104</v>
      </c>
      <c r="D3411" s="61"/>
      <c r="E3411" s="41" t="str">
        <f>HYPERLINK("https://www.google.ru/search?q=6009316-001&amp;newwindow=1&amp;tbm=isch","Еще фото")</f>
        <v>Еще фото</v>
      </c>
      <c r="F3411" s="13"/>
      <c r="G3411" s="24" t="s">
        <v>2939</v>
      </c>
      <c r="H3411" s="24" t="s">
        <v>27</v>
      </c>
      <c r="I3411" s="24" t="s">
        <v>2940</v>
      </c>
      <c r="J3411" s="14" t="s">
        <v>43</v>
      </c>
      <c r="K3411" s="15" t="s">
        <v>50</v>
      </c>
      <c r="L3411" s="58"/>
      <c r="M3411" s="14"/>
      <c r="N3411" s="14" t="s">
        <v>33</v>
      </c>
      <c r="O3411" s="14"/>
      <c r="P3411" s="15" t="s">
        <v>120</v>
      </c>
      <c r="Q3411" s="16">
        <v>6399</v>
      </c>
      <c r="R3411" s="17">
        <v>46</v>
      </c>
      <c r="S3411" s="18">
        <v>3973.7789999999995</v>
      </c>
      <c r="T3411" s="19" t="s">
        <v>36</v>
      </c>
      <c r="U3411" s="20" t="s">
        <v>73</v>
      </c>
      <c r="V3411" s="21" t="s">
        <v>74</v>
      </c>
      <c r="W3411" s="22">
        <v>3</v>
      </c>
      <c r="X3411" s="23"/>
    </row>
    <row r="3412" spans="1:24" s="1" customFormat="1" ht="21" customHeight="1" x14ac:dyDescent="0.3">
      <c r="A3412" s="11" t="s">
        <v>23</v>
      </c>
      <c r="B3412" s="11" t="s">
        <v>3103</v>
      </c>
      <c r="C3412" s="26" t="s">
        <v>3106</v>
      </c>
      <c r="D3412" s="59"/>
      <c r="E3412" s="41" t="str">
        <f>HYPERLINK("https://www.google.ru/search?q=6009316-011&amp;newwindow=1&amp;tbm=isch","Еще фото")</f>
        <v>Еще фото</v>
      </c>
      <c r="F3412" s="13"/>
      <c r="G3412" s="11" t="s">
        <v>2939</v>
      </c>
      <c r="H3412" s="11" t="s">
        <v>27</v>
      </c>
      <c r="I3412" s="14" t="s">
        <v>2940</v>
      </c>
      <c r="J3412" s="14" t="s">
        <v>43</v>
      </c>
      <c r="K3412" s="15" t="s">
        <v>50</v>
      </c>
      <c r="L3412" s="57" t="s">
        <v>3105</v>
      </c>
      <c r="M3412" s="14"/>
      <c r="N3412" s="14" t="s">
        <v>62</v>
      </c>
      <c r="O3412" s="14"/>
      <c r="P3412" s="15" t="s">
        <v>120</v>
      </c>
      <c r="Q3412" s="16">
        <v>6399</v>
      </c>
      <c r="R3412" s="17">
        <v>46</v>
      </c>
      <c r="S3412" s="18">
        <v>3973.7789999999995</v>
      </c>
      <c r="T3412" s="19" t="s">
        <v>36</v>
      </c>
      <c r="U3412" s="20" t="s">
        <v>99</v>
      </c>
      <c r="V3412" s="21" t="s">
        <v>100</v>
      </c>
      <c r="W3412" s="22">
        <v>6</v>
      </c>
      <c r="X3412" s="23"/>
    </row>
    <row r="3413" spans="1:24" s="1" customFormat="1" ht="21" customHeight="1" x14ac:dyDescent="0.3">
      <c r="A3413" s="24" t="s">
        <v>23</v>
      </c>
      <c r="B3413" s="24" t="s">
        <v>3103</v>
      </c>
      <c r="C3413" s="27" t="s">
        <v>3106</v>
      </c>
      <c r="D3413" s="60"/>
      <c r="E3413" s="41" t="str">
        <f>HYPERLINK("https://www.google.ru/search?q=6009316-011&amp;newwindow=1&amp;tbm=isch","Еще фото")</f>
        <v>Еще фото</v>
      </c>
      <c r="F3413" s="13"/>
      <c r="G3413" s="24" t="s">
        <v>2939</v>
      </c>
      <c r="H3413" s="24" t="s">
        <v>27</v>
      </c>
      <c r="I3413" s="24" t="s">
        <v>2940</v>
      </c>
      <c r="J3413" s="14" t="s">
        <v>43</v>
      </c>
      <c r="K3413" s="15" t="s">
        <v>50</v>
      </c>
      <c r="L3413" s="62"/>
      <c r="M3413" s="14"/>
      <c r="N3413" s="14" t="s">
        <v>62</v>
      </c>
      <c r="O3413" s="14"/>
      <c r="P3413" s="15" t="s">
        <v>120</v>
      </c>
      <c r="Q3413" s="16">
        <v>6399</v>
      </c>
      <c r="R3413" s="17">
        <v>46</v>
      </c>
      <c r="S3413" s="18">
        <v>3973.7789999999995</v>
      </c>
      <c r="T3413" s="19" t="s">
        <v>36</v>
      </c>
      <c r="U3413" s="20" t="s">
        <v>54</v>
      </c>
      <c r="V3413" s="21" t="s">
        <v>55</v>
      </c>
      <c r="W3413" s="22">
        <v>12</v>
      </c>
      <c r="X3413" s="23"/>
    </row>
    <row r="3414" spans="1:24" s="1" customFormat="1" ht="21" customHeight="1" x14ac:dyDescent="0.3">
      <c r="A3414" s="24" t="s">
        <v>23</v>
      </c>
      <c r="B3414" s="24" t="s">
        <v>3103</v>
      </c>
      <c r="C3414" s="27" t="s">
        <v>3106</v>
      </c>
      <c r="D3414" s="60"/>
      <c r="E3414" s="41" t="str">
        <f>HYPERLINK("https://www.google.ru/search?q=6009316-011&amp;newwindow=1&amp;tbm=isch","Еще фото")</f>
        <v>Еще фото</v>
      </c>
      <c r="F3414" s="13"/>
      <c r="G3414" s="24" t="s">
        <v>2939</v>
      </c>
      <c r="H3414" s="24" t="s">
        <v>27</v>
      </c>
      <c r="I3414" s="24" t="s">
        <v>2940</v>
      </c>
      <c r="J3414" s="14" t="s">
        <v>43</v>
      </c>
      <c r="K3414" s="15" t="s">
        <v>50</v>
      </c>
      <c r="L3414" s="62"/>
      <c r="M3414" s="14"/>
      <c r="N3414" s="14" t="s">
        <v>62</v>
      </c>
      <c r="O3414" s="14"/>
      <c r="P3414" s="15" t="s">
        <v>120</v>
      </c>
      <c r="Q3414" s="16">
        <v>6399</v>
      </c>
      <c r="R3414" s="17">
        <v>46</v>
      </c>
      <c r="S3414" s="18">
        <v>3973.7789999999995</v>
      </c>
      <c r="T3414" s="19" t="s">
        <v>36</v>
      </c>
      <c r="U3414" s="20" t="s">
        <v>234</v>
      </c>
      <c r="V3414" s="21" t="s">
        <v>235</v>
      </c>
      <c r="W3414" s="22">
        <v>10</v>
      </c>
      <c r="X3414" s="23"/>
    </row>
    <row r="3415" spans="1:24" s="1" customFormat="1" ht="21" customHeight="1" x14ac:dyDescent="0.3">
      <c r="A3415" s="24" t="s">
        <v>23</v>
      </c>
      <c r="B3415" s="24" t="s">
        <v>3103</v>
      </c>
      <c r="C3415" s="27" t="s">
        <v>3106</v>
      </c>
      <c r="D3415" s="60"/>
      <c r="E3415" s="41" t="str">
        <f>HYPERLINK("https://www.google.ru/search?q=6009316-011&amp;newwindow=1&amp;tbm=isch","Еще фото")</f>
        <v>Еще фото</v>
      </c>
      <c r="F3415" s="13"/>
      <c r="G3415" s="24" t="s">
        <v>2939</v>
      </c>
      <c r="H3415" s="24" t="s">
        <v>27</v>
      </c>
      <c r="I3415" s="24" t="s">
        <v>2940</v>
      </c>
      <c r="J3415" s="14" t="s">
        <v>43</v>
      </c>
      <c r="K3415" s="15" t="s">
        <v>50</v>
      </c>
      <c r="L3415" s="62"/>
      <c r="M3415" s="14"/>
      <c r="N3415" s="14" t="s">
        <v>62</v>
      </c>
      <c r="O3415" s="14"/>
      <c r="P3415" s="15" t="s">
        <v>120</v>
      </c>
      <c r="Q3415" s="16">
        <v>6399</v>
      </c>
      <c r="R3415" s="17">
        <v>46</v>
      </c>
      <c r="S3415" s="18">
        <v>3973.7789999999995</v>
      </c>
      <c r="T3415" s="19" t="s">
        <v>36</v>
      </c>
      <c r="U3415" s="20" t="s">
        <v>71</v>
      </c>
      <c r="V3415" s="21" t="s">
        <v>72</v>
      </c>
      <c r="W3415" s="22">
        <v>14</v>
      </c>
      <c r="X3415" s="23"/>
    </row>
    <row r="3416" spans="1:24" s="1" customFormat="1" ht="32" customHeight="1" x14ac:dyDescent="0.3">
      <c r="A3416" s="24" t="s">
        <v>23</v>
      </c>
      <c r="B3416" s="24" t="s">
        <v>3103</v>
      </c>
      <c r="C3416" s="27" t="s">
        <v>3106</v>
      </c>
      <c r="D3416" s="61"/>
      <c r="E3416" s="41" t="str">
        <f>HYPERLINK("https://www.google.ru/search?q=6009316-011&amp;newwindow=1&amp;tbm=isch","Еще фото")</f>
        <v>Еще фото</v>
      </c>
      <c r="F3416" s="13"/>
      <c r="G3416" s="24" t="s">
        <v>2939</v>
      </c>
      <c r="H3416" s="24" t="s">
        <v>27</v>
      </c>
      <c r="I3416" s="24" t="s">
        <v>2940</v>
      </c>
      <c r="J3416" s="14" t="s">
        <v>43</v>
      </c>
      <c r="K3416" s="15" t="s">
        <v>50</v>
      </c>
      <c r="L3416" s="58"/>
      <c r="M3416" s="14"/>
      <c r="N3416" s="14" t="s">
        <v>62</v>
      </c>
      <c r="O3416" s="14"/>
      <c r="P3416" s="15" t="s">
        <v>120</v>
      </c>
      <c r="Q3416" s="16">
        <v>6399</v>
      </c>
      <c r="R3416" s="17">
        <v>46</v>
      </c>
      <c r="S3416" s="18">
        <v>3973.7789999999995</v>
      </c>
      <c r="T3416" s="19" t="s">
        <v>36</v>
      </c>
      <c r="U3416" s="20" t="s">
        <v>73</v>
      </c>
      <c r="V3416" s="21" t="s">
        <v>74</v>
      </c>
      <c r="W3416" s="22">
        <v>7</v>
      </c>
      <c r="X3416" s="23"/>
    </row>
    <row r="3417" spans="1:24" s="1" customFormat="1" ht="108" customHeight="1" x14ac:dyDescent="0.3">
      <c r="A3417" s="11" t="s">
        <v>23</v>
      </c>
      <c r="B3417" s="11" t="s">
        <v>3107</v>
      </c>
      <c r="C3417" s="12" t="s">
        <v>3108</v>
      </c>
      <c r="D3417" s="25"/>
      <c r="E3417" s="41" t="str">
        <f>HYPERLINK("https://www.google.ru/search?q=1370941-001&amp;newwindow=1&amp;tbm=isch","Еще фото")</f>
        <v>Еще фото</v>
      </c>
      <c r="F3417" s="13"/>
      <c r="G3417" s="11" t="s">
        <v>2939</v>
      </c>
      <c r="H3417" s="11" t="s">
        <v>27</v>
      </c>
      <c r="I3417" s="14" t="s">
        <v>2940</v>
      </c>
      <c r="J3417" s="14" t="s">
        <v>43</v>
      </c>
      <c r="K3417" s="15" t="s">
        <v>59</v>
      </c>
      <c r="L3417" s="14" t="s">
        <v>3109</v>
      </c>
      <c r="M3417" s="14" t="s">
        <v>119</v>
      </c>
      <c r="N3417" s="14" t="s">
        <v>33</v>
      </c>
      <c r="O3417" s="14"/>
      <c r="P3417" s="15" t="s">
        <v>3110</v>
      </c>
      <c r="Q3417" s="16">
        <v>9999</v>
      </c>
      <c r="R3417" s="17">
        <v>45.99</v>
      </c>
      <c r="S3417" s="18">
        <v>6209.9884999999995</v>
      </c>
      <c r="T3417" s="19" t="s">
        <v>36</v>
      </c>
      <c r="U3417" s="20" t="s">
        <v>63</v>
      </c>
      <c r="V3417" s="21" t="s">
        <v>64</v>
      </c>
      <c r="W3417" s="22">
        <v>1</v>
      </c>
      <c r="X3417" s="23"/>
    </row>
    <row r="3418" spans="1:24" s="1" customFormat="1" ht="108" customHeight="1" x14ac:dyDescent="0.3">
      <c r="A3418" s="11" t="s">
        <v>23</v>
      </c>
      <c r="B3418" s="11" t="s">
        <v>3111</v>
      </c>
      <c r="C3418" s="12" t="s">
        <v>3112</v>
      </c>
      <c r="D3418" s="25"/>
      <c r="E3418" s="41" t="str">
        <f>HYPERLINK("https://www.google.ru/search?q=1373674-410&amp;newwindow=1&amp;tbm=isch","Еще фото")</f>
        <v>Еще фото</v>
      </c>
      <c r="F3418" s="13"/>
      <c r="G3418" s="11" t="s">
        <v>2945</v>
      </c>
      <c r="H3418" s="11" t="s">
        <v>27</v>
      </c>
      <c r="I3418" s="14" t="s">
        <v>2940</v>
      </c>
      <c r="J3418" s="14" t="s">
        <v>211</v>
      </c>
      <c r="K3418" s="15" t="s">
        <v>30</v>
      </c>
      <c r="L3418" s="14" t="s">
        <v>3113</v>
      </c>
      <c r="M3418" s="14" t="s">
        <v>32</v>
      </c>
      <c r="N3418" s="14" t="s">
        <v>115</v>
      </c>
      <c r="O3418" s="14"/>
      <c r="P3418" s="15" t="s">
        <v>47</v>
      </c>
      <c r="Q3418" s="16">
        <v>9999</v>
      </c>
      <c r="R3418" s="17">
        <v>45.99</v>
      </c>
      <c r="S3418" s="18">
        <v>6209.9884999999995</v>
      </c>
      <c r="T3418" s="19" t="s">
        <v>36</v>
      </c>
      <c r="U3418" s="20" t="s">
        <v>37</v>
      </c>
      <c r="V3418" s="21" t="s">
        <v>38</v>
      </c>
      <c r="W3418" s="22">
        <v>3</v>
      </c>
      <c r="X3418" s="23"/>
    </row>
    <row r="3419" spans="1:24" s="1" customFormat="1" ht="108" customHeight="1" x14ac:dyDescent="0.3">
      <c r="A3419" s="11" t="s">
        <v>23</v>
      </c>
      <c r="B3419" s="11" t="s">
        <v>3114</v>
      </c>
      <c r="C3419" s="12" t="s">
        <v>3115</v>
      </c>
      <c r="D3419" s="25"/>
      <c r="E3419" s="41" t="str">
        <f>HYPERLINK("https://www.google.ru/search?q=1381035-012&amp;newwindow=1&amp;tbm=isch","Еще фото")</f>
        <v>Еще фото</v>
      </c>
      <c r="F3419" s="13"/>
      <c r="G3419" s="11" t="s">
        <v>2961</v>
      </c>
      <c r="H3419" s="11" t="s">
        <v>27</v>
      </c>
      <c r="I3419" s="14" t="s">
        <v>2940</v>
      </c>
      <c r="J3419" s="14" t="s">
        <v>29</v>
      </c>
      <c r="K3419" s="15" t="s">
        <v>30</v>
      </c>
      <c r="L3419" s="14" t="s">
        <v>3116</v>
      </c>
      <c r="M3419" s="14"/>
      <c r="N3419" s="14" t="s">
        <v>374</v>
      </c>
      <c r="O3419" s="14"/>
      <c r="P3419" s="15" t="s">
        <v>120</v>
      </c>
      <c r="Q3419" s="16">
        <v>9999</v>
      </c>
      <c r="R3419" s="17">
        <v>45.99</v>
      </c>
      <c r="S3419" s="18">
        <v>6209.9884999999995</v>
      </c>
      <c r="T3419" s="19" t="s">
        <v>36</v>
      </c>
      <c r="U3419" s="20" t="s">
        <v>37</v>
      </c>
      <c r="V3419" s="21" t="s">
        <v>38</v>
      </c>
      <c r="W3419" s="22">
        <v>1</v>
      </c>
      <c r="X3419" s="23"/>
    </row>
    <row r="3420" spans="1:24" s="1" customFormat="1" ht="108" customHeight="1" x14ac:dyDescent="0.3">
      <c r="A3420" s="11" t="s">
        <v>23</v>
      </c>
      <c r="B3420" s="11" t="s">
        <v>3117</v>
      </c>
      <c r="C3420" s="12" t="s">
        <v>3118</v>
      </c>
      <c r="D3420" s="25"/>
      <c r="E3420" s="41" t="str">
        <f>HYPERLINK("https://www.google.ru/search?q=6009542-001&amp;newwindow=1&amp;tbm=isch","Еще фото")</f>
        <v>Еще фото</v>
      </c>
      <c r="F3420" s="13"/>
      <c r="G3420" s="11" t="s">
        <v>2966</v>
      </c>
      <c r="H3420" s="11" t="s">
        <v>27</v>
      </c>
      <c r="I3420" s="14" t="s">
        <v>2940</v>
      </c>
      <c r="J3420" s="14" t="s">
        <v>29</v>
      </c>
      <c r="K3420" s="15" t="s">
        <v>59</v>
      </c>
      <c r="L3420" s="14" t="s">
        <v>3119</v>
      </c>
      <c r="M3420" s="14"/>
      <c r="N3420" s="14" t="s">
        <v>33</v>
      </c>
      <c r="O3420" s="14"/>
      <c r="P3420" s="15" t="s">
        <v>966</v>
      </c>
      <c r="Q3420" s="16">
        <v>9999</v>
      </c>
      <c r="R3420" s="17">
        <v>45.99</v>
      </c>
      <c r="S3420" s="18">
        <v>6209.9884999999995</v>
      </c>
      <c r="T3420" s="19" t="s">
        <v>36</v>
      </c>
      <c r="U3420" s="20" t="s">
        <v>63</v>
      </c>
      <c r="V3420" s="21" t="s">
        <v>64</v>
      </c>
      <c r="W3420" s="22">
        <v>7</v>
      </c>
      <c r="X3420" s="23"/>
    </row>
    <row r="3421" spans="1:24" s="1" customFormat="1" ht="108" customHeight="1" x14ac:dyDescent="0.3">
      <c r="A3421" s="11" t="s">
        <v>23</v>
      </c>
      <c r="B3421" s="11" t="s">
        <v>3120</v>
      </c>
      <c r="C3421" s="12" t="s">
        <v>3121</v>
      </c>
      <c r="D3421" s="25"/>
      <c r="E3421" s="41" t="str">
        <f>HYPERLINK("https://www.google.ru/search?q=1373814-112&amp;newwindow=1&amp;tbm=isch","Еще фото")</f>
        <v>Еще фото</v>
      </c>
      <c r="F3421" s="13"/>
      <c r="G3421" s="11" t="s">
        <v>2945</v>
      </c>
      <c r="H3421" s="11" t="s">
        <v>27</v>
      </c>
      <c r="I3421" s="14" t="s">
        <v>2940</v>
      </c>
      <c r="J3421" s="14" t="s">
        <v>43</v>
      </c>
      <c r="K3421" s="15" t="s">
        <v>30</v>
      </c>
      <c r="L3421" s="14" t="s">
        <v>3122</v>
      </c>
      <c r="M3421" s="14"/>
      <c r="N3421" s="14" t="s">
        <v>62</v>
      </c>
      <c r="O3421" s="14"/>
      <c r="P3421" s="15" t="s">
        <v>186</v>
      </c>
      <c r="Q3421" s="16">
        <v>8699</v>
      </c>
      <c r="R3421" s="17">
        <v>45.97</v>
      </c>
      <c r="S3421" s="18">
        <v>5404.9884999999995</v>
      </c>
      <c r="T3421" s="19" t="s">
        <v>36</v>
      </c>
      <c r="U3421" s="20" t="s">
        <v>88</v>
      </c>
      <c r="V3421" s="21" t="s">
        <v>89</v>
      </c>
      <c r="W3421" s="22">
        <v>1</v>
      </c>
      <c r="X3421" s="23"/>
    </row>
    <row r="3422" spans="1:24" s="1" customFormat="1" ht="108" customHeight="1" x14ac:dyDescent="0.3">
      <c r="A3422" s="11" t="s">
        <v>23</v>
      </c>
      <c r="B3422" s="11" t="s">
        <v>3123</v>
      </c>
      <c r="C3422" s="12" t="s">
        <v>3124</v>
      </c>
      <c r="D3422" s="25"/>
      <c r="E3422" s="41" t="str">
        <f>HYPERLINK("https://www.google.ru/search?q=1379744-400&amp;newwindow=1&amp;tbm=isch","Еще фото")</f>
        <v>Еще фото</v>
      </c>
      <c r="F3422" s="13"/>
      <c r="G3422" s="11" t="s">
        <v>2939</v>
      </c>
      <c r="H3422" s="11" t="s">
        <v>27</v>
      </c>
      <c r="I3422" s="14" t="s">
        <v>2940</v>
      </c>
      <c r="J3422" s="14" t="s">
        <v>29</v>
      </c>
      <c r="K3422" s="15" t="s">
        <v>30</v>
      </c>
      <c r="L3422" s="14" t="s">
        <v>3125</v>
      </c>
      <c r="M3422" s="14" t="s">
        <v>140</v>
      </c>
      <c r="N3422" s="14" t="s">
        <v>115</v>
      </c>
      <c r="O3422" s="14"/>
      <c r="P3422" s="15" t="s">
        <v>47</v>
      </c>
      <c r="Q3422" s="16">
        <v>8499</v>
      </c>
      <c r="R3422" s="17">
        <v>45.88</v>
      </c>
      <c r="S3422" s="18">
        <v>5289.9884999999995</v>
      </c>
      <c r="T3422" s="19" t="s">
        <v>36</v>
      </c>
      <c r="U3422" s="20" t="s">
        <v>37</v>
      </c>
      <c r="V3422" s="21" t="s">
        <v>38</v>
      </c>
      <c r="W3422" s="22">
        <v>1</v>
      </c>
      <c r="X3422" s="23"/>
    </row>
    <row r="3423" spans="1:24" s="1" customFormat="1" ht="108" customHeight="1" x14ac:dyDescent="0.3">
      <c r="A3423" s="11" t="s">
        <v>23</v>
      </c>
      <c r="B3423" s="11" t="s">
        <v>3126</v>
      </c>
      <c r="C3423" s="12" t="s">
        <v>3127</v>
      </c>
      <c r="D3423" s="25"/>
      <c r="E3423" s="41" t="str">
        <f>HYPERLINK("https://www.google.ru/search?q=1361601-002&amp;newwindow=1&amp;tbm=isch","Еще фото")</f>
        <v>Еще фото</v>
      </c>
      <c r="F3423" s="13"/>
      <c r="G3423" s="11" t="s">
        <v>3128</v>
      </c>
      <c r="H3423" s="11" t="s">
        <v>27</v>
      </c>
      <c r="I3423" s="14" t="s">
        <v>2940</v>
      </c>
      <c r="J3423" s="14" t="s">
        <v>29</v>
      </c>
      <c r="K3423" s="15" t="s">
        <v>30</v>
      </c>
      <c r="L3423" s="14" t="s">
        <v>3129</v>
      </c>
      <c r="M3423" s="14" t="s">
        <v>32</v>
      </c>
      <c r="N3423" s="14" t="s">
        <v>33</v>
      </c>
      <c r="O3423" s="14" t="s">
        <v>34</v>
      </c>
      <c r="P3423" s="15" t="s">
        <v>47</v>
      </c>
      <c r="Q3423" s="16">
        <v>10899</v>
      </c>
      <c r="R3423" s="17">
        <v>45.87</v>
      </c>
      <c r="S3423" s="18">
        <v>6784.9884999999995</v>
      </c>
      <c r="T3423" s="19" t="s">
        <v>36</v>
      </c>
      <c r="U3423" s="20" t="s">
        <v>37</v>
      </c>
      <c r="V3423" s="21" t="s">
        <v>38</v>
      </c>
      <c r="W3423" s="22">
        <v>1</v>
      </c>
      <c r="X3423" s="23"/>
    </row>
    <row r="3424" spans="1:24" s="1" customFormat="1" ht="108" customHeight="1" x14ac:dyDescent="0.3">
      <c r="A3424" s="11" t="s">
        <v>23</v>
      </c>
      <c r="B3424" s="11" t="s">
        <v>3130</v>
      </c>
      <c r="C3424" s="12" t="s">
        <v>3131</v>
      </c>
      <c r="D3424" s="25"/>
      <c r="E3424" s="41" t="str">
        <f>HYPERLINK("https://www.google.ru/search?q=1370422-279&amp;newwindow=1&amp;tbm=isch","Еще фото")</f>
        <v>Еще фото</v>
      </c>
      <c r="F3424" s="13"/>
      <c r="G3424" s="11" t="s">
        <v>2939</v>
      </c>
      <c r="H3424" s="11" t="s">
        <v>27</v>
      </c>
      <c r="I3424" s="14" t="s">
        <v>2940</v>
      </c>
      <c r="J3424" s="14" t="s">
        <v>29</v>
      </c>
      <c r="K3424" s="15" t="s">
        <v>30</v>
      </c>
      <c r="L3424" s="14" t="s">
        <v>3132</v>
      </c>
      <c r="M3424" s="14" t="s">
        <v>339</v>
      </c>
      <c r="N3424" s="14" t="s">
        <v>62</v>
      </c>
      <c r="O3424" s="14"/>
      <c r="P3424" s="15" t="s">
        <v>542</v>
      </c>
      <c r="Q3424" s="16">
        <v>10899</v>
      </c>
      <c r="R3424" s="17">
        <v>45.87</v>
      </c>
      <c r="S3424" s="18">
        <v>6784.9884999999995</v>
      </c>
      <c r="T3424" s="19" t="s">
        <v>36</v>
      </c>
      <c r="U3424" s="20" t="s">
        <v>37</v>
      </c>
      <c r="V3424" s="21" t="s">
        <v>38</v>
      </c>
      <c r="W3424" s="22">
        <v>11</v>
      </c>
      <c r="X3424" s="23"/>
    </row>
    <row r="3425" spans="1:24" s="1" customFormat="1" ht="108" customHeight="1" x14ac:dyDescent="0.3">
      <c r="A3425" s="11" t="s">
        <v>23</v>
      </c>
      <c r="B3425" s="11" t="s">
        <v>3133</v>
      </c>
      <c r="C3425" s="12" t="s">
        <v>3134</v>
      </c>
      <c r="D3425" s="25"/>
      <c r="E3425" s="41" t="str">
        <f>HYPERLINK("https://www.google.ru/search?q=1320977-001&amp;newwindow=1&amp;tbm=isch","Еще фото")</f>
        <v>Еще фото</v>
      </c>
      <c r="F3425" s="13" t="s">
        <v>103</v>
      </c>
      <c r="G3425" s="11" t="s">
        <v>855</v>
      </c>
      <c r="H3425" s="11" t="s">
        <v>27</v>
      </c>
      <c r="I3425" s="14" t="s">
        <v>2940</v>
      </c>
      <c r="J3425" s="14" t="s">
        <v>29</v>
      </c>
      <c r="K3425" s="15" t="s">
        <v>30</v>
      </c>
      <c r="L3425" s="14" t="s">
        <v>3135</v>
      </c>
      <c r="M3425" s="14" t="s">
        <v>339</v>
      </c>
      <c r="N3425" s="14" t="s">
        <v>33</v>
      </c>
      <c r="O3425" s="14" t="s">
        <v>34</v>
      </c>
      <c r="P3425" s="15" t="s">
        <v>3136</v>
      </c>
      <c r="Q3425" s="16">
        <v>10699</v>
      </c>
      <c r="R3425" s="17">
        <v>45.79</v>
      </c>
      <c r="S3425" s="18">
        <v>6669.9884999999995</v>
      </c>
      <c r="T3425" s="19" t="s">
        <v>36</v>
      </c>
      <c r="U3425" s="20" t="s">
        <v>37</v>
      </c>
      <c r="V3425" s="21" t="s">
        <v>38</v>
      </c>
      <c r="W3425" s="22">
        <v>13</v>
      </c>
      <c r="X3425" s="23"/>
    </row>
    <row r="3426" spans="1:24" s="1" customFormat="1" ht="108" customHeight="1" x14ac:dyDescent="0.3">
      <c r="A3426" s="11" t="s">
        <v>23</v>
      </c>
      <c r="B3426" s="11" t="s">
        <v>3123</v>
      </c>
      <c r="C3426" s="12" t="s">
        <v>3137</v>
      </c>
      <c r="D3426" s="25"/>
      <c r="E3426" s="41" t="str">
        <f>HYPERLINK("https://www.google.ru/search?q=1379745-014&amp;newwindow=1&amp;tbm=isch","Еще фото")</f>
        <v>Еще фото</v>
      </c>
      <c r="F3426" s="13"/>
      <c r="G3426" s="11" t="s">
        <v>2939</v>
      </c>
      <c r="H3426" s="11" t="s">
        <v>27</v>
      </c>
      <c r="I3426" s="14" t="s">
        <v>2940</v>
      </c>
      <c r="J3426" s="14" t="s">
        <v>29</v>
      </c>
      <c r="K3426" s="15" t="s">
        <v>30</v>
      </c>
      <c r="L3426" s="14" t="s">
        <v>3138</v>
      </c>
      <c r="M3426" s="14" t="s">
        <v>140</v>
      </c>
      <c r="N3426" s="14" t="s">
        <v>973</v>
      </c>
      <c r="O3426" s="14"/>
      <c r="P3426" s="15" t="s">
        <v>47</v>
      </c>
      <c r="Q3426" s="16">
        <v>8299</v>
      </c>
      <c r="R3426" s="17">
        <v>45.78</v>
      </c>
      <c r="S3426" s="18">
        <v>5174.9884999999995</v>
      </c>
      <c r="T3426" s="19" t="s">
        <v>36</v>
      </c>
      <c r="U3426" s="20" t="s">
        <v>63</v>
      </c>
      <c r="V3426" s="21" t="s">
        <v>85</v>
      </c>
      <c r="W3426" s="22">
        <v>1</v>
      </c>
      <c r="X3426" s="23"/>
    </row>
    <row r="3427" spans="1:24" s="1" customFormat="1" ht="108" customHeight="1" x14ac:dyDescent="0.3">
      <c r="A3427" s="11" t="s">
        <v>23</v>
      </c>
      <c r="B3427" s="11" t="s">
        <v>2987</v>
      </c>
      <c r="C3427" s="12" t="s">
        <v>3139</v>
      </c>
      <c r="D3427" s="25"/>
      <c r="E3427" s="41" t="str">
        <f>HYPERLINK("https://www.google.ru/search?q=1357110-408&amp;newwindow=1&amp;tbm=isch","Еще фото")</f>
        <v>Еще фото</v>
      </c>
      <c r="F3427" s="13"/>
      <c r="G3427" s="11" t="s">
        <v>2939</v>
      </c>
      <c r="H3427" s="11" t="s">
        <v>27</v>
      </c>
      <c r="I3427" s="14" t="s">
        <v>2940</v>
      </c>
      <c r="J3427" s="14" t="s">
        <v>29</v>
      </c>
      <c r="K3427" s="15" t="s">
        <v>30</v>
      </c>
      <c r="L3427" s="14" t="s">
        <v>3140</v>
      </c>
      <c r="M3427" s="14" t="s">
        <v>140</v>
      </c>
      <c r="N3427" s="14" t="s">
        <v>115</v>
      </c>
      <c r="O3427" s="14"/>
      <c r="P3427" s="15" t="s">
        <v>3141</v>
      </c>
      <c r="Q3427" s="16">
        <v>5899</v>
      </c>
      <c r="R3427" s="17">
        <v>45.75</v>
      </c>
      <c r="S3427" s="18">
        <v>3679.9884999999995</v>
      </c>
      <c r="T3427" s="19" t="s">
        <v>36</v>
      </c>
      <c r="U3427" s="20" t="s">
        <v>63</v>
      </c>
      <c r="V3427" s="21" t="s">
        <v>85</v>
      </c>
      <c r="W3427" s="22">
        <v>9</v>
      </c>
      <c r="X3427" s="23"/>
    </row>
    <row r="3428" spans="1:24" s="1" customFormat="1" ht="108" customHeight="1" x14ac:dyDescent="0.3">
      <c r="A3428" s="11" t="s">
        <v>23</v>
      </c>
      <c r="B3428" s="11" t="s">
        <v>3142</v>
      </c>
      <c r="C3428" s="12" t="s">
        <v>3143</v>
      </c>
      <c r="D3428" s="25"/>
      <c r="E3428" s="41" t="str">
        <f>HYPERLINK("https://www.google.ru/search?q=1369853-872&amp;newwindow=1&amp;tbm=isch","Еще фото")</f>
        <v>Еще фото</v>
      </c>
      <c r="F3428" s="13"/>
      <c r="G3428" s="11" t="s">
        <v>2939</v>
      </c>
      <c r="H3428" s="11" t="s">
        <v>27</v>
      </c>
      <c r="I3428" s="14" t="s">
        <v>2940</v>
      </c>
      <c r="J3428" s="14" t="s">
        <v>29</v>
      </c>
      <c r="K3428" s="15" t="s">
        <v>59</v>
      </c>
      <c r="L3428" s="14" t="s">
        <v>3144</v>
      </c>
      <c r="M3428" s="14" t="s">
        <v>119</v>
      </c>
      <c r="N3428" s="14" t="s">
        <v>2005</v>
      </c>
      <c r="O3428" s="14"/>
      <c r="P3428" s="15" t="s">
        <v>3145</v>
      </c>
      <c r="Q3428" s="16">
        <v>5899</v>
      </c>
      <c r="R3428" s="17">
        <v>45.75</v>
      </c>
      <c r="S3428" s="18">
        <v>3679.9884999999995</v>
      </c>
      <c r="T3428" s="19" t="s">
        <v>36</v>
      </c>
      <c r="U3428" s="20" t="s">
        <v>63</v>
      </c>
      <c r="V3428" s="21" t="s">
        <v>64</v>
      </c>
      <c r="W3428" s="22">
        <v>4</v>
      </c>
      <c r="X3428" s="23"/>
    </row>
    <row r="3429" spans="1:24" s="1" customFormat="1" ht="108" customHeight="1" x14ac:dyDescent="0.3">
      <c r="A3429" s="11" t="s">
        <v>23</v>
      </c>
      <c r="B3429" s="11" t="s">
        <v>3146</v>
      </c>
      <c r="C3429" s="12" t="s">
        <v>3147</v>
      </c>
      <c r="D3429" s="25"/>
      <c r="E3429" s="41" t="str">
        <f>HYPERLINK("https://www.google.ru/search?q=1383227-001&amp;newwindow=1&amp;tbm=isch","Еще фото")</f>
        <v>Еще фото</v>
      </c>
      <c r="F3429" s="13"/>
      <c r="G3429" s="11" t="s">
        <v>3060</v>
      </c>
      <c r="H3429" s="11" t="s">
        <v>27</v>
      </c>
      <c r="I3429" s="14" t="s">
        <v>2940</v>
      </c>
      <c r="J3429" s="14" t="s">
        <v>29</v>
      </c>
      <c r="K3429" s="15" t="s">
        <v>30</v>
      </c>
      <c r="L3429" s="14" t="s">
        <v>3148</v>
      </c>
      <c r="M3429" s="14"/>
      <c r="N3429" s="14" t="s">
        <v>33</v>
      </c>
      <c r="O3429" s="14"/>
      <c r="P3429" s="15" t="s">
        <v>120</v>
      </c>
      <c r="Q3429" s="16">
        <v>13999</v>
      </c>
      <c r="R3429" s="17">
        <v>45.71</v>
      </c>
      <c r="S3429" s="18">
        <v>8739.9884999999995</v>
      </c>
      <c r="T3429" s="19" t="s">
        <v>36</v>
      </c>
      <c r="U3429" s="20" t="s">
        <v>37</v>
      </c>
      <c r="V3429" s="21" t="s">
        <v>38</v>
      </c>
      <c r="W3429" s="22">
        <v>1</v>
      </c>
      <c r="X3429" s="23"/>
    </row>
    <row r="3430" spans="1:24" s="1" customFormat="1" ht="108" customHeight="1" x14ac:dyDescent="0.3">
      <c r="A3430" s="11" t="s">
        <v>23</v>
      </c>
      <c r="B3430" s="11" t="s">
        <v>3149</v>
      </c>
      <c r="C3430" s="12" t="s">
        <v>3150</v>
      </c>
      <c r="D3430" s="25"/>
      <c r="E3430" s="41" t="str">
        <f>HYPERLINK("https://www.google.ru/search?q=1357092-001&amp;newwindow=1&amp;tbm=isch","Еще фото")</f>
        <v>Еще фото</v>
      </c>
      <c r="F3430" s="13"/>
      <c r="G3430" s="11" t="s">
        <v>2939</v>
      </c>
      <c r="H3430" s="11" t="s">
        <v>27</v>
      </c>
      <c r="I3430" s="14" t="s">
        <v>2940</v>
      </c>
      <c r="J3430" s="14" t="s">
        <v>29</v>
      </c>
      <c r="K3430" s="15" t="s">
        <v>30</v>
      </c>
      <c r="L3430" s="14" t="s">
        <v>3151</v>
      </c>
      <c r="M3430" s="14" t="s">
        <v>68</v>
      </c>
      <c r="N3430" s="14" t="s">
        <v>33</v>
      </c>
      <c r="O3430" s="14"/>
      <c r="P3430" s="15" t="s">
        <v>120</v>
      </c>
      <c r="Q3430" s="16">
        <v>6999</v>
      </c>
      <c r="R3430" s="17">
        <v>45.71</v>
      </c>
      <c r="S3430" s="18">
        <v>4369.9884999999995</v>
      </c>
      <c r="T3430" s="19" t="s">
        <v>36</v>
      </c>
      <c r="U3430" s="20" t="s">
        <v>63</v>
      </c>
      <c r="V3430" s="21" t="s">
        <v>85</v>
      </c>
      <c r="W3430" s="22">
        <v>2</v>
      </c>
      <c r="X3430" s="23"/>
    </row>
    <row r="3431" spans="1:24" s="1" customFormat="1" ht="108" customHeight="1" x14ac:dyDescent="0.3">
      <c r="A3431" s="11" t="s">
        <v>23</v>
      </c>
      <c r="B3431" s="11" t="s">
        <v>3074</v>
      </c>
      <c r="C3431" s="12" t="s">
        <v>3152</v>
      </c>
      <c r="D3431" s="25"/>
      <c r="E3431" s="41" t="str">
        <f>HYPERLINK("https://www.google.ru/search?q=1379588-025&amp;newwindow=1&amp;tbm=isch","Еще фото")</f>
        <v>Еще фото</v>
      </c>
      <c r="F3431" s="13" t="s">
        <v>103</v>
      </c>
      <c r="G3431" s="11" t="s">
        <v>2945</v>
      </c>
      <c r="H3431" s="11" t="s">
        <v>27</v>
      </c>
      <c r="I3431" s="14" t="s">
        <v>2940</v>
      </c>
      <c r="J3431" s="14" t="s">
        <v>311</v>
      </c>
      <c r="K3431" s="15" t="s">
        <v>30</v>
      </c>
      <c r="L3431" s="14" t="s">
        <v>3076</v>
      </c>
      <c r="M3431" s="14" t="s">
        <v>3077</v>
      </c>
      <c r="N3431" s="14" t="s">
        <v>62</v>
      </c>
      <c r="O3431" s="14"/>
      <c r="P3431" s="15" t="s">
        <v>47</v>
      </c>
      <c r="Q3431" s="16">
        <v>6999</v>
      </c>
      <c r="R3431" s="17">
        <v>45.71</v>
      </c>
      <c r="S3431" s="18">
        <v>4369.9884999999995</v>
      </c>
      <c r="T3431" s="19" t="s">
        <v>36</v>
      </c>
      <c r="U3431" s="20" t="s">
        <v>37</v>
      </c>
      <c r="V3431" s="21" t="s">
        <v>38</v>
      </c>
      <c r="W3431" s="22">
        <v>2</v>
      </c>
      <c r="X3431" s="23"/>
    </row>
    <row r="3432" spans="1:24" s="1" customFormat="1" ht="108" customHeight="1" x14ac:dyDescent="0.3">
      <c r="A3432" s="11" t="s">
        <v>23</v>
      </c>
      <c r="B3432" s="11" t="s">
        <v>3153</v>
      </c>
      <c r="C3432" s="12" t="s">
        <v>3154</v>
      </c>
      <c r="D3432" s="25"/>
      <c r="E3432" s="41" t="str">
        <f>HYPERLINK("https://www.google.ru/search?q=1370355-279&amp;newwindow=1&amp;tbm=isch","Еще фото")</f>
        <v>Еще фото</v>
      </c>
      <c r="F3432" s="13"/>
      <c r="G3432" s="11" t="s">
        <v>2939</v>
      </c>
      <c r="H3432" s="11" t="s">
        <v>27</v>
      </c>
      <c r="I3432" s="14" t="s">
        <v>2940</v>
      </c>
      <c r="J3432" s="14" t="s">
        <v>29</v>
      </c>
      <c r="K3432" s="15" t="s">
        <v>30</v>
      </c>
      <c r="L3432" s="14" t="s">
        <v>3155</v>
      </c>
      <c r="M3432" s="14" t="s">
        <v>68</v>
      </c>
      <c r="N3432" s="14" t="s">
        <v>229</v>
      </c>
      <c r="O3432" s="14" t="s">
        <v>34</v>
      </c>
      <c r="P3432" s="15" t="s">
        <v>479</v>
      </c>
      <c r="Q3432" s="16">
        <v>8099</v>
      </c>
      <c r="R3432" s="17">
        <v>45.67</v>
      </c>
      <c r="S3432" s="18">
        <v>5059.9884999999995</v>
      </c>
      <c r="T3432" s="19" t="s">
        <v>36</v>
      </c>
      <c r="U3432" s="20" t="s">
        <v>63</v>
      </c>
      <c r="V3432" s="21" t="s">
        <v>85</v>
      </c>
      <c r="W3432" s="22">
        <v>1</v>
      </c>
      <c r="X3432" s="23"/>
    </row>
    <row r="3433" spans="1:24" s="1" customFormat="1" ht="108" customHeight="1" x14ac:dyDescent="0.3">
      <c r="A3433" s="11" t="s">
        <v>23</v>
      </c>
      <c r="B3433" s="11" t="s">
        <v>3156</v>
      </c>
      <c r="C3433" s="12" t="s">
        <v>3157</v>
      </c>
      <c r="D3433" s="25"/>
      <c r="E3433" s="41" t="str">
        <f>HYPERLINK("https://www.google.ru/search?q=1383244-002&amp;newwindow=1&amp;tbm=isch","Еще фото")</f>
        <v>Еще фото</v>
      </c>
      <c r="F3433" s="13"/>
      <c r="G3433" s="11" t="s">
        <v>2945</v>
      </c>
      <c r="H3433" s="11" t="s">
        <v>27</v>
      </c>
      <c r="I3433" s="14" t="s">
        <v>2940</v>
      </c>
      <c r="J3433" s="14" t="s">
        <v>29</v>
      </c>
      <c r="K3433" s="15" t="s">
        <v>30</v>
      </c>
      <c r="L3433" s="14" t="s">
        <v>3158</v>
      </c>
      <c r="M3433" s="14"/>
      <c r="N3433" s="14" t="s">
        <v>33</v>
      </c>
      <c r="O3433" s="14"/>
      <c r="P3433" s="15" t="s">
        <v>1008</v>
      </c>
      <c r="Q3433" s="16">
        <v>9199</v>
      </c>
      <c r="R3433" s="17">
        <v>45.65</v>
      </c>
      <c r="S3433" s="18">
        <v>5749.9884999999995</v>
      </c>
      <c r="T3433" s="19" t="s">
        <v>36</v>
      </c>
      <c r="U3433" s="20" t="s">
        <v>37</v>
      </c>
      <c r="V3433" s="21" t="s">
        <v>38</v>
      </c>
      <c r="W3433" s="22">
        <v>2</v>
      </c>
      <c r="X3433" s="23"/>
    </row>
    <row r="3434" spans="1:24" s="1" customFormat="1" ht="108" customHeight="1" x14ac:dyDescent="0.3">
      <c r="A3434" s="11" t="s">
        <v>23</v>
      </c>
      <c r="B3434" s="11" t="s">
        <v>3159</v>
      </c>
      <c r="C3434" s="12" t="s">
        <v>3160</v>
      </c>
      <c r="D3434" s="25"/>
      <c r="E3434" s="41" t="str">
        <f>HYPERLINK("https://www.google.ru/search?q=1370494-390&amp;newwindow=1&amp;tbm=isch","Еще фото")</f>
        <v>Еще фото</v>
      </c>
      <c r="F3434" s="13"/>
      <c r="G3434" s="11" t="s">
        <v>2966</v>
      </c>
      <c r="H3434" s="11" t="s">
        <v>27</v>
      </c>
      <c r="I3434" s="14" t="s">
        <v>2940</v>
      </c>
      <c r="J3434" s="14" t="s">
        <v>29</v>
      </c>
      <c r="K3434" s="15" t="s">
        <v>30</v>
      </c>
      <c r="L3434" s="14" t="s">
        <v>3161</v>
      </c>
      <c r="M3434" s="14" t="s">
        <v>32</v>
      </c>
      <c r="N3434" s="14" t="s">
        <v>127</v>
      </c>
      <c r="O3434" s="14"/>
      <c r="P3434" s="15" t="s">
        <v>213</v>
      </c>
      <c r="Q3434" s="16">
        <v>15999</v>
      </c>
      <c r="R3434" s="17">
        <v>45.62</v>
      </c>
      <c r="S3434" s="18">
        <v>10004.988499999999</v>
      </c>
      <c r="T3434" s="19" t="s">
        <v>36</v>
      </c>
      <c r="U3434" s="20" t="s">
        <v>37</v>
      </c>
      <c r="V3434" s="21" t="s">
        <v>38</v>
      </c>
      <c r="W3434" s="22">
        <v>5</v>
      </c>
      <c r="X3434" s="23"/>
    </row>
    <row r="3435" spans="1:24" s="1" customFormat="1" ht="108" customHeight="1" x14ac:dyDescent="0.3">
      <c r="A3435" s="11" t="s">
        <v>23</v>
      </c>
      <c r="B3435" s="11" t="s">
        <v>3097</v>
      </c>
      <c r="C3435" s="12" t="s">
        <v>3162</v>
      </c>
      <c r="D3435" s="25"/>
      <c r="E3435" s="41" t="str">
        <f>HYPERLINK("https://www.google.ru/search?q=6003978-100&amp;newwindow=1&amp;tbm=isch","Еще фото")</f>
        <v>Еще фото</v>
      </c>
      <c r="F3435" s="13"/>
      <c r="G3435" s="11" t="s">
        <v>2966</v>
      </c>
      <c r="H3435" s="11" t="s">
        <v>27</v>
      </c>
      <c r="I3435" s="14" t="s">
        <v>2940</v>
      </c>
      <c r="J3435" s="14" t="s">
        <v>43</v>
      </c>
      <c r="K3435" s="15" t="s">
        <v>30</v>
      </c>
      <c r="L3435" s="14" t="s">
        <v>3163</v>
      </c>
      <c r="M3435" s="14" t="s">
        <v>32</v>
      </c>
      <c r="N3435" s="14" t="s">
        <v>84</v>
      </c>
      <c r="O3435" s="14"/>
      <c r="P3435" s="15" t="s">
        <v>248</v>
      </c>
      <c r="Q3435" s="16">
        <v>12499</v>
      </c>
      <c r="R3435" s="17">
        <v>45.6</v>
      </c>
      <c r="S3435" s="18">
        <v>7819.9884999999995</v>
      </c>
      <c r="T3435" s="19" t="s">
        <v>36</v>
      </c>
      <c r="U3435" s="20" t="s">
        <v>37</v>
      </c>
      <c r="V3435" s="21" t="s">
        <v>38</v>
      </c>
      <c r="W3435" s="22">
        <v>1</v>
      </c>
      <c r="X3435" s="23"/>
    </row>
    <row r="3436" spans="1:24" s="1" customFormat="1" ht="52.05" customHeight="1" x14ac:dyDescent="0.3">
      <c r="A3436" s="11" t="s">
        <v>23</v>
      </c>
      <c r="B3436" s="11" t="s">
        <v>2980</v>
      </c>
      <c r="C3436" s="12" t="s">
        <v>3164</v>
      </c>
      <c r="D3436" s="55"/>
      <c r="E3436" s="41" t="str">
        <f>HYPERLINK("https://www.google.ru/search?q=1357093-782&amp;newwindow=1&amp;tbm=isch","Еще фото")</f>
        <v>Еще фото</v>
      </c>
      <c r="F3436" s="13" t="s">
        <v>103</v>
      </c>
      <c r="G3436" s="11" t="s">
        <v>2939</v>
      </c>
      <c r="H3436" s="11" t="s">
        <v>27</v>
      </c>
      <c r="I3436" s="14" t="s">
        <v>2940</v>
      </c>
      <c r="J3436" s="14" t="s">
        <v>29</v>
      </c>
      <c r="K3436" s="15" t="s">
        <v>30</v>
      </c>
      <c r="L3436" s="57" t="s">
        <v>3019</v>
      </c>
      <c r="M3436" s="14" t="s">
        <v>68</v>
      </c>
      <c r="N3436" s="14" t="s">
        <v>1165</v>
      </c>
      <c r="O3436" s="14" t="s">
        <v>34</v>
      </c>
      <c r="P3436" s="15" t="s">
        <v>120</v>
      </c>
      <c r="Q3436" s="16">
        <v>6799</v>
      </c>
      <c r="R3436" s="17">
        <v>45.58</v>
      </c>
      <c r="S3436" s="18">
        <v>4254.9884999999995</v>
      </c>
      <c r="T3436" s="19" t="s">
        <v>36</v>
      </c>
      <c r="U3436" s="20" t="s">
        <v>63</v>
      </c>
      <c r="V3436" s="21" t="s">
        <v>85</v>
      </c>
      <c r="W3436" s="22">
        <v>1</v>
      </c>
      <c r="X3436" s="23"/>
    </row>
    <row r="3437" spans="1:24" s="1" customFormat="1" ht="61.05" customHeight="1" x14ac:dyDescent="0.3">
      <c r="A3437" s="24" t="s">
        <v>23</v>
      </c>
      <c r="B3437" s="24" t="s">
        <v>2980</v>
      </c>
      <c r="C3437" s="12" t="s">
        <v>3164</v>
      </c>
      <c r="D3437" s="56"/>
      <c r="E3437" s="41" t="str">
        <f>HYPERLINK("https://www.google.ru/search?q=1357093-782&amp;newwindow=1&amp;tbm=isch","Еще фото")</f>
        <v>Еще фото</v>
      </c>
      <c r="F3437" s="13" t="s">
        <v>103</v>
      </c>
      <c r="G3437" s="24" t="s">
        <v>2939</v>
      </c>
      <c r="H3437" s="24" t="s">
        <v>27</v>
      </c>
      <c r="I3437" s="24" t="s">
        <v>2940</v>
      </c>
      <c r="J3437" s="14" t="s">
        <v>29</v>
      </c>
      <c r="K3437" s="15" t="s">
        <v>30</v>
      </c>
      <c r="L3437" s="58"/>
      <c r="M3437" s="14" t="s">
        <v>68</v>
      </c>
      <c r="N3437" s="14" t="s">
        <v>1165</v>
      </c>
      <c r="O3437" s="14" t="s">
        <v>34</v>
      </c>
      <c r="P3437" s="15" t="s">
        <v>120</v>
      </c>
      <c r="Q3437" s="16">
        <v>6799</v>
      </c>
      <c r="R3437" s="17">
        <v>45.58</v>
      </c>
      <c r="S3437" s="18">
        <v>4254.9884999999995</v>
      </c>
      <c r="T3437" s="19" t="s">
        <v>36</v>
      </c>
      <c r="U3437" s="20" t="s">
        <v>37</v>
      </c>
      <c r="V3437" s="21" t="s">
        <v>38</v>
      </c>
      <c r="W3437" s="22">
        <v>3</v>
      </c>
      <c r="X3437" s="23"/>
    </row>
    <row r="3438" spans="1:24" s="1" customFormat="1" ht="108" customHeight="1" x14ac:dyDescent="0.3">
      <c r="A3438" s="11" t="s">
        <v>23</v>
      </c>
      <c r="B3438" s="11" t="s">
        <v>3165</v>
      </c>
      <c r="C3438" s="12" t="s">
        <v>3166</v>
      </c>
      <c r="D3438" s="25"/>
      <c r="E3438" s="41" t="str">
        <f>HYPERLINK("https://www.google.ru/search?q=1382184-001&amp;newwindow=1&amp;tbm=isch","Еще фото")</f>
        <v>Еще фото</v>
      </c>
      <c r="F3438" s="13"/>
      <c r="G3438" s="11" t="s">
        <v>2945</v>
      </c>
      <c r="H3438" s="11" t="s">
        <v>27</v>
      </c>
      <c r="I3438" s="14" t="s">
        <v>2940</v>
      </c>
      <c r="J3438" s="14" t="s">
        <v>29</v>
      </c>
      <c r="K3438" s="15" t="s">
        <v>30</v>
      </c>
      <c r="L3438" s="14" t="s">
        <v>3167</v>
      </c>
      <c r="M3438" s="14"/>
      <c r="N3438" s="14" t="s">
        <v>33</v>
      </c>
      <c r="O3438" s="14"/>
      <c r="P3438" s="15" t="s">
        <v>364</v>
      </c>
      <c r="Q3438" s="16">
        <v>6799</v>
      </c>
      <c r="R3438" s="17">
        <v>45.58</v>
      </c>
      <c r="S3438" s="18">
        <v>4254.9884999999995</v>
      </c>
      <c r="T3438" s="19" t="s">
        <v>36</v>
      </c>
      <c r="U3438" s="20" t="s">
        <v>37</v>
      </c>
      <c r="V3438" s="21" t="s">
        <v>38</v>
      </c>
      <c r="W3438" s="22">
        <v>1</v>
      </c>
      <c r="X3438" s="23"/>
    </row>
    <row r="3439" spans="1:24" s="1" customFormat="1" ht="108" customHeight="1" x14ac:dyDescent="0.3">
      <c r="A3439" s="11" t="s">
        <v>23</v>
      </c>
      <c r="B3439" s="11" t="s">
        <v>3168</v>
      </c>
      <c r="C3439" s="12" t="s">
        <v>3169</v>
      </c>
      <c r="D3439" s="25"/>
      <c r="E3439" s="41" t="str">
        <f>HYPERLINK("https://www.google.ru/search?q=1386593-301&amp;newwindow=1&amp;tbm=isch","Еще фото")</f>
        <v>Еще фото</v>
      </c>
      <c r="F3439" s="13"/>
      <c r="G3439" s="11" t="s">
        <v>2939</v>
      </c>
      <c r="H3439" s="11" t="s">
        <v>27</v>
      </c>
      <c r="I3439" s="14" t="s">
        <v>2940</v>
      </c>
      <c r="J3439" s="14" t="s">
        <v>29</v>
      </c>
      <c r="K3439" s="15" t="s">
        <v>30</v>
      </c>
      <c r="L3439" s="14" t="s">
        <v>3170</v>
      </c>
      <c r="M3439" s="14"/>
      <c r="N3439" s="14" t="s">
        <v>127</v>
      </c>
      <c r="O3439" s="14"/>
      <c r="P3439" s="15" t="s">
        <v>120</v>
      </c>
      <c r="Q3439" s="16">
        <v>6799</v>
      </c>
      <c r="R3439" s="17">
        <v>45.58</v>
      </c>
      <c r="S3439" s="18">
        <v>4254.9884999999995</v>
      </c>
      <c r="T3439" s="19" t="s">
        <v>36</v>
      </c>
      <c r="U3439" s="20" t="s">
        <v>37</v>
      </c>
      <c r="V3439" s="21" t="s">
        <v>38</v>
      </c>
      <c r="W3439" s="22">
        <v>1</v>
      </c>
      <c r="X3439" s="23"/>
    </row>
    <row r="3440" spans="1:24" s="1" customFormat="1" ht="108" customHeight="1" x14ac:dyDescent="0.3">
      <c r="A3440" s="11" t="s">
        <v>23</v>
      </c>
      <c r="B3440" s="11" t="s">
        <v>3171</v>
      </c>
      <c r="C3440" s="12" t="s">
        <v>3172</v>
      </c>
      <c r="D3440" s="25"/>
      <c r="E3440" s="41" t="str">
        <f>HYPERLINK("https://www.google.ru/search?q=1386501-464&amp;newwindow=1&amp;tbm=isch","Еще фото")</f>
        <v>Еще фото</v>
      </c>
      <c r="F3440" s="13"/>
      <c r="G3440" s="11" t="s">
        <v>2939</v>
      </c>
      <c r="H3440" s="11" t="s">
        <v>27</v>
      </c>
      <c r="I3440" s="14" t="s">
        <v>2940</v>
      </c>
      <c r="J3440" s="14" t="s">
        <v>29</v>
      </c>
      <c r="K3440" s="15" t="s">
        <v>59</v>
      </c>
      <c r="L3440" s="14" t="s">
        <v>3173</v>
      </c>
      <c r="M3440" s="14"/>
      <c r="N3440" s="14" t="s">
        <v>46</v>
      </c>
      <c r="O3440" s="14"/>
      <c r="P3440" s="15" t="s">
        <v>120</v>
      </c>
      <c r="Q3440" s="16">
        <v>7899</v>
      </c>
      <c r="R3440" s="17">
        <v>45.56</v>
      </c>
      <c r="S3440" s="18">
        <v>4944.9884999999995</v>
      </c>
      <c r="T3440" s="19" t="s">
        <v>36</v>
      </c>
      <c r="U3440" s="20" t="s">
        <v>63</v>
      </c>
      <c r="V3440" s="21" t="s">
        <v>64</v>
      </c>
      <c r="W3440" s="22">
        <v>1</v>
      </c>
      <c r="X3440" s="23"/>
    </row>
    <row r="3441" spans="1:24" s="1" customFormat="1" ht="108" customHeight="1" x14ac:dyDescent="0.3">
      <c r="A3441" s="11" t="s">
        <v>23</v>
      </c>
      <c r="B3441" s="11" t="s">
        <v>2996</v>
      </c>
      <c r="C3441" s="12" t="s">
        <v>3174</v>
      </c>
      <c r="D3441" s="25"/>
      <c r="E3441" s="41" t="str">
        <f>HYPERLINK("https://www.google.ru/search?q=1378824-001&amp;newwindow=1&amp;tbm=isch","Еще фото")</f>
        <v>Еще фото</v>
      </c>
      <c r="F3441" s="13"/>
      <c r="G3441" s="11" t="s">
        <v>2966</v>
      </c>
      <c r="H3441" s="11" t="s">
        <v>27</v>
      </c>
      <c r="I3441" s="14" t="s">
        <v>2940</v>
      </c>
      <c r="J3441" s="14" t="s">
        <v>29</v>
      </c>
      <c r="K3441" s="15" t="s">
        <v>30</v>
      </c>
      <c r="L3441" s="14" t="s">
        <v>2998</v>
      </c>
      <c r="M3441" s="14" t="s">
        <v>32</v>
      </c>
      <c r="N3441" s="14" t="s">
        <v>33</v>
      </c>
      <c r="O3441" s="14"/>
      <c r="P3441" s="15" t="s">
        <v>47</v>
      </c>
      <c r="Q3441" s="16">
        <v>17999</v>
      </c>
      <c r="R3441" s="17">
        <v>45.55</v>
      </c>
      <c r="S3441" s="18">
        <v>11269.988499999999</v>
      </c>
      <c r="T3441" s="19" t="s">
        <v>36</v>
      </c>
      <c r="U3441" s="20" t="s">
        <v>37</v>
      </c>
      <c r="V3441" s="21" t="s">
        <v>38</v>
      </c>
      <c r="W3441" s="22">
        <v>1</v>
      </c>
      <c r="X3441" s="23"/>
    </row>
    <row r="3442" spans="1:24" s="1" customFormat="1" ht="52.05" customHeight="1" x14ac:dyDescent="0.3">
      <c r="A3442" s="11" t="s">
        <v>23</v>
      </c>
      <c r="B3442" s="11" t="s">
        <v>2943</v>
      </c>
      <c r="C3442" s="12" t="s">
        <v>3175</v>
      </c>
      <c r="D3442" s="55"/>
      <c r="E3442" s="41" t="str">
        <f>HYPERLINK("https://www.google.ru/search?q=1373359-001&amp;newwindow=1&amp;tbm=isch","Еще фото")</f>
        <v>Еще фото</v>
      </c>
      <c r="F3442" s="13"/>
      <c r="G3442" s="11" t="s">
        <v>2945</v>
      </c>
      <c r="H3442" s="11" t="s">
        <v>27</v>
      </c>
      <c r="I3442" s="14" t="s">
        <v>2940</v>
      </c>
      <c r="J3442" s="14" t="s">
        <v>29</v>
      </c>
      <c r="K3442" s="15" t="s">
        <v>30</v>
      </c>
      <c r="L3442" s="57" t="s">
        <v>3176</v>
      </c>
      <c r="M3442" s="14" t="s">
        <v>140</v>
      </c>
      <c r="N3442" s="14" t="s">
        <v>33</v>
      </c>
      <c r="O3442" s="14"/>
      <c r="P3442" s="15" t="s">
        <v>47</v>
      </c>
      <c r="Q3442" s="16">
        <v>8999</v>
      </c>
      <c r="R3442" s="17">
        <v>45.55</v>
      </c>
      <c r="S3442" s="18">
        <v>5634.9884999999995</v>
      </c>
      <c r="T3442" s="19" t="s">
        <v>36</v>
      </c>
      <c r="U3442" s="20" t="s">
        <v>63</v>
      </c>
      <c r="V3442" s="21" t="s">
        <v>85</v>
      </c>
      <c r="W3442" s="22">
        <v>1</v>
      </c>
      <c r="X3442" s="23"/>
    </row>
    <row r="3443" spans="1:24" s="1" customFormat="1" ht="61.05" customHeight="1" x14ac:dyDescent="0.3">
      <c r="A3443" s="24" t="s">
        <v>23</v>
      </c>
      <c r="B3443" s="24" t="s">
        <v>2943</v>
      </c>
      <c r="C3443" s="12" t="s">
        <v>3175</v>
      </c>
      <c r="D3443" s="56"/>
      <c r="E3443" s="41" t="str">
        <f>HYPERLINK("https://www.google.ru/search?q=1373359-001&amp;newwindow=1&amp;tbm=isch","Еще фото")</f>
        <v>Еще фото</v>
      </c>
      <c r="F3443" s="13"/>
      <c r="G3443" s="24" t="s">
        <v>2945</v>
      </c>
      <c r="H3443" s="24" t="s">
        <v>27</v>
      </c>
      <c r="I3443" s="24" t="s">
        <v>2940</v>
      </c>
      <c r="J3443" s="14" t="s">
        <v>29</v>
      </c>
      <c r="K3443" s="15" t="s">
        <v>30</v>
      </c>
      <c r="L3443" s="58"/>
      <c r="M3443" s="14" t="s">
        <v>140</v>
      </c>
      <c r="N3443" s="14" t="s">
        <v>33</v>
      </c>
      <c r="O3443" s="14"/>
      <c r="P3443" s="15" t="s">
        <v>47</v>
      </c>
      <c r="Q3443" s="16">
        <v>8999</v>
      </c>
      <c r="R3443" s="17">
        <v>45.55</v>
      </c>
      <c r="S3443" s="18">
        <v>5634.9884999999995</v>
      </c>
      <c r="T3443" s="19" t="s">
        <v>36</v>
      </c>
      <c r="U3443" s="20" t="s">
        <v>37</v>
      </c>
      <c r="V3443" s="21" t="s">
        <v>38</v>
      </c>
      <c r="W3443" s="22">
        <v>1</v>
      </c>
      <c r="X3443" s="23"/>
    </row>
    <row r="3444" spans="1:24" s="1" customFormat="1" ht="108" customHeight="1" x14ac:dyDescent="0.3">
      <c r="A3444" s="11" t="s">
        <v>23</v>
      </c>
      <c r="B3444" s="11" t="s">
        <v>3111</v>
      </c>
      <c r="C3444" s="12" t="s">
        <v>3177</v>
      </c>
      <c r="D3444" s="25"/>
      <c r="E3444" s="41" t="str">
        <f>HYPERLINK("https://www.google.ru/search?q=1373674-426&amp;newwindow=1&amp;tbm=isch","Еще фото")</f>
        <v>Еще фото</v>
      </c>
      <c r="F3444" s="13"/>
      <c r="G3444" s="11" t="s">
        <v>2945</v>
      </c>
      <c r="H3444" s="11" t="s">
        <v>27</v>
      </c>
      <c r="I3444" s="14" t="s">
        <v>2940</v>
      </c>
      <c r="J3444" s="14" t="s">
        <v>211</v>
      </c>
      <c r="K3444" s="15" t="s">
        <v>30</v>
      </c>
      <c r="L3444" s="14" t="s">
        <v>3113</v>
      </c>
      <c r="M3444" s="14" t="s">
        <v>32</v>
      </c>
      <c r="N3444" s="14" t="s">
        <v>115</v>
      </c>
      <c r="O3444" s="14"/>
      <c r="P3444" s="15" t="s">
        <v>47</v>
      </c>
      <c r="Q3444" s="16">
        <v>9899</v>
      </c>
      <c r="R3444" s="17">
        <v>45.45</v>
      </c>
      <c r="S3444" s="18">
        <v>6209.9884999999995</v>
      </c>
      <c r="T3444" s="19" t="s">
        <v>36</v>
      </c>
      <c r="U3444" s="20" t="s">
        <v>63</v>
      </c>
      <c r="V3444" s="21" t="s">
        <v>85</v>
      </c>
      <c r="W3444" s="22">
        <v>1</v>
      </c>
      <c r="X3444" s="23"/>
    </row>
    <row r="3445" spans="1:24" s="1" customFormat="1" ht="108" customHeight="1" x14ac:dyDescent="0.3">
      <c r="A3445" s="11" t="s">
        <v>23</v>
      </c>
      <c r="B3445" s="11" t="s">
        <v>3178</v>
      </c>
      <c r="C3445" s="12" t="s">
        <v>3179</v>
      </c>
      <c r="D3445" s="25"/>
      <c r="E3445" s="41" t="str">
        <f>HYPERLINK("https://www.google.ru/search?q=6014686-001&amp;newwindow=1&amp;tbm=isch","Еще фото")</f>
        <v>Еще фото</v>
      </c>
      <c r="F3445" s="13" t="s">
        <v>103</v>
      </c>
      <c r="G3445" s="11" t="s">
        <v>2939</v>
      </c>
      <c r="H3445" s="11" t="s">
        <v>27</v>
      </c>
      <c r="I3445" s="14" t="s">
        <v>2940</v>
      </c>
      <c r="J3445" s="14" t="s">
        <v>43</v>
      </c>
      <c r="K3445" s="15" t="s">
        <v>30</v>
      </c>
      <c r="L3445" s="14" t="s">
        <v>3180</v>
      </c>
      <c r="M3445" s="14"/>
      <c r="N3445" s="14" t="s">
        <v>33</v>
      </c>
      <c r="O3445" s="14"/>
      <c r="P3445" s="15" t="s">
        <v>120</v>
      </c>
      <c r="Q3445" s="16">
        <v>6599</v>
      </c>
      <c r="R3445" s="17">
        <v>45.45</v>
      </c>
      <c r="S3445" s="18">
        <v>4139.9884999999995</v>
      </c>
      <c r="T3445" s="19" t="s">
        <v>36</v>
      </c>
      <c r="U3445" s="20" t="s">
        <v>63</v>
      </c>
      <c r="V3445" s="21" t="s">
        <v>85</v>
      </c>
      <c r="W3445" s="22">
        <v>3</v>
      </c>
      <c r="X3445" s="23"/>
    </row>
    <row r="3446" spans="1:24" s="1" customFormat="1" ht="108" customHeight="1" x14ac:dyDescent="0.3">
      <c r="A3446" s="11" t="s">
        <v>23</v>
      </c>
      <c r="B3446" s="11" t="s">
        <v>3181</v>
      </c>
      <c r="C3446" s="12" t="s">
        <v>3182</v>
      </c>
      <c r="D3446" s="25"/>
      <c r="E3446" s="41" t="str">
        <f>HYPERLINK("https://www.google.ru/search?q=1384225-452&amp;newwindow=1&amp;tbm=isch","Еще фото")</f>
        <v>Еще фото</v>
      </c>
      <c r="F3446" s="13"/>
      <c r="G3446" s="11" t="s">
        <v>2945</v>
      </c>
      <c r="H3446" s="11" t="s">
        <v>27</v>
      </c>
      <c r="I3446" s="14" t="s">
        <v>2940</v>
      </c>
      <c r="J3446" s="14" t="s">
        <v>29</v>
      </c>
      <c r="K3446" s="15" t="s">
        <v>59</v>
      </c>
      <c r="L3446" s="14" t="s">
        <v>3183</v>
      </c>
      <c r="M3446" s="14"/>
      <c r="N3446" s="14" t="s">
        <v>115</v>
      </c>
      <c r="O3446" s="14"/>
      <c r="P3446" s="15" t="s">
        <v>47</v>
      </c>
      <c r="Q3446" s="16">
        <v>4399</v>
      </c>
      <c r="R3446" s="17">
        <v>45.44</v>
      </c>
      <c r="S3446" s="18">
        <v>2759.9884999999995</v>
      </c>
      <c r="T3446" s="19" t="s">
        <v>36</v>
      </c>
      <c r="U3446" s="20" t="s">
        <v>86</v>
      </c>
      <c r="V3446" s="21" t="s">
        <v>38</v>
      </c>
      <c r="W3446" s="22">
        <v>1</v>
      </c>
      <c r="X3446" s="23"/>
    </row>
    <row r="3447" spans="1:24" s="1" customFormat="1" ht="108" customHeight="1" x14ac:dyDescent="0.3">
      <c r="A3447" s="11" t="s">
        <v>23</v>
      </c>
      <c r="B3447" s="11" t="s">
        <v>3184</v>
      </c>
      <c r="C3447" s="12" t="s">
        <v>3185</v>
      </c>
      <c r="D3447" s="25"/>
      <c r="E3447" s="41" t="str">
        <f>HYPERLINK("https://www.google.ru/search?q=1361606-690&amp;newwindow=1&amp;tbm=isch","Еще фото")</f>
        <v>Еще фото</v>
      </c>
      <c r="F3447" s="13"/>
      <c r="G3447" s="11" t="s">
        <v>2939</v>
      </c>
      <c r="H3447" s="11" t="s">
        <v>27</v>
      </c>
      <c r="I3447" s="14" t="s">
        <v>2940</v>
      </c>
      <c r="J3447" s="14" t="s">
        <v>29</v>
      </c>
      <c r="K3447" s="15" t="s">
        <v>30</v>
      </c>
      <c r="L3447" s="14" t="s">
        <v>3186</v>
      </c>
      <c r="M3447" s="14"/>
      <c r="N3447" s="14" t="s">
        <v>69</v>
      </c>
      <c r="O3447" s="14"/>
      <c r="P3447" s="15" t="s">
        <v>120</v>
      </c>
      <c r="Q3447" s="16">
        <v>8599</v>
      </c>
      <c r="R3447" s="17">
        <v>45.34</v>
      </c>
      <c r="S3447" s="18">
        <v>5404.9884999999995</v>
      </c>
      <c r="T3447" s="19" t="s">
        <v>36</v>
      </c>
      <c r="U3447" s="20" t="s">
        <v>63</v>
      </c>
      <c r="V3447" s="21" t="s">
        <v>85</v>
      </c>
      <c r="W3447" s="22">
        <v>1</v>
      </c>
      <c r="X3447" s="23"/>
    </row>
    <row r="3448" spans="1:24" s="1" customFormat="1" ht="108" customHeight="1" x14ac:dyDescent="0.3">
      <c r="A3448" s="11" t="s">
        <v>23</v>
      </c>
      <c r="B3448" s="11" t="s">
        <v>3187</v>
      </c>
      <c r="C3448" s="12" t="s">
        <v>3188</v>
      </c>
      <c r="D3448" s="25"/>
      <c r="E3448" s="41" t="str">
        <f>HYPERLINK("https://www.google.ru/search?q=1373880-592&amp;newwindow=1&amp;tbm=isch","Еще фото")</f>
        <v>Еще фото</v>
      </c>
      <c r="F3448" s="13" t="s">
        <v>103</v>
      </c>
      <c r="G3448" s="11" t="s">
        <v>2939</v>
      </c>
      <c r="H3448" s="11" t="s">
        <v>27</v>
      </c>
      <c r="I3448" s="14" t="s">
        <v>2940</v>
      </c>
      <c r="J3448" s="14" t="s">
        <v>29</v>
      </c>
      <c r="K3448" s="15" t="s">
        <v>30</v>
      </c>
      <c r="L3448" s="14" t="s">
        <v>3189</v>
      </c>
      <c r="M3448" s="14"/>
      <c r="N3448" s="14" t="s">
        <v>62</v>
      </c>
      <c r="O3448" s="14"/>
      <c r="P3448" s="15" t="s">
        <v>120</v>
      </c>
      <c r="Q3448" s="16">
        <v>8599</v>
      </c>
      <c r="R3448" s="17">
        <v>45.34</v>
      </c>
      <c r="S3448" s="18">
        <v>5404.9884999999995</v>
      </c>
      <c r="T3448" s="19" t="s">
        <v>36</v>
      </c>
      <c r="U3448" s="20" t="s">
        <v>37</v>
      </c>
      <c r="V3448" s="21" t="s">
        <v>38</v>
      </c>
      <c r="W3448" s="22">
        <v>1</v>
      </c>
      <c r="X3448" s="23"/>
    </row>
    <row r="3449" spans="1:24" s="1" customFormat="1" ht="108" customHeight="1" x14ac:dyDescent="0.3">
      <c r="A3449" s="11" t="s">
        <v>23</v>
      </c>
      <c r="B3449" s="11" t="s">
        <v>3190</v>
      </c>
      <c r="C3449" s="12" t="s">
        <v>3191</v>
      </c>
      <c r="D3449" s="25"/>
      <c r="E3449" s="41" t="str">
        <f>HYPERLINK("https://www.google.ru/search?q=1373363-408&amp;newwindow=1&amp;tbm=isch","Еще фото")</f>
        <v>Еще фото</v>
      </c>
      <c r="F3449" s="13"/>
      <c r="G3449" s="11" t="s">
        <v>2939</v>
      </c>
      <c r="H3449" s="11" t="s">
        <v>27</v>
      </c>
      <c r="I3449" s="14" t="s">
        <v>2940</v>
      </c>
      <c r="J3449" s="14" t="s">
        <v>29</v>
      </c>
      <c r="K3449" s="15" t="s">
        <v>30</v>
      </c>
      <c r="L3449" s="14" t="s">
        <v>3192</v>
      </c>
      <c r="M3449" s="14"/>
      <c r="N3449" s="14" t="s">
        <v>115</v>
      </c>
      <c r="O3449" s="14"/>
      <c r="P3449" s="15" t="s">
        <v>3193</v>
      </c>
      <c r="Q3449" s="16">
        <v>7499</v>
      </c>
      <c r="R3449" s="17">
        <v>45.33</v>
      </c>
      <c r="S3449" s="18">
        <v>4714.9884999999995</v>
      </c>
      <c r="T3449" s="19" t="s">
        <v>36</v>
      </c>
      <c r="U3449" s="20" t="s">
        <v>88</v>
      </c>
      <c r="V3449" s="21" t="s">
        <v>89</v>
      </c>
      <c r="W3449" s="22">
        <v>1</v>
      </c>
      <c r="X3449" s="23"/>
    </row>
    <row r="3450" spans="1:24" s="1" customFormat="1" ht="108" customHeight="1" x14ac:dyDescent="0.3">
      <c r="A3450" s="11" t="s">
        <v>23</v>
      </c>
      <c r="B3450" s="11" t="s">
        <v>3194</v>
      </c>
      <c r="C3450" s="12" t="s">
        <v>3195</v>
      </c>
      <c r="D3450" s="25"/>
      <c r="E3450" s="41" t="str">
        <f>HYPERLINK("https://www.google.ru/search?q=1371586-025&amp;newwindow=1&amp;tbm=isch","Еще фото")</f>
        <v>Еще фото</v>
      </c>
      <c r="F3450" s="13"/>
      <c r="G3450" s="11" t="s">
        <v>2966</v>
      </c>
      <c r="H3450" s="11" t="s">
        <v>27</v>
      </c>
      <c r="I3450" s="14" t="s">
        <v>2940</v>
      </c>
      <c r="J3450" s="14" t="s">
        <v>29</v>
      </c>
      <c r="K3450" s="15" t="s">
        <v>30</v>
      </c>
      <c r="L3450" s="14" t="s">
        <v>3196</v>
      </c>
      <c r="M3450" s="14" t="s">
        <v>2968</v>
      </c>
      <c r="N3450" s="14" t="s">
        <v>62</v>
      </c>
      <c r="O3450" s="14"/>
      <c r="P3450" s="15" t="s">
        <v>47</v>
      </c>
      <c r="Q3450" s="16">
        <v>12799</v>
      </c>
      <c r="R3450" s="17">
        <v>45.31</v>
      </c>
      <c r="S3450" s="18">
        <v>8049.9884999999995</v>
      </c>
      <c r="T3450" s="19" t="s">
        <v>36</v>
      </c>
      <c r="U3450" s="20" t="s">
        <v>37</v>
      </c>
      <c r="V3450" s="21" t="s">
        <v>38</v>
      </c>
      <c r="W3450" s="22">
        <v>6</v>
      </c>
      <c r="X3450" s="23"/>
    </row>
    <row r="3451" spans="1:24" s="1" customFormat="1" ht="108" customHeight="1" x14ac:dyDescent="0.3">
      <c r="A3451" s="11" t="s">
        <v>23</v>
      </c>
      <c r="B3451" s="11" t="s">
        <v>3197</v>
      </c>
      <c r="C3451" s="12" t="s">
        <v>3198</v>
      </c>
      <c r="D3451" s="25"/>
      <c r="E3451" s="41" t="str">
        <f>HYPERLINK("https://www.google.ru/search?q=1379842-840&amp;newwindow=1&amp;tbm=isch","Еще фото")</f>
        <v>Еще фото</v>
      </c>
      <c r="F3451" s="13"/>
      <c r="G3451" s="11" t="s">
        <v>2939</v>
      </c>
      <c r="H3451" s="11" t="s">
        <v>27</v>
      </c>
      <c r="I3451" s="14" t="s">
        <v>2940</v>
      </c>
      <c r="J3451" s="14" t="s">
        <v>29</v>
      </c>
      <c r="K3451" s="15" t="s">
        <v>59</v>
      </c>
      <c r="L3451" s="14" t="s">
        <v>3199</v>
      </c>
      <c r="M3451" s="14"/>
      <c r="N3451" s="14" t="s">
        <v>2005</v>
      </c>
      <c r="O3451" s="14"/>
      <c r="P3451" s="15" t="s">
        <v>542</v>
      </c>
      <c r="Q3451" s="16">
        <v>13699</v>
      </c>
      <c r="R3451" s="17">
        <v>45.25</v>
      </c>
      <c r="S3451" s="18">
        <v>8624.9884999999995</v>
      </c>
      <c r="T3451" s="19" t="s">
        <v>36</v>
      </c>
      <c r="U3451" s="20" t="s">
        <v>63</v>
      </c>
      <c r="V3451" s="21" t="s">
        <v>64</v>
      </c>
      <c r="W3451" s="22">
        <v>4</v>
      </c>
      <c r="X3451" s="23"/>
    </row>
    <row r="3452" spans="1:24" s="1" customFormat="1" ht="108" customHeight="1" x14ac:dyDescent="0.3">
      <c r="A3452" s="11" t="s">
        <v>23</v>
      </c>
      <c r="B3452" s="11" t="s">
        <v>3200</v>
      </c>
      <c r="C3452" s="12" t="s">
        <v>3201</v>
      </c>
      <c r="D3452" s="25"/>
      <c r="E3452" s="41" t="str">
        <f>HYPERLINK("https://www.google.ru/search?q=1366202-012&amp;newwindow=1&amp;tbm=isch","Еще фото")</f>
        <v>Еще фото</v>
      </c>
      <c r="F3452" s="13"/>
      <c r="G3452" s="11" t="s">
        <v>2961</v>
      </c>
      <c r="H3452" s="11" t="s">
        <v>27</v>
      </c>
      <c r="I3452" s="14" t="s">
        <v>2940</v>
      </c>
      <c r="J3452" s="14" t="s">
        <v>29</v>
      </c>
      <c r="K3452" s="15" t="s">
        <v>30</v>
      </c>
      <c r="L3452" s="14" t="s">
        <v>3202</v>
      </c>
      <c r="M3452" s="14"/>
      <c r="N3452" s="14" t="s">
        <v>62</v>
      </c>
      <c r="O3452" s="14"/>
      <c r="P3452" s="15" t="s">
        <v>47</v>
      </c>
      <c r="Q3452" s="16">
        <v>8399</v>
      </c>
      <c r="R3452" s="17">
        <v>45.23</v>
      </c>
      <c r="S3452" s="18">
        <v>5289.9884999999995</v>
      </c>
      <c r="T3452" s="19" t="s">
        <v>36</v>
      </c>
      <c r="U3452" s="20" t="s">
        <v>37</v>
      </c>
      <c r="V3452" s="21" t="s">
        <v>38</v>
      </c>
      <c r="W3452" s="22">
        <v>12</v>
      </c>
      <c r="X3452" s="23"/>
    </row>
    <row r="3453" spans="1:24" s="1" customFormat="1" ht="108" customHeight="1" x14ac:dyDescent="0.3">
      <c r="A3453" s="11" t="s">
        <v>23</v>
      </c>
      <c r="B3453" s="11" t="s">
        <v>3203</v>
      </c>
      <c r="C3453" s="12" t="s">
        <v>3204</v>
      </c>
      <c r="D3453" s="25"/>
      <c r="E3453" s="41" t="str">
        <f>HYPERLINK("https://www.google.ru/search?q=1376795-348&amp;newwindow=1&amp;tbm=isch","Еще фото")</f>
        <v>Еще фото</v>
      </c>
      <c r="F3453" s="13"/>
      <c r="G3453" s="11" t="s">
        <v>2966</v>
      </c>
      <c r="H3453" s="11" t="s">
        <v>27</v>
      </c>
      <c r="I3453" s="14" t="s">
        <v>2940</v>
      </c>
      <c r="J3453" s="14" t="s">
        <v>29</v>
      </c>
      <c r="K3453" s="15" t="s">
        <v>30</v>
      </c>
      <c r="L3453" s="14" t="s">
        <v>3205</v>
      </c>
      <c r="M3453" s="14" t="s">
        <v>32</v>
      </c>
      <c r="N3453" s="14" t="s">
        <v>127</v>
      </c>
      <c r="O3453" s="14"/>
      <c r="P3453" s="15" t="s">
        <v>47</v>
      </c>
      <c r="Q3453" s="16">
        <v>8399</v>
      </c>
      <c r="R3453" s="17">
        <v>45.23</v>
      </c>
      <c r="S3453" s="18">
        <v>5289.9884999999995</v>
      </c>
      <c r="T3453" s="19" t="s">
        <v>36</v>
      </c>
      <c r="U3453" s="20" t="s">
        <v>408</v>
      </c>
      <c r="V3453" s="21" t="s">
        <v>409</v>
      </c>
      <c r="W3453" s="22">
        <v>1</v>
      </c>
      <c r="X3453" s="23"/>
    </row>
    <row r="3454" spans="1:24" s="1" customFormat="1" ht="108" customHeight="1" x14ac:dyDescent="0.3">
      <c r="A3454" s="11" t="s">
        <v>23</v>
      </c>
      <c r="B3454" s="11" t="s">
        <v>3206</v>
      </c>
      <c r="C3454" s="12" t="s">
        <v>3207</v>
      </c>
      <c r="D3454" s="25"/>
      <c r="E3454" s="41" t="str">
        <f>HYPERLINK("https://www.google.ru/search?q=1328495-014&amp;newwindow=1&amp;tbm=isch","Еще фото")</f>
        <v>Еще фото</v>
      </c>
      <c r="F3454" s="13" t="s">
        <v>103</v>
      </c>
      <c r="G3454" s="11" t="s">
        <v>2945</v>
      </c>
      <c r="H3454" s="11" t="s">
        <v>27</v>
      </c>
      <c r="I3454" s="14" t="s">
        <v>2940</v>
      </c>
      <c r="J3454" s="14" t="s">
        <v>29</v>
      </c>
      <c r="K3454" s="15" t="s">
        <v>30</v>
      </c>
      <c r="L3454" s="14" t="s">
        <v>3208</v>
      </c>
      <c r="M3454" s="14" t="s">
        <v>3209</v>
      </c>
      <c r="N3454" s="14" t="s">
        <v>62</v>
      </c>
      <c r="O3454" s="14" t="s">
        <v>306</v>
      </c>
      <c r="P3454" s="15" t="s">
        <v>47</v>
      </c>
      <c r="Q3454" s="16">
        <v>4199</v>
      </c>
      <c r="R3454" s="17">
        <v>45.23</v>
      </c>
      <c r="S3454" s="18">
        <v>2644.9884999999995</v>
      </c>
      <c r="T3454" s="19" t="s">
        <v>36</v>
      </c>
      <c r="U3454" s="20" t="s">
        <v>88</v>
      </c>
      <c r="V3454" s="21" t="s">
        <v>89</v>
      </c>
      <c r="W3454" s="22">
        <v>2</v>
      </c>
      <c r="X3454" s="23"/>
    </row>
    <row r="3455" spans="1:24" s="1" customFormat="1" ht="108" customHeight="1" x14ac:dyDescent="0.3">
      <c r="A3455" s="11" t="s">
        <v>23</v>
      </c>
      <c r="B3455" s="11" t="s">
        <v>3210</v>
      </c>
      <c r="C3455" s="12" t="s">
        <v>3211</v>
      </c>
      <c r="D3455" s="25"/>
      <c r="E3455" s="41" t="str">
        <f>HYPERLINK("https://www.google.ru/search?q=1356317-035&amp;newwindow=1&amp;tbm=isch","Еще фото")</f>
        <v>Еще фото</v>
      </c>
      <c r="F3455" s="13"/>
      <c r="G3455" s="11" t="s">
        <v>2939</v>
      </c>
      <c r="H3455" s="11" t="s">
        <v>27</v>
      </c>
      <c r="I3455" s="14" t="s">
        <v>2940</v>
      </c>
      <c r="J3455" s="14" t="s">
        <v>29</v>
      </c>
      <c r="K3455" s="15" t="s">
        <v>59</v>
      </c>
      <c r="L3455" s="14" t="s">
        <v>3212</v>
      </c>
      <c r="M3455" s="14" t="s">
        <v>68</v>
      </c>
      <c r="N3455" s="14" t="s">
        <v>62</v>
      </c>
      <c r="O3455" s="14"/>
      <c r="P3455" s="15" t="s">
        <v>120</v>
      </c>
      <c r="Q3455" s="16">
        <v>7299</v>
      </c>
      <c r="R3455" s="17">
        <v>45.2</v>
      </c>
      <c r="S3455" s="18">
        <v>4599.9884999999995</v>
      </c>
      <c r="T3455" s="19" t="s">
        <v>36</v>
      </c>
      <c r="U3455" s="20" t="s">
        <v>86</v>
      </c>
      <c r="V3455" s="21" t="s">
        <v>38</v>
      </c>
      <c r="W3455" s="22">
        <v>1</v>
      </c>
      <c r="X3455" s="23"/>
    </row>
    <row r="3456" spans="1:24" s="1" customFormat="1" ht="108" customHeight="1" x14ac:dyDescent="0.3">
      <c r="A3456" s="11" t="s">
        <v>23</v>
      </c>
      <c r="B3456" s="11" t="s">
        <v>3213</v>
      </c>
      <c r="C3456" s="12" t="s">
        <v>3214</v>
      </c>
      <c r="D3456" s="25"/>
      <c r="E3456" s="41" t="str">
        <f>HYPERLINK("https://www.google.ru/search?q=1389825-114&amp;newwindow=1&amp;tbm=isch","Еще фото")</f>
        <v>Еще фото</v>
      </c>
      <c r="F3456" s="13"/>
      <c r="G3456" s="11" t="s">
        <v>2966</v>
      </c>
      <c r="H3456" s="11" t="s">
        <v>27</v>
      </c>
      <c r="I3456" s="14" t="s">
        <v>2940</v>
      </c>
      <c r="J3456" s="14" t="s">
        <v>29</v>
      </c>
      <c r="K3456" s="15" t="s">
        <v>30</v>
      </c>
      <c r="L3456" s="14" t="s">
        <v>3215</v>
      </c>
      <c r="M3456" s="14"/>
      <c r="N3456" s="14" t="s">
        <v>84</v>
      </c>
      <c r="O3456" s="14"/>
      <c r="P3456" s="15" t="s">
        <v>248</v>
      </c>
      <c r="Q3456" s="16">
        <v>15499</v>
      </c>
      <c r="R3456" s="17">
        <v>45.16</v>
      </c>
      <c r="S3456" s="18">
        <v>9774.9884999999995</v>
      </c>
      <c r="T3456" s="19" t="s">
        <v>36</v>
      </c>
      <c r="U3456" s="20" t="s">
        <v>37</v>
      </c>
      <c r="V3456" s="21" t="s">
        <v>38</v>
      </c>
      <c r="W3456" s="22">
        <v>1</v>
      </c>
      <c r="X3456" s="23"/>
    </row>
    <row r="3457" spans="1:24" s="1" customFormat="1" ht="108" customHeight="1" x14ac:dyDescent="0.3">
      <c r="A3457" s="11" t="s">
        <v>23</v>
      </c>
      <c r="B3457" s="11" t="s">
        <v>3107</v>
      </c>
      <c r="C3457" s="12" t="s">
        <v>3216</v>
      </c>
      <c r="D3457" s="25"/>
      <c r="E3457" s="41" t="str">
        <f>HYPERLINK("https://www.google.ru/search?q=1370941-852&amp;newwindow=1&amp;tbm=isch","Еще фото")</f>
        <v>Еще фото</v>
      </c>
      <c r="F3457" s="13"/>
      <c r="G3457" s="11" t="s">
        <v>2939</v>
      </c>
      <c r="H3457" s="11" t="s">
        <v>27</v>
      </c>
      <c r="I3457" s="14" t="s">
        <v>2940</v>
      </c>
      <c r="J3457" s="14" t="s">
        <v>43</v>
      </c>
      <c r="K3457" s="15" t="s">
        <v>59</v>
      </c>
      <c r="L3457" s="14" t="s">
        <v>3109</v>
      </c>
      <c r="M3457" s="14" t="s">
        <v>68</v>
      </c>
      <c r="N3457" s="14" t="s">
        <v>69</v>
      </c>
      <c r="O3457" s="14"/>
      <c r="P3457" s="15" t="s">
        <v>950</v>
      </c>
      <c r="Q3457" s="16">
        <v>6199</v>
      </c>
      <c r="R3457" s="17">
        <v>45.15</v>
      </c>
      <c r="S3457" s="18">
        <v>3909.9884999999995</v>
      </c>
      <c r="T3457" s="19" t="s">
        <v>36</v>
      </c>
      <c r="U3457" s="20" t="s">
        <v>63</v>
      </c>
      <c r="V3457" s="21" t="s">
        <v>64</v>
      </c>
      <c r="W3457" s="22">
        <v>5</v>
      </c>
      <c r="X3457" s="23"/>
    </row>
    <row r="3458" spans="1:24" s="1" customFormat="1" ht="108" customHeight="1" x14ac:dyDescent="0.3">
      <c r="A3458" s="11" t="s">
        <v>23</v>
      </c>
      <c r="B3458" s="11" t="s">
        <v>3217</v>
      </c>
      <c r="C3458" s="12" t="s">
        <v>3218</v>
      </c>
      <c r="D3458" s="25"/>
      <c r="E3458" s="41" t="str">
        <f>HYPERLINK("https://www.google.ru/search?q=6008900-001&amp;newwindow=1&amp;tbm=isch","Еще фото")</f>
        <v>Еще фото</v>
      </c>
      <c r="F3458" s="13"/>
      <c r="G3458" s="11" t="s">
        <v>2939</v>
      </c>
      <c r="H3458" s="11" t="s">
        <v>27</v>
      </c>
      <c r="I3458" s="14" t="s">
        <v>2940</v>
      </c>
      <c r="J3458" s="14" t="s">
        <v>43</v>
      </c>
      <c r="K3458" s="15" t="s">
        <v>30</v>
      </c>
      <c r="L3458" s="14" t="s">
        <v>3219</v>
      </c>
      <c r="M3458" s="14"/>
      <c r="N3458" s="14" t="s">
        <v>33</v>
      </c>
      <c r="O3458" s="14"/>
      <c r="P3458" s="15" t="s">
        <v>120</v>
      </c>
      <c r="Q3458" s="16">
        <v>16399</v>
      </c>
      <c r="R3458" s="17">
        <v>45.12</v>
      </c>
      <c r="S3458" s="18">
        <v>10349.988499999999</v>
      </c>
      <c r="T3458" s="19" t="s">
        <v>36</v>
      </c>
      <c r="U3458" s="20" t="s">
        <v>37</v>
      </c>
      <c r="V3458" s="21" t="s">
        <v>38</v>
      </c>
      <c r="W3458" s="22">
        <v>3</v>
      </c>
      <c r="X3458" s="23"/>
    </row>
    <row r="3459" spans="1:24" s="1" customFormat="1" ht="108" customHeight="1" x14ac:dyDescent="0.3">
      <c r="A3459" s="11" t="s">
        <v>23</v>
      </c>
      <c r="B3459" s="11" t="s">
        <v>3220</v>
      </c>
      <c r="C3459" s="12" t="s">
        <v>3221</v>
      </c>
      <c r="D3459" s="25"/>
      <c r="E3459" s="41" t="str">
        <f>HYPERLINK("https://www.google.ru/search?q=1390483-410&amp;newwindow=1&amp;tbm=isch","Еще фото")</f>
        <v>Еще фото</v>
      </c>
      <c r="F3459" s="13"/>
      <c r="G3459" s="11" t="s">
        <v>2966</v>
      </c>
      <c r="H3459" s="11" t="s">
        <v>27</v>
      </c>
      <c r="I3459" s="14" t="s">
        <v>2940</v>
      </c>
      <c r="J3459" s="14" t="s">
        <v>43</v>
      </c>
      <c r="K3459" s="15" t="s">
        <v>30</v>
      </c>
      <c r="L3459" s="14" t="s">
        <v>3222</v>
      </c>
      <c r="M3459" s="14" t="s">
        <v>32</v>
      </c>
      <c r="N3459" s="14" t="s">
        <v>3223</v>
      </c>
      <c r="O3459" s="14"/>
      <c r="P3459" s="15" t="s">
        <v>53</v>
      </c>
      <c r="Q3459" s="16">
        <v>13299</v>
      </c>
      <c r="R3459" s="17">
        <v>45.11</v>
      </c>
      <c r="S3459" s="18">
        <v>8394.9884999999995</v>
      </c>
      <c r="T3459" s="19" t="s">
        <v>36</v>
      </c>
      <c r="U3459" s="20" t="s">
        <v>88</v>
      </c>
      <c r="V3459" s="21" t="s">
        <v>89</v>
      </c>
      <c r="W3459" s="22">
        <v>1</v>
      </c>
      <c r="X3459" s="23"/>
    </row>
    <row r="3460" spans="1:24" s="1" customFormat="1" ht="52.05" customHeight="1" x14ac:dyDescent="0.3">
      <c r="A3460" s="11" t="s">
        <v>23</v>
      </c>
      <c r="B3460" s="11" t="s">
        <v>3015</v>
      </c>
      <c r="C3460" s="12" t="s">
        <v>3224</v>
      </c>
      <c r="D3460" s="55"/>
      <c r="E3460" s="41" t="str">
        <f>HYPERLINK("https://www.google.ru/search?q=1373353-014&amp;newwindow=1&amp;tbm=isch","Еще фото")</f>
        <v>Еще фото</v>
      </c>
      <c r="F3460" s="13"/>
      <c r="G3460" s="11" t="s">
        <v>2939</v>
      </c>
      <c r="H3460" s="11" t="s">
        <v>27</v>
      </c>
      <c r="I3460" s="14" t="s">
        <v>2940</v>
      </c>
      <c r="J3460" s="14" t="s">
        <v>29</v>
      </c>
      <c r="K3460" s="15" t="s">
        <v>30</v>
      </c>
      <c r="L3460" s="57" t="s">
        <v>3225</v>
      </c>
      <c r="M3460" s="14" t="s">
        <v>140</v>
      </c>
      <c r="N3460" s="14" t="s">
        <v>62</v>
      </c>
      <c r="O3460" s="14"/>
      <c r="P3460" s="15" t="s">
        <v>47</v>
      </c>
      <c r="Q3460" s="16">
        <v>8299</v>
      </c>
      <c r="R3460" s="17">
        <v>45.08</v>
      </c>
      <c r="S3460" s="18">
        <v>5241.4355000000005</v>
      </c>
      <c r="T3460" s="19" t="s">
        <v>36</v>
      </c>
      <c r="U3460" s="20" t="s">
        <v>39</v>
      </c>
      <c r="V3460" s="21" t="s">
        <v>40</v>
      </c>
      <c r="W3460" s="22">
        <v>1</v>
      </c>
      <c r="X3460" s="23"/>
    </row>
    <row r="3461" spans="1:24" s="1" customFormat="1" ht="61.05" customHeight="1" x14ac:dyDescent="0.3">
      <c r="A3461" s="24" t="s">
        <v>23</v>
      </c>
      <c r="B3461" s="24" t="s">
        <v>3015</v>
      </c>
      <c r="C3461" s="12" t="s">
        <v>3224</v>
      </c>
      <c r="D3461" s="56"/>
      <c r="E3461" s="41" t="str">
        <f>HYPERLINK("https://www.google.ru/search?q=1373353-014&amp;newwindow=1&amp;tbm=isch","Еще фото")</f>
        <v>Еще фото</v>
      </c>
      <c r="F3461" s="13"/>
      <c r="G3461" s="24" t="s">
        <v>2939</v>
      </c>
      <c r="H3461" s="24" t="s">
        <v>27</v>
      </c>
      <c r="I3461" s="24" t="s">
        <v>2940</v>
      </c>
      <c r="J3461" s="14" t="s">
        <v>29</v>
      </c>
      <c r="K3461" s="15" t="s">
        <v>30</v>
      </c>
      <c r="L3461" s="58"/>
      <c r="M3461" s="14" t="s">
        <v>140</v>
      </c>
      <c r="N3461" s="14" t="s">
        <v>62</v>
      </c>
      <c r="O3461" s="14"/>
      <c r="P3461" s="15" t="s">
        <v>47</v>
      </c>
      <c r="Q3461" s="16">
        <v>8299</v>
      </c>
      <c r="R3461" s="17">
        <v>45.08</v>
      </c>
      <c r="S3461" s="18">
        <v>5241.4355000000005</v>
      </c>
      <c r="T3461" s="19" t="s">
        <v>36</v>
      </c>
      <c r="U3461" s="20" t="s">
        <v>86</v>
      </c>
      <c r="V3461" s="21" t="s">
        <v>87</v>
      </c>
      <c r="W3461" s="22">
        <v>1</v>
      </c>
      <c r="X3461" s="23"/>
    </row>
    <row r="3462" spans="1:24" s="1" customFormat="1" ht="35" customHeight="1" x14ac:dyDescent="0.3">
      <c r="A3462" s="11" t="s">
        <v>23</v>
      </c>
      <c r="B3462" s="11" t="s">
        <v>3055</v>
      </c>
      <c r="C3462" s="12" t="s">
        <v>3226</v>
      </c>
      <c r="D3462" s="59"/>
      <c r="E3462" s="41" t="str">
        <f>HYPERLINK("https://www.google.ru/search?q=1379758-400&amp;newwindow=1&amp;tbm=isch","Еще фото")</f>
        <v>Еще фото</v>
      </c>
      <c r="F3462" s="13"/>
      <c r="G3462" s="11" t="s">
        <v>2939</v>
      </c>
      <c r="H3462" s="11" t="s">
        <v>27</v>
      </c>
      <c r="I3462" s="14" t="s">
        <v>2940</v>
      </c>
      <c r="J3462" s="14" t="s">
        <v>29</v>
      </c>
      <c r="K3462" s="15" t="s">
        <v>30</v>
      </c>
      <c r="L3462" s="57" t="s">
        <v>3227</v>
      </c>
      <c r="M3462" s="14" t="s">
        <v>68</v>
      </c>
      <c r="N3462" s="14" t="s">
        <v>3228</v>
      </c>
      <c r="O3462" s="14"/>
      <c r="P3462" s="15" t="s">
        <v>120</v>
      </c>
      <c r="Q3462" s="16">
        <v>8299</v>
      </c>
      <c r="R3462" s="17">
        <v>45.08</v>
      </c>
      <c r="S3462" s="18">
        <v>5241.4355000000005</v>
      </c>
      <c r="T3462" s="19" t="s">
        <v>36</v>
      </c>
      <c r="U3462" s="20" t="s">
        <v>37</v>
      </c>
      <c r="V3462" s="21" t="s">
        <v>38</v>
      </c>
      <c r="W3462" s="22">
        <v>5</v>
      </c>
      <c r="X3462" s="23"/>
    </row>
    <row r="3463" spans="1:24" s="1" customFormat="1" ht="35" customHeight="1" x14ac:dyDescent="0.3">
      <c r="A3463" s="24" t="s">
        <v>23</v>
      </c>
      <c r="B3463" s="24" t="s">
        <v>3055</v>
      </c>
      <c r="C3463" s="12" t="s">
        <v>3226</v>
      </c>
      <c r="D3463" s="60"/>
      <c r="E3463" s="41" t="str">
        <f>HYPERLINK("https://www.google.ru/search?q=1379758-400&amp;newwindow=1&amp;tbm=isch","Еще фото")</f>
        <v>Еще фото</v>
      </c>
      <c r="F3463" s="13"/>
      <c r="G3463" s="24" t="s">
        <v>2939</v>
      </c>
      <c r="H3463" s="24" t="s">
        <v>27</v>
      </c>
      <c r="I3463" s="24" t="s">
        <v>2940</v>
      </c>
      <c r="J3463" s="14" t="s">
        <v>29</v>
      </c>
      <c r="K3463" s="15" t="s">
        <v>30</v>
      </c>
      <c r="L3463" s="62"/>
      <c r="M3463" s="14" t="s">
        <v>68</v>
      </c>
      <c r="N3463" s="14" t="s">
        <v>3228</v>
      </c>
      <c r="O3463" s="14"/>
      <c r="P3463" s="15" t="s">
        <v>120</v>
      </c>
      <c r="Q3463" s="16">
        <v>8299</v>
      </c>
      <c r="R3463" s="17">
        <v>45.08</v>
      </c>
      <c r="S3463" s="18">
        <v>5241.4355000000005</v>
      </c>
      <c r="T3463" s="19" t="s">
        <v>36</v>
      </c>
      <c r="U3463" s="20" t="s">
        <v>39</v>
      </c>
      <c r="V3463" s="21" t="s">
        <v>40</v>
      </c>
      <c r="W3463" s="22">
        <v>8</v>
      </c>
      <c r="X3463" s="23"/>
    </row>
    <row r="3464" spans="1:24" s="1" customFormat="1" ht="37.049999999999997" customHeight="1" x14ac:dyDescent="0.3">
      <c r="A3464" s="24" t="s">
        <v>23</v>
      </c>
      <c r="B3464" s="24" t="s">
        <v>3055</v>
      </c>
      <c r="C3464" s="12" t="s">
        <v>3226</v>
      </c>
      <c r="D3464" s="61"/>
      <c r="E3464" s="41" t="str">
        <f>HYPERLINK("https://www.google.ru/search?q=1379758-400&amp;newwindow=1&amp;tbm=isch","Еще фото")</f>
        <v>Еще фото</v>
      </c>
      <c r="F3464" s="13"/>
      <c r="G3464" s="24" t="s">
        <v>2939</v>
      </c>
      <c r="H3464" s="24" t="s">
        <v>27</v>
      </c>
      <c r="I3464" s="24" t="s">
        <v>2940</v>
      </c>
      <c r="J3464" s="14" t="s">
        <v>29</v>
      </c>
      <c r="K3464" s="15" t="s">
        <v>30</v>
      </c>
      <c r="L3464" s="58"/>
      <c r="M3464" s="14" t="s">
        <v>68</v>
      </c>
      <c r="N3464" s="14" t="s">
        <v>3228</v>
      </c>
      <c r="O3464" s="14"/>
      <c r="P3464" s="15" t="s">
        <v>120</v>
      </c>
      <c r="Q3464" s="16">
        <v>8299</v>
      </c>
      <c r="R3464" s="17">
        <v>45.08</v>
      </c>
      <c r="S3464" s="18">
        <v>5241.4355000000005</v>
      </c>
      <c r="T3464" s="19" t="s">
        <v>36</v>
      </c>
      <c r="U3464" s="20" t="s">
        <v>86</v>
      </c>
      <c r="V3464" s="21" t="s">
        <v>87</v>
      </c>
      <c r="W3464" s="22">
        <v>8</v>
      </c>
      <c r="X3464" s="23"/>
    </row>
    <row r="3465" spans="1:24" s="1" customFormat="1" ht="108" customHeight="1" x14ac:dyDescent="0.3">
      <c r="A3465" s="11" t="s">
        <v>23</v>
      </c>
      <c r="B3465" s="11" t="s">
        <v>3229</v>
      </c>
      <c r="C3465" s="12" t="s">
        <v>3230</v>
      </c>
      <c r="D3465" s="25"/>
      <c r="E3465" s="41" t="str">
        <f>HYPERLINK("https://www.google.ru/search?q=1383400-001&amp;newwindow=1&amp;tbm=isch","Еще фото")</f>
        <v>Еще фото</v>
      </c>
      <c r="F3465" s="13" t="s">
        <v>103</v>
      </c>
      <c r="G3465" s="11" t="s">
        <v>2966</v>
      </c>
      <c r="H3465" s="11" t="s">
        <v>27</v>
      </c>
      <c r="I3465" s="14" t="s">
        <v>2940</v>
      </c>
      <c r="J3465" s="14" t="s">
        <v>260</v>
      </c>
      <c r="K3465" s="15" t="s">
        <v>30</v>
      </c>
      <c r="L3465" s="14" t="s">
        <v>3231</v>
      </c>
      <c r="M3465" s="14" t="s">
        <v>32</v>
      </c>
      <c r="N3465" s="14" t="s">
        <v>33</v>
      </c>
      <c r="O3465" s="14"/>
      <c r="P3465" s="15" t="s">
        <v>53</v>
      </c>
      <c r="Q3465" s="16">
        <v>12199</v>
      </c>
      <c r="R3465" s="17">
        <v>45.08</v>
      </c>
      <c r="S3465" s="18">
        <v>7704.9884999999995</v>
      </c>
      <c r="T3465" s="19" t="s">
        <v>36</v>
      </c>
      <c r="U3465" s="20" t="s">
        <v>88</v>
      </c>
      <c r="V3465" s="21" t="s">
        <v>89</v>
      </c>
      <c r="W3465" s="22">
        <v>3</v>
      </c>
      <c r="X3465" s="23"/>
    </row>
    <row r="3466" spans="1:24" s="1" customFormat="1" ht="26" customHeight="1" x14ac:dyDescent="0.3">
      <c r="A3466" s="11" t="s">
        <v>23</v>
      </c>
      <c r="B3466" s="11" t="s">
        <v>3232</v>
      </c>
      <c r="C3466" s="12" t="s">
        <v>3233</v>
      </c>
      <c r="D3466" s="59"/>
      <c r="E3466" s="41" t="str">
        <f>HYPERLINK("https://www.google.ru/search?q=1371095-003&amp;newwindow=1&amp;tbm=isch","Еще фото")</f>
        <v>Еще фото</v>
      </c>
      <c r="F3466" s="13" t="s">
        <v>103</v>
      </c>
      <c r="G3466" s="11" t="s">
        <v>2966</v>
      </c>
      <c r="H3466" s="11" t="s">
        <v>27</v>
      </c>
      <c r="I3466" s="14" t="s">
        <v>2940</v>
      </c>
      <c r="J3466" s="14" t="s">
        <v>29</v>
      </c>
      <c r="K3466" s="15" t="s">
        <v>50</v>
      </c>
      <c r="L3466" s="57" t="s">
        <v>3234</v>
      </c>
      <c r="M3466" s="14"/>
      <c r="N3466" s="14" t="s">
        <v>1534</v>
      </c>
      <c r="O3466" s="14"/>
      <c r="P3466" s="15" t="s">
        <v>47</v>
      </c>
      <c r="Q3466" s="16">
        <v>11499</v>
      </c>
      <c r="R3466" s="17">
        <v>45.06</v>
      </c>
      <c r="S3466" s="18">
        <v>7265.4354999999996</v>
      </c>
      <c r="T3466" s="19" t="s">
        <v>36</v>
      </c>
      <c r="U3466" s="20" t="s">
        <v>99</v>
      </c>
      <c r="V3466" s="21" t="s">
        <v>100</v>
      </c>
      <c r="W3466" s="22">
        <v>2</v>
      </c>
      <c r="X3466" s="23"/>
    </row>
    <row r="3467" spans="1:24" s="1" customFormat="1" ht="26" customHeight="1" x14ac:dyDescent="0.3">
      <c r="A3467" s="24" t="s">
        <v>23</v>
      </c>
      <c r="B3467" s="24" t="s">
        <v>3232</v>
      </c>
      <c r="C3467" s="12" t="s">
        <v>3233</v>
      </c>
      <c r="D3467" s="60"/>
      <c r="E3467" s="41" t="str">
        <f>HYPERLINK("https://www.google.ru/search?q=1371095-003&amp;newwindow=1&amp;tbm=isch","Еще фото")</f>
        <v>Еще фото</v>
      </c>
      <c r="F3467" s="13" t="s">
        <v>103</v>
      </c>
      <c r="G3467" s="24" t="s">
        <v>2966</v>
      </c>
      <c r="H3467" s="24" t="s">
        <v>27</v>
      </c>
      <c r="I3467" s="24" t="s">
        <v>2940</v>
      </c>
      <c r="J3467" s="14" t="s">
        <v>29</v>
      </c>
      <c r="K3467" s="15" t="s">
        <v>50</v>
      </c>
      <c r="L3467" s="62"/>
      <c r="M3467" s="14"/>
      <c r="N3467" s="14" t="s">
        <v>1534</v>
      </c>
      <c r="O3467" s="14"/>
      <c r="P3467" s="15" t="s">
        <v>47</v>
      </c>
      <c r="Q3467" s="16">
        <v>11499</v>
      </c>
      <c r="R3467" s="17">
        <v>45.06</v>
      </c>
      <c r="S3467" s="18">
        <v>7265.4354999999996</v>
      </c>
      <c r="T3467" s="19" t="s">
        <v>36</v>
      </c>
      <c r="U3467" s="20" t="s">
        <v>54</v>
      </c>
      <c r="V3467" s="21" t="s">
        <v>55</v>
      </c>
      <c r="W3467" s="22">
        <v>3</v>
      </c>
      <c r="X3467" s="23"/>
    </row>
    <row r="3468" spans="1:24" s="1" customFormat="1" ht="26" customHeight="1" x14ac:dyDescent="0.3">
      <c r="A3468" s="24" t="s">
        <v>23</v>
      </c>
      <c r="B3468" s="24" t="s">
        <v>3232</v>
      </c>
      <c r="C3468" s="12" t="s">
        <v>3233</v>
      </c>
      <c r="D3468" s="60"/>
      <c r="E3468" s="41" t="str">
        <f>HYPERLINK("https://www.google.ru/search?q=1371095-003&amp;newwindow=1&amp;tbm=isch","Еще фото")</f>
        <v>Еще фото</v>
      </c>
      <c r="F3468" s="13" t="s">
        <v>103</v>
      </c>
      <c r="G3468" s="24" t="s">
        <v>2966</v>
      </c>
      <c r="H3468" s="24" t="s">
        <v>27</v>
      </c>
      <c r="I3468" s="24" t="s">
        <v>2940</v>
      </c>
      <c r="J3468" s="14" t="s">
        <v>29</v>
      </c>
      <c r="K3468" s="15" t="s">
        <v>50</v>
      </c>
      <c r="L3468" s="62"/>
      <c r="M3468" s="14"/>
      <c r="N3468" s="14" t="s">
        <v>1534</v>
      </c>
      <c r="O3468" s="14"/>
      <c r="P3468" s="15" t="s">
        <v>47</v>
      </c>
      <c r="Q3468" s="16">
        <v>11499</v>
      </c>
      <c r="R3468" s="17">
        <v>45.06</v>
      </c>
      <c r="S3468" s="18">
        <v>7265.4354999999996</v>
      </c>
      <c r="T3468" s="19" t="s">
        <v>36</v>
      </c>
      <c r="U3468" s="20" t="s">
        <v>234</v>
      </c>
      <c r="V3468" s="21" t="s">
        <v>235</v>
      </c>
      <c r="W3468" s="22">
        <v>1</v>
      </c>
      <c r="X3468" s="23"/>
    </row>
    <row r="3469" spans="1:24" s="1" customFormat="1" ht="26" customHeight="1" x14ac:dyDescent="0.3">
      <c r="A3469" s="24" t="s">
        <v>23</v>
      </c>
      <c r="B3469" s="24" t="s">
        <v>3232</v>
      </c>
      <c r="C3469" s="12" t="s">
        <v>3233</v>
      </c>
      <c r="D3469" s="61"/>
      <c r="E3469" s="41" t="str">
        <f>HYPERLINK("https://www.google.ru/search?q=1371095-003&amp;newwindow=1&amp;tbm=isch","Еще фото")</f>
        <v>Еще фото</v>
      </c>
      <c r="F3469" s="13" t="s">
        <v>103</v>
      </c>
      <c r="G3469" s="24" t="s">
        <v>2966</v>
      </c>
      <c r="H3469" s="24" t="s">
        <v>27</v>
      </c>
      <c r="I3469" s="24" t="s">
        <v>2940</v>
      </c>
      <c r="J3469" s="14" t="s">
        <v>29</v>
      </c>
      <c r="K3469" s="15" t="s">
        <v>50</v>
      </c>
      <c r="L3469" s="58"/>
      <c r="M3469" s="14"/>
      <c r="N3469" s="14" t="s">
        <v>1534</v>
      </c>
      <c r="O3469" s="14"/>
      <c r="P3469" s="15" t="s">
        <v>47</v>
      </c>
      <c r="Q3469" s="16">
        <v>11499</v>
      </c>
      <c r="R3469" s="17">
        <v>45.06</v>
      </c>
      <c r="S3469" s="18">
        <v>7265.4354999999996</v>
      </c>
      <c r="T3469" s="19" t="s">
        <v>36</v>
      </c>
      <c r="U3469" s="20" t="s">
        <v>73</v>
      </c>
      <c r="V3469" s="21" t="s">
        <v>74</v>
      </c>
      <c r="W3469" s="22">
        <v>1</v>
      </c>
      <c r="X3469" s="23"/>
    </row>
    <row r="3470" spans="1:24" s="1" customFormat="1" ht="52.05" customHeight="1" x14ac:dyDescent="0.3">
      <c r="A3470" s="11" t="s">
        <v>23</v>
      </c>
      <c r="B3470" s="11" t="s">
        <v>3235</v>
      </c>
      <c r="C3470" s="12" t="s">
        <v>3236</v>
      </c>
      <c r="D3470" s="55"/>
      <c r="E3470" s="41" t="str">
        <f>HYPERLINK("https://www.google.ru/search?q=1383302-686&amp;newwindow=1&amp;tbm=isch","Еще фото")</f>
        <v>Еще фото</v>
      </c>
      <c r="F3470" s="13"/>
      <c r="G3470" s="11" t="s">
        <v>2949</v>
      </c>
      <c r="H3470" s="11" t="s">
        <v>27</v>
      </c>
      <c r="I3470" s="14" t="s">
        <v>2940</v>
      </c>
      <c r="J3470" s="14" t="s">
        <v>29</v>
      </c>
      <c r="K3470" s="15" t="s">
        <v>30</v>
      </c>
      <c r="L3470" s="57" t="s">
        <v>3237</v>
      </c>
      <c r="M3470" s="14"/>
      <c r="N3470" s="14" t="s">
        <v>69</v>
      </c>
      <c r="O3470" s="14"/>
      <c r="P3470" s="15" t="s">
        <v>120</v>
      </c>
      <c r="Q3470" s="16">
        <v>13699</v>
      </c>
      <c r="R3470" s="17">
        <v>45.05</v>
      </c>
      <c r="S3470" s="18">
        <v>8656.9354999999996</v>
      </c>
      <c r="T3470" s="19" t="s">
        <v>36</v>
      </c>
      <c r="U3470" s="20" t="s">
        <v>39</v>
      </c>
      <c r="V3470" s="21" t="s">
        <v>40</v>
      </c>
      <c r="W3470" s="22">
        <v>1</v>
      </c>
      <c r="X3470" s="23"/>
    </row>
    <row r="3471" spans="1:24" s="1" customFormat="1" ht="61.05" customHeight="1" x14ac:dyDescent="0.3">
      <c r="A3471" s="24" t="s">
        <v>23</v>
      </c>
      <c r="B3471" s="24" t="s">
        <v>3235</v>
      </c>
      <c r="C3471" s="12" t="s">
        <v>3236</v>
      </c>
      <c r="D3471" s="56"/>
      <c r="E3471" s="41" t="str">
        <f>HYPERLINK("https://www.google.ru/search?q=1383302-686&amp;newwindow=1&amp;tbm=isch","Еще фото")</f>
        <v>Еще фото</v>
      </c>
      <c r="F3471" s="13"/>
      <c r="G3471" s="24" t="s">
        <v>2949</v>
      </c>
      <c r="H3471" s="24" t="s">
        <v>27</v>
      </c>
      <c r="I3471" s="24" t="s">
        <v>2940</v>
      </c>
      <c r="J3471" s="14" t="s">
        <v>29</v>
      </c>
      <c r="K3471" s="15" t="s">
        <v>30</v>
      </c>
      <c r="L3471" s="58"/>
      <c r="M3471" s="14"/>
      <c r="N3471" s="14" t="s">
        <v>69</v>
      </c>
      <c r="O3471" s="14"/>
      <c r="P3471" s="15" t="s">
        <v>120</v>
      </c>
      <c r="Q3471" s="16">
        <v>13699</v>
      </c>
      <c r="R3471" s="17">
        <v>45.05</v>
      </c>
      <c r="S3471" s="18">
        <v>8656.9354999999996</v>
      </c>
      <c r="T3471" s="19" t="s">
        <v>36</v>
      </c>
      <c r="U3471" s="20" t="s">
        <v>86</v>
      </c>
      <c r="V3471" s="21" t="s">
        <v>87</v>
      </c>
      <c r="W3471" s="22">
        <v>2</v>
      </c>
      <c r="X3471" s="23"/>
    </row>
    <row r="3472" spans="1:24" s="1" customFormat="1" ht="26" customHeight="1" x14ac:dyDescent="0.3">
      <c r="A3472" s="11" t="s">
        <v>23</v>
      </c>
      <c r="B3472" s="11" t="s">
        <v>3238</v>
      </c>
      <c r="C3472" s="12" t="s">
        <v>3239</v>
      </c>
      <c r="D3472" s="59"/>
      <c r="E3472" s="41" t="str">
        <f>HYPERLINK("https://www.google.ru/search?q=1366438-100&amp;newwindow=1&amp;tbm=isch","Еще фото")</f>
        <v>Еще фото</v>
      </c>
      <c r="F3472" s="13" t="s">
        <v>103</v>
      </c>
      <c r="G3472" s="11" t="s">
        <v>2939</v>
      </c>
      <c r="H3472" s="11" t="s">
        <v>27</v>
      </c>
      <c r="I3472" s="14" t="s">
        <v>2940</v>
      </c>
      <c r="J3472" s="14" t="s">
        <v>29</v>
      </c>
      <c r="K3472" s="15" t="s">
        <v>30</v>
      </c>
      <c r="L3472" s="57" t="s">
        <v>3240</v>
      </c>
      <c r="M3472" s="14" t="s">
        <v>45</v>
      </c>
      <c r="N3472" s="14" t="s">
        <v>84</v>
      </c>
      <c r="O3472" s="14" t="s">
        <v>34</v>
      </c>
      <c r="P3472" s="15" t="s">
        <v>35</v>
      </c>
      <c r="Q3472" s="16">
        <v>19799</v>
      </c>
      <c r="R3472" s="17">
        <v>45.01</v>
      </c>
      <c r="S3472" s="18">
        <v>12520.9355</v>
      </c>
      <c r="T3472" s="19" t="s">
        <v>36</v>
      </c>
      <c r="U3472" s="20" t="s">
        <v>37</v>
      </c>
      <c r="V3472" s="21" t="s">
        <v>38</v>
      </c>
      <c r="W3472" s="22">
        <v>1</v>
      </c>
      <c r="X3472" s="23"/>
    </row>
    <row r="3473" spans="1:24" s="1" customFormat="1" ht="26" customHeight="1" x14ac:dyDescent="0.3">
      <c r="A3473" s="24" t="s">
        <v>23</v>
      </c>
      <c r="B3473" s="24" t="s">
        <v>3238</v>
      </c>
      <c r="C3473" s="12" t="s">
        <v>3239</v>
      </c>
      <c r="D3473" s="60"/>
      <c r="E3473" s="41" t="str">
        <f>HYPERLINK("https://www.google.ru/search?q=1366438-100&amp;newwindow=1&amp;tbm=isch","Еще фото")</f>
        <v>Еще фото</v>
      </c>
      <c r="F3473" s="13" t="s">
        <v>103</v>
      </c>
      <c r="G3473" s="24" t="s">
        <v>2939</v>
      </c>
      <c r="H3473" s="24" t="s">
        <v>27</v>
      </c>
      <c r="I3473" s="24" t="s">
        <v>2940</v>
      </c>
      <c r="J3473" s="14" t="s">
        <v>29</v>
      </c>
      <c r="K3473" s="15" t="s">
        <v>30</v>
      </c>
      <c r="L3473" s="62"/>
      <c r="M3473" s="14" t="s">
        <v>45</v>
      </c>
      <c r="N3473" s="14" t="s">
        <v>84</v>
      </c>
      <c r="O3473" s="14" t="s">
        <v>34</v>
      </c>
      <c r="P3473" s="15" t="s">
        <v>35</v>
      </c>
      <c r="Q3473" s="16">
        <v>19799</v>
      </c>
      <c r="R3473" s="17">
        <v>45.01</v>
      </c>
      <c r="S3473" s="18">
        <v>12520.9355</v>
      </c>
      <c r="T3473" s="19" t="s">
        <v>36</v>
      </c>
      <c r="U3473" s="20" t="s">
        <v>39</v>
      </c>
      <c r="V3473" s="21" t="s">
        <v>40</v>
      </c>
      <c r="W3473" s="22">
        <v>3</v>
      </c>
      <c r="X3473" s="23"/>
    </row>
    <row r="3474" spans="1:24" s="1" customFormat="1" ht="26" customHeight="1" x14ac:dyDescent="0.3">
      <c r="A3474" s="24" t="s">
        <v>23</v>
      </c>
      <c r="B3474" s="24" t="s">
        <v>3238</v>
      </c>
      <c r="C3474" s="12" t="s">
        <v>3239</v>
      </c>
      <c r="D3474" s="60"/>
      <c r="E3474" s="41" t="str">
        <f>HYPERLINK("https://www.google.ru/search?q=1366438-100&amp;newwindow=1&amp;tbm=isch","Еще фото")</f>
        <v>Еще фото</v>
      </c>
      <c r="F3474" s="13" t="s">
        <v>103</v>
      </c>
      <c r="G3474" s="24" t="s">
        <v>2939</v>
      </c>
      <c r="H3474" s="24" t="s">
        <v>27</v>
      </c>
      <c r="I3474" s="24" t="s">
        <v>2940</v>
      </c>
      <c r="J3474" s="14" t="s">
        <v>29</v>
      </c>
      <c r="K3474" s="15" t="s">
        <v>30</v>
      </c>
      <c r="L3474" s="62"/>
      <c r="M3474" s="14" t="s">
        <v>45</v>
      </c>
      <c r="N3474" s="14" t="s">
        <v>84</v>
      </c>
      <c r="O3474" s="14" t="s">
        <v>34</v>
      </c>
      <c r="P3474" s="15" t="s">
        <v>35</v>
      </c>
      <c r="Q3474" s="16">
        <v>19799</v>
      </c>
      <c r="R3474" s="17">
        <v>45.01</v>
      </c>
      <c r="S3474" s="18">
        <v>12520.9355</v>
      </c>
      <c r="T3474" s="19" t="s">
        <v>36</v>
      </c>
      <c r="U3474" s="20" t="s">
        <v>86</v>
      </c>
      <c r="V3474" s="21" t="s">
        <v>87</v>
      </c>
      <c r="W3474" s="22">
        <v>8</v>
      </c>
      <c r="X3474" s="23"/>
    </row>
    <row r="3475" spans="1:24" s="1" customFormat="1" ht="26" customHeight="1" x14ac:dyDescent="0.3">
      <c r="A3475" s="24" t="s">
        <v>23</v>
      </c>
      <c r="B3475" s="24" t="s">
        <v>3238</v>
      </c>
      <c r="C3475" s="12" t="s">
        <v>3239</v>
      </c>
      <c r="D3475" s="61"/>
      <c r="E3475" s="41" t="str">
        <f>HYPERLINK("https://www.google.ru/search?q=1366438-100&amp;newwindow=1&amp;tbm=isch","Еще фото")</f>
        <v>Еще фото</v>
      </c>
      <c r="F3475" s="13" t="s">
        <v>103</v>
      </c>
      <c r="G3475" s="24" t="s">
        <v>2939</v>
      </c>
      <c r="H3475" s="24" t="s">
        <v>27</v>
      </c>
      <c r="I3475" s="24" t="s">
        <v>2940</v>
      </c>
      <c r="J3475" s="14" t="s">
        <v>29</v>
      </c>
      <c r="K3475" s="15" t="s">
        <v>30</v>
      </c>
      <c r="L3475" s="58"/>
      <c r="M3475" s="14" t="s">
        <v>45</v>
      </c>
      <c r="N3475" s="14" t="s">
        <v>84</v>
      </c>
      <c r="O3475" s="14" t="s">
        <v>34</v>
      </c>
      <c r="P3475" s="15" t="s">
        <v>35</v>
      </c>
      <c r="Q3475" s="16">
        <v>19799</v>
      </c>
      <c r="R3475" s="17">
        <v>45.01</v>
      </c>
      <c r="S3475" s="18">
        <v>12520.9355</v>
      </c>
      <c r="T3475" s="19" t="s">
        <v>36</v>
      </c>
      <c r="U3475" s="20" t="s">
        <v>88</v>
      </c>
      <c r="V3475" s="21" t="s">
        <v>89</v>
      </c>
      <c r="W3475" s="22">
        <v>1</v>
      </c>
      <c r="X3475" s="23"/>
    </row>
    <row r="3476" spans="1:24" s="1" customFormat="1" ht="108" customHeight="1" x14ac:dyDescent="0.3">
      <c r="A3476" s="11" t="s">
        <v>23</v>
      </c>
      <c r="B3476" s="11" t="s">
        <v>3241</v>
      </c>
      <c r="C3476" s="12" t="s">
        <v>3242</v>
      </c>
      <c r="D3476" s="25"/>
      <c r="E3476" s="41" t="str">
        <f>HYPERLINK("https://www.google.ru/search?q=1306456-001&amp;newwindow=1&amp;tbm=isch","Еще фото")</f>
        <v>Еще фото</v>
      </c>
      <c r="F3476" s="13"/>
      <c r="G3476" s="11" t="s">
        <v>2966</v>
      </c>
      <c r="H3476" s="11" t="s">
        <v>27</v>
      </c>
      <c r="I3476" s="14" t="s">
        <v>2940</v>
      </c>
      <c r="J3476" s="14" t="s">
        <v>29</v>
      </c>
      <c r="K3476" s="15" t="s">
        <v>30</v>
      </c>
      <c r="L3476" s="14" t="s">
        <v>3243</v>
      </c>
      <c r="M3476" s="14" t="s">
        <v>32</v>
      </c>
      <c r="N3476" s="14" t="s">
        <v>33</v>
      </c>
      <c r="O3476" s="14"/>
      <c r="P3476" s="15" t="s">
        <v>3244</v>
      </c>
      <c r="Q3476" s="16">
        <v>11090</v>
      </c>
      <c r="R3476" s="17">
        <v>45</v>
      </c>
      <c r="S3476" s="18">
        <v>7014.9884999999995</v>
      </c>
      <c r="T3476" s="19" t="s">
        <v>36</v>
      </c>
      <c r="U3476" s="20" t="s">
        <v>37</v>
      </c>
      <c r="V3476" s="21" t="s">
        <v>38</v>
      </c>
      <c r="W3476" s="22">
        <v>1</v>
      </c>
      <c r="X3476" s="23"/>
    </row>
    <row r="3477" spans="1:24" s="1" customFormat="1" ht="21" customHeight="1" x14ac:dyDescent="0.3">
      <c r="A3477" s="11" t="s">
        <v>23</v>
      </c>
      <c r="B3477" s="11" t="s">
        <v>3245</v>
      </c>
      <c r="C3477" s="26" t="s">
        <v>3246</v>
      </c>
      <c r="D3477" s="59"/>
      <c r="E3477" s="41" t="str">
        <f>HYPERLINK("https://www.google.ru/search?q=6009836-001&amp;newwindow=1&amp;tbm=isch","Еще фото")</f>
        <v>Еще фото</v>
      </c>
      <c r="F3477" s="13"/>
      <c r="G3477" s="11" t="s">
        <v>2966</v>
      </c>
      <c r="H3477" s="11" t="s">
        <v>27</v>
      </c>
      <c r="I3477" s="14" t="s">
        <v>2940</v>
      </c>
      <c r="J3477" s="14" t="s">
        <v>43</v>
      </c>
      <c r="K3477" s="15" t="s">
        <v>50</v>
      </c>
      <c r="L3477" s="57" t="s">
        <v>3247</v>
      </c>
      <c r="M3477" s="14"/>
      <c r="N3477" s="14" t="s">
        <v>33</v>
      </c>
      <c r="O3477" s="14"/>
      <c r="P3477" s="15" t="s">
        <v>53</v>
      </c>
      <c r="Q3477" s="16">
        <v>7299</v>
      </c>
      <c r="R3477" s="17">
        <v>43</v>
      </c>
      <c r="S3477" s="18">
        <v>4784.4944999999998</v>
      </c>
      <c r="T3477" s="19" t="s">
        <v>36</v>
      </c>
      <c r="U3477" s="20" t="s">
        <v>99</v>
      </c>
      <c r="V3477" s="21" t="s">
        <v>100</v>
      </c>
      <c r="W3477" s="22">
        <v>6</v>
      </c>
      <c r="X3477" s="23"/>
    </row>
    <row r="3478" spans="1:24" s="1" customFormat="1" ht="21" customHeight="1" x14ac:dyDescent="0.3">
      <c r="A3478" s="24" t="s">
        <v>23</v>
      </c>
      <c r="B3478" s="24" t="s">
        <v>3245</v>
      </c>
      <c r="C3478" s="27" t="s">
        <v>3246</v>
      </c>
      <c r="D3478" s="60"/>
      <c r="E3478" s="41" t="str">
        <f>HYPERLINK("https://www.google.ru/search?q=6009836-001&amp;newwindow=1&amp;tbm=isch","Еще фото")</f>
        <v>Еще фото</v>
      </c>
      <c r="F3478" s="13"/>
      <c r="G3478" s="24" t="s">
        <v>2966</v>
      </c>
      <c r="H3478" s="24" t="s">
        <v>27</v>
      </c>
      <c r="I3478" s="24" t="s">
        <v>2940</v>
      </c>
      <c r="J3478" s="14" t="s">
        <v>43</v>
      </c>
      <c r="K3478" s="15" t="s">
        <v>50</v>
      </c>
      <c r="L3478" s="62"/>
      <c r="M3478" s="14"/>
      <c r="N3478" s="14" t="s">
        <v>33</v>
      </c>
      <c r="O3478" s="14"/>
      <c r="P3478" s="15" t="s">
        <v>53</v>
      </c>
      <c r="Q3478" s="16">
        <v>7299</v>
      </c>
      <c r="R3478" s="17">
        <v>43</v>
      </c>
      <c r="S3478" s="18">
        <v>4784.4944999999998</v>
      </c>
      <c r="T3478" s="19" t="s">
        <v>36</v>
      </c>
      <c r="U3478" s="20" t="s">
        <v>54</v>
      </c>
      <c r="V3478" s="21" t="s">
        <v>55</v>
      </c>
      <c r="W3478" s="22">
        <v>12</v>
      </c>
      <c r="X3478" s="23"/>
    </row>
    <row r="3479" spans="1:24" s="1" customFormat="1" ht="21" customHeight="1" x14ac:dyDescent="0.3">
      <c r="A3479" s="24" t="s">
        <v>23</v>
      </c>
      <c r="B3479" s="24" t="s">
        <v>3245</v>
      </c>
      <c r="C3479" s="27" t="s">
        <v>3246</v>
      </c>
      <c r="D3479" s="60"/>
      <c r="E3479" s="41" t="str">
        <f>HYPERLINK("https://www.google.ru/search?q=6009836-001&amp;newwindow=1&amp;tbm=isch","Еще фото")</f>
        <v>Еще фото</v>
      </c>
      <c r="F3479" s="13"/>
      <c r="G3479" s="24" t="s">
        <v>2966</v>
      </c>
      <c r="H3479" s="24" t="s">
        <v>27</v>
      </c>
      <c r="I3479" s="24" t="s">
        <v>2940</v>
      </c>
      <c r="J3479" s="14" t="s">
        <v>43</v>
      </c>
      <c r="K3479" s="15" t="s">
        <v>50</v>
      </c>
      <c r="L3479" s="62"/>
      <c r="M3479" s="14"/>
      <c r="N3479" s="14" t="s">
        <v>33</v>
      </c>
      <c r="O3479" s="14"/>
      <c r="P3479" s="15" t="s">
        <v>53</v>
      </c>
      <c r="Q3479" s="16">
        <v>7299</v>
      </c>
      <c r="R3479" s="17">
        <v>43</v>
      </c>
      <c r="S3479" s="18">
        <v>4784.4944999999998</v>
      </c>
      <c r="T3479" s="19" t="s">
        <v>36</v>
      </c>
      <c r="U3479" s="20" t="s">
        <v>234</v>
      </c>
      <c r="V3479" s="21" t="s">
        <v>235</v>
      </c>
      <c r="W3479" s="22">
        <v>11</v>
      </c>
      <c r="X3479" s="23"/>
    </row>
    <row r="3480" spans="1:24" s="1" customFormat="1" ht="21" customHeight="1" x14ac:dyDescent="0.3">
      <c r="A3480" s="24" t="s">
        <v>23</v>
      </c>
      <c r="B3480" s="24" t="s">
        <v>3245</v>
      </c>
      <c r="C3480" s="27" t="s">
        <v>3246</v>
      </c>
      <c r="D3480" s="60"/>
      <c r="E3480" s="41" t="str">
        <f>HYPERLINK("https://www.google.ru/search?q=6009836-001&amp;newwindow=1&amp;tbm=isch","Еще фото")</f>
        <v>Еще фото</v>
      </c>
      <c r="F3480" s="13"/>
      <c r="G3480" s="24" t="s">
        <v>2966</v>
      </c>
      <c r="H3480" s="24" t="s">
        <v>27</v>
      </c>
      <c r="I3480" s="24" t="s">
        <v>2940</v>
      </c>
      <c r="J3480" s="14" t="s">
        <v>43</v>
      </c>
      <c r="K3480" s="15" t="s">
        <v>50</v>
      </c>
      <c r="L3480" s="62"/>
      <c r="M3480" s="14"/>
      <c r="N3480" s="14" t="s">
        <v>33</v>
      </c>
      <c r="O3480" s="14"/>
      <c r="P3480" s="15" t="s">
        <v>53</v>
      </c>
      <c r="Q3480" s="16">
        <v>7299</v>
      </c>
      <c r="R3480" s="17">
        <v>43</v>
      </c>
      <c r="S3480" s="18">
        <v>4784.4944999999998</v>
      </c>
      <c r="T3480" s="19" t="s">
        <v>36</v>
      </c>
      <c r="U3480" s="20" t="s">
        <v>71</v>
      </c>
      <c r="V3480" s="21" t="s">
        <v>72</v>
      </c>
      <c r="W3480" s="22">
        <v>18</v>
      </c>
      <c r="X3480" s="23"/>
    </row>
    <row r="3481" spans="1:24" s="1" customFormat="1" ht="32" customHeight="1" x14ac:dyDescent="0.3">
      <c r="A3481" s="24" t="s">
        <v>23</v>
      </c>
      <c r="B3481" s="24" t="s">
        <v>3245</v>
      </c>
      <c r="C3481" s="27" t="s">
        <v>3246</v>
      </c>
      <c r="D3481" s="61"/>
      <c r="E3481" s="41" t="str">
        <f>HYPERLINK("https://www.google.ru/search?q=6009836-001&amp;newwindow=1&amp;tbm=isch","Еще фото")</f>
        <v>Еще фото</v>
      </c>
      <c r="F3481" s="13"/>
      <c r="G3481" s="24" t="s">
        <v>2966</v>
      </c>
      <c r="H3481" s="24" t="s">
        <v>27</v>
      </c>
      <c r="I3481" s="24" t="s">
        <v>2940</v>
      </c>
      <c r="J3481" s="14" t="s">
        <v>43</v>
      </c>
      <c r="K3481" s="15" t="s">
        <v>50</v>
      </c>
      <c r="L3481" s="58"/>
      <c r="M3481" s="14"/>
      <c r="N3481" s="14" t="s">
        <v>33</v>
      </c>
      <c r="O3481" s="14"/>
      <c r="P3481" s="15" t="s">
        <v>53</v>
      </c>
      <c r="Q3481" s="16">
        <v>7299</v>
      </c>
      <c r="R3481" s="17">
        <v>43</v>
      </c>
      <c r="S3481" s="18">
        <v>4784.4944999999998</v>
      </c>
      <c r="T3481" s="19" t="s">
        <v>36</v>
      </c>
      <c r="U3481" s="20" t="s">
        <v>73</v>
      </c>
      <c r="V3481" s="21" t="s">
        <v>74</v>
      </c>
      <c r="W3481" s="22">
        <v>11</v>
      </c>
      <c r="X3481" s="23"/>
    </row>
    <row r="3482" spans="1:24" s="1" customFormat="1" ht="21" customHeight="1" x14ac:dyDescent="0.3">
      <c r="A3482" s="11" t="s">
        <v>23</v>
      </c>
      <c r="B3482" s="11" t="s">
        <v>3245</v>
      </c>
      <c r="C3482" s="26" t="s">
        <v>3248</v>
      </c>
      <c r="D3482" s="59"/>
      <c r="E3482" s="41" t="str">
        <f>HYPERLINK("https://www.google.ru/search?q=6009836-025&amp;newwindow=1&amp;tbm=isch","Еще фото")</f>
        <v>Еще фото</v>
      </c>
      <c r="F3482" s="13"/>
      <c r="G3482" s="11" t="s">
        <v>2966</v>
      </c>
      <c r="H3482" s="11" t="s">
        <v>27</v>
      </c>
      <c r="I3482" s="14" t="s">
        <v>2940</v>
      </c>
      <c r="J3482" s="14" t="s">
        <v>43</v>
      </c>
      <c r="K3482" s="15" t="s">
        <v>50</v>
      </c>
      <c r="L3482" s="57" t="s">
        <v>3247</v>
      </c>
      <c r="M3482" s="14"/>
      <c r="N3482" s="14" t="s">
        <v>62</v>
      </c>
      <c r="O3482" s="14"/>
      <c r="P3482" s="15" t="s">
        <v>53</v>
      </c>
      <c r="Q3482" s="16">
        <v>7299</v>
      </c>
      <c r="R3482" s="17">
        <v>43</v>
      </c>
      <c r="S3482" s="18">
        <v>4784.4944999999998</v>
      </c>
      <c r="T3482" s="19" t="s">
        <v>36</v>
      </c>
      <c r="U3482" s="20" t="s">
        <v>99</v>
      </c>
      <c r="V3482" s="21" t="s">
        <v>100</v>
      </c>
      <c r="W3482" s="22">
        <v>6</v>
      </c>
      <c r="X3482" s="23"/>
    </row>
    <row r="3483" spans="1:24" s="1" customFormat="1" ht="21" customHeight="1" x14ac:dyDescent="0.3">
      <c r="A3483" s="24" t="s">
        <v>23</v>
      </c>
      <c r="B3483" s="24" t="s">
        <v>3245</v>
      </c>
      <c r="C3483" s="27" t="s">
        <v>3248</v>
      </c>
      <c r="D3483" s="60"/>
      <c r="E3483" s="41" t="str">
        <f>HYPERLINK("https://www.google.ru/search?q=6009836-025&amp;newwindow=1&amp;tbm=isch","Еще фото")</f>
        <v>Еще фото</v>
      </c>
      <c r="F3483" s="13"/>
      <c r="G3483" s="24" t="s">
        <v>2966</v>
      </c>
      <c r="H3483" s="24" t="s">
        <v>27</v>
      </c>
      <c r="I3483" s="24" t="s">
        <v>2940</v>
      </c>
      <c r="J3483" s="14" t="s">
        <v>43</v>
      </c>
      <c r="K3483" s="15" t="s">
        <v>50</v>
      </c>
      <c r="L3483" s="62"/>
      <c r="M3483" s="14"/>
      <c r="N3483" s="14" t="s">
        <v>62</v>
      </c>
      <c r="O3483" s="14"/>
      <c r="P3483" s="15" t="s">
        <v>53</v>
      </c>
      <c r="Q3483" s="16">
        <v>7299</v>
      </c>
      <c r="R3483" s="17">
        <v>43</v>
      </c>
      <c r="S3483" s="18">
        <v>4784.4944999999998</v>
      </c>
      <c r="T3483" s="19" t="s">
        <v>36</v>
      </c>
      <c r="U3483" s="20" t="s">
        <v>54</v>
      </c>
      <c r="V3483" s="21" t="s">
        <v>55</v>
      </c>
      <c r="W3483" s="22">
        <v>12</v>
      </c>
      <c r="X3483" s="23"/>
    </row>
    <row r="3484" spans="1:24" s="1" customFormat="1" ht="21" customHeight="1" x14ac:dyDescent="0.3">
      <c r="A3484" s="24" t="s">
        <v>23</v>
      </c>
      <c r="B3484" s="24" t="s">
        <v>3245</v>
      </c>
      <c r="C3484" s="27" t="s">
        <v>3248</v>
      </c>
      <c r="D3484" s="60"/>
      <c r="E3484" s="41" t="str">
        <f>HYPERLINK("https://www.google.ru/search?q=6009836-025&amp;newwindow=1&amp;tbm=isch","Еще фото")</f>
        <v>Еще фото</v>
      </c>
      <c r="F3484" s="13"/>
      <c r="G3484" s="24" t="s">
        <v>2966</v>
      </c>
      <c r="H3484" s="24" t="s">
        <v>27</v>
      </c>
      <c r="I3484" s="24" t="s">
        <v>2940</v>
      </c>
      <c r="J3484" s="14" t="s">
        <v>43</v>
      </c>
      <c r="K3484" s="15" t="s">
        <v>50</v>
      </c>
      <c r="L3484" s="62"/>
      <c r="M3484" s="14"/>
      <c r="N3484" s="14" t="s">
        <v>62</v>
      </c>
      <c r="O3484" s="14"/>
      <c r="P3484" s="15" t="s">
        <v>53</v>
      </c>
      <c r="Q3484" s="16">
        <v>7299</v>
      </c>
      <c r="R3484" s="17">
        <v>43</v>
      </c>
      <c r="S3484" s="18">
        <v>4784.4944999999998</v>
      </c>
      <c r="T3484" s="19" t="s">
        <v>36</v>
      </c>
      <c r="U3484" s="20" t="s">
        <v>234</v>
      </c>
      <c r="V3484" s="21" t="s">
        <v>235</v>
      </c>
      <c r="W3484" s="22">
        <v>12</v>
      </c>
      <c r="X3484" s="23"/>
    </row>
    <row r="3485" spans="1:24" s="1" customFormat="1" ht="21" customHeight="1" x14ac:dyDescent="0.3">
      <c r="A3485" s="24" t="s">
        <v>23</v>
      </c>
      <c r="B3485" s="24" t="s">
        <v>3245</v>
      </c>
      <c r="C3485" s="27" t="s">
        <v>3248</v>
      </c>
      <c r="D3485" s="60"/>
      <c r="E3485" s="41" t="str">
        <f>HYPERLINK("https://www.google.ru/search?q=6009836-025&amp;newwindow=1&amp;tbm=isch","Еще фото")</f>
        <v>Еще фото</v>
      </c>
      <c r="F3485" s="13"/>
      <c r="G3485" s="24" t="s">
        <v>2966</v>
      </c>
      <c r="H3485" s="24" t="s">
        <v>27</v>
      </c>
      <c r="I3485" s="24" t="s">
        <v>2940</v>
      </c>
      <c r="J3485" s="14" t="s">
        <v>43</v>
      </c>
      <c r="K3485" s="15" t="s">
        <v>50</v>
      </c>
      <c r="L3485" s="62"/>
      <c r="M3485" s="14"/>
      <c r="N3485" s="14" t="s">
        <v>62</v>
      </c>
      <c r="O3485" s="14"/>
      <c r="P3485" s="15" t="s">
        <v>53</v>
      </c>
      <c r="Q3485" s="16">
        <v>7299</v>
      </c>
      <c r="R3485" s="17">
        <v>43</v>
      </c>
      <c r="S3485" s="18">
        <v>4784.4944999999998</v>
      </c>
      <c r="T3485" s="19" t="s">
        <v>36</v>
      </c>
      <c r="U3485" s="20" t="s">
        <v>71</v>
      </c>
      <c r="V3485" s="21" t="s">
        <v>72</v>
      </c>
      <c r="W3485" s="22">
        <v>17</v>
      </c>
      <c r="X3485" s="23"/>
    </row>
    <row r="3486" spans="1:24" s="1" customFormat="1" ht="32" customHeight="1" x14ac:dyDescent="0.3">
      <c r="A3486" s="24" t="s">
        <v>23</v>
      </c>
      <c r="B3486" s="24" t="s">
        <v>3245</v>
      </c>
      <c r="C3486" s="27" t="s">
        <v>3248</v>
      </c>
      <c r="D3486" s="61"/>
      <c r="E3486" s="41" t="str">
        <f>HYPERLINK("https://www.google.ru/search?q=6009836-025&amp;newwindow=1&amp;tbm=isch","Еще фото")</f>
        <v>Еще фото</v>
      </c>
      <c r="F3486" s="13"/>
      <c r="G3486" s="24" t="s">
        <v>2966</v>
      </c>
      <c r="H3486" s="24" t="s">
        <v>27</v>
      </c>
      <c r="I3486" s="24" t="s">
        <v>2940</v>
      </c>
      <c r="J3486" s="14" t="s">
        <v>43</v>
      </c>
      <c r="K3486" s="15" t="s">
        <v>50</v>
      </c>
      <c r="L3486" s="58"/>
      <c r="M3486" s="14"/>
      <c r="N3486" s="14" t="s">
        <v>62</v>
      </c>
      <c r="O3486" s="14"/>
      <c r="P3486" s="15" t="s">
        <v>53</v>
      </c>
      <c r="Q3486" s="16">
        <v>7299</v>
      </c>
      <c r="R3486" s="17">
        <v>43</v>
      </c>
      <c r="S3486" s="18">
        <v>4784.4944999999998</v>
      </c>
      <c r="T3486" s="19" t="s">
        <v>36</v>
      </c>
      <c r="U3486" s="20" t="s">
        <v>73</v>
      </c>
      <c r="V3486" s="21" t="s">
        <v>74</v>
      </c>
      <c r="W3486" s="22">
        <v>12</v>
      </c>
      <c r="X3486" s="23"/>
    </row>
    <row r="3487" spans="1:24" s="1" customFormat="1" ht="21" customHeight="1" x14ac:dyDescent="0.3">
      <c r="A3487" s="11" t="s">
        <v>23</v>
      </c>
      <c r="B3487" s="11" t="s">
        <v>3245</v>
      </c>
      <c r="C3487" s="26" t="s">
        <v>3249</v>
      </c>
      <c r="D3487" s="59"/>
      <c r="E3487" s="41" t="str">
        <f>HYPERLINK("https://www.google.ru/search?q=6009836-498&amp;newwindow=1&amp;tbm=isch","Еще фото")</f>
        <v>Еще фото</v>
      </c>
      <c r="F3487" s="13"/>
      <c r="G3487" s="11" t="s">
        <v>2966</v>
      </c>
      <c r="H3487" s="11" t="s">
        <v>27</v>
      </c>
      <c r="I3487" s="14" t="s">
        <v>2940</v>
      </c>
      <c r="J3487" s="14" t="s">
        <v>43</v>
      </c>
      <c r="K3487" s="15" t="s">
        <v>50</v>
      </c>
      <c r="L3487" s="57" t="s">
        <v>3247</v>
      </c>
      <c r="M3487" s="14"/>
      <c r="N3487" s="14" t="s">
        <v>115</v>
      </c>
      <c r="O3487" s="14"/>
      <c r="P3487" s="15" t="s">
        <v>53</v>
      </c>
      <c r="Q3487" s="16">
        <v>7299</v>
      </c>
      <c r="R3487" s="17">
        <v>43</v>
      </c>
      <c r="S3487" s="18">
        <v>4784.4944999999998</v>
      </c>
      <c r="T3487" s="19" t="s">
        <v>36</v>
      </c>
      <c r="U3487" s="20" t="s">
        <v>99</v>
      </c>
      <c r="V3487" s="21" t="s">
        <v>100</v>
      </c>
      <c r="W3487" s="22">
        <v>6</v>
      </c>
      <c r="X3487" s="23"/>
    </row>
    <row r="3488" spans="1:24" s="1" customFormat="1" ht="21" customHeight="1" x14ac:dyDescent="0.3">
      <c r="A3488" s="24" t="s">
        <v>23</v>
      </c>
      <c r="B3488" s="24" t="s">
        <v>3245</v>
      </c>
      <c r="C3488" s="27" t="s">
        <v>3249</v>
      </c>
      <c r="D3488" s="60"/>
      <c r="E3488" s="41" t="str">
        <f>HYPERLINK("https://www.google.ru/search?q=6009836-498&amp;newwindow=1&amp;tbm=isch","Еще фото")</f>
        <v>Еще фото</v>
      </c>
      <c r="F3488" s="13"/>
      <c r="G3488" s="24" t="s">
        <v>2966</v>
      </c>
      <c r="H3488" s="24" t="s">
        <v>27</v>
      </c>
      <c r="I3488" s="24" t="s">
        <v>2940</v>
      </c>
      <c r="J3488" s="14" t="s">
        <v>43</v>
      </c>
      <c r="K3488" s="15" t="s">
        <v>50</v>
      </c>
      <c r="L3488" s="62"/>
      <c r="M3488" s="14"/>
      <c r="N3488" s="14" t="s">
        <v>115</v>
      </c>
      <c r="O3488" s="14"/>
      <c r="P3488" s="15" t="s">
        <v>53</v>
      </c>
      <c r="Q3488" s="16">
        <v>7299</v>
      </c>
      <c r="R3488" s="17">
        <v>43</v>
      </c>
      <c r="S3488" s="18">
        <v>4784.4944999999998</v>
      </c>
      <c r="T3488" s="19" t="s">
        <v>36</v>
      </c>
      <c r="U3488" s="20" t="s">
        <v>54</v>
      </c>
      <c r="V3488" s="21" t="s">
        <v>55</v>
      </c>
      <c r="W3488" s="22">
        <v>12</v>
      </c>
      <c r="X3488" s="23"/>
    </row>
    <row r="3489" spans="1:24" s="1" customFormat="1" ht="21" customHeight="1" x14ac:dyDescent="0.3">
      <c r="A3489" s="24" t="s">
        <v>23</v>
      </c>
      <c r="B3489" s="24" t="s">
        <v>3245</v>
      </c>
      <c r="C3489" s="27" t="s">
        <v>3249</v>
      </c>
      <c r="D3489" s="60"/>
      <c r="E3489" s="41" t="str">
        <f>HYPERLINK("https://www.google.ru/search?q=6009836-498&amp;newwindow=1&amp;tbm=isch","Еще фото")</f>
        <v>Еще фото</v>
      </c>
      <c r="F3489" s="13"/>
      <c r="G3489" s="24" t="s">
        <v>2966</v>
      </c>
      <c r="H3489" s="24" t="s">
        <v>27</v>
      </c>
      <c r="I3489" s="24" t="s">
        <v>2940</v>
      </c>
      <c r="J3489" s="14" t="s">
        <v>43</v>
      </c>
      <c r="K3489" s="15" t="s">
        <v>50</v>
      </c>
      <c r="L3489" s="62"/>
      <c r="M3489" s="14"/>
      <c r="N3489" s="14" t="s">
        <v>115</v>
      </c>
      <c r="O3489" s="14"/>
      <c r="P3489" s="15" t="s">
        <v>53</v>
      </c>
      <c r="Q3489" s="16">
        <v>7299</v>
      </c>
      <c r="R3489" s="17">
        <v>43</v>
      </c>
      <c r="S3489" s="18">
        <v>4784.4944999999998</v>
      </c>
      <c r="T3489" s="19" t="s">
        <v>36</v>
      </c>
      <c r="U3489" s="20" t="s">
        <v>234</v>
      </c>
      <c r="V3489" s="21" t="s">
        <v>235</v>
      </c>
      <c r="W3489" s="22">
        <v>12</v>
      </c>
      <c r="X3489" s="23"/>
    </row>
    <row r="3490" spans="1:24" s="1" customFormat="1" ht="21" customHeight="1" x14ac:dyDescent="0.3">
      <c r="A3490" s="24" t="s">
        <v>23</v>
      </c>
      <c r="B3490" s="24" t="s">
        <v>3245</v>
      </c>
      <c r="C3490" s="27" t="s">
        <v>3249</v>
      </c>
      <c r="D3490" s="60"/>
      <c r="E3490" s="41" t="str">
        <f>HYPERLINK("https://www.google.ru/search?q=6009836-498&amp;newwindow=1&amp;tbm=isch","Еще фото")</f>
        <v>Еще фото</v>
      </c>
      <c r="F3490" s="13"/>
      <c r="G3490" s="24" t="s">
        <v>2966</v>
      </c>
      <c r="H3490" s="24" t="s">
        <v>27</v>
      </c>
      <c r="I3490" s="24" t="s">
        <v>2940</v>
      </c>
      <c r="J3490" s="14" t="s">
        <v>43</v>
      </c>
      <c r="K3490" s="15" t="s">
        <v>50</v>
      </c>
      <c r="L3490" s="62"/>
      <c r="M3490" s="14"/>
      <c r="N3490" s="14" t="s">
        <v>115</v>
      </c>
      <c r="O3490" s="14"/>
      <c r="P3490" s="15" t="s">
        <v>53</v>
      </c>
      <c r="Q3490" s="16">
        <v>7299</v>
      </c>
      <c r="R3490" s="17">
        <v>43</v>
      </c>
      <c r="S3490" s="18">
        <v>4784.4944999999998</v>
      </c>
      <c r="T3490" s="19" t="s">
        <v>36</v>
      </c>
      <c r="U3490" s="20" t="s">
        <v>71</v>
      </c>
      <c r="V3490" s="21" t="s">
        <v>72</v>
      </c>
      <c r="W3490" s="22">
        <v>18</v>
      </c>
      <c r="X3490" s="23"/>
    </row>
    <row r="3491" spans="1:24" s="1" customFormat="1" ht="32" customHeight="1" x14ac:dyDescent="0.3">
      <c r="A3491" s="24" t="s">
        <v>23</v>
      </c>
      <c r="B3491" s="24" t="s">
        <v>3245</v>
      </c>
      <c r="C3491" s="27" t="s">
        <v>3249</v>
      </c>
      <c r="D3491" s="61"/>
      <c r="E3491" s="41" t="str">
        <f>HYPERLINK("https://www.google.ru/search?q=6009836-498&amp;newwindow=1&amp;tbm=isch","Еще фото")</f>
        <v>Еще фото</v>
      </c>
      <c r="F3491" s="13"/>
      <c r="G3491" s="24" t="s">
        <v>2966</v>
      </c>
      <c r="H3491" s="24" t="s">
        <v>27</v>
      </c>
      <c r="I3491" s="24" t="s">
        <v>2940</v>
      </c>
      <c r="J3491" s="14" t="s">
        <v>43</v>
      </c>
      <c r="K3491" s="15" t="s">
        <v>50</v>
      </c>
      <c r="L3491" s="58"/>
      <c r="M3491" s="14"/>
      <c r="N3491" s="14" t="s">
        <v>115</v>
      </c>
      <c r="O3491" s="14"/>
      <c r="P3491" s="15" t="s">
        <v>53</v>
      </c>
      <c r="Q3491" s="16">
        <v>7299</v>
      </c>
      <c r="R3491" s="17">
        <v>43</v>
      </c>
      <c r="S3491" s="18">
        <v>4784.4944999999998</v>
      </c>
      <c r="T3491" s="19" t="s">
        <v>36</v>
      </c>
      <c r="U3491" s="20" t="s">
        <v>73</v>
      </c>
      <c r="V3491" s="21" t="s">
        <v>74</v>
      </c>
      <c r="W3491" s="22">
        <v>12</v>
      </c>
      <c r="X3491" s="23"/>
    </row>
    <row r="3492" spans="1:24" s="1" customFormat="1" ht="52.05" customHeight="1" x14ac:dyDescent="0.3">
      <c r="A3492" s="11" t="s">
        <v>23</v>
      </c>
      <c r="B3492" s="11" t="s">
        <v>3250</v>
      </c>
      <c r="C3492" s="12" t="s">
        <v>3251</v>
      </c>
      <c r="D3492" s="55"/>
      <c r="E3492" s="41" t="str">
        <f>HYPERLINK("https://www.google.ru/search?q=1320977-890&amp;newwindow=1&amp;tbm=isch","Еще фото")</f>
        <v>Еще фото</v>
      </c>
      <c r="F3492" s="13" t="s">
        <v>103</v>
      </c>
      <c r="G3492" s="11" t="s">
        <v>855</v>
      </c>
      <c r="H3492" s="11" t="s">
        <v>27</v>
      </c>
      <c r="I3492" s="14" t="s">
        <v>2940</v>
      </c>
      <c r="J3492" s="14" t="s">
        <v>29</v>
      </c>
      <c r="K3492" s="15" t="s">
        <v>30</v>
      </c>
      <c r="L3492" s="57" t="s">
        <v>3135</v>
      </c>
      <c r="M3492" s="14" t="s">
        <v>339</v>
      </c>
      <c r="N3492" s="14" t="s">
        <v>198</v>
      </c>
      <c r="O3492" s="14" t="s">
        <v>34</v>
      </c>
      <c r="P3492" s="15" t="s">
        <v>879</v>
      </c>
      <c r="Q3492" s="16">
        <v>10699</v>
      </c>
      <c r="R3492" s="17">
        <v>40</v>
      </c>
      <c r="S3492" s="18">
        <v>7382.3099999999986</v>
      </c>
      <c r="T3492" s="19" t="s">
        <v>36</v>
      </c>
      <c r="U3492" s="20" t="s">
        <v>86</v>
      </c>
      <c r="V3492" s="21" t="s">
        <v>87</v>
      </c>
      <c r="W3492" s="22">
        <v>2</v>
      </c>
      <c r="X3492" s="23"/>
    </row>
    <row r="3493" spans="1:24" s="1" customFormat="1" ht="61.05" customHeight="1" x14ac:dyDescent="0.3">
      <c r="A3493" s="24" t="s">
        <v>23</v>
      </c>
      <c r="B3493" s="24" t="s">
        <v>3250</v>
      </c>
      <c r="C3493" s="12" t="s">
        <v>3251</v>
      </c>
      <c r="D3493" s="56"/>
      <c r="E3493" s="41" t="str">
        <f>HYPERLINK("https://www.google.ru/search?q=1320977-890&amp;newwindow=1&amp;tbm=isch","Еще фото")</f>
        <v>Еще фото</v>
      </c>
      <c r="F3493" s="13" t="s">
        <v>103</v>
      </c>
      <c r="G3493" s="24" t="s">
        <v>855</v>
      </c>
      <c r="H3493" s="24" t="s">
        <v>27</v>
      </c>
      <c r="I3493" s="24" t="s">
        <v>2940</v>
      </c>
      <c r="J3493" s="14" t="s">
        <v>29</v>
      </c>
      <c r="K3493" s="15" t="s">
        <v>30</v>
      </c>
      <c r="L3493" s="58"/>
      <c r="M3493" s="14" t="s">
        <v>339</v>
      </c>
      <c r="N3493" s="14" t="s">
        <v>198</v>
      </c>
      <c r="O3493" s="14" t="s">
        <v>34</v>
      </c>
      <c r="P3493" s="15" t="s">
        <v>879</v>
      </c>
      <c r="Q3493" s="16">
        <v>10699</v>
      </c>
      <c r="R3493" s="17">
        <v>40</v>
      </c>
      <c r="S3493" s="18">
        <v>7382.3099999999986</v>
      </c>
      <c r="T3493" s="19" t="s">
        <v>36</v>
      </c>
      <c r="U3493" s="20" t="s">
        <v>88</v>
      </c>
      <c r="V3493" s="21" t="s">
        <v>89</v>
      </c>
      <c r="W3493" s="22">
        <v>1</v>
      </c>
      <c r="X3493" s="23"/>
    </row>
    <row r="3494" spans="1:24" s="1" customFormat="1" ht="108" customHeight="1" x14ac:dyDescent="0.3">
      <c r="A3494" s="11" t="s">
        <v>23</v>
      </c>
      <c r="B3494" s="11" t="s">
        <v>3206</v>
      </c>
      <c r="C3494" s="12" t="s">
        <v>3252</v>
      </c>
      <c r="D3494" s="25"/>
      <c r="E3494" s="41" t="str">
        <f>HYPERLINK("https://www.google.ru/search?q=1328495-602&amp;newwindow=1&amp;tbm=isch","Еще фото")</f>
        <v>Еще фото</v>
      </c>
      <c r="F3494" s="13" t="s">
        <v>152</v>
      </c>
      <c r="G3494" s="11" t="s">
        <v>2945</v>
      </c>
      <c r="H3494" s="11" t="s">
        <v>27</v>
      </c>
      <c r="I3494" s="14" t="s">
        <v>2940</v>
      </c>
      <c r="J3494" s="14" t="s">
        <v>29</v>
      </c>
      <c r="K3494" s="15" t="s">
        <v>30</v>
      </c>
      <c r="L3494" s="14" t="s">
        <v>3253</v>
      </c>
      <c r="M3494" s="14" t="s">
        <v>3209</v>
      </c>
      <c r="N3494" s="14" t="s">
        <v>198</v>
      </c>
      <c r="O3494" s="14" t="s">
        <v>34</v>
      </c>
      <c r="P3494" s="15" t="s">
        <v>47</v>
      </c>
      <c r="Q3494" s="16">
        <v>7599</v>
      </c>
      <c r="R3494" s="17">
        <v>40</v>
      </c>
      <c r="S3494" s="18">
        <v>5243.3099999999995</v>
      </c>
      <c r="T3494" s="19" t="s">
        <v>36</v>
      </c>
      <c r="U3494" s="20" t="s">
        <v>39</v>
      </c>
      <c r="V3494" s="21" t="s">
        <v>40</v>
      </c>
      <c r="W3494" s="22">
        <v>1</v>
      </c>
      <c r="X3494" s="23"/>
    </row>
    <row r="3495" spans="1:24" s="1" customFormat="1" ht="35" customHeight="1" x14ac:dyDescent="0.3">
      <c r="A3495" s="11" t="s">
        <v>23</v>
      </c>
      <c r="B3495" s="11" t="s">
        <v>3254</v>
      </c>
      <c r="C3495" s="12" t="s">
        <v>3255</v>
      </c>
      <c r="D3495" s="59"/>
      <c r="E3495" s="41" t="str">
        <f>HYPERLINK("https://www.google.ru/search?q=1329293-002&amp;newwindow=1&amp;tbm=isch","Еще фото")</f>
        <v>Еще фото</v>
      </c>
      <c r="F3495" s="13" t="s">
        <v>103</v>
      </c>
      <c r="G3495" s="11" t="s">
        <v>2961</v>
      </c>
      <c r="H3495" s="11" t="s">
        <v>27</v>
      </c>
      <c r="I3495" s="14" t="s">
        <v>2940</v>
      </c>
      <c r="J3495" s="14" t="s">
        <v>29</v>
      </c>
      <c r="K3495" s="15" t="s">
        <v>30</v>
      </c>
      <c r="L3495" s="57" t="s">
        <v>3256</v>
      </c>
      <c r="M3495" s="14" t="s">
        <v>45</v>
      </c>
      <c r="N3495" s="14" t="s">
        <v>33</v>
      </c>
      <c r="O3495" s="14" t="s">
        <v>306</v>
      </c>
      <c r="P3495" s="15" t="s">
        <v>47</v>
      </c>
      <c r="Q3495" s="16">
        <v>5499</v>
      </c>
      <c r="R3495" s="17">
        <v>40</v>
      </c>
      <c r="S3495" s="18">
        <v>3794.31</v>
      </c>
      <c r="T3495" s="19" t="s">
        <v>36</v>
      </c>
      <c r="U3495" s="20" t="s">
        <v>37</v>
      </c>
      <c r="V3495" s="21" t="s">
        <v>38</v>
      </c>
      <c r="W3495" s="22">
        <v>1</v>
      </c>
      <c r="X3495" s="23"/>
    </row>
    <row r="3496" spans="1:24" s="1" customFormat="1" ht="35" customHeight="1" x14ac:dyDescent="0.3">
      <c r="A3496" s="24" t="s">
        <v>23</v>
      </c>
      <c r="B3496" s="24" t="s">
        <v>3254</v>
      </c>
      <c r="C3496" s="12" t="s">
        <v>3255</v>
      </c>
      <c r="D3496" s="60"/>
      <c r="E3496" s="41" t="str">
        <f>HYPERLINK("https://www.google.ru/search?q=1329293-002&amp;newwindow=1&amp;tbm=isch","Еще фото")</f>
        <v>Еще фото</v>
      </c>
      <c r="F3496" s="13" t="s">
        <v>103</v>
      </c>
      <c r="G3496" s="24" t="s">
        <v>2961</v>
      </c>
      <c r="H3496" s="24" t="s">
        <v>27</v>
      </c>
      <c r="I3496" s="24" t="s">
        <v>2940</v>
      </c>
      <c r="J3496" s="14" t="s">
        <v>29</v>
      </c>
      <c r="K3496" s="15" t="s">
        <v>30</v>
      </c>
      <c r="L3496" s="62"/>
      <c r="M3496" s="14" t="s">
        <v>45</v>
      </c>
      <c r="N3496" s="14" t="s">
        <v>33</v>
      </c>
      <c r="O3496" s="14" t="s">
        <v>306</v>
      </c>
      <c r="P3496" s="15" t="s">
        <v>47</v>
      </c>
      <c r="Q3496" s="16">
        <v>5499</v>
      </c>
      <c r="R3496" s="17">
        <v>40</v>
      </c>
      <c r="S3496" s="18">
        <v>3794.31</v>
      </c>
      <c r="T3496" s="19" t="s">
        <v>36</v>
      </c>
      <c r="U3496" s="20" t="s">
        <v>39</v>
      </c>
      <c r="V3496" s="21" t="s">
        <v>40</v>
      </c>
      <c r="W3496" s="22">
        <v>19</v>
      </c>
      <c r="X3496" s="23"/>
    </row>
    <row r="3497" spans="1:24" s="1" customFormat="1" ht="37.049999999999997" customHeight="1" x14ac:dyDescent="0.3">
      <c r="A3497" s="24" t="s">
        <v>23</v>
      </c>
      <c r="B3497" s="24" t="s">
        <v>3254</v>
      </c>
      <c r="C3497" s="12" t="s">
        <v>3255</v>
      </c>
      <c r="D3497" s="61"/>
      <c r="E3497" s="41" t="str">
        <f>HYPERLINK("https://www.google.ru/search?q=1329293-002&amp;newwindow=1&amp;tbm=isch","Еще фото")</f>
        <v>Еще фото</v>
      </c>
      <c r="F3497" s="13" t="s">
        <v>103</v>
      </c>
      <c r="G3497" s="24" t="s">
        <v>2961</v>
      </c>
      <c r="H3497" s="24" t="s">
        <v>27</v>
      </c>
      <c r="I3497" s="24" t="s">
        <v>2940</v>
      </c>
      <c r="J3497" s="14" t="s">
        <v>29</v>
      </c>
      <c r="K3497" s="15" t="s">
        <v>30</v>
      </c>
      <c r="L3497" s="58"/>
      <c r="M3497" s="14" t="s">
        <v>45</v>
      </c>
      <c r="N3497" s="14" t="s">
        <v>33</v>
      </c>
      <c r="O3497" s="14" t="s">
        <v>306</v>
      </c>
      <c r="P3497" s="15" t="s">
        <v>47</v>
      </c>
      <c r="Q3497" s="16">
        <v>5499</v>
      </c>
      <c r="R3497" s="17">
        <v>40</v>
      </c>
      <c r="S3497" s="18">
        <v>3794.31</v>
      </c>
      <c r="T3497" s="19" t="s">
        <v>36</v>
      </c>
      <c r="U3497" s="20" t="s">
        <v>86</v>
      </c>
      <c r="V3497" s="21" t="s">
        <v>87</v>
      </c>
      <c r="W3497" s="22">
        <v>15</v>
      </c>
      <c r="X3497" s="23"/>
    </row>
    <row r="3498" spans="1:24" s="1" customFormat="1" ht="26" customHeight="1" x14ac:dyDescent="0.3">
      <c r="A3498" s="11" t="s">
        <v>23</v>
      </c>
      <c r="B3498" s="11" t="s">
        <v>3254</v>
      </c>
      <c r="C3498" s="12" t="s">
        <v>3257</v>
      </c>
      <c r="D3498" s="59"/>
      <c r="E3498" s="41" t="str">
        <f>HYPERLINK("https://www.google.ru/search?q=1329293-011&amp;newwindow=1&amp;tbm=isch","Еще фото")</f>
        <v>Еще фото</v>
      </c>
      <c r="F3498" s="13"/>
      <c r="G3498" s="11" t="s">
        <v>2961</v>
      </c>
      <c r="H3498" s="11" t="s">
        <v>27</v>
      </c>
      <c r="I3498" s="14" t="s">
        <v>2940</v>
      </c>
      <c r="J3498" s="14" t="s">
        <v>29</v>
      </c>
      <c r="K3498" s="15" t="s">
        <v>30</v>
      </c>
      <c r="L3498" s="57" t="s">
        <v>3256</v>
      </c>
      <c r="M3498" s="14"/>
      <c r="N3498" s="14" t="s">
        <v>62</v>
      </c>
      <c r="O3498" s="14"/>
      <c r="P3498" s="15" t="s">
        <v>47</v>
      </c>
      <c r="Q3498" s="16">
        <v>5499</v>
      </c>
      <c r="R3498" s="17">
        <v>40</v>
      </c>
      <c r="S3498" s="18">
        <v>3794.31</v>
      </c>
      <c r="T3498" s="19" t="s">
        <v>36</v>
      </c>
      <c r="U3498" s="20" t="s">
        <v>37</v>
      </c>
      <c r="V3498" s="21" t="s">
        <v>38</v>
      </c>
      <c r="W3498" s="22">
        <v>1</v>
      </c>
      <c r="X3498" s="23"/>
    </row>
    <row r="3499" spans="1:24" s="1" customFormat="1" ht="26" customHeight="1" x14ac:dyDescent="0.3">
      <c r="A3499" s="24" t="s">
        <v>23</v>
      </c>
      <c r="B3499" s="24" t="s">
        <v>3254</v>
      </c>
      <c r="C3499" s="12" t="s">
        <v>3257</v>
      </c>
      <c r="D3499" s="60"/>
      <c r="E3499" s="41" t="str">
        <f>HYPERLINK("https://www.google.ru/search?q=1329293-011&amp;newwindow=1&amp;tbm=isch","Еще фото")</f>
        <v>Еще фото</v>
      </c>
      <c r="F3499" s="13"/>
      <c r="G3499" s="24" t="s">
        <v>2961</v>
      </c>
      <c r="H3499" s="24" t="s">
        <v>27</v>
      </c>
      <c r="I3499" s="24" t="s">
        <v>2940</v>
      </c>
      <c r="J3499" s="14" t="s">
        <v>29</v>
      </c>
      <c r="K3499" s="15" t="s">
        <v>30</v>
      </c>
      <c r="L3499" s="62"/>
      <c r="M3499" s="14"/>
      <c r="N3499" s="14" t="s">
        <v>62</v>
      </c>
      <c r="O3499" s="14"/>
      <c r="P3499" s="15" t="s">
        <v>47</v>
      </c>
      <c r="Q3499" s="16">
        <v>5499</v>
      </c>
      <c r="R3499" s="17">
        <v>40</v>
      </c>
      <c r="S3499" s="18">
        <v>3794.31</v>
      </c>
      <c r="T3499" s="19" t="s">
        <v>36</v>
      </c>
      <c r="U3499" s="20" t="s">
        <v>39</v>
      </c>
      <c r="V3499" s="21" t="s">
        <v>40</v>
      </c>
      <c r="W3499" s="22">
        <v>12</v>
      </c>
      <c r="X3499" s="23"/>
    </row>
    <row r="3500" spans="1:24" s="1" customFormat="1" ht="26" customHeight="1" x14ac:dyDescent="0.3">
      <c r="A3500" s="24" t="s">
        <v>23</v>
      </c>
      <c r="B3500" s="24" t="s">
        <v>3254</v>
      </c>
      <c r="C3500" s="12" t="s">
        <v>3257</v>
      </c>
      <c r="D3500" s="60"/>
      <c r="E3500" s="41" t="str">
        <f>HYPERLINK("https://www.google.ru/search?q=1329293-011&amp;newwindow=1&amp;tbm=isch","Еще фото")</f>
        <v>Еще фото</v>
      </c>
      <c r="F3500" s="13"/>
      <c r="G3500" s="24" t="s">
        <v>2961</v>
      </c>
      <c r="H3500" s="24" t="s">
        <v>27</v>
      </c>
      <c r="I3500" s="24" t="s">
        <v>2940</v>
      </c>
      <c r="J3500" s="14" t="s">
        <v>29</v>
      </c>
      <c r="K3500" s="15" t="s">
        <v>30</v>
      </c>
      <c r="L3500" s="62"/>
      <c r="M3500" s="14"/>
      <c r="N3500" s="14" t="s">
        <v>62</v>
      </c>
      <c r="O3500" s="14"/>
      <c r="P3500" s="15" t="s">
        <v>47</v>
      </c>
      <c r="Q3500" s="16">
        <v>5499</v>
      </c>
      <c r="R3500" s="17">
        <v>40</v>
      </c>
      <c r="S3500" s="18">
        <v>3794.31</v>
      </c>
      <c r="T3500" s="19" t="s">
        <v>36</v>
      </c>
      <c r="U3500" s="20" t="s">
        <v>86</v>
      </c>
      <c r="V3500" s="21" t="s">
        <v>87</v>
      </c>
      <c r="W3500" s="22">
        <v>15</v>
      </c>
      <c r="X3500" s="23"/>
    </row>
    <row r="3501" spans="1:24" s="1" customFormat="1" ht="26" customHeight="1" x14ac:dyDescent="0.3">
      <c r="A3501" s="24" t="s">
        <v>23</v>
      </c>
      <c r="B3501" s="24" t="s">
        <v>3254</v>
      </c>
      <c r="C3501" s="12" t="s">
        <v>3257</v>
      </c>
      <c r="D3501" s="61"/>
      <c r="E3501" s="41" t="str">
        <f>HYPERLINK("https://www.google.ru/search?q=1329293-011&amp;newwindow=1&amp;tbm=isch","Еще фото")</f>
        <v>Еще фото</v>
      </c>
      <c r="F3501" s="13"/>
      <c r="G3501" s="24" t="s">
        <v>2961</v>
      </c>
      <c r="H3501" s="24" t="s">
        <v>27</v>
      </c>
      <c r="I3501" s="24" t="s">
        <v>2940</v>
      </c>
      <c r="J3501" s="14" t="s">
        <v>29</v>
      </c>
      <c r="K3501" s="15" t="s">
        <v>30</v>
      </c>
      <c r="L3501" s="58"/>
      <c r="M3501" s="14"/>
      <c r="N3501" s="14" t="s">
        <v>62</v>
      </c>
      <c r="O3501" s="14"/>
      <c r="P3501" s="15" t="s">
        <v>47</v>
      </c>
      <c r="Q3501" s="16">
        <v>5499</v>
      </c>
      <c r="R3501" s="17">
        <v>40</v>
      </c>
      <c r="S3501" s="18">
        <v>3794.31</v>
      </c>
      <c r="T3501" s="19" t="s">
        <v>36</v>
      </c>
      <c r="U3501" s="20" t="s">
        <v>90</v>
      </c>
      <c r="V3501" s="21" t="s">
        <v>91</v>
      </c>
      <c r="W3501" s="22">
        <v>2</v>
      </c>
      <c r="X3501" s="23"/>
    </row>
    <row r="3502" spans="1:24" s="1" customFormat="1" ht="21" customHeight="1" x14ac:dyDescent="0.3">
      <c r="A3502" s="11" t="s">
        <v>23</v>
      </c>
      <c r="B3502" s="11" t="s">
        <v>3254</v>
      </c>
      <c r="C3502" s="26" t="s">
        <v>3258</v>
      </c>
      <c r="D3502" s="59"/>
      <c r="E3502" s="41" t="str">
        <f>HYPERLINK("https://www.google.ru/search?q=1329293-390&amp;newwindow=1&amp;tbm=isch","Еще фото")</f>
        <v>Еще фото</v>
      </c>
      <c r="F3502" s="13" t="s">
        <v>103</v>
      </c>
      <c r="G3502" s="11" t="s">
        <v>2961</v>
      </c>
      <c r="H3502" s="11" t="s">
        <v>27</v>
      </c>
      <c r="I3502" s="14" t="s">
        <v>2940</v>
      </c>
      <c r="J3502" s="14" t="s">
        <v>29</v>
      </c>
      <c r="K3502" s="15" t="s">
        <v>30</v>
      </c>
      <c r="L3502" s="57" t="s">
        <v>3256</v>
      </c>
      <c r="M3502" s="14" t="s">
        <v>45</v>
      </c>
      <c r="N3502" s="14" t="s">
        <v>127</v>
      </c>
      <c r="O3502" s="14" t="s">
        <v>34</v>
      </c>
      <c r="P3502" s="15" t="s">
        <v>47</v>
      </c>
      <c r="Q3502" s="16">
        <v>5799</v>
      </c>
      <c r="R3502" s="17">
        <v>40</v>
      </c>
      <c r="S3502" s="18">
        <v>4001.31</v>
      </c>
      <c r="T3502" s="19" t="s">
        <v>36</v>
      </c>
      <c r="U3502" s="20" t="s">
        <v>37</v>
      </c>
      <c r="V3502" s="21" t="s">
        <v>38</v>
      </c>
      <c r="W3502" s="22">
        <v>5</v>
      </c>
      <c r="X3502" s="23"/>
    </row>
    <row r="3503" spans="1:24" s="1" customFormat="1" ht="21" customHeight="1" x14ac:dyDescent="0.3">
      <c r="A3503" s="24" t="s">
        <v>23</v>
      </c>
      <c r="B3503" s="24" t="s">
        <v>3254</v>
      </c>
      <c r="C3503" s="27" t="s">
        <v>3258</v>
      </c>
      <c r="D3503" s="60"/>
      <c r="E3503" s="41" t="str">
        <f>HYPERLINK("https://www.google.ru/search?q=1329293-390&amp;newwindow=1&amp;tbm=isch","Еще фото")</f>
        <v>Еще фото</v>
      </c>
      <c r="F3503" s="13" t="s">
        <v>103</v>
      </c>
      <c r="G3503" s="24" t="s">
        <v>2961</v>
      </c>
      <c r="H3503" s="24" t="s">
        <v>27</v>
      </c>
      <c r="I3503" s="24" t="s">
        <v>2940</v>
      </c>
      <c r="J3503" s="14" t="s">
        <v>29</v>
      </c>
      <c r="K3503" s="15" t="s">
        <v>30</v>
      </c>
      <c r="L3503" s="62"/>
      <c r="M3503" s="14" t="s">
        <v>45</v>
      </c>
      <c r="N3503" s="14" t="s">
        <v>127</v>
      </c>
      <c r="O3503" s="14" t="s">
        <v>34</v>
      </c>
      <c r="P3503" s="15" t="s">
        <v>47</v>
      </c>
      <c r="Q3503" s="16">
        <v>5799</v>
      </c>
      <c r="R3503" s="17">
        <v>40</v>
      </c>
      <c r="S3503" s="18">
        <v>4001.31</v>
      </c>
      <c r="T3503" s="19" t="s">
        <v>36</v>
      </c>
      <c r="U3503" s="20" t="s">
        <v>39</v>
      </c>
      <c r="V3503" s="21" t="s">
        <v>40</v>
      </c>
      <c r="W3503" s="22">
        <v>13</v>
      </c>
      <c r="X3503" s="23"/>
    </row>
    <row r="3504" spans="1:24" s="1" customFormat="1" ht="21" customHeight="1" x14ac:dyDescent="0.3">
      <c r="A3504" s="24" t="s">
        <v>23</v>
      </c>
      <c r="B3504" s="24" t="s">
        <v>3254</v>
      </c>
      <c r="C3504" s="27" t="s">
        <v>3258</v>
      </c>
      <c r="D3504" s="60"/>
      <c r="E3504" s="41" t="str">
        <f>HYPERLINK("https://www.google.ru/search?q=1329293-390&amp;newwindow=1&amp;tbm=isch","Еще фото")</f>
        <v>Еще фото</v>
      </c>
      <c r="F3504" s="13" t="s">
        <v>103</v>
      </c>
      <c r="G3504" s="24" t="s">
        <v>2961</v>
      </c>
      <c r="H3504" s="24" t="s">
        <v>27</v>
      </c>
      <c r="I3504" s="24" t="s">
        <v>2940</v>
      </c>
      <c r="J3504" s="14" t="s">
        <v>29</v>
      </c>
      <c r="K3504" s="15" t="s">
        <v>30</v>
      </c>
      <c r="L3504" s="62"/>
      <c r="M3504" s="14" t="s">
        <v>45</v>
      </c>
      <c r="N3504" s="14" t="s">
        <v>127</v>
      </c>
      <c r="O3504" s="14" t="s">
        <v>34</v>
      </c>
      <c r="P3504" s="15" t="s">
        <v>47</v>
      </c>
      <c r="Q3504" s="16">
        <v>5799</v>
      </c>
      <c r="R3504" s="17">
        <v>40</v>
      </c>
      <c r="S3504" s="18">
        <v>4001.31</v>
      </c>
      <c r="T3504" s="19" t="s">
        <v>36</v>
      </c>
      <c r="U3504" s="20" t="s">
        <v>86</v>
      </c>
      <c r="V3504" s="21" t="s">
        <v>87</v>
      </c>
      <c r="W3504" s="22">
        <v>15</v>
      </c>
      <c r="X3504" s="23"/>
    </row>
    <row r="3505" spans="1:24" s="1" customFormat="1" ht="21" customHeight="1" x14ac:dyDescent="0.3">
      <c r="A3505" s="24" t="s">
        <v>23</v>
      </c>
      <c r="B3505" s="24" t="s">
        <v>3254</v>
      </c>
      <c r="C3505" s="27" t="s">
        <v>3258</v>
      </c>
      <c r="D3505" s="60"/>
      <c r="E3505" s="41" t="str">
        <f>HYPERLINK("https://www.google.ru/search?q=1329293-390&amp;newwindow=1&amp;tbm=isch","Еще фото")</f>
        <v>Еще фото</v>
      </c>
      <c r="F3505" s="13" t="s">
        <v>103</v>
      </c>
      <c r="G3505" s="24" t="s">
        <v>2961</v>
      </c>
      <c r="H3505" s="24" t="s">
        <v>27</v>
      </c>
      <c r="I3505" s="24" t="s">
        <v>2940</v>
      </c>
      <c r="J3505" s="14" t="s">
        <v>29</v>
      </c>
      <c r="K3505" s="15" t="s">
        <v>30</v>
      </c>
      <c r="L3505" s="62"/>
      <c r="M3505" s="14" t="s">
        <v>45</v>
      </c>
      <c r="N3505" s="14" t="s">
        <v>127</v>
      </c>
      <c r="O3505" s="14" t="s">
        <v>34</v>
      </c>
      <c r="P3505" s="15" t="s">
        <v>47</v>
      </c>
      <c r="Q3505" s="16">
        <v>5799</v>
      </c>
      <c r="R3505" s="17">
        <v>40</v>
      </c>
      <c r="S3505" s="18">
        <v>4001.31</v>
      </c>
      <c r="T3505" s="19" t="s">
        <v>36</v>
      </c>
      <c r="U3505" s="20" t="s">
        <v>88</v>
      </c>
      <c r="V3505" s="21" t="s">
        <v>89</v>
      </c>
      <c r="W3505" s="22">
        <v>3</v>
      </c>
      <c r="X3505" s="23"/>
    </row>
    <row r="3506" spans="1:24" s="1" customFormat="1" ht="32" customHeight="1" x14ac:dyDescent="0.3">
      <c r="A3506" s="24" t="s">
        <v>23</v>
      </c>
      <c r="B3506" s="24" t="s">
        <v>3254</v>
      </c>
      <c r="C3506" s="27" t="s">
        <v>3258</v>
      </c>
      <c r="D3506" s="61"/>
      <c r="E3506" s="41" t="str">
        <f>HYPERLINK("https://www.google.ru/search?q=1329293-390&amp;newwindow=1&amp;tbm=isch","Еще фото")</f>
        <v>Еще фото</v>
      </c>
      <c r="F3506" s="13" t="s">
        <v>103</v>
      </c>
      <c r="G3506" s="24" t="s">
        <v>2961</v>
      </c>
      <c r="H3506" s="24" t="s">
        <v>27</v>
      </c>
      <c r="I3506" s="24" t="s">
        <v>2940</v>
      </c>
      <c r="J3506" s="14" t="s">
        <v>29</v>
      </c>
      <c r="K3506" s="15" t="s">
        <v>30</v>
      </c>
      <c r="L3506" s="58"/>
      <c r="M3506" s="14" t="s">
        <v>45</v>
      </c>
      <c r="N3506" s="14" t="s">
        <v>127</v>
      </c>
      <c r="O3506" s="14" t="s">
        <v>34</v>
      </c>
      <c r="P3506" s="15" t="s">
        <v>47</v>
      </c>
      <c r="Q3506" s="16">
        <v>5799</v>
      </c>
      <c r="R3506" s="17">
        <v>40</v>
      </c>
      <c r="S3506" s="18">
        <v>4001.31</v>
      </c>
      <c r="T3506" s="19" t="s">
        <v>36</v>
      </c>
      <c r="U3506" s="20" t="s">
        <v>90</v>
      </c>
      <c r="V3506" s="21" t="s">
        <v>91</v>
      </c>
      <c r="W3506" s="22">
        <v>1</v>
      </c>
      <c r="X3506" s="23"/>
    </row>
    <row r="3507" spans="1:24" s="1" customFormat="1" ht="26" customHeight="1" x14ac:dyDescent="0.3">
      <c r="A3507" s="11" t="s">
        <v>23</v>
      </c>
      <c r="B3507" s="11" t="s">
        <v>3210</v>
      </c>
      <c r="C3507" s="12" t="s">
        <v>3259</v>
      </c>
      <c r="D3507" s="59"/>
      <c r="E3507" s="41" t="str">
        <f>HYPERLINK("https://www.google.ru/search?q=1356317-001&amp;newwindow=1&amp;tbm=isch","Еще фото")</f>
        <v>Еще фото</v>
      </c>
      <c r="F3507" s="13"/>
      <c r="G3507" s="11" t="s">
        <v>2939</v>
      </c>
      <c r="H3507" s="11" t="s">
        <v>27</v>
      </c>
      <c r="I3507" s="14" t="s">
        <v>2940</v>
      </c>
      <c r="J3507" s="14" t="s">
        <v>29</v>
      </c>
      <c r="K3507" s="15" t="s">
        <v>59</v>
      </c>
      <c r="L3507" s="57" t="s">
        <v>3212</v>
      </c>
      <c r="M3507" s="14" t="s">
        <v>68</v>
      </c>
      <c r="N3507" s="14" t="s">
        <v>33</v>
      </c>
      <c r="O3507" s="14" t="s">
        <v>34</v>
      </c>
      <c r="P3507" s="15" t="s">
        <v>120</v>
      </c>
      <c r="Q3507" s="16">
        <v>6799</v>
      </c>
      <c r="R3507" s="17">
        <v>40</v>
      </c>
      <c r="S3507" s="18">
        <v>4691.3099999999995</v>
      </c>
      <c r="T3507" s="19" t="s">
        <v>36</v>
      </c>
      <c r="U3507" s="20" t="s">
        <v>37</v>
      </c>
      <c r="V3507" s="21" t="s">
        <v>106</v>
      </c>
      <c r="W3507" s="22">
        <v>7</v>
      </c>
      <c r="X3507" s="23"/>
    </row>
    <row r="3508" spans="1:24" s="1" customFormat="1" ht="26" customHeight="1" x14ac:dyDescent="0.3">
      <c r="A3508" s="24" t="s">
        <v>23</v>
      </c>
      <c r="B3508" s="24" t="s">
        <v>3210</v>
      </c>
      <c r="C3508" s="12" t="s">
        <v>3259</v>
      </c>
      <c r="D3508" s="60"/>
      <c r="E3508" s="41" t="str">
        <f>HYPERLINK("https://www.google.ru/search?q=1356317-001&amp;newwindow=1&amp;tbm=isch","Еще фото")</f>
        <v>Еще фото</v>
      </c>
      <c r="F3508" s="13"/>
      <c r="G3508" s="24" t="s">
        <v>2939</v>
      </c>
      <c r="H3508" s="24" t="s">
        <v>27</v>
      </c>
      <c r="I3508" s="24" t="s">
        <v>2940</v>
      </c>
      <c r="J3508" s="14" t="s">
        <v>29</v>
      </c>
      <c r="K3508" s="15" t="s">
        <v>59</v>
      </c>
      <c r="L3508" s="62"/>
      <c r="M3508" s="14" t="s">
        <v>68</v>
      </c>
      <c r="N3508" s="14" t="s">
        <v>33</v>
      </c>
      <c r="O3508" s="14" t="s">
        <v>34</v>
      </c>
      <c r="P3508" s="15" t="s">
        <v>120</v>
      </c>
      <c r="Q3508" s="16">
        <v>6799</v>
      </c>
      <c r="R3508" s="17">
        <v>40</v>
      </c>
      <c r="S3508" s="18">
        <v>4691.3099999999995</v>
      </c>
      <c r="T3508" s="19" t="s">
        <v>36</v>
      </c>
      <c r="U3508" s="20" t="s">
        <v>39</v>
      </c>
      <c r="V3508" s="21" t="s">
        <v>85</v>
      </c>
      <c r="W3508" s="22">
        <v>5</v>
      </c>
      <c r="X3508" s="23"/>
    </row>
    <row r="3509" spans="1:24" s="1" customFormat="1" ht="26" customHeight="1" x14ac:dyDescent="0.3">
      <c r="A3509" s="24" t="s">
        <v>23</v>
      </c>
      <c r="B3509" s="24" t="s">
        <v>3210</v>
      </c>
      <c r="C3509" s="12" t="s">
        <v>3259</v>
      </c>
      <c r="D3509" s="60"/>
      <c r="E3509" s="41" t="str">
        <f>HYPERLINK("https://www.google.ru/search?q=1356317-001&amp;newwindow=1&amp;tbm=isch","Еще фото")</f>
        <v>Еще фото</v>
      </c>
      <c r="F3509" s="13"/>
      <c r="G3509" s="24" t="s">
        <v>2939</v>
      </c>
      <c r="H3509" s="24" t="s">
        <v>27</v>
      </c>
      <c r="I3509" s="24" t="s">
        <v>2940</v>
      </c>
      <c r="J3509" s="14" t="s">
        <v>29</v>
      </c>
      <c r="K3509" s="15" t="s">
        <v>59</v>
      </c>
      <c r="L3509" s="62"/>
      <c r="M3509" s="14" t="s">
        <v>68</v>
      </c>
      <c r="N3509" s="14" t="s">
        <v>33</v>
      </c>
      <c r="O3509" s="14" t="s">
        <v>34</v>
      </c>
      <c r="P3509" s="15" t="s">
        <v>120</v>
      </c>
      <c r="Q3509" s="16">
        <v>6799</v>
      </c>
      <c r="R3509" s="17">
        <v>40</v>
      </c>
      <c r="S3509" s="18">
        <v>4691.3099999999995</v>
      </c>
      <c r="T3509" s="19" t="s">
        <v>36</v>
      </c>
      <c r="U3509" s="20" t="s">
        <v>86</v>
      </c>
      <c r="V3509" s="21" t="s">
        <v>38</v>
      </c>
      <c r="W3509" s="22">
        <v>3</v>
      </c>
      <c r="X3509" s="23"/>
    </row>
    <row r="3510" spans="1:24" s="1" customFormat="1" ht="26" customHeight="1" x14ac:dyDescent="0.3">
      <c r="A3510" s="24" t="s">
        <v>23</v>
      </c>
      <c r="B3510" s="24" t="s">
        <v>3210</v>
      </c>
      <c r="C3510" s="12" t="s">
        <v>3259</v>
      </c>
      <c r="D3510" s="61"/>
      <c r="E3510" s="41" t="str">
        <f>HYPERLINK("https://www.google.ru/search?q=1356317-001&amp;newwindow=1&amp;tbm=isch","Еще фото")</f>
        <v>Еще фото</v>
      </c>
      <c r="F3510" s="13"/>
      <c r="G3510" s="24" t="s">
        <v>2939</v>
      </c>
      <c r="H3510" s="24" t="s">
        <v>27</v>
      </c>
      <c r="I3510" s="24" t="s">
        <v>2940</v>
      </c>
      <c r="J3510" s="14" t="s">
        <v>29</v>
      </c>
      <c r="K3510" s="15" t="s">
        <v>59</v>
      </c>
      <c r="L3510" s="58"/>
      <c r="M3510" s="14" t="s">
        <v>68</v>
      </c>
      <c r="N3510" s="14" t="s">
        <v>33</v>
      </c>
      <c r="O3510" s="14" t="s">
        <v>34</v>
      </c>
      <c r="P3510" s="15" t="s">
        <v>120</v>
      </c>
      <c r="Q3510" s="16">
        <v>6799</v>
      </c>
      <c r="R3510" s="17">
        <v>40</v>
      </c>
      <c r="S3510" s="18">
        <v>4691.3099999999995</v>
      </c>
      <c r="T3510" s="19" t="s">
        <v>36</v>
      </c>
      <c r="U3510" s="20" t="s">
        <v>88</v>
      </c>
      <c r="V3510" s="21" t="s">
        <v>40</v>
      </c>
      <c r="W3510" s="22">
        <v>1</v>
      </c>
      <c r="X3510" s="23"/>
    </row>
    <row r="3511" spans="1:24" s="1" customFormat="1" ht="108" customHeight="1" x14ac:dyDescent="0.3">
      <c r="A3511" s="11" t="s">
        <v>23</v>
      </c>
      <c r="B3511" s="11" t="s">
        <v>3210</v>
      </c>
      <c r="C3511" s="12" t="s">
        <v>3260</v>
      </c>
      <c r="D3511" s="25"/>
      <c r="E3511" s="41" t="str">
        <f>HYPERLINK("https://www.google.ru/search?q=1356317-558&amp;newwindow=1&amp;tbm=isch","Еще фото")</f>
        <v>Еще фото</v>
      </c>
      <c r="F3511" s="13"/>
      <c r="G3511" s="11" t="s">
        <v>2939</v>
      </c>
      <c r="H3511" s="11" t="s">
        <v>27</v>
      </c>
      <c r="I3511" s="14" t="s">
        <v>2940</v>
      </c>
      <c r="J3511" s="14" t="s">
        <v>29</v>
      </c>
      <c r="K3511" s="15" t="s">
        <v>59</v>
      </c>
      <c r="L3511" s="14" t="s">
        <v>3261</v>
      </c>
      <c r="M3511" s="14" t="s">
        <v>68</v>
      </c>
      <c r="N3511" s="14" t="s">
        <v>3262</v>
      </c>
      <c r="O3511" s="14"/>
      <c r="P3511" s="15" t="s">
        <v>120</v>
      </c>
      <c r="Q3511" s="16">
        <v>7299</v>
      </c>
      <c r="R3511" s="17">
        <v>40</v>
      </c>
      <c r="S3511" s="18">
        <v>5036.3099999999995</v>
      </c>
      <c r="T3511" s="19" t="s">
        <v>36</v>
      </c>
      <c r="U3511" s="20" t="s">
        <v>37</v>
      </c>
      <c r="V3511" s="21" t="s">
        <v>106</v>
      </c>
      <c r="W3511" s="22">
        <v>1</v>
      </c>
      <c r="X3511" s="23"/>
    </row>
    <row r="3512" spans="1:24" s="1" customFormat="1" ht="52.05" customHeight="1" x14ac:dyDescent="0.3">
      <c r="A3512" s="11" t="s">
        <v>23</v>
      </c>
      <c r="B3512" s="11" t="s">
        <v>3210</v>
      </c>
      <c r="C3512" s="12" t="s">
        <v>3263</v>
      </c>
      <c r="D3512" s="55"/>
      <c r="E3512" s="41" t="str">
        <f>HYPERLINK("https://www.google.ru/search?q=1356317-690&amp;newwindow=1&amp;tbm=isch","Еще фото")</f>
        <v>Еще фото</v>
      </c>
      <c r="F3512" s="28" t="s">
        <v>138</v>
      </c>
      <c r="G3512" s="11" t="s">
        <v>2939</v>
      </c>
      <c r="H3512" s="11" t="s">
        <v>27</v>
      </c>
      <c r="I3512" s="14" t="s">
        <v>2940</v>
      </c>
      <c r="J3512" s="14" t="s">
        <v>29</v>
      </c>
      <c r="K3512" s="15" t="s">
        <v>59</v>
      </c>
      <c r="L3512" s="57" t="s">
        <v>3264</v>
      </c>
      <c r="M3512" s="14" t="s">
        <v>68</v>
      </c>
      <c r="N3512" s="14" t="s">
        <v>382</v>
      </c>
      <c r="O3512" s="14"/>
      <c r="P3512" s="15" t="s">
        <v>120</v>
      </c>
      <c r="Q3512" s="16">
        <v>6899</v>
      </c>
      <c r="R3512" s="17">
        <v>40</v>
      </c>
      <c r="S3512" s="18">
        <v>4760.3099999999995</v>
      </c>
      <c r="T3512" s="19" t="s">
        <v>36</v>
      </c>
      <c r="U3512" s="20" t="s">
        <v>37</v>
      </c>
      <c r="V3512" s="21" t="s">
        <v>106</v>
      </c>
      <c r="W3512" s="22">
        <v>6</v>
      </c>
      <c r="X3512" s="23"/>
    </row>
    <row r="3513" spans="1:24" s="1" customFormat="1" ht="61.05" customHeight="1" x14ac:dyDescent="0.3">
      <c r="A3513" s="24" t="s">
        <v>23</v>
      </c>
      <c r="B3513" s="24" t="s">
        <v>3210</v>
      </c>
      <c r="C3513" s="12" t="s">
        <v>3263</v>
      </c>
      <c r="D3513" s="56"/>
      <c r="E3513" s="41" t="str">
        <f>HYPERLINK("https://www.google.ru/search?q=1356317-690&amp;newwindow=1&amp;tbm=isch","Еще фото")</f>
        <v>Еще фото</v>
      </c>
      <c r="F3513" s="28" t="s">
        <v>138</v>
      </c>
      <c r="G3513" s="24" t="s">
        <v>2939</v>
      </c>
      <c r="H3513" s="24" t="s">
        <v>27</v>
      </c>
      <c r="I3513" s="24" t="s">
        <v>2940</v>
      </c>
      <c r="J3513" s="14" t="s">
        <v>29</v>
      </c>
      <c r="K3513" s="15" t="s">
        <v>59</v>
      </c>
      <c r="L3513" s="58"/>
      <c r="M3513" s="14" t="s">
        <v>68</v>
      </c>
      <c r="N3513" s="14" t="s">
        <v>382</v>
      </c>
      <c r="O3513" s="14"/>
      <c r="P3513" s="15" t="s">
        <v>120</v>
      </c>
      <c r="Q3513" s="16">
        <v>6899</v>
      </c>
      <c r="R3513" s="17">
        <v>40</v>
      </c>
      <c r="S3513" s="18">
        <v>4760.3099999999995</v>
      </c>
      <c r="T3513" s="19" t="s">
        <v>36</v>
      </c>
      <c r="U3513" s="20" t="s">
        <v>39</v>
      </c>
      <c r="V3513" s="21" t="s">
        <v>85</v>
      </c>
      <c r="W3513" s="22">
        <v>5</v>
      </c>
      <c r="X3513" s="23"/>
    </row>
    <row r="3514" spans="1:24" s="1" customFormat="1" ht="108" customHeight="1" x14ac:dyDescent="0.3">
      <c r="A3514" s="11" t="s">
        <v>23</v>
      </c>
      <c r="B3514" s="11" t="s">
        <v>3023</v>
      </c>
      <c r="C3514" s="12" t="s">
        <v>3265</v>
      </c>
      <c r="D3514" s="25"/>
      <c r="E3514" s="41" t="str">
        <f>HYPERLINK("https://www.google.ru/search?q=1356318-468&amp;newwindow=1&amp;tbm=isch","Еще фото")</f>
        <v>Еще фото</v>
      </c>
      <c r="F3514" s="13"/>
      <c r="G3514" s="11" t="s">
        <v>2939</v>
      </c>
      <c r="H3514" s="11" t="s">
        <v>27</v>
      </c>
      <c r="I3514" s="14" t="s">
        <v>2940</v>
      </c>
      <c r="J3514" s="14" t="s">
        <v>29</v>
      </c>
      <c r="K3514" s="15" t="s">
        <v>59</v>
      </c>
      <c r="L3514" s="14" t="s">
        <v>3025</v>
      </c>
      <c r="M3514" s="14" t="s">
        <v>68</v>
      </c>
      <c r="N3514" s="14" t="s">
        <v>115</v>
      </c>
      <c r="O3514" s="14"/>
      <c r="P3514" s="15" t="s">
        <v>120</v>
      </c>
      <c r="Q3514" s="16">
        <v>7399</v>
      </c>
      <c r="R3514" s="17">
        <v>40</v>
      </c>
      <c r="S3514" s="18">
        <v>5105.3099999999995</v>
      </c>
      <c r="T3514" s="19" t="s">
        <v>36</v>
      </c>
      <c r="U3514" s="20" t="s">
        <v>37</v>
      </c>
      <c r="V3514" s="21" t="s">
        <v>106</v>
      </c>
      <c r="W3514" s="22">
        <v>1</v>
      </c>
      <c r="X3514" s="23"/>
    </row>
    <row r="3515" spans="1:24" s="1" customFormat="1" ht="108" customHeight="1" x14ac:dyDescent="0.3">
      <c r="A3515" s="11" t="s">
        <v>23</v>
      </c>
      <c r="B3515" s="11" t="s">
        <v>3023</v>
      </c>
      <c r="C3515" s="12" t="s">
        <v>3266</v>
      </c>
      <c r="D3515" s="25"/>
      <c r="E3515" s="41" t="str">
        <f>HYPERLINK("https://www.google.ru/search?q=1356318-558&amp;newwindow=1&amp;tbm=isch","Еще фото")</f>
        <v>Еще фото</v>
      </c>
      <c r="F3515" s="28" t="s">
        <v>138</v>
      </c>
      <c r="G3515" s="11" t="s">
        <v>2939</v>
      </c>
      <c r="H3515" s="11" t="s">
        <v>27</v>
      </c>
      <c r="I3515" s="14" t="s">
        <v>2940</v>
      </c>
      <c r="J3515" s="14" t="s">
        <v>29</v>
      </c>
      <c r="K3515" s="15" t="s">
        <v>59</v>
      </c>
      <c r="L3515" s="14" t="s">
        <v>3267</v>
      </c>
      <c r="M3515" s="14" t="s">
        <v>68</v>
      </c>
      <c r="N3515" s="14" t="s">
        <v>79</v>
      </c>
      <c r="O3515" s="14"/>
      <c r="P3515" s="15" t="s">
        <v>120</v>
      </c>
      <c r="Q3515" s="16">
        <v>7399</v>
      </c>
      <c r="R3515" s="17">
        <v>40</v>
      </c>
      <c r="S3515" s="18">
        <v>5105.3099999999995</v>
      </c>
      <c r="T3515" s="19" t="s">
        <v>36</v>
      </c>
      <c r="U3515" s="20" t="s">
        <v>39</v>
      </c>
      <c r="V3515" s="21" t="s">
        <v>85</v>
      </c>
      <c r="W3515" s="22">
        <v>13</v>
      </c>
      <c r="X3515" s="23"/>
    </row>
    <row r="3516" spans="1:24" s="1" customFormat="1" ht="52.05" customHeight="1" x14ac:dyDescent="0.3">
      <c r="A3516" s="11" t="s">
        <v>23</v>
      </c>
      <c r="B3516" s="11" t="s">
        <v>3023</v>
      </c>
      <c r="C3516" s="12" t="s">
        <v>3268</v>
      </c>
      <c r="D3516" s="55"/>
      <c r="E3516" s="41" t="str">
        <f>HYPERLINK("https://www.google.ru/search?q=1356318-690&amp;newwindow=1&amp;tbm=isch","Еще фото")</f>
        <v>Еще фото</v>
      </c>
      <c r="F3516" s="13"/>
      <c r="G3516" s="11" t="s">
        <v>2939</v>
      </c>
      <c r="H3516" s="11" t="s">
        <v>27</v>
      </c>
      <c r="I3516" s="14" t="s">
        <v>2940</v>
      </c>
      <c r="J3516" s="14" t="s">
        <v>29</v>
      </c>
      <c r="K3516" s="15" t="s">
        <v>59</v>
      </c>
      <c r="L3516" s="57" t="s">
        <v>3264</v>
      </c>
      <c r="M3516" s="14" t="s">
        <v>68</v>
      </c>
      <c r="N3516" s="14" t="s">
        <v>382</v>
      </c>
      <c r="O3516" s="14"/>
      <c r="P3516" s="15" t="s">
        <v>120</v>
      </c>
      <c r="Q3516" s="16">
        <v>6899</v>
      </c>
      <c r="R3516" s="17">
        <v>40</v>
      </c>
      <c r="S3516" s="18">
        <v>4760.3099999999995</v>
      </c>
      <c r="T3516" s="19" t="s">
        <v>36</v>
      </c>
      <c r="U3516" s="20" t="s">
        <v>37</v>
      </c>
      <c r="V3516" s="21" t="s">
        <v>106</v>
      </c>
      <c r="W3516" s="22">
        <v>1</v>
      </c>
      <c r="X3516" s="23"/>
    </row>
    <row r="3517" spans="1:24" s="1" customFormat="1" ht="61.05" customHeight="1" x14ac:dyDescent="0.3">
      <c r="A3517" s="24" t="s">
        <v>23</v>
      </c>
      <c r="B3517" s="24" t="s">
        <v>3023</v>
      </c>
      <c r="C3517" s="12" t="s">
        <v>3268</v>
      </c>
      <c r="D3517" s="56"/>
      <c r="E3517" s="41" t="str">
        <f>HYPERLINK("https://www.google.ru/search?q=1356318-690&amp;newwindow=1&amp;tbm=isch","Еще фото")</f>
        <v>Еще фото</v>
      </c>
      <c r="F3517" s="13"/>
      <c r="G3517" s="24" t="s">
        <v>2939</v>
      </c>
      <c r="H3517" s="24" t="s">
        <v>27</v>
      </c>
      <c r="I3517" s="24" t="s">
        <v>2940</v>
      </c>
      <c r="J3517" s="14" t="s">
        <v>29</v>
      </c>
      <c r="K3517" s="15" t="s">
        <v>59</v>
      </c>
      <c r="L3517" s="58"/>
      <c r="M3517" s="14" t="s">
        <v>68</v>
      </c>
      <c r="N3517" s="14" t="s">
        <v>382</v>
      </c>
      <c r="O3517" s="14"/>
      <c r="P3517" s="15" t="s">
        <v>120</v>
      </c>
      <c r="Q3517" s="16">
        <v>6899</v>
      </c>
      <c r="R3517" s="17">
        <v>40</v>
      </c>
      <c r="S3517" s="18">
        <v>4760.3099999999995</v>
      </c>
      <c r="T3517" s="19" t="s">
        <v>36</v>
      </c>
      <c r="U3517" s="20" t="s">
        <v>39</v>
      </c>
      <c r="V3517" s="21" t="s">
        <v>85</v>
      </c>
      <c r="W3517" s="22">
        <v>2</v>
      </c>
      <c r="X3517" s="23"/>
    </row>
    <row r="3518" spans="1:24" s="1" customFormat="1" ht="108" customHeight="1" x14ac:dyDescent="0.3">
      <c r="A3518" s="11" t="s">
        <v>23</v>
      </c>
      <c r="B3518" s="11" t="s">
        <v>3269</v>
      </c>
      <c r="C3518" s="12" t="s">
        <v>3270</v>
      </c>
      <c r="D3518" s="25"/>
      <c r="E3518" s="41" t="str">
        <f>HYPERLINK("https://www.google.ru/search?q=1356400-001&amp;newwindow=1&amp;tbm=isch","Еще фото")</f>
        <v>Еще фото</v>
      </c>
      <c r="F3518" s="13"/>
      <c r="G3518" s="11" t="s">
        <v>2939</v>
      </c>
      <c r="H3518" s="11" t="s">
        <v>27</v>
      </c>
      <c r="I3518" s="14" t="s">
        <v>2940</v>
      </c>
      <c r="J3518" s="14" t="s">
        <v>29</v>
      </c>
      <c r="K3518" s="15" t="s">
        <v>59</v>
      </c>
      <c r="L3518" s="14" t="s">
        <v>3271</v>
      </c>
      <c r="M3518" s="14" t="s">
        <v>68</v>
      </c>
      <c r="N3518" s="14" t="s">
        <v>33</v>
      </c>
      <c r="O3518" s="14"/>
      <c r="P3518" s="15" t="s">
        <v>120</v>
      </c>
      <c r="Q3518" s="16">
        <v>7999</v>
      </c>
      <c r="R3518" s="17">
        <v>40</v>
      </c>
      <c r="S3518" s="18">
        <v>5519.3099999999995</v>
      </c>
      <c r="T3518" s="19" t="s">
        <v>36</v>
      </c>
      <c r="U3518" s="20" t="s">
        <v>37</v>
      </c>
      <c r="V3518" s="21" t="s">
        <v>106</v>
      </c>
      <c r="W3518" s="22">
        <v>5</v>
      </c>
      <c r="X3518" s="23"/>
    </row>
    <row r="3519" spans="1:24" s="1" customFormat="1" ht="108" customHeight="1" x14ac:dyDescent="0.3">
      <c r="A3519" s="11" t="s">
        <v>23</v>
      </c>
      <c r="B3519" s="11" t="s">
        <v>3149</v>
      </c>
      <c r="C3519" s="12" t="s">
        <v>3272</v>
      </c>
      <c r="D3519" s="25"/>
      <c r="E3519" s="41" t="str">
        <f>HYPERLINK("https://www.google.ru/search?q=1357092-600&amp;newwindow=1&amp;tbm=isch","Еще фото")</f>
        <v>Еще фото</v>
      </c>
      <c r="F3519" s="13"/>
      <c r="G3519" s="11" t="s">
        <v>2939</v>
      </c>
      <c r="H3519" s="11" t="s">
        <v>27</v>
      </c>
      <c r="I3519" s="14" t="s">
        <v>2940</v>
      </c>
      <c r="J3519" s="14" t="s">
        <v>29</v>
      </c>
      <c r="K3519" s="15" t="s">
        <v>30</v>
      </c>
      <c r="L3519" s="14" t="s">
        <v>3273</v>
      </c>
      <c r="M3519" s="14" t="s">
        <v>68</v>
      </c>
      <c r="N3519" s="14" t="s">
        <v>198</v>
      </c>
      <c r="O3519" s="14"/>
      <c r="P3519" s="15" t="s">
        <v>479</v>
      </c>
      <c r="Q3519" s="16">
        <v>6999</v>
      </c>
      <c r="R3519" s="17">
        <v>40</v>
      </c>
      <c r="S3519" s="18">
        <v>4829.3099999999995</v>
      </c>
      <c r="T3519" s="19" t="s">
        <v>36</v>
      </c>
      <c r="U3519" s="20" t="s">
        <v>37</v>
      </c>
      <c r="V3519" s="21" t="s">
        <v>38</v>
      </c>
      <c r="W3519" s="22">
        <v>3</v>
      </c>
      <c r="X3519" s="23"/>
    </row>
    <row r="3520" spans="1:24" s="1" customFormat="1" ht="108" customHeight="1" x14ac:dyDescent="0.3">
      <c r="A3520" s="11" t="s">
        <v>23</v>
      </c>
      <c r="B3520" s="11" t="s">
        <v>2980</v>
      </c>
      <c r="C3520" s="12" t="s">
        <v>3274</v>
      </c>
      <c r="D3520" s="25"/>
      <c r="E3520" s="41" t="str">
        <f>HYPERLINK("https://www.google.ru/search?q=1357093-012&amp;newwindow=1&amp;tbm=isch","Еще фото")</f>
        <v>Еще фото</v>
      </c>
      <c r="F3520" s="13"/>
      <c r="G3520" s="11" t="s">
        <v>2939</v>
      </c>
      <c r="H3520" s="11" t="s">
        <v>27</v>
      </c>
      <c r="I3520" s="14" t="s">
        <v>2940</v>
      </c>
      <c r="J3520" s="14" t="s">
        <v>29</v>
      </c>
      <c r="K3520" s="15" t="s">
        <v>30</v>
      </c>
      <c r="L3520" s="14" t="s">
        <v>2982</v>
      </c>
      <c r="M3520" s="14" t="s">
        <v>68</v>
      </c>
      <c r="N3520" s="14" t="s">
        <v>62</v>
      </c>
      <c r="O3520" s="14" t="s">
        <v>34</v>
      </c>
      <c r="P3520" s="15" t="s">
        <v>120</v>
      </c>
      <c r="Q3520" s="16">
        <v>7599</v>
      </c>
      <c r="R3520" s="17">
        <v>40</v>
      </c>
      <c r="S3520" s="18">
        <v>5243.3099999999995</v>
      </c>
      <c r="T3520" s="19" t="s">
        <v>36</v>
      </c>
      <c r="U3520" s="20" t="s">
        <v>86</v>
      </c>
      <c r="V3520" s="21" t="s">
        <v>87</v>
      </c>
      <c r="W3520" s="22">
        <v>1</v>
      </c>
      <c r="X3520" s="23"/>
    </row>
    <row r="3521" spans="1:24" s="1" customFormat="1" ht="35" customHeight="1" x14ac:dyDescent="0.3">
      <c r="A3521" s="11" t="s">
        <v>23</v>
      </c>
      <c r="B3521" s="11" t="s">
        <v>3275</v>
      </c>
      <c r="C3521" s="12" t="s">
        <v>3276</v>
      </c>
      <c r="D3521" s="59"/>
      <c r="E3521" s="41" t="str">
        <f>HYPERLINK("https://www.google.ru/search?q=1357093-781&amp;newwindow=1&amp;tbm=isch","Еще фото")</f>
        <v>Еще фото</v>
      </c>
      <c r="F3521" s="13"/>
      <c r="G3521" s="11" t="s">
        <v>2939</v>
      </c>
      <c r="H3521" s="11" t="s">
        <v>27</v>
      </c>
      <c r="I3521" s="14" t="s">
        <v>2940</v>
      </c>
      <c r="J3521" s="14" t="s">
        <v>29</v>
      </c>
      <c r="K3521" s="15" t="s">
        <v>30</v>
      </c>
      <c r="L3521" s="57" t="s">
        <v>3019</v>
      </c>
      <c r="M3521" s="14" t="s">
        <v>68</v>
      </c>
      <c r="N3521" s="14" t="s">
        <v>62</v>
      </c>
      <c r="O3521" s="14" t="s">
        <v>34</v>
      </c>
      <c r="P3521" s="15" t="s">
        <v>120</v>
      </c>
      <c r="Q3521" s="16">
        <v>7599</v>
      </c>
      <c r="R3521" s="17">
        <v>40</v>
      </c>
      <c r="S3521" s="18">
        <v>5243.3099999999995</v>
      </c>
      <c r="T3521" s="19" t="s">
        <v>36</v>
      </c>
      <c r="U3521" s="20" t="s">
        <v>37</v>
      </c>
      <c r="V3521" s="21" t="s">
        <v>38</v>
      </c>
      <c r="W3521" s="22">
        <v>7</v>
      </c>
      <c r="X3521" s="23"/>
    </row>
    <row r="3522" spans="1:24" s="1" customFormat="1" ht="35" customHeight="1" x14ac:dyDescent="0.3">
      <c r="A3522" s="24" t="s">
        <v>23</v>
      </c>
      <c r="B3522" s="24" t="s">
        <v>3275</v>
      </c>
      <c r="C3522" s="12" t="s">
        <v>3276</v>
      </c>
      <c r="D3522" s="60"/>
      <c r="E3522" s="41" t="str">
        <f>HYPERLINK("https://www.google.ru/search?q=1357093-781&amp;newwindow=1&amp;tbm=isch","Еще фото")</f>
        <v>Еще фото</v>
      </c>
      <c r="F3522" s="13"/>
      <c r="G3522" s="24" t="s">
        <v>2939</v>
      </c>
      <c r="H3522" s="24" t="s">
        <v>27</v>
      </c>
      <c r="I3522" s="24" t="s">
        <v>2940</v>
      </c>
      <c r="J3522" s="14" t="s">
        <v>29</v>
      </c>
      <c r="K3522" s="15" t="s">
        <v>30</v>
      </c>
      <c r="L3522" s="62"/>
      <c r="M3522" s="14" t="s">
        <v>68</v>
      </c>
      <c r="N3522" s="14" t="s">
        <v>62</v>
      </c>
      <c r="O3522" s="14" t="s">
        <v>34</v>
      </c>
      <c r="P3522" s="15" t="s">
        <v>120</v>
      </c>
      <c r="Q3522" s="16">
        <v>7599</v>
      </c>
      <c r="R3522" s="17">
        <v>40</v>
      </c>
      <c r="S3522" s="18">
        <v>5243.3099999999995</v>
      </c>
      <c r="T3522" s="19" t="s">
        <v>36</v>
      </c>
      <c r="U3522" s="20" t="s">
        <v>86</v>
      </c>
      <c r="V3522" s="21" t="s">
        <v>87</v>
      </c>
      <c r="W3522" s="22">
        <v>7</v>
      </c>
      <c r="X3522" s="23"/>
    </row>
    <row r="3523" spans="1:24" s="1" customFormat="1" ht="37.049999999999997" customHeight="1" x14ac:dyDescent="0.3">
      <c r="A3523" s="24" t="s">
        <v>23</v>
      </c>
      <c r="B3523" s="24" t="s">
        <v>3275</v>
      </c>
      <c r="C3523" s="12" t="s">
        <v>3276</v>
      </c>
      <c r="D3523" s="61"/>
      <c r="E3523" s="41" t="str">
        <f>HYPERLINK("https://www.google.ru/search?q=1357093-781&amp;newwindow=1&amp;tbm=isch","Еще фото")</f>
        <v>Еще фото</v>
      </c>
      <c r="F3523" s="13"/>
      <c r="G3523" s="24" t="s">
        <v>2939</v>
      </c>
      <c r="H3523" s="24" t="s">
        <v>27</v>
      </c>
      <c r="I3523" s="24" t="s">
        <v>2940</v>
      </c>
      <c r="J3523" s="14" t="s">
        <v>29</v>
      </c>
      <c r="K3523" s="15" t="s">
        <v>30</v>
      </c>
      <c r="L3523" s="58"/>
      <c r="M3523" s="14" t="s">
        <v>68</v>
      </c>
      <c r="N3523" s="14" t="s">
        <v>62</v>
      </c>
      <c r="O3523" s="14" t="s">
        <v>34</v>
      </c>
      <c r="P3523" s="15" t="s">
        <v>120</v>
      </c>
      <c r="Q3523" s="16">
        <v>7599</v>
      </c>
      <c r="R3523" s="17">
        <v>40</v>
      </c>
      <c r="S3523" s="18">
        <v>5243.3099999999995</v>
      </c>
      <c r="T3523" s="19" t="s">
        <v>36</v>
      </c>
      <c r="U3523" s="20" t="s">
        <v>88</v>
      </c>
      <c r="V3523" s="21" t="s">
        <v>89</v>
      </c>
      <c r="W3523" s="22">
        <v>1</v>
      </c>
      <c r="X3523" s="23"/>
    </row>
    <row r="3524" spans="1:24" s="1" customFormat="1" ht="108" customHeight="1" x14ac:dyDescent="0.3">
      <c r="A3524" s="11" t="s">
        <v>23</v>
      </c>
      <c r="B3524" s="11" t="s">
        <v>3277</v>
      </c>
      <c r="C3524" s="12" t="s">
        <v>3278</v>
      </c>
      <c r="D3524" s="25"/>
      <c r="E3524" s="41" t="str">
        <f>HYPERLINK("https://www.google.ru/search?q=1357111-408&amp;newwindow=1&amp;tbm=isch","Еще фото")</f>
        <v>Еще фото</v>
      </c>
      <c r="F3524" s="13"/>
      <c r="G3524" s="11" t="s">
        <v>2939</v>
      </c>
      <c r="H3524" s="11" t="s">
        <v>27</v>
      </c>
      <c r="I3524" s="14" t="s">
        <v>2940</v>
      </c>
      <c r="J3524" s="14" t="s">
        <v>29</v>
      </c>
      <c r="K3524" s="15" t="s">
        <v>30</v>
      </c>
      <c r="L3524" s="14" t="s">
        <v>3279</v>
      </c>
      <c r="M3524" s="14" t="s">
        <v>68</v>
      </c>
      <c r="N3524" s="14" t="s">
        <v>115</v>
      </c>
      <c r="O3524" s="14" t="s">
        <v>34</v>
      </c>
      <c r="P3524" s="15" t="s">
        <v>120</v>
      </c>
      <c r="Q3524" s="16">
        <v>7399</v>
      </c>
      <c r="R3524" s="17">
        <v>40</v>
      </c>
      <c r="S3524" s="18">
        <v>5105.3099999999995</v>
      </c>
      <c r="T3524" s="19" t="s">
        <v>36</v>
      </c>
      <c r="U3524" s="20" t="s">
        <v>63</v>
      </c>
      <c r="V3524" s="21" t="s">
        <v>85</v>
      </c>
      <c r="W3524" s="22">
        <v>3</v>
      </c>
      <c r="X3524" s="23"/>
    </row>
    <row r="3525" spans="1:24" s="1" customFormat="1" ht="52.05" customHeight="1" x14ac:dyDescent="0.3">
      <c r="A3525" s="11" t="s">
        <v>23</v>
      </c>
      <c r="B3525" s="11" t="s">
        <v>3280</v>
      </c>
      <c r="C3525" s="12" t="s">
        <v>3281</v>
      </c>
      <c r="D3525" s="55"/>
      <c r="E3525" s="41" t="str">
        <f>HYPERLINK("https://www.google.ru/search?q=1361561-012&amp;newwindow=1&amp;tbm=isch","Еще фото")</f>
        <v>Еще фото</v>
      </c>
      <c r="F3525" s="13"/>
      <c r="G3525" s="11" t="s">
        <v>3282</v>
      </c>
      <c r="H3525" s="11" t="s">
        <v>27</v>
      </c>
      <c r="I3525" s="14" t="s">
        <v>2940</v>
      </c>
      <c r="J3525" s="14" t="s">
        <v>29</v>
      </c>
      <c r="K3525" s="15" t="s">
        <v>30</v>
      </c>
      <c r="L3525" s="57" t="s">
        <v>3186</v>
      </c>
      <c r="M3525" s="14"/>
      <c r="N3525" s="14" t="s">
        <v>62</v>
      </c>
      <c r="O3525" s="14"/>
      <c r="P3525" s="15" t="s">
        <v>120</v>
      </c>
      <c r="Q3525" s="16">
        <v>7899</v>
      </c>
      <c r="R3525" s="17">
        <v>40</v>
      </c>
      <c r="S3525" s="18">
        <v>5450.3099999999995</v>
      </c>
      <c r="T3525" s="19" t="s">
        <v>36</v>
      </c>
      <c r="U3525" s="20" t="s">
        <v>37</v>
      </c>
      <c r="V3525" s="21" t="s">
        <v>38</v>
      </c>
      <c r="W3525" s="22">
        <v>7</v>
      </c>
      <c r="X3525" s="23"/>
    </row>
    <row r="3526" spans="1:24" s="1" customFormat="1" ht="61.05" customHeight="1" x14ac:dyDescent="0.3">
      <c r="A3526" s="24" t="s">
        <v>23</v>
      </c>
      <c r="B3526" s="24" t="s">
        <v>3280</v>
      </c>
      <c r="C3526" s="12" t="s">
        <v>3281</v>
      </c>
      <c r="D3526" s="56"/>
      <c r="E3526" s="41" t="str">
        <f>HYPERLINK("https://www.google.ru/search?q=1361561-012&amp;newwindow=1&amp;tbm=isch","Еще фото")</f>
        <v>Еще фото</v>
      </c>
      <c r="F3526" s="13"/>
      <c r="G3526" s="24" t="s">
        <v>3282</v>
      </c>
      <c r="H3526" s="24" t="s">
        <v>27</v>
      </c>
      <c r="I3526" s="24" t="s">
        <v>2940</v>
      </c>
      <c r="J3526" s="14" t="s">
        <v>29</v>
      </c>
      <c r="K3526" s="15" t="s">
        <v>30</v>
      </c>
      <c r="L3526" s="58"/>
      <c r="M3526" s="14"/>
      <c r="N3526" s="14" t="s">
        <v>62</v>
      </c>
      <c r="O3526" s="14"/>
      <c r="P3526" s="15" t="s">
        <v>120</v>
      </c>
      <c r="Q3526" s="16">
        <v>7899</v>
      </c>
      <c r="R3526" s="17">
        <v>40</v>
      </c>
      <c r="S3526" s="18">
        <v>5450.3099999999995</v>
      </c>
      <c r="T3526" s="19" t="s">
        <v>36</v>
      </c>
      <c r="U3526" s="20" t="s">
        <v>39</v>
      </c>
      <c r="V3526" s="21" t="s">
        <v>40</v>
      </c>
      <c r="W3526" s="22">
        <v>8</v>
      </c>
      <c r="X3526" s="23"/>
    </row>
    <row r="3527" spans="1:24" s="1" customFormat="1" ht="108" customHeight="1" x14ac:dyDescent="0.3">
      <c r="A3527" s="11" t="s">
        <v>23</v>
      </c>
      <c r="B3527" s="11" t="s">
        <v>3283</v>
      </c>
      <c r="C3527" s="12" t="s">
        <v>3284</v>
      </c>
      <c r="D3527" s="25"/>
      <c r="E3527" s="41" t="str">
        <f>HYPERLINK("https://www.google.ru/search?q=1366067-002&amp;newwindow=1&amp;tbm=isch","Еще фото")</f>
        <v>Еще фото</v>
      </c>
      <c r="F3527" s="13"/>
      <c r="G3527" s="11" t="s">
        <v>2945</v>
      </c>
      <c r="H3527" s="11" t="s">
        <v>27</v>
      </c>
      <c r="I3527" s="14" t="s">
        <v>2940</v>
      </c>
      <c r="J3527" s="14" t="s">
        <v>29</v>
      </c>
      <c r="K3527" s="15" t="s">
        <v>50</v>
      </c>
      <c r="L3527" s="14" t="s">
        <v>3002</v>
      </c>
      <c r="M3527" s="14"/>
      <c r="N3527" s="14" t="s">
        <v>33</v>
      </c>
      <c r="O3527" s="14"/>
      <c r="P3527" s="15" t="s">
        <v>1008</v>
      </c>
      <c r="Q3527" s="16">
        <v>4199</v>
      </c>
      <c r="R3527" s="17">
        <v>40</v>
      </c>
      <c r="S3527" s="18">
        <v>2897.31</v>
      </c>
      <c r="T3527" s="19" t="s">
        <v>36</v>
      </c>
      <c r="U3527" s="20" t="s">
        <v>71</v>
      </c>
      <c r="V3527" s="21" t="s">
        <v>72</v>
      </c>
      <c r="W3527" s="22">
        <v>1</v>
      </c>
      <c r="X3527" s="23"/>
    </row>
    <row r="3528" spans="1:24" s="1" customFormat="1" ht="108" customHeight="1" x14ac:dyDescent="0.3">
      <c r="A3528" s="11" t="s">
        <v>23</v>
      </c>
      <c r="B3528" s="11" t="s">
        <v>3285</v>
      </c>
      <c r="C3528" s="12" t="s">
        <v>3286</v>
      </c>
      <c r="D3528" s="25"/>
      <c r="E3528" s="41" t="str">
        <f>HYPERLINK("https://www.google.ru/search?q=1366357-001&amp;newwindow=1&amp;tbm=isch","Еще фото")</f>
        <v>Еще фото</v>
      </c>
      <c r="F3528" s="13"/>
      <c r="G3528" s="11" t="s">
        <v>2939</v>
      </c>
      <c r="H3528" s="11" t="s">
        <v>27</v>
      </c>
      <c r="I3528" s="14" t="s">
        <v>2940</v>
      </c>
      <c r="J3528" s="14" t="s">
        <v>29</v>
      </c>
      <c r="K3528" s="15" t="s">
        <v>30</v>
      </c>
      <c r="L3528" s="14" t="s">
        <v>3287</v>
      </c>
      <c r="M3528" s="14" t="s">
        <v>68</v>
      </c>
      <c r="N3528" s="14" t="s">
        <v>33</v>
      </c>
      <c r="O3528" s="14" t="s">
        <v>34</v>
      </c>
      <c r="P3528" s="15" t="s">
        <v>120</v>
      </c>
      <c r="Q3528" s="16">
        <v>7099</v>
      </c>
      <c r="R3528" s="17">
        <v>40</v>
      </c>
      <c r="S3528" s="18">
        <v>4898.3099999999995</v>
      </c>
      <c r="T3528" s="19" t="s">
        <v>36</v>
      </c>
      <c r="U3528" s="20" t="s">
        <v>63</v>
      </c>
      <c r="V3528" s="21" t="s">
        <v>85</v>
      </c>
      <c r="W3528" s="22">
        <v>2</v>
      </c>
      <c r="X3528" s="23"/>
    </row>
    <row r="3529" spans="1:24" s="1" customFormat="1" ht="108" customHeight="1" x14ac:dyDescent="0.3">
      <c r="A3529" s="11" t="s">
        <v>23</v>
      </c>
      <c r="B3529" s="11" t="s">
        <v>3285</v>
      </c>
      <c r="C3529" s="12" t="s">
        <v>3288</v>
      </c>
      <c r="D3529" s="25"/>
      <c r="E3529" s="41" t="str">
        <f>HYPERLINK("https://www.google.ru/search?q=1366357-409&amp;newwindow=1&amp;tbm=isch","Еще фото")</f>
        <v>Еще фото</v>
      </c>
      <c r="F3529" s="13"/>
      <c r="G3529" s="11" t="s">
        <v>2939</v>
      </c>
      <c r="H3529" s="11" t="s">
        <v>27</v>
      </c>
      <c r="I3529" s="14" t="s">
        <v>2940</v>
      </c>
      <c r="J3529" s="14" t="s">
        <v>29</v>
      </c>
      <c r="K3529" s="15" t="s">
        <v>30</v>
      </c>
      <c r="L3529" s="14" t="s">
        <v>3289</v>
      </c>
      <c r="M3529" s="14" t="s">
        <v>68</v>
      </c>
      <c r="N3529" s="14" t="s">
        <v>115</v>
      </c>
      <c r="O3529" s="14"/>
      <c r="P3529" s="15" t="s">
        <v>120</v>
      </c>
      <c r="Q3529" s="16">
        <v>7099</v>
      </c>
      <c r="R3529" s="17">
        <v>40</v>
      </c>
      <c r="S3529" s="18">
        <v>4898.3099999999995</v>
      </c>
      <c r="T3529" s="19" t="s">
        <v>36</v>
      </c>
      <c r="U3529" s="20" t="s">
        <v>63</v>
      </c>
      <c r="V3529" s="21" t="s">
        <v>85</v>
      </c>
      <c r="W3529" s="22">
        <v>1</v>
      </c>
      <c r="X3529" s="23"/>
    </row>
    <row r="3530" spans="1:24" s="1" customFormat="1" ht="52.05" customHeight="1" x14ac:dyDescent="0.3">
      <c r="A3530" s="11" t="s">
        <v>23</v>
      </c>
      <c r="B3530" s="11" t="s">
        <v>3062</v>
      </c>
      <c r="C3530" s="12" t="s">
        <v>3290</v>
      </c>
      <c r="D3530" s="55"/>
      <c r="E3530" s="41" t="str">
        <f>HYPERLINK("https://www.google.ru/search?q=1367770-413&amp;newwindow=1&amp;tbm=isch","Еще фото")</f>
        <v>Еще фото</v>
      </c>
      <c r="F3530" s="13"/>
      <c r="G3530" s="11" t="s">
        <v>2939</v>
      </c>
      <c r="H3530" s="11" t="s">
        <v>27</v>
      </c>
      <c r="I3530" s="14" t="s">
        <v>2940</v>
      </c>
      <c r="J3530" s="14" t="s">
        <v>29</v>
      </c>
      <c r="K3530" s="15" t="s">
        <v>30</v>
      </c>
      <c r="L3530" s="57" t="s">
        <v>3291</v>
      </c>
      <c r="M3530" s="14" t="s">
        <v>163</v>
      </c>
      <c r="N3530" s="14" t="s">
        <v>115</v>
      </c>
      <c r="O3530" s="14" t="s">
        <v>34</v>
      </c>
      <c r="P3530" s="15" t="s">
        <v>921</v>
      </c>
      <c r="Q3530" s="16">
        <v>18999</v>
      </c>
      <c r="R3530" s="17">
        <v>40</v>
      </c>
      <c r="S3530" s="18">
        <v>13109.309999999998</v>
      </c>
      <c r="T3530" s="19" t="s">
        <v>36</v>
      </c>
      <c r="U3530" s="20" t="s">
        <v>37</v>
      </c>
      <c r="V3530" s="21" t="s">
        <v>38</v>
      </c>
      <c r="W3530" s="22">
        <v>2</v>
      </c>
      <c r="X3530" s="23"/>
    </row>
    <row r="3531" spans="1:24" s="1" customFormat="1" ht="61.05" customHeight="1" x14ac:dyDescent="0.3">
      <c r="A3531" s="24" t="s">
        <v>23</v>
      </c>
      <c r="B3531" s="24" t="s">
        <v>3062</v>
      </c>
      <c r="C3531" s="12" t="s">
        <v>3290</v>
      </c>
      <c r="D3531" s="56"/>
      <c r="E3531" s="41" t="str">
        <f>HYPERLINK("https://www.google.ru/search?q=1367770-413&amp;newwindow=1&amp;tbm=isch","Еще фото")</f>
        <v>Еще фото</v>
      </c>
      <c r="F3531" s="13"/>
      <c r="G3531" s="24" t="s">
        <v>2939</v>
      </c>
      <c r="H3531" s="24" t="s">
        <v>27</v>
      </c>
      <c r="I3531" s="24" t="s">
        <v>2940</v>
      </c>
      <c r="J3531" s="14" t="s">
        <v>29</v>
      </c>
      <c r="K3531" s="15" t="s">
        <v>30</v>
      </c>
      <c r="L3531" s="58"/>
      <c r="M3531" s="14" t="s">
        <v>163</v>
      </c>
      <c r="N3531" s="14" t="s">
        <v>115</v>
      </c>
      <c r="O3531" s="14" t="s">
        <v>34</v>
      </c>
      <c r="P3531" s="15" t="s">
        <v>921</v>
      </c>
      <c r="Q3531" s="16">
        <v>18999</v>
      </c>
      <c r="R3531" s="17">
        <v>40</v>
      </c>
      <c r="S3531" s="18">
        <v>13109.309999999998</v>
      </c>
      <c r="T3531" s="19" t="s">
        <v>36</v>
      </c>
      <c r="U3531" s="20" t="s">
        <v>86</v>
      </c>
      <c r="V3531" s="21" t="s">
        <v>87</v>
      </c>
      <c r="W3531" s="22">
        <v>2</v>
      </c>
      <c r="X3531" s="23"/>
    </row>
    <row r="3532" spans="1:24" s="1" customFormat="1" ht="52.05" customHeight="1" x14ac:dyDescent="0.3">
      <c r="A3532" s="11" t="s">
        <v>23</v>
      </c>
      <c r="B3532" s="11" t="s">
        <v>3292</v>
      </c>
      <c r="C3532" s="12" t="s">
        <v>3293</v>
      </c>
      <c r="D3532" s="55"/>
      <c r="E3532" s="41" t="str">
        <f>HYPERLINK("https://www.google.ru/search?q=1370349-011&amp;newwindow=1&amp;tbm=isch","Еще фото")</f>
        <v>Еще фото</v>
      </c>
      <c r="F3532" s="13"/>
      <c r="G3532" s="11" t="s">
        <v>2939</v>
      </c>
      <c r="H3532" s="11" t="s">
        <v>27</v>
      </c>
      <c r="I3532" s="14" t="s">
        <v>2940</v>
      </c>
      <c r="J3532" s="14" t="s">
        <v>29</v>
      </c>
      <c r="K3532" s="15" t="s">
        <v>30</v>
      </c>
      <c r="L3532" s="57" t="s">
        <v>3294</v>
      </c>
      <c r="M3532" s="14" t="s">
        <v>68</v>
      </c>
      <c r="N3532" s="14" t="s">
        <v>62</v>
      </c>
      <c r="O3532" s="14" t="s">
        <v>34</v>
      </c>
      <c r="P3532" s="15" t="s">
        <v>479</v>
      </c>
      <c r="Q3532" s="16">
        <v>6799</v>
      </c>
      <c r="R3532" s="17">
        <v>40</v>
      </c>
      <c r="S3532" s="18">
        <v>4691.3099999999995</v>
      </c>
      <c r="T3532" s="19" t="s">
        <v>36</v>
      </c>
      <c r="U3532" s="20" t="s">
        <v>37</v>
      </c>
      <c r="V3532" s="21" t="s">
        <v>38</v>
      </c>
      <c r="W3532" s="22">
        <v>1</v>
      </c>
      <c r="X3532" s="23"/>
    </row>
    <row r="3533" spans="1:24" s="1" customFormat="1" ht="61.05" customHeight="1" x14ac:dyDescent="0.3">
      <c r="A3533" s="24" t="s">
        <v>23</v>
      </c>
      <c r="B3533" s="24" t="s">
        <v>3292</v>
      </c>
      <c r="C3533" s="12" t="s">
        <v>3293</v>
      </c>
      <c r="D3533" s="56"/>
      <c r="E3533" s="41" t="str">
        <f>HYPERLINK("https://www.google.ru/search?q=1370349-011&amp;newwindow=1&amp;tbm=isch","Еще фото")</f>
        <v>Еще фото</v>
      </c>
      <c r="F3533" s="13"/>
      <c r="G3533" s="24" t="s">
        <v>2939</v>
      </c>
      <c r="H3533" s="24" t="s">
        <v>27</v>
      </c>
      <c r="I3533" s="24" t="s">
        <v>2940</v>
      </c>
      <c r="J3533" s="14" t="s">
        <v>29</v>
      </c>
      <c r="K3533" s="15" t="s">
        <v>30</v>
      </c>
      <c r="L3533" s="58"/>
      <c r="M3533" s="14" t="s">
        <v>68</v>
      </c>
      <c r="N3533" s="14" t="s">
        <v>62</v>
      </c>
      <c r="O3533" s="14" t="s">
        <v>34</v>
      </c>
      <c r="P3533" s="15" t="s">
        <v>479</v>
      </c>
      <c r="Q3533" s="16">
        <v>6799</v>
      </c>
      <c r="R3533" s="17">
        <v>40</v>
      </c>
      <c r="S3533" s="18">
        <v>4691.3099999999995</v>
      </c>
      <c r="T3533" s="19" t="s">
        <v>36</v>
      </c>
      <c r="U3533" s="20" t="s">
        <v>39</v>
      </c>
      <c r="V3533" s="21" t="s">
        <v>40</v>
      </c>
      <c r="W3533" s="22">
        <v>2</v>
      </c>
      <c r="X3533" s="23"/>
    </row>
    <row r="3534" spans="1:24" s="1" customFormat="1" ht="108" customHeight="1" x14ac:dyDescent="0.3">
      <c r="A3534" s="11" t="s">
        <v>23</v>
      </c>
      <c r="B3534" s="11" t="s">
        <v>3295</v>
      </c>
      <c r="C3534" s="12" t="s">
        <v>3296</v>
      </c>
      <c r="D3534" s="25"/>
      <c r="E3534" s="41" t="str">
        <f>HYPERLINK("https://www.google.ru/search?q=1370409-001&amp;newwindow=1&amp;tbm=isch","Еще фото")</f>
        <v>Еще фото</v>
      </c>
      <c r="F3534" s="28" t="s">
        <v>152</v>
      </c>
      <c r="G3534" s="11" t="s">
        <v>2939</v>
      </c>
      <c r="H3534" s="11" t="s">
        <v>27</v>
      </c>
      <c r="I3534" s="14" t="s">
        <v>2940</v>
      </c>
      <c r="J3534" s="14" t="s">
        <v>29</v>
      </c>
      <c r="K3534" s="15" t="s">
        <v>30</v>
      </c>
      <c r="L3534" s="14" t="s">
        <v>3155</v>
      </c>
      <c r="M3534" s="14" t="s">
        <v>119</v>
      </c>
      <c r="N3534" s="14" t="s">
        <v>33</v>
      </c>
      <c r="O3534" s="14"/>
      <c r="P3534" s="15" t="s">
        <v>120</v>
      </c>
      <c r="Q3534" s="16">
        <v>6899</v>
      </c>
      <c r="R3534" s="17">
        <v>40</v>
      </c>
      <c r="S3534" s="18">
        <v>4760.3099999999995</v>
      </c>
      <c r="T3534" s="19" t="s">
        <v>36</v>
      </c>
      <c r="U3534" s="20" t="s">
        <v>39</v>
      </c>
      <c r="V3534" s="21" t="s">
        <v>40</v>
      </c>
      <c r="W3534" s="22">
        <v>2</v>
      </c>
      <c r="X3534" s="23"/>
    </row>
    <row r="3535" spans="1:24" s="1" customFormat="1" ht="108" customHeight="1" x14ac:dyDescent="0.3">
      <c r="A3535" s="11" t="s">
        <v>23</v>
      </c>
      <c r="B3535" s="11" t="s">
        <v>3046</v>
      </c>
      <c r="C3535" s="12" t="s">
        <v>3297</v>
      </c>
      <c r="D3535" s="25"/>
      <c r="E3535" s="41" t="str">
        <f>HYPERLINK("https://www.google.ru/search?q=1370409-390&amp;newwindow=1&amp;tbm=isch","Еще фото")</f>
        <v>Еще фото</v>
      </c>
      <c r="F3535" s="13" t="s">
        <v>103</v>
      </c>
      <c r="G3535" s="11" t="s">
        <v>2939</v>
      </c>
      <c r="H3535" s="11" t="s">
        <v>27</v>
      </c>
      <c r="I3535" s="14" t="s">
        <v>2940</v>
      </c>
      <c r="J3535" s="14" t="s">
        <v>29</v>
      </c>
      <c r="K3535" s="15" t="s">
        <v>30</v>
      </c>
      <c r="L3535" s="14" t="s">
        <v>3298</v>
      </c>
      <c r="M3535" s="14"/>
      <c r="N3535" s="14" t="s">
        <v>127</v>
      </c>
      <c r="O3535" s="14"/>
      <c r="P3535" s="15" t="s">
        <v>120</v>
      </c>
      <c r="Q3535" s="16">
        <v>6899</v>
      </c>
      <c r="R3535" s="17">
        <v>40</v>
      </c>
      <c r="S3535" s="18">
        <v>4760.3099999999995</v>
      </c>
      <c r="T3535" s="19" t="s">
        <v>36</v>
      </c>
      <c r="U3535" s="20" t="s">
        <v>39</v>
      </c>
      <c r="V3535" s="21" t="s">
        <v>40</v>
      </c>
      <c r="W3535" s="22">
        <v>2</v>
      </c>
      <c r="X3535" s="23"/>
    </row>
    <row r="3536" spans="1:24" s="1" customFormat="1" ht="35" customHeight="1" x14ac:dyDescent="0.3">
      <c r="A3536" s="11" t="s">
        <v>23</v>
      </c>
      <c r="B3536" s="11" t="s">
        <v>3299</v>
      </c>
      <c r="C3536" s="12" t="s">
        <v>3300</v>
      </c>
      <c r="D3536" s="59"/>
      <c r="E3536" s="41" t="str">
        <f>HYPERLINK("https://www.google.ru/search?q=1370456-011&amp;newwindow=1&amp;tbm=isch","Еще фото")</f>
        <v>Еще фото</v>
      </c>
      <c r="F3536" s="13"/>
      <c r="G3536" s="11" t="s">
        <v>2939</v>
      </c>
      <c r="H3536" s="11" t="s">
        <v>27</v>
      </c>
      <c r="I3536" s="14" t="s">
        <v>2940</v>
      </c>
      <c r="J3536" s="14" t="s">
        <v>29</v>
      </c>
      <c r="K3536" s="15" t="s">
        <v>30</v>
      </c>
      <c r="L3536" s="57" t="s">
        <v>3301</v>
      </c>
      <c r="M3536" s="14"/>
      <c r="N3536" s="14" t="s">
        <v>62</v>
      </c>
      <c r="O3536" s="14"/>
      <c r="P3536" s="15" t="s">
        <v>302</v>
      </c>
      <c r="Q3536" s="16">
        <v>11999</v>
      </c>
      <c r="R3536" s="17">
        <v>40</v>
      </c>
      <c r="S3536" s="18">
        <v>8279.31</v>
      </c>
      <c r="T3536" s="19" t="s">
        <v>36</v>
      </c>
      <c r="U3536" s="20" t="s">
        <v>37</v>
      </c>
      <c r="V3536" s="21" t="s">
        <v>38</v>
      </c>
      <c r="W3536" s="22">
        <v>1</v>
      </c>
      <c r="X3536" s="23"/>
    </row>
    <row r="3537" spans="1:24" s="1" customFormat="1" ht="35" customHeight="1" x14ac:dyDescent="0.3">
      <c r="A3537" s="24" t="s">
        <v>23</v>
      </c>
      <c r="B3537" s="24" t="s">
        <v>3299</v>
      </c>
      <c r="C3537" s="12" t="s">
        <v>3300</v>
      </c>
      <c r="D3537" s="60"/>
      <c r="E3537" s="41" t="str">
        <f>HYPERLINK("https://www.google.ru/search?q=1370456-011&amp;newwindow=1&amp;tbm=isch","Еще фото")</f>
        <v>Еще фото</v>
      </c>
      <c r="F3537" s="13"/>
      <c r="G3537" s="24" t="s">
        <v>2939</v>
      </c>
      <c r="H3537" s="24" t="s">
        <v>27</v>
      </c>
      <c r="I3537" s="24" t="s">
        <v>2940</v>
      </c>
      <c r="J3537" s="14" t="s">
        <v>29</v>
      </c>
      <c r="K3537" s="15" t="s">
        <v>30</v>
      </c>
      <c r="L3537" s="62"/>
      <c r="M3537" s="14"/>
      <c r="N3537" s="14" t="s">
        <v>62</v>
      </c>
      <c r="O3537" s="14"/>
      <c r="P3537" s="15" t="s">
        <v>302</v>
      </c>
      <c r="Q3537" s="16">
        <v>11999</v>
      </c>
      <c r="R3537" s="17">
        <v>40</v>
      </c>
      <c r="S3537" s="18">
        <v>8279.31</v>
      </c>
      <c r="T3537" s="19" t="s">
        <v>36</v>
      </c>
      <c r="U3537" s="20" t="s">
        <v>39</v>
      </c>
      <c r="V3537" s="21" t="s">
        <v>40</v>
      </c>
      <c r="W3537" s="22">
        <v>2</v>
      </c>
      <c r="X3537" s="23"/>
    </row>
    <row r="3538" spans="1:24" s="1" customFormat="1" ht="37.049999999999997" customHeight="1" x14ac:dyDescent="0.3">
      <c r="A3538" s="24" t="s">
        <v>23</v>
      </c>
      <c r="B3538" s="24" t="s">
        <v>3299</v>
      </c>
      <c r="C3538" s="12" t="s">
        <v>3300</v>
      </c>
      <c r="D3538" s="61"/>
      <c r="E3538" s="41" t="str">
        <f>HYPERLINK("https://www.google.ru/search?q=1370456-011&amp;newwindow=1&amp;tbm=isch","Еще фото")</f>
        <v>Еще фото</v>
      </c>
      <c r="F3538" s="13"/>
      <c r="G3538" s="24" t="s">
        <v>2939</v>
      </c>
      <c r="H3538" s="24" t="s">
        <v>27</v>
      </c>
      <c r="I3538" s="24" t="s">
        <v>2940</v>
      </c>
      <c r="J3538" s="14" t="s">
        <v>29</v>
      </c>
      <c r="K3538" s="15" t="s">
        <v>30</v>
      </c>
      <c r="L3538" s="58"/>
      <c r="M3538" s="14"/>
      <c r="N3538" s="14" t="s">
        <v>62</v>
      </c>
      <c r="O3538" s="14"/>
      <c r="P3538" s="15" t="s">
        <v>302</v>
      </c>
      <c r="Q3538" s="16">
        <v>11999</v>
      </c>
      <c r="R3538" s="17">
        <v>40</v>
      </c>
      <c r="S3538" s="18">
        <v>8279.31</v>
      </c>
      <c r="T3538" s="19" t="s">
        <v>36</v>
      </c>
      <c r="U3538" s="20" t="s">
        <v>90</v>
      </c>
      <c r="V3538" s="21" t="s">
        <v>91</v>
      </c>
      <c r="W3538" s="22">
        <v>1</v>
      </c>
      <c r="X3538" s="23"/>
    </row>
    <row r="3539" spans="1:24" s="1" customFormat="1" ht="21" customHeight="1" x14ac:dyDescent="0.3">
      <c r="A3539" s="11" t="s">
        <v>23</v>
      </c>
      <c r="B3539" s="11" t="s">
        <v>3015</v>
      </c>
      <c r="C3539" s="26" t="s">
        <v>3302</v>
      </c>
      <c r="D3539" s="59"/>
      <c r="E3539" s="41" t="str">
        <f>HYPERLINK("https://www.google.ru/search?q=1373353-001&amp;newwindow=1&amp;tbm=isch","Еще фото")</f>
        <v>Еще фото</v>
      </c>
      <c r="F3539" s="13" t="s">
        <v>103</v>
      </c>
      <c r="G3539" s="11" t="s">
        <v>2939</v>
      </c>
      <c r="H3539" s="11" t="s">
        <v>27</v>
      </c>
      <c r="I3539" s="14" t="s">
        <v>2940</v>
      </c>
      <c r="J3539" s="14" t="s">
        <v>29</v>
      </c>
      <c r="K3539" s="15" t="s">
        <v>30</v>
      </c>
      <c r="L3539" s="57" t="s">
        <v>3225</v>
      </c>
      <c r="M3539" s="14" t="s">
        <v>140</v>
      </c>
      <c r="N3539" s="14" t="s">
        <v>33</v>
      </c>
      <c r="O3539" s="14"/>
      <c r="P3539" s="15" t="s">
        <v>47</v>
      </c>
      <c r="Q3539" s="16">
        <v>7899</v>
      </c>
      <c r="R3539" s="17">
        <v>40</v>
      </c>
      <c r="S3539" s="18">
        <v>5450.3099999999995</v>
      </c>
      <c r="T3539" s="19" t="s">
        <v>36</v>
      </c>
      <c r="U3539" s="20" t="s">
        <v>37</v>
      </c>
      <c r="V3539" s="21" t="s">
        <v>38</v>
      </c>
      <c r="W3539" s="22">
        <v>1</v>
      </c>
      <c r="X3539" s="23"/>
    </row>
    <row r="3540" spans="1:24" s="1" customFormat="1" ht="21" customHeight="1" x14ac:dyDescent="0.3">
      <c r="A3540" s="24" t="s">
        <v>23</v>
      </c>
      <c r="B3540" s="24" t="s">
        <v>3015</v>
      </c>
      <c r="C3540" s="27" t="s">
        <v>3302</v>
      </c>
      <c r="D3540" s="60"/>
      <c r="E3540" s="41" t="str">
        <f>HYPERLINK("https://www.google.ru/search?q=1373353-001&amp;newwindow=1&amp;tbm=isch","Еще фото")</f>
        <v>Еще фото</v>
      </c>
      <c r="F3540" s="13" t="s">
        <v>103</v>
      </c>
      <c r="G3540" s="24" t="s">
        <v>2939</v>
      </c>
      <c r="H3540" s="24" t="s">
        <v>27</v>
      </c>
      <c r="I3540" s="24" t="s">
        <v>2940</v>
      </c>
      <c r="J3540" s="14" t="s">
        <v>29</v>
      </c>
      <c r="K3540" s="15" t="s">
        <v>30</v>
      </c>
      <c r="L3540" s="62"/>
      <c r="M3540" s="14" t="s">
        <v>140</v>
      </c>
      <c r="N3540" s="14" t="s">
        <v>33</v>
      </c>
      <c r="O3540" s="14"/>
      <c r="P3540" s="15" t="s">
        <v>47</v>
      </c>
      <c r="Q3540" s="16">
        <v>7899</v>
      </c>
      <c r="R3540" s="17">
        <v>40</v>
      </c>
      <c r="S3540" s="18">
        <v>5450.3099999999995</v>
      </c>
      <c r="T3540" s="19" t="s">
        <v>36</v>
      </c>
      <c r="U3540" s="20" t="s">
        <v>39</v>
      </c>
      <c r="V3540" s="21" t="s">
        <v>40</v>
      </c>
      <c r="W3540" s="22">
        <v>1</v>
      </c>
      <c r="X3540" s="23"/>
    </row>
    <row r="3541" spans="1:24" s="1" customFormat="1" ht="21" customHeight="1" x14ac:dyDescent="0.3">
      <c r="A3541" s="24" t="s">
        <v>23</v>
      </c>
      <c r="B3541" s="24" t="s">
        <v>3015</v>
      </c>
      <c r="C3541" s="27" t="s">
        <v>3302</v>
      </c>
      <c r="D3541" s="60"/>
      <c r="E3541" s="41" t="str">
        <f>HYPERLINK("https://www.google.ru/search?q=1373353-001&amp;newwindow=1&amp;tbm=isch","Еще фото")</f>
        <v>Еще фото</v>
      </c>
      <c r="F3541" s="13" t="s">
        <v>103</v>
      </c>
      <c r="G3541" s="24" t="s">
        <v>2939</v>
      </c>
      <c r="H3541" s="24" t="s">
        <v>27</v>
      </c>
      <c r="I3541" s="24" t="s">
        <v>2940</v>
      </c>
      <c r="J3541" s="14" t="s">
        <v>29</v>
      </c>
      <c r="K3541" s="15" t="s">
        <v>30</v>
      </c>
      <c r="L3541" s="62"/>
      <c r="M3541" s="14" t="s">
        <v>140</v>
      </c>
      <c r="N3541" s="14" t="s">
        <v>33</v>
      </c>
      <c r="O3541" s="14"/>
      <c r="P3541" s="15" t="s">
        <v>47</v>
      </c>
      <c r="Q3541" s="16">
        <v>7899</v>
      </c>
      <c r="R3541" s="17">
        <v>40</v>
      </c>
      <c r="S3541" s="18">
        <v>5450.3099999999995</v>
      </c>
      <c r="T3541" s="19" t="s">
        <v>36</v>
      </c>
      <c r="U3541" s="20" t="s">
        <v>86</v>
      </c>
      <c r="V3541" s="21" t="s">
        <v>87</v>
      </c>
      <c r="W3541" s="22">
        <v>6</v>
      </c>
      <c r="X3541" s="23"/>
    </row>
    <row r="3542" spans="1:24" s="1" customFormat="1" ht="21" customHeight="1" x14ac:dyDescent="0.3">
      <c r="A3542" s="24" t="s">
        <v>23</v>
      </c>
      <c r="B3542" s="24" t="s">
        <v>3015</v>
      </c>
      <c r="C3542" s="27" t="s">
        <v>3302</v>
      </c>
      <c r="D3542" s="60"/>
      <c r="E3542" s="41" t="str">
        <f>HYPERLINK("https://www.google.ru/search?q=1373353-001&amp;newwindow=1&amp;tbm=isch","Еще фото")</f>
        <v>Еще фото</v>
      </c>
      <c r="F3542" s="13" t="s">
        <v>103</v>
      </c>
      <c r="G3542" s="24" t="s">
        <v>2939</v>
      </c>
      <c r="H3542" s="24" t="s">
        <v>27</v>
      </c>
      <c r="I3542" s="24" t="s">
        <v>2940</v>
      </c>
      <c r="J3542" s="14" t="s">
        <v>29</v>
      </c>
      <c r="K3542" s="15" t="s">
        <v>30</v>
      </c>
      <c r="L3542" s="62"/>
      <c r="M3542" s="14" t="s">
        <v>140</v>
      </c>
      <c r="N3542" s="14" t="s">
        <v>33</v>
      </c>
      <c r="O3542" s="14"/>
      <c r="P3542" s="15" t="s">
        <v>47</v>
      </c>
      <c r="Q3542" s="16">
        <v>7899</v>
      </c>
      <c r="R3542" s="17">
        <v>40</v>
      </c>
      <c r="S3542" s="18">
        <v>5450.3099999999995</v>
      </c>
      <c r="T3542" s="19" t="s">
        <v>36</v>
      </c>
      <c r="U3542" s="20" t="s">
        <v>88</v>
      </c>
      <c r="V3542" s="21" t="s">
        <v>89</v>
      </c>
      <c r="W3542" s="22">
        <v>6</v>
      </c>
      <c r="X3542" s="23"/>
    </row>
    <row r="3543" spans="1:24" s="1" customFormat="1" ht="32" customHeight="1" x14ac:dyDescent="0.3">
      <c r="A3543" s="24" t="s">
        <v>23</v>
      </c>
      <c r="B3543" s="24" t="s">
        <v>3015</v>
      </c>
      <c r="C3543" s="27" t="s">
        <v>3302</v>
      </c>
      <c r="D3543" s="61"/>
      <c r="E3543" s="41" t="str">
        <f>HYPERLINK("https://www.google.ru/search?q=1373353-001&amp;newwindow=1&amp;tbm=isch","Еще фото")</f>
        <v>Еще фото</v>
      </c>
      <c r="F3543" s="13" t="s">
        <v>103</v>
      </c>
      <c r="G3543" s="24" t="s">
        <v>2939</v>
      </c>
      <c r="H3543" s="24" t="s">
        <v>27</v>
      </c>
      <c r="I3543" s="24" t="s">
        <v>2940</v>
      </c>
      <c r="J3543" s="14" t="s">
        <v>29</v>
      </c>
      <c r="K3543" s="15" t="s">
        <v>30</v>
      </c>
      <c r="L3543" s="58"/>
      <c r="M3543" s="14" t="s">
        <v>140</v>
      </c>
      <c r="N3543" s="14" t="s">
        <v>33</v>
      </c>
      <c r="O3543" s="14"/>
      <c r="P3543" s="15" t="s">
        <v>47</v>
      </c>
      <c r="Q3543" s="16">
        <v>7899</v>
      </c>
      <c r="R3543" s="17">
        <v>40</v>
      </c>
      <c r="S3543" s="18">
        <v>5450.3099999999995</v>
      </c>
      <c r="T3543" s="19" t="s">
        <v>36</v>
      </c>
      <c r="U3543" s="20" t="s">
        <v>143</v>
      </c>
      <c r="V3543" s="21" t="s">
        <v>144</v>
      </c>
      <c r="W3543" s="22">
        <v>2</v>
      </c>
      <c r="X3543" s="23"/>
    </row>
    <row r="3544" spans="1:24" s="1" customFormat="1" ht="35" customHeight="1" x14ac:dyDescent="0.3">
      <c r="A3544" s="11" t="s">
        <v>23</v>
      </c>
      <c r="B3544" s="11" t="s">
        <v>2975</v>
      </c>
      <c r="C3544" s="12" t="s">
        <v>3303</v>
      </c>
      <c r="D3544" s="59"/>
      <c r="E3544" s="41" t="str">
        <f>HYPERLINK("https://www.google.ru/search?q=1373354-012&amp;newwindow=1&amp;tbm=isch","Еще фото")</f>
        <v>Еще фото</v>
      </c>
      <c r="F3544" s="13"/>
      <c r="G3544" s="11" t="s">
        <v>2939</v>
      </c>
      <c r="H3544" s="11" t="s">
        <v>27</v>
      </c>
      <c r="I3544" s="14" t="s">
        <v>2940</v>
      </c>
      <c r="J3544" s="14" t="s">
        <v>29</v>
      </c>
      <c r="K3544" s="15" t="s">
        <v>30</v>
      </c>
      <c r="L3544" s="57" t="s">
        <v>2977</v>
      </c>
      <c r="M3544" s="14" t="s">
        <v>140</v>
      </c>
      <c r="N3544" s="14" t="s">
        <v>284</v>
      </c>
      <c r="O3544" s="14"/>
      <c r="P3544" s="15" t="s">
        <v>47</v>
      </c>
      <c r="Q3544" s="16">
        <v>8999</v>
      </c>
      <c r="R3544" s="17">
        <v>40</v>
      </c>
      <c r="S3544" s="18">
        <v>6209.3099999999995</v>
      </c>
      <c r="T3544" s="19" t="s">
        <v>36</v>
      </c>
      <c r="U3544" s="20" t="s">
        <v>63</v>
      </c>
      <c r="V3544" s="21" t="s">
        <v>85</v>
      </c>
      <c r="W3544" s="22">
        <v>1</v>
      </c>
      <c r="X3544" s="23"/>
    </row>
    <row r="3545" spans="1:24" s="1" customFormat="1" ht="35" customHeight="1" x14ac:dyDescent="0.3">
      <c r="A3545" s="24" t="s">
        <v>23</v>
      </c>
      <c r="B3545" s="24" t="s">
        <v>2975</v>
      </c>
      <c r="C3545" s="12" t="s">
        <v>3303</v>
      </c>
      <c r="D3545" s="60"/>
      <c r="E3545" s="41" t="str">
        <f>HYPERLINK("https://www.google.ru/search?q=1373354-012&amp;newwindow=1&amp;tbm=isch","Еще фото")</f>
        <v>Еще фото</v>
      </c>
      <c r="F3545" s="13"/>
      <c r="G3545" s="24" t="s">
        <v>2939</v>
      </c>
      <c r="H3545" s="24" t="s">
        <v>27</v>
      </c>
      <c r="I3545" s="24" t="s">
        <v>2940</v>
      </c>
      <c r="J3545" s="14" t="s">
        <v>29</v>
      </c>
      <c r="K3545" s="15" t="s">
        <v>30</v>
      </c>
      <c r="L3545" s="62"/>
      <c r="M3545" s="14" t="s">
        <v>140</v>
      </c>
      <c r="N3545" s="14" t="s">
        <v>284</v>
      </c>
      <c r="O3545" s="14"/>
      <c r="P3545" s="15" t="s">
        <v>47</v>
      </c>
      <c r="Q3545" s="16">
        <v>8999</v>
      </c>
      <c r="R3545" s="17">
        <v>40</v>
      </c>
      <c r="S3545" s="18">
        <v>6209.3099999999995</v>
      </c>
      <c r="T3545" s="19" t="s">
        <v>36</v>
      </c>
      <c r="U3545" s="20" t="s">
        <v>37</v>
      </c>
      <c r="V3545" s="21" t="s">
        <v>38</v>
      </c>
      <c r="W3545" s="22">
        <v>1</v>
      </c>
      <c r="X3545" s="23"/>
    </row>
    <row r="3546" spans="1:24" s="1" customFormat="1" ht="37.049999999999997" customHeight="1" x14ac:dyDescent="0.3">
      <c r="A3546" s="24" t="s">
        <v>23</v>
      </c>
      <c r="B3546" s="24" t="s">
        <v>2975</v>
      </c>
      <c r="C3546" s="12" t="s">
        <v>3303</v>
      </c>
      <c r="D3546" s="61"/>
      <c r="E3546" s="41" t="str">
        <f>HYPERLINK("https://www.google.ru/search?q=1373354-012&amp;newwindow=1&amp;tbm=isch","Еще фото")</f>
        <v>Еще фото</v>
      </c>
      <c r="F3546" s="13"/>
      <c r="G3546" s="24" t="s">
        <v>2939</v>
      </c>
      <c r="H3546" s="24" t="s">
        <v>27</v>
      </c>
      <c r="I3546" s="24" t="s">
        <v>2940</v>
      </c>
      <c r="J3546" s="14" t="s">
        <v>29</v>
      </c>
      <c r="K3546" s="15" t="s">
        <v>30</v>
      </c>
      <c r="L3546" s="58"/>
      <c r="M3546" s="14" t="s">
        <v>140</v>
      </c>
      <c r="N3546" s="14" t="s">
        <v>284</v>
      </c>
      <c r="O3546" s="14"/>
      <c r="P3546" s="15" t="s">
        <v>47</v>
      </c>
      <c r="Q3546" s="16">
        <v>8999</v>
      </c>
      <c r="R3546" s="17">
        <v>40</v>
      </c>
      <c r="S3546" s="18">
        <v>6209.3099999999995</v>
      </c>
      <c r="T3546" s="19" t="s">
        <v>36</v>
      </c>
      <c r="U3546" s="20" t="s">
        <v>88</v>
      </c>
      <c r="V3546" s="21" t="s">
        <v>89</v>
      </c>
      <c r="W3546" s="22">
        <v>1</v>
      </c>
      <c r="X3546" s="23"/>
    </row>
    <row r="3547" spans="1:24" s="1" customFormat="1" ht="52.05" customHeight="1" x14ac:dyDescent="0.3">
      <c r="A3547" s="11" t="s">
        <v>23</v>
      </c>
      <c r="B3547" s="11" t="s">
        <v>2975</v>
      </c>
      <c r="C3547" s="12" t="s">
        <v>3304</v>
      </c>
      <c r="D3547" s="55"/>
      <c r="E3547" s="41" t="str">
        <f>HYPERLINK("https://www.google.ru/search?q=1373354-310&amp;newwindow=1&amp;tbm=isch","Еще фото")</f>
        <v>Еще фото</v>
      </c>
      <c r="F3547" s="13" t="s">
        <v>103</v>
      </c>
      <c r="G3547" s="11" t="s">
        <v>2939</v>
      </c>
      <c r="H3547" s="11" t="s">
        <v>27</v>
      </c>
      <c r="I3547" s="14" t="s">
        <v>2940</v>
      </c>
      <c r="J3547" s="14" t="s">
        <v>29</v>
      </c>
      <c r="K3547" s="15" t="s">
        <v>30</v>
      </c>
      <c r="L3547" s="57" t="s">
        <v>2977</v>
      </c>
      <c r="M3547" s="14" t="s">
        <v>140</v>
      </c>
      <c r="N3547" s="14" t="s">
        <v>871</v>
      </c>
      <c r="O3547" s="14"/>
      <c r="P3547" s="15" t="s">
        <v>47</v>
      </c>
      <c r="Q3547" s="16">
        <v>8999</v>
      </c>
      <c r="R3547" s="17">
        <v>40</v>
      </c>
      <c r="S3547" s="18">
        <v>6209.3099999999995</v>
      </c>
      <c r="T3547" s="19" t="s">
        <v>36</v>
      </c>
      <c r="U3547" s="20" t="s">
        <v>63</v>
      </c>
      <c r="V3547" s="21" t="s">
        <v>85</v>
      </c>
      <c r="W3547" s="22">
        <v>1</v>
      </c>
      <c r="X3547" s="23"/>
    </row>
    <row r="3548" spans="1:24" s="1" customFormat="1" ht="61.05" customHeight="1" x14ac:dyDescent="0.3">
      <c r="A3548" s="24" t="s">
        <v>23</v>
      </c>
      <c r="B3548" s="24" t="s">
        <v>2975</v>
      </c>
      <c r="C3548" s="12" t="s">
        <v>3304</v>
      </c>
      <c r="D3548" s="56"/>
      <c r="E3548" s="41" t="str">
        <f>HYPERLINK("https://www.google.ru/search?q=1373354-310&amp;newwindow=1&amp;tbm=isch","Еще фото")</f>
        <v>Еще фото</v>
      </c>
      <c r="F3548" s="13" t="s">
        <v>103</v>
      </c>
      <c r="G3548" s="24" t="s">
        <v>2939</v>
      </c>
      <c r="H3548" s="24" t="s">
        <v>27</v>
      </c>
      <c r="I3548" s="24" t="s">
        <v>2940</v>
      </c>
      <c r="J3548" s="14" t="s">
        <v>29</v>
      </c>
      <c r="K3548" s="15" t="s">
        <v>30</v>
      </c>
      <c r="L3548" s="58"/>
      <c r="M3548" s="14" t="s">
        <v>140</v>
      </c>
      <c r="N3548" s="14" t="s">
        <v>871</v>
      </c>
      <c r="O3548" s="14"/>
      <c r="P3548" s="15" t="s">
        <v>47</v>
      </c>
      <c r="Q3548" s="16">
        <v>8999</v>
      </c>
      <c r="R3548" s="17">
        <v>40</v>
      </c>
      <c r="S3548" s="18">
        <v>6209.3099999999995</v>
      </c>
      <c r="T3548" s="19" t="s">
        <v>36</v>
      </c>
      <c r="U3548" s="20" t="s">
        <v>39</v>
      </c>
      <c r="V3548" s="21" t="s">
        <v>40</v>
      </c>
      <c r="W3548" s="22">
        <v>1</v>
      </c>
      <c r="X3548" s="23"/>
    </row>
    <row r="3549" spans="1:24" s="1" customFormat="1" ht="26" customHeight="1" x14ac:dyDescent="0.3">
      <c r="A3549" s="11" t="s">
        <v>23</v>
      </c>
      <c r="B3549" s="11" t="s">
        <v>3305</v>
      </c>
      <c r="C3549" s="12" t="s">
        <v>3306</v>
      </c>
      <c r="D3549" s="59"/>
      <c r="E3549" s="41" t="str">
        <f>HYPERLINK("https://www.google.ru/search?q=1373357-001&amp;newwindow=1&amp;tbm=isch","Еще фото")</f>
        <v>Еще фото</v>
      </c>
      <c r="F3549" s="13" t="s">
        <v>152</v>
      </c>
      <c r="G3549" s="11" t="s">
        <v>2939</v>
      </c>
      <c r="H3549" s="11" t="s">
        <v>27</v>
      </c>
      <c r="I3549" s="14" t="s">
        <v>2940</v>
      </c>
      <c r="J3549" s="14" t="s">
        <v>29</v>
      </c>
      <c r="K3549" s="15" t="s">
        <v>30</v>
      </c>
      <c r="L3549" s="57" t="s">
        <v>3045</v>
      </c>
      <c r="M3549" s="14" t="s">
        <v>97</v>
      </c>
      <c r="N3549" s="14" t="s">
        <v>33</v>
      </c>
      <c r="O3549" s="14"/>
      <c r="P3549" s="15" t="s">
        <v>47</v>
      </c>
      <c r="Q3549" s="16">
        <v>7099</v>
      </c>
      <c r="R3549" s="17">
        <v>40</v>
      </c>
      <c r="S3549" s="18">
        <v>4898.3099999999995</v>
      </c>
      <c r="T3549" s="19" t="s">
        <v>36</v>
      </c>
      <c r="U3549" s="20" t="s">
        <v>37</v>
      </c>
      <c r="V3549" s="21" t="s">
        <v>38</v>
      </c>
      <c r="W3549" s="22">
        <v>41</v>
      </c>
      <c r="X3549" s="23"/>
    </row>
    <row r="3550" spans="1:24" s="1" customFormat="1" ht="26" customHeight="1" x14ac:dyDescent="0.3">
      <c r="A3550" s="24" t="s">
        <v>23</v>
      </c>
      <c r="B3550" s="24" t="s">
        <v>3305</v>
      </c>
      <c r="C3550" s="12" t="s">
        <v>3306</v>
      </c>
      <c r="D3550" s="60"/>
      <c r="E3550" s="41" t="str">
        <f>HYPERLINK("https://www.google.ru/search?q=1373357-001&amp;newwindow=1&amp;tbm=isch","Еще фото")</f>
        <v>Еще фото</v>
      </c>
      <c r="F3550" s="13" t="s">
        <v>152</v>
      </c>
      <c r="G3550" s="24" t="s">
        <v>2939</v>
      </c>
      <c r="H3550" s="24" t="s">
        <v>27</v>
      </c>
      <c r="I3550" s="24" t="s">
        <v>2940</v>
      </c>
      <c r="J3550" s="14" t="s">
        <v>29</v>
      </c>
      <c r="K3550" s="15" t="s">
        <v>30</v>
      </c>
      <c r="L3550" s="62"/>
      <c r="M3550" s="14" t="s">
        <v>97</v>
      </c>
      <c r="N3550" s="14" t="s">
        <v>33</v>
      </c>
      <c r="O3550" s="14"/>
      <c r="P3550" s="15" t="s">
        <v>47</v>
      </c>
      <c r="Q3550" s="16">
        <v>7099</v>
      </c>
      <c r="R3550" s="17">
        <v>40</v>
      </c>
      <c r="S3550" s="18">
        <v>4898.3099999999995</v>
      </c>
      <c r="T3550" s="19" t="s">
        <v>36</v>
      </c>
      <c r="U3550" s="20" t="s">
        <v>39</v>
      </c>
      <c r="V3550" s="21" t="s">
        <v>40</v>
      </c>
      <c r="W3550" s="22">
        <v>40</v>
      </c>
      <c r="X3550" s="23"/>
    </row>
    <row r="3551" spans="1:24" s="1" customFormat="1" ht="26" customHeight="1" x14ac:dyDescent="0.3">
      <c r="A3551" s="24" t="s">
        <v>23</v>
      </c>
      <c r="B3551" s="24" t="s">
        <v>3305</v>
      </c>
      <c r="C3551" s="12" t="s">
        <v>3306</v>
      </c>
      <c r="D3551" s="60"/>
      <c r="E3551" s="41" t="str">
        <f>HYPERLINK("https://www.google.ru/search?q=1373357-001&amp;newwindow=1&amp;tbm=isch","Еще фото")</f>
        <v>Еще фото</v>
      </c>
      <c r="F3551" s="13" t="s">
        <v>152</v>
      </c>
      <c r="G3551" s="24" t="s">
        <v>2939</v>
      </c>
      <c r="H3551" s="24" t="s">
        <v>27</v>
      </c>
      <c r="I3551" s="24" t="s">
        <v>2940</v>
      </c>
      <c r="J3551" s="14" t="s">
        <v>29</v>
      </c>
      <c r="K3551" s="15" t="s">
        <v>30</v>
      </c>
      <c r="L3551" s="62"/>
      <c r="M3551" s="14" t="s">
        <v>97</v>
      </c>
      <c r="N3551" s="14" t="s">
        <v>33</v>
      </c>
      <c r="O3551" s="14"/>
      <c r="P3551" s="15" t="s">
        <v>47</v>
      </c>
      <c r="Q3551" s="16">
        <v>7099</v>
      </c>
      <c r="R3551" s="17">
        <v>40</v>
      </c>
      <c r="S3551" s="18">
        <v>4898.3099999999995</v>
      </c>
      <c r="T3551" s="19" t="s">
        <v>36</v>
      </c>
      <c r="U3551" s="20" t="s">
        <v>86</v>
      </c>
      <c r="V3551" s="21" t="s">
        <v>87</v>
      </c>
      <c r="W3551" s="22">
        <v>36</v>
      </c>
      <c r="X3551" s="23"/>
    </row>
    <row r="3552" spans="1:24" s="1" customFormat="1" ht="26" customHeight="1" x14ac:dyDescent="0.3">
      <c r="A3552" s="24" t="s">
        <v>23</v>
      </c>
      <c r="B3552" s="24" t="s">
        <v>3305</v>
      </c>
      <c r="C3552" s="12" t="s">
        <v>3306</v>
      </c>
      <c r="D3552" s="61"/>
      <c r="E3552" s="41" t="str">
        <f>HYPERLINK("https://www.google.ru/search?q=1373357-001&amp;newwindow=1&amp;tbm=isch","Еще фото")</f>
        <v>Еще фото</v>
      </c>
      <c r="F3552" s="13" t="s">
        <v>152</v>
      </c>
      <c r="G3552" s="24" t="s">
        <v>2939</v>
      </c>
      <c r="H3552" s="24" t="s">
        <v>27</v>
      </c>
      <c r="I3552" s="24" t="s">
        <v>2940</v>
      </c>
      <c r="J3552" s="14" t="s">
        <v>29</v>
      </c>
      <c r="K3552" s="15" t="s">
        <v>30</v>
      </c>
      <c r="L3552" s="58"/>
      <c r="M3552" s="14" t="s">
        <v>97</v>
      </c>
      <c r="N3552" s="14" t="s">
        <v>33</v>
      </c>
      <c r="O3552" s="14"/>
      <c r="P3552" s="15" t="s">
        <v>47</v>
      </c>
      <c r="Q3552" s="16">
        <v>7099</v>
      </c>
      <c r="R3552" s="17">
        <v>40</v>
      </c>
      <c r="S3552" s="18">
        <v>4898.3099999999995</v>
      </c>
      <c r="T3552" s="19" t="s">
        <v>36</v>
      </c>
      <c r="U3552" s="20" t="s">
        <v>90</v>
      </c>
      <c r="V3552" s="21" t="s">
        <v>91</v>
      </c>
      <c r="W3552" s="22">
        <v>2</v>
      </c>
      <c r="X3552" s="23"/>
    </row>
    <row r="3553" spans="1:24" s="1" customFormat="1" ht="21" customHeight="1" x14ac:dyDescent="0.3">
      <c r="A3553" s="11" t="s">
        <v>23</v>
      </c>
      <c r="B3553" s="11" t="s">
        <v>2987</v>
      </c>
      <c r="C3553" s="26" t="s">
        <v>3307</v>
      </c>
      <c r="D3553" s="59"/>
      <c r="E3553" s="41" t="str">
        <f>HYPERLINK("https://www.google.ru/search?q=1373357-025&amp;newwindow=1&amp;tbm=isch","Еще фото")</f>
        <v>Еще фото</v>
      </c>
      <c r="F3553" s="28" t="s">
        <v>138</v>
      </c>
      <c r="G3553" s="11" t="s">
        <v>2939</v>
      </c>
      <c r="H3553" s="11" t="s">
        <v>27</v>
      </c>
      <c r="I3553" s="14" t="s">
        <v>2940</v>
      </c>
      <c r="J3553" s="14" t="s">
        <v>29</v>
      </c>
      <c r="K3553" s="15" t="s">
        <v>30</v>
      </c>
      <c r="L3553" s="57" t="s">
        <v>3045</v>
      </c>
      <c r="M3553" s="14" t="s">
        <v>97</v>
      </c>
      <c r="N3553" s="14" t="s">
        <v>62</v>
      </c>
      <c r="O3553" s="14"/>
      <c r="P3553" s="15" t="s">
        <v>47</v>
      </c>
      <c r="Q3553" s="16">
        <v>8899</v>
      </c>
      <c r="R3553" s="17">
        <v>40</v>
      </c>
      <c r="S3553" s="18">
        <v>6140.3099999999995</v>
      </c>
      <c r="T3553" s="19" t="s">
        <v>36</v>
      </c>
      <c r="U3553" s="20" t="s">
        <v>37</v>
      </c>
      <c r="V3553" s="21" t="s">
        <v>38</v>
      </c>
      <c r="W3553" s="22">
        <v>26</v>
      </c>
      <c r="X3553" s="23"/>
    </row>
    <row r="3554" spans="1:24" s="1" customFormat="1" ht="21" customHeight="1" x14ac:dyDescent="0.3">
      <c r="A3554" s="24" t="s">
        <v>23</v>
      </c>
      <c r="B3554" s="24" t="s">
        <v>2987</v>
      </c>
      <c r="C3554" s="27" t="s">
        <v>3307</v>
      </c>
      <c r="D3554" s="60"/>
      <c r="E3554" s="41" t="str">
        <f>HYPERLINK("https://www.google.ru/search?q=1373357-025&amp;newwindow=1&amp;tbm=isch","Еще фото")</f>
        <v>Еще фото</v>
      </c>
      <c r="F3554" s="28" t="s">
        <v>138</v>
      </c>
      <c r="G3554" s="24" t="s">
        <v>2939</v>
      </c>
      <c r="H3554" s="24" t="s">
        <v>27</v>
      </c>
      <c r="I3554" s="24" t="s">
        <v>2940</v>
      </c>
      <c r="J3554" s="14" t="s">
        <v>29</v>
      </c>
      <c r="K3554" s="15" t="s">
        <v>30</v>
      </c>
      <c r="L3554" s="62"/>
      <c r="M3554" s="14" t="s">
        <v>97</v>
      </c>
      <c r="N3554" s="14" t="s">
        <v>62</v>
      </c>
      <c r="O3554" s="14"/>
      <c r="P3554" s="15" t="s">
        <v>47</v>
      </c>
      <c r="Q3554" s="16">
        <v>8899</v>
      </c>
      <c r="R3554" s="17">
        <v>40</v>
      </c>
      <c r="S3554" s="18">
        <v>6140.3099999999995</v>
      </c>
      <c r="T3554" s="19" t="s">
        <v>36</v>
      </c>
      <c r="U3554" s="20" t="s">
        <v>39</v>
      </c>
      <c r="V3554" s="21" t="s">
        <v>40</v>
      </c>
      <c r="W3554" s="22">
        <v>43</v>
      </c>
      <c r="X3554" s="23"/>
    </row>
    <row r="3555" spans="1:24" s="1" customFormat="1" ht="21" customHeight="1" x14ac:dyDescent="0.3">
      <c r="A3555" s="24" t="s">
        <v>23</v>
      </c>
      <c r="B3555" s="24" t="s">
        <v>2987</v>
      </c>
      <c r="C3555" s="27" t="s">
        <v>3307</v>
      </c>
      <c r="D3555" s="60"/>
      <c r="E3555" s="41" t="str">
        <f>HYPERLINK("https://www.google.ru/search?q=1373357-025&amp;newwindow=1&amp;tbm=isch","Еще фото")</f>
        <v>Еще фото</v>
      </c>
      <c r="F3555" s="28" t="s">
        <v>138</v>
      </c>
      <c r="G3555" s="24" t="s">
        <v>2939</v>
      </c>
      <c r="H3555" s="24" t="s">
        <v>27</v>
      </c>
      <c r="I3555" s="24" t="s">
        <v>2940</v>
      </c>
      <c r="J3555" s="14" t="s">
        <v>29</v>
      </c>
      <c r="K3555" s="15" t="s">
        <v>30</v>
      </c>
      <c r="L3555" s="62"/>
      <c r="M3555" s="14" t="s">
        <v>97</v>
      </c>
      <c r="N3555" s="14" t="s">
        <v>62</v>
      </c>
      <c r="O3555" s="14"/>
      <c r="P3555" s="15" t="s">
        <v>47</v>
      </c>
      <c r="Q3555" s="16">
        <v>8899</v>
      </c>
      <c r="R3555" s="17">
        <v>40</v>
      </c>
      <c r="S3555" s="18">
        <v>6140.3099999999995</v>
      </c>
      <c r="T3555" s="19" t="s">
        <v>36</v>
      </c>
      <c r="U3555" s="20" t="s">
        <v>86</v>
      </c>
      <c r="V3555" s="21" t="s">
        <v>87</v>
      </c>
      <c r="W3555" s="22">
        <v>40</v>
      </c>
      <c r="X3555" s="23"/>
    </row>
    <row r="3556" spans="1:24" s="1" customFormat="1" ht="21" customHeight="1" x14ac:dyDescent="0.3">
      <c r="A3556" s="24" t="s">
        <v>23</v>
      </c>
      <c r="B3556" s="24" t="s">
        <v>2987</v>
      </c>
      <c r="C3556" s="27" t="s">
        <v>3307</v>
      </c>
      <c r="D3556" s="60"/>
      <c r="E3556" s="41" t="str">
        <f>HYPERLINK("https://www.google.ru/search?q=1373357-025&amp;newwindow=1&amp;tbm=isch","Еще фото")</f>
        <v>Еще фото</v>
      </c>
      <c r="F3556" s="28" t="s">
        <v>138</v>
      </c>
      <c r="G3556" s="24" t="s">
        <v>2939</v>
      </c>
      <c r="H3556" s="24" t="s">
        <v>27</v>
      </c>
      <c r="I3556" s="24" t="s">
        <v>2940</v>
      </c>
      <c r="J3556" s="14" t="s">
        <v>29</v>
      </c>
      <c r="K3556" s="15" t="s">
        <v>30</v>
      </c>
      <c r="L3556" s="62"/>
      <c r="M3556" s="14" t="s">
        <v>97</v>
      </c>
      <c r="N3556" s="14" t="s">
        <v>62</v>
      </c>
      <c r="O3556" s="14"/>
      <c r="P3556" s="15" t="s">
        <v>47</v>
      </c>
      <c r="Q3556" s="16">
        <v>8899</v>
      </c>
      <c r="R3556" s="17">
        <v>40</v>
      </c>
      <c r="S3556" s="18">
        <v>6140.3099999999995</v>
      </c>
      <c r="T3556" s="19" t="s">
        <v>36</v>
      </c>
      <c r="U3556" s="20" t="s">
        <v>88</v>
      </c>
      <c r="V3556" s="21" t="s">
        <v>89</v>
      </c>
      <c r="W3556" s="22">
        <v>20</v>
      </c>
      <c r="X3556" s="23"/>
    </row>
    <row r="3557" spans="1:24" s="1" customFormat="1" ht="32" customHeight="1" x14ac:dyDescent="0.3">
      <c r="A3557" s="24" t="s">
        <v>23</v>
      </c>
      <c r="B3557" s="24" t="s">
        <v>2987</v>
      </c>
      <c r="C3557" s="27" t="s">
        <v>3307</v>
      </c>
      <c r="D3557" s="61"/>
      <c r="E3557" s="41" t="str">
        <f>HYPERLINK("https://www.google.ru/search?q=1373357-025&amp;newwindow=1&amp;tbm=isch","Еще фото")</f>
        <v>Еще фото</v>
      </c>
      <c r="F3557" s="28" t="s">
        <v>138</v>
      </c>
      <c r="G3557" s="24" t="s">
        <v>2939</v>
      </c>
      <c r="H3557" s="24" t="s">
        <v>27</v>
      </c>
      <c r="I3557" s="24" t="s">
        <v>2940</v>
      </c>
      <c r="J3557" s="14" t="s">
        <v>29</v>
      </c>
      <c r="K3557" s="15" t="s">
        <v>30</v>
      </c>
      <c r="L3557" s="58"/>
      <c r="M3557" s="14" t="s">
        <v>97</v>
      </c>
      <c r="N3557" s="14" t="s">
        <v>62</v>
      </c>
      <c r="O3557" s="14"/>
      <c r="P3557" s="15" t="s">
        <v>47</v>
      </c>
      <c r="Q3557" s="16">
        <v>8899</v>
      </c>
      <c r="R3557" s="17">
        <v>40</v>
      </c>
      <c r="S3557" s="18">
        <v>6140.3099999999995</v>
      </c>
      <c r="T3557" s="19" t="s">
        <v>36</v>
      </c>
      <c r="U3557" s="20" t="s">
        <v>90</v>
      </c>
      <c r="V3557" s="21" t="s">
        <v>91</v>
      </c>
      <c r="W3557" s="22">
        <v>6</v>
      </c>
      <c r="X3557" s="23"/>
    </row>
    <row r="3558" spans="1:24" s="1" customFormat="1" ht="108" customHeight="1" x14ac:dyDescent="0.3">
      <c r="A3558" s="11" t="s">
        <v>23</v>
      </c>
      <c r="B3558" s="11" t="s">
        <v>3308</v>
      </c>
      <c r="C3558" s="12" t="s">
        <v>3309</v>
      </c>
      <c r="D3558" s="25"/>
      <c r="E3558" s="41" t="str">
        <f>HYPERLINK("https://www.google.ru/search?q=1373358-410&amp;newwindow=1&amp;tbm=isch","Еще фото")</f>
        <v>Еще фото</v>
      </c>
      <c r="F3558" s="13"/>
      <c r="G3558" s="11" t="s">
        <v>2945</v>
      </c>
      <c r="H3558" s="11" t="s">
        <v>27</v>
      </c>
      <c r="I3558" s="14" t="s">
        <v>2940</v>
      </c>
      <c r="J3558" s="14" t="s">
        <v>29</v>
      </c>
      <c r="K3558" s="15" t="s">
        <v>30</v>
      </c>
      <c r="L3558" s="14" t="s">
        <v>3310</v>
      </c>
      <c r="M3558" s="14"/>
      <c r="N3558" s="14" t="s">
        <v>115</v>
      </c>
      <c r="O3558" s="14"/>
      <c r="P3558" s="15" t="s">
        <v>47</v>
      </c>
      <c r="Q3558" s="16">
        <v>7499</v>
      </c>
      <c r="R3558" s="17">
        <v>40</v>
      </c>
      <c r="S3558" s="18">
        <v>5174.3099999999995</v>
      </c>
      <c r="T3558" s="19" t="s">
        <v>36</v>
      </c>
      <c r="U3558" s="20" t="s">
        <v>39</v>
      </c>
      <c r="V3558" s="21" t="s">
        <v>40</v>
      </c>
      <c r="W3558" s="22">
        <v>1</v>
      </c>
      <c r="X3558" s="23"/>
    </row>
    <row r="3559" spans="1:24" s="1" customFormat="1" ht="108" customHeight="1" x14ac:dyDescent="0.3">
      <c r="A3559" s="11" t="s">
        <v>23</v>
      </c>
      <c r="B3559" s="11" t="s">
        <v>3311</v>
      </c>
      <c r="C3559" s="12" t="s">
        <v>3312</v>
      </c>
      <c r="D3559" s="25"/>
      <c r="E3559" s="41" t="str">
        <f>HYPERLINK("https://www.google.ru/search?q=1373363-001&amp;newwindow=1&amp;tbm=isch","Еще фото")</f>
        <v>Еще фото</v>
      </c>
      <c r="F3559" s="13"/>
      <c r="G3559" s="11" t="s">
        <v>2939</v>
      </c>
      <c r="H3559" s="11" t="s">
        <v>27</v>
      </c>
      <c r="I3559" s="14" t="s">
        <v>2940</v>
      </c>
      <c r="J3559" s="14" t="s">
        <v>29</v>
      </c>
      <c r="K3559" s="15" t="s">
        <v>30</v>
      </c>
      <c r="L3559" s="14" t="s">
        <v>3192</v>
      </c>
      <c r="M3559" s="14"/>
      <c r="N3559" s="14" t="s">
        <v>33</v>
      </c>
      <c r="O3559" s="14"/>
      <c r="P3559" s="15" t="s">
        <v>3193</v>
      </c>
      <c r="Q3559" s="16">
        <v>7499</v>
      </c>
      <c r="R3559" s="17">
        <v>40</v>
      </c>
      <c r="S3559" s="18">
        <v>5174.3099999999995</v>
      </c>
      <c r="T3559" s="19" t="s">
        <v>36</v>
      </c>
      <c r="U3559" s="20" t="s">
        <v>37</v>
      </c>
      <c r="V3559" s="21" t="s">
        <v>38</v>
      </c>
      <c r="W3559" s="22">
        <v>3</v>
      </c>
      <c r="X3559" s="23"/>
    </row>
    <row r="3560" spans="1:24" s="1" customFormat="1" ht="108" customHeight="1" x14ac:dyDescent="0.3">
      <c r="A3560" s="11" t="s">
        <v>23</v>
      </c>
      <c r="B3560" s="11" t="s">
        <v>3313</v>
      </c>
      <c r="C3560" s="12" t="s">
        <v>3314</v>
      </c>
      <c r="D3560" s="25"/>
      <c r="E3560" s="41" t="str">
        <f>HYPERLINK("https://www.google.ru/search?q=1373813-410&amp;newwindow=1&amp;tbm=isch","Еще фото")</f>
        <v>Еще фото</v>
      </c>
      <c r="F3560" s="13"/>
      <c r="G3560" s="11" t="s">
        <v>2939</v>
      </c>
      <c r="H3560" s="11" t="s">
        <v>27</v>
      </c>
      <c r="I3560" s="14" t="s">
        <v>2940</v>
      </c>
      <c r="J3560" s="14" t="s">
        <v>29</v>
      </c>
      <c r="K3560" s="15" t="s">
        <v>30</v>
      </c>
      <c r="L3560" s="14" t="s">
        <v>3315</v>
      </c>
      <c r="M3560" s="14" t="s">
        <v>32</v>
      </c>
      <c r="N3560" s="14" t="s">
        <v>115</v>
      </c>
      <c r="O3560" s="14"/>
      <c r="P3560" s="15" t="s">
        <v>186</v>
      </c>
      <c r="Q3560" s="16">
        <v>9999</v>
      </c>
      <c r="R3560" s="17">
        <v>40</v>
      </c>
      <c r="S3560" s="18">
        <v>6899.3099999999995</v>
      </c>
      <c r="T3560" s="19" t="s">
        <v>36</v>
      </c>
      <c r="U3560" s="20" t="s">
        <v>39</v>
      </c>
      <c r="V3560" s="21" t="s">
        <v>40</v>
      </c>
      <c r="W3560" s="22">
        <v>1</v>
      </c>
      <c r="X3560" s="23"/>
    </row>
    <row r="3561" spans="1:24" s="1" customFormat="1" ht="21" customHeight="1" x14ac:dyDescent="0.3">
      <c r="A3561" s="11" t="s">
        <v>23</v>
      </c>
      <c r="B3561" s="11" t="s">
        <v>3316</v>
      </c>
      <c r="C3561" s="26" t="s">
        <v>3317</v>
      </c>
      <c r="D3561" s="59"/>
      <c r="E3561" s="41" t="str">
        <f>HYPERLINK("https://www.google.ru/search?q=1373880-001&amp;newwindow=1&amp;tbm=isch","Еще фото")</f>
        <v>Еще фото</v>
      </c>
      <c r="F3561" s="13" t="s">
        <v>103</v>
      </c>
      <c r="G3561" s="11" t="s">
        <v>2939</v>
      </c>
      <c r="H3561" s="11" t="s">
        <v>27</v>
      </c>
      <c r="I3561" s="14" t="s">
        <v>2940</v>
      </c>
      <c r="J3561" s="14" t="s">
        <v>29</v>
      </c>
      <c r="K3561" s="15" t="s">
        <v>30</v>
      </c>
      <c r="L3561" s="57" t="s">
        <v>3318</v>
      </c>
      <c r="M3561" s="14"/>
      <c r="N3561" s="14" t="s">
        <v>33</v>
      </c>
      <c r="O3561" s="14"/>
      <c r="P3561" s="15" t="s">
        <v>120</v>
      </c>
      <c r="Q3561" s="16">
        <v>6699</v>
      </c>
      <c r="R3561" s="17">
        <v>40</v>
      </c>
      <c r="S3561" s="18">
        <v>4622.3099999999995</v>
      </c>
      <c r="T3561" s="19" t="s">
        <v>36</v>
      </c>
      <c r="U3561" s="20" t="s">
        <v>37</v>
      </c>
      <c r="V3561" s="21" t="s">
        <v>38</v>
      </c>
      <c r="W3561" s="22">
        <v>6</v>
      </c>
      <c r="X3561" s="23"/>
    </row>
    <row r="3562" spans="1:24" s="1" customFormat="1" ht="21" customHeight="1" x14ac:dyDescent="0.3">
      <c r="A3562" s="24" t="s">
        <v>23</v>
      </c>
      <c r="B3562" s="24" t="s">
        <v>3316</v>
      </c>
      <c r="C3562" s="27" t="s">
        <v>3317</v>
      </c>
      <c r="D3562" s="60"/>
      <c r="E3562" s="41" t="str">
        <f>HYPERLINK("https://www.google.ru/search?q=1373880-001&amp;newwindow=1&amp;tbm=isch","Еще фото")</f>
        <v>Еще фото</v>
      </c>
      <c r="F3562" s="13" t="s">
        <v>103</v>
      </c>
      <c r="G3562" s="24" t="s">
        <v>2939</v>
      </c>
      <c r="H3562" s="24" t="s">
        <v>27</v>
      </c>
      <c r="I3562" s="24" t="s">
        <v>2940</v>
      </c>
      <c r="J3562" s="14" t="s">
        <v>29</v>
      </c>
      <c r="K3562" s="15" t="s">
        <v>30</v>
      </c>
      <c r="L3562" s="62"/>
      <c r="M3562" s="14"/>
      <c r="N3562" s="14" t="s">
        <v>33</v>
      </c>
      <c r="O3562" s="14"/>
      <c r="P3562" s="15" t="s">
        <v>120</v>
      </c>
      <c r="Q3562" s="16">
        <v>6699</v>
      </c>
      <c r="R3562" s="17">
        <v>40</v>
      </c>
      <c r="S3562" s="18">
        <v>4622.3099999999995</v>
      </c>
      <c r="T3562" s="19" t="s">
        <v>36</v>
      </c>
      <c r="U3562" s="20" t="s">
        <v>39</v>
      </c>
      <c r="V3562" s="21" t="s">
        <v>40</v>
      </c>
      <c r="W3562" s="22">
        <v>30</v>
      </c>
      <c r="X3562" s="23"/>
    </row>
    <row r="3563" spans="1:24" s="1" customFormat="1" ht="21" customHeight="1" x14ac:dyDescent="0.3">
      <c r="A3563" s="24" t="s">
        <v>23</v>
      </c>
      <c r="B3563" s="24" t="s">
        <v>3316</v>
      </c>
      <c r="C3563" s="27" t="s">
        <v>3317</v>
      </c>
      <c r="D3563" s="60"/>
      <c r="E3563" s="41" t="str">
        <f>HYPERLINK("https://www.google.ru/search?q=1373880-001&amp;newwindow=1&amp;tbm=isch","Еще фото")</f>
        <v>Еще фото</v>
      </c>
      <c r="F3563" s="13" t="s">
        <v>103</v>
      </c>
      <c r="G3563" s="24" t="s">
        <v>2939</v>
      </c>
      <c r="H3563" s="24" t="s">
        <v>27</v>
      </c>
      <c r="I3563" s="24" t="s">
        <v>2940</v>
      </c>
      <c r="J3563" s="14" t="s">
        <v>29</v>
      </c>
      <c r="K3563" s="15" t="s">
        <v>30</v>
      </c>
      <c r="L3563" s="62"/>
      <c r="M3563" s="14"/>
      <c r="N3563" s="14" t="s">
        <v>33</v>
      </c>
      <c r="O3563" s="14"/>
      <c r="P3563" s="15" t="s">
        <v>120</v>
      </c>
      <c r="Q3563" s="16">
        <v>6699</v>
      </c>
      <c r="R3563" s="17">
        <v>40</v>
      </c>
      <c r="S3563" s="18">
        <v>4622.3099999999995</v>
      </c>
      <c r="T3563" s="19" t="s">
        <v>36</v>
      </c>
      <c r="U3563" s="20" t="s">
        <v>86</v>
      </c>
      <c r="V3563" s="21" t="s">
        <v>87</v>
      </c>
      <c r="W3563" s="22">
        <v>24</v>
      </c>
      <c r="X3563" s="23"/>
    </row>
    <row r="3564" spans="1:24" s="1" customFormat="1" ht="21" customHeight="1" x14ac:dyDescent="0.3">
      <c r="A3564" s="24" t="s">
        <v>23</v>
      </c>
      <c r="B3564" s="24" t="s">
        <v>3316</v>
      </c>
      <c r="C3564" s="27" t="s">
        <v>3317</v>
      </c>
      <c r="D3564" s="60"/>
      <c r="E3564" s="41" t="str">
        <f>HYPERLINK("https://www.google.ru/search?q=1373880-001&amp;newwindow=1&amp;tbm=isch","Еще фото")</f>
        <v>Еще фото</v>
      </c>
      <c r="F3564" s="13" t="s">
        <v>103</v>
      </c>
      <c r="G3564" s="24" t="s">
        <v>2939</v>
      </c>
      <c r="H3564" s="24" t="s">
        <v>27</v>
      </c>
      <c r="I3564" s="24" t="s">
        <v>2940</v>
      </c>
      <c r="J3564" s="14" t="s">
        <v>29</v>
      </c>
      <c r="K3564" s="15" t="s">
        <v>30</v>
      </c>
      <c r="L3564" s="62"/>
      <c r="M3564" s="14"/>
      <c r="N3564" s="14" t="s">
        <v>33</v>
      </c>
      <c r="O3564" s="14"/>
      <c r="P3564" s="15" t="s">
        <v>120</v>
      </c>
      <c r="Q3564" s="16">
        <v>6699</v>
      </c>
      <c r="R3564" s="17">
        <v>40</v>
      </c>
      <c r="S3564" s="18">
        <v>4622.3099999999995</v>
      </c>
      <c r="T3564" s="19" t="s">
        <v>36</v>
      </c>
      <c r="U3564" s="20" t="s">
        <v>88</v>
      </c>
      <c r="V3564" s="21" t="s">
        <v>89</v>
      </c>
      <c r="W3564" s="22">
        <v>11</v>
      </c>
      <c r="X3564" s="23"/>
    </row>
    <row r="3565" spans="1:24" s="1" customFormat="1" ht="32" customHeight="1" x14ac:dyDescent="0.3">
      <c r="A3565" s="24" t="s">
        <v>23</v>
      </c>
      <c r="B3565" s="24" t="s">
        <v>3316</v>
      </c>
      <c r="C3565" s="27" t="s">
        <v>3317</v>
      </c>
      <c r="D3565" s="61"/>
      <c r="E3565" s="41" t="str">
        <f>HYPERLINK("https://www.google.ru/search?q=1373880-001&amp;newwindow=1&amp;tbm=isch","Еще фото")</f>
        <v>Еще фото</v>
      </c>
      <c r="F3565" s="13" t="s">
        <v>103</v>
      </c>
      <c r="G3565" s="24" t="s">
        <v>2939</v>
      </c>
      <c r="H3565" s="24" t="s">
        <v>27</v>
      </c>
      <c r="I3565" s="24" t="s">
        <v>2940</v>
      </c>
      <c r="J3565" s="14" t="s">
        <v>29</v>
      </c>
      <c r="K3565" s="15" t="s">
        <v>30</v>
      </c>
      <c r="L3565" s="58"/>
      <c r="M3565" s="14"/>
      <c r="N3565" s="14" t="s">
        <v>33</v>
      </c>
      <c r="O3565" s="14"/>
      <c r="P3565" s="15" t="s">
        <v>120</v>
      </c>
      <c r="Q3565" s="16">
        <v>6699</v>
      </c>
      <c r="R3565" s="17">
        <v>40</v>
      </c>
      <c r="S3565" s="18">
        <v>4622.3099999999995</v>
      </c>
      <c r="T3565" s="19" t="s">
        <v>36</v>
      </c>
      <c r="U3565" s="20" t="s">
        <v>90</v>
      </c>
      <c r="V3565" s="21" t="s">
        <v>91</v>
      </c>
      <c r="W3565" s="22">
        <v>2</v>
      </c>
      <c r="X3565" s="23"/>
    </row>
    <row r="3566" spans="1:24" s="1" customFormat="1" ht="14" customHeight="1" x14ac:dyDescent="0.3">
      <c r="A3566" s="11" t="s">
        <v>23</v>
      </c>
      <c r="B3566" s="11" t="s">
        <v>3187</v>
      </c>
      <c r="C3566" s="12" t="s">
        <v>3319</v>
      </c>
      <c r="D3566" s="59"/>
      <c r="E3566" s="41" t="str">
        <f t="shared" ref="E3566:E3572" si="150">HYPERLINK("https://www.google.ru/search?q=1373880-012&amp;newwindow=1&amp;tbm=isch","Еще фото")</f>
        <v>Еще фото</v>
      </c>
      <c r="F3566" s="13" t="s">
        <v>103</v>
      </c>
      <c r="G3566" s="11" t="s">
        <v>2939</v>
      </c>
      <c r="H3566" s="11" t="s">
        <v>27</v>
      </c>
      <c r="I3566" s="14" t="s">
        <v>2940</v>
      </c>
      <c r="J3566" s="14" t="s">
        <v>29</v>
      </c>
      <c r="K3566" s="15" t="s">
        <v>30</v>
      </c>
      <c r="L3566" s="57" t="s">
        <v>3318</v>
      </c>
      <c r="M3566" s="14"/>
      <c r="N3566" s="14" t="s">
        <v>62</v>
      </c>
      <c r="O3566" s="14"/>
      <c r="P3566" s="15" t="s">
        <v>120</v>
      </c>
      <c r="Q3566" s="16">
        <v>6699</v>
      </c>
      <c r="R3566" s="17">
        <v>40</v>
      </c>
      <c r="S3566" s="18">
        <v>4622.3099999999995</v>
      </c>
      <c r="T3566" s="19" t="s">
        <v>36</v>
      </c>
      <c r="U3566" s="20" t="s">
        <v>63</v>
      </c>
      <c r="V3566" s="21" t="s">
        <v>85</v>
      </c>
      <c r="W3566" s="22">
        <v>1</v>
      </c>
      <c r="X3566" s="23"/>
    </row>
    <row r="3567" spans="1:24" s="1" customFormat="1" ht="14" customHeight="1" x14ac:dyDescent="0.3">
      <c r="A3567" s="24" t="s">
        <v>23</v>
      </c>
      <c r="B3567" s="24" t="s">
        <v>3187</v>
      </c>
      <c r="C3567" s="12" t="s">
        <v>3319</v>
      </c>
      <c r="D3567" s="60"/>
      <c r="E3567" s="41" t="str">
        <f t="shared" si="150"/>
        <v>Еще фото</v>
      </c>
      <c r="F3567" s="13" t="s">
        <v>103</v>
      </c>
      <c r="G3567" s="24" t="s">
        <v>2939</v>
      </c>
      <c r="H3567" s="24" t="s">
        <v>27</v>
      </c>
      <c r="I3567" s="24" t="s">
        <v>2940</v>
      </c>
      <c r="J3567" s="14" t="s">
        <v>29</v>
      </c>
      <c r="K3567" s="15" t="s">
        <v>30</v>
      </c>
      <c r="L3567" s="62"/>
      <c r="M3567" s="14"/>
      <c r="N3567" s="14" t="s">
        <v>62</v>
      </c>
      <c r="O3567" s="14"/>
      <c r="P3567" s="15" t="s">
        <v>120</v>
      </c>
      <c r="Q3567" s="16">
        <v>6699</v>
      </c>
      <c r="R3567" s="17">
        <v>40</v>
      </c>
      <c r="S3567" s="18">
        <v>4622.3099999999995</v>
      </c>
      <c r="T3567" s="19" t="s">
        <v>36</v>
      </c>
      <c r="U3567" s="20" t="s">
        <v>37</v>
      </c>
      <c r="V3567" s="21" t="s">
        <v>38</v>
      </c>
      <c r="W3567" s="22">
        <v>16</v>
      </c>
      <c r="X3567" s="23"/>
    </row>
    <row r="3568" spans="1:24" s="1" customFormat="1" ht="14" customHeight="1" x14ac:dyDescent="0.3">
      <c r="A3568" s="24" t="s">
        <v>23</v>
      </c>
      <c r="B3568" s="24" t="s">
        <v>3187</v>
      </c>
      <c r="C3568" s="12" t="s">
        <v>3319</v>
      </c>
      <c r="D3568" s="60"/>
      <c r="E3568" s="41" t="str">
        <f t="shared" si="150"/>
        <v>Еще фото</v>
      </c>
      <c r="F3568" s="13" t="s">
        <v>103</v>
      </c>
      <c r="G3568" s="24" t="s">
        <v>2939</v>
      </c>
      <c r="H3568" s="24" t="s">
        <v>27</v>
      </c>
      <c r="I3568" s="24" t="s">
        <v>2940</v>
      </c>
      <c r="J3568" s="14" t="s">
        <v>29</v>
      </c>
      <c r="K3568" s="15" t="s">
        <v>30</v>
      </c>
      <c r="L3568" s="62"/>
      <c r="M3568" s="14"/>
      <c r="N3568" s="14" t="s">
        <v>62</v>
      </c>
      <c r="O3568" s="14"/>
      <c r="P3568" s="15" t="s">
        <v>120</v>
      </c>
      <c r="Q3568" s="16">
        <v>6699</v>
      </c>
      <c r="R3568" s="17">
        <v>40</v>
      </c>
      <c r="S3568" s="18">
        <v>4622.3099999999995</v>
      </c>
      <c r="T3568" s="19" t="s">
        <v>36</v>
      </c>
      <c r="U3568" s="20" t="s">
        <v>39</v>
      </c>
      <c r="V3568" s="21" t="s">
        <v>40</v>
      </c>
      <c r="W3568" s="22">
        <v>31</v>
      </c>
      <c r="X3568" s="23"/>
    </row>
    <row r="3569" spans="1:24" s="1" customFormat="1" ht="14" customHeight="1" x14ac:dyDescent="0.3">
      <c r="A3569" s="24" t="s">
        <v>23</v>
      </c>
      <c r="B3569" s="24" t="s">
        <v>3187</v>
      </c>
      <c r="C3569" s="12" t="s">
        <v>3319</v>
      </c>
      <c r="D3569" s="60"/>
      <c r="E3569" s="41" t="str">
        <f t="shared" si="150"/>
        <v>Еще фото</v>
      </c>
      <c r="F3569" s="13" t="s">
        <v>103</v>
      </c>
      <c r="G3569" s="24" t="s">
        <v>2939</v>
      </c>
      <c r="H3569" s="24" t="s">
        <v>27</v>
      </c>
      <c r="I3569" s="24" t="s">
        <v>2940</v>
      </c>
      <c r="J3569" s="14" t="s">
        <v>29</v>
      </c>
      <c r="K3569" s="15" t="s">
        <v>30</v>
      </c>
      <c r="L3569" s="62"/>
      <c r="M3569" s="14"/>
      <c r="N3569" s="14" t="s">
        <v>62</v>
      </c>
      <c r="O3569" s="14"/>
      <c r="P3569" s="15" t="s">
        <v>120</v>
      </c>
      <c r="Q3569" s="16">
        <v>6699</v>
      </c>
      <c r="R3569" s="17">
        <v>40</v>
      </c>
      <c r="S3569" s="18">
        <v>4622.3099999999995</v>
      </c>
      <c r="T3569" s="19" t="s">
        <v>36</v>
      </c>
      <c r="U3569" s="20" t="s">
        <v>86</v>
      </c>
      <c r="V3569" s="21" t="s">
        <v>87</v>
      </c>
      <c r="W3569" s="22">
        <v>21</v>
      </c>
      <c r="X3569" s="23"/>
    </row>
    <row r="3570" spans="1:24" s="1" customFormat="1" ht="14" customHeight="1" x14ac:dyDescent="0.3">
      <c r="A3570" s="24" t="s">
        <v>23</v>
      </c>
      <c r="B3570" s="24" t="s">
        <v>3187</v>
      </c>
      <c r="C3570" s="12" t="s">
        <v>3319</v>
      </c>
      <c r="D3570" s="60"/>
      <c r="E3570" s="41" t="str">
        <f t="shared" si="150"/>
        <v>Еще фото</v>
      </c>
      <c r="F3570" s="13" t="s">
        <v>103</v>
      </c>
      <c r="G3570" s="24" t="s">
        <v>2939</v>
      </c>
      <c r="H3570" s="24" t="s">
        <v>27</v>
      </c>
      <c r="I3570" s="24" t="s">
        <v>2940</v>
      </c>
      <c r="J3570" s="14" t="s">
        <v>29</v>
      </c>
      <c r="K3570" s="15" t="s">
        <v>30</v>
      </c>
      <c r="L3570" s="62"/>
      <c r="M3570" s="14"/>
      <c r="N3570" s="14" t="s">
        <v>62</v>
      </c>
      <c r="O3570" s="14"/>
      <c r="P3570" s="15" t="s">
        <v>120</v>
      </c>
      <c r="Q3570" s="16">
        <v>6699</v>
      </c>
      <c r="R3570" s="17">
        <v>40</v>
      </c>
      <c r="S3570" s="18">
        <v>4622.3099999999995</v>
      </c>
      <c r="T3570" s="19" t="s">
        <v>36</v>
      </c>
      <c r="U3570" s="20" t="s">
        <v>88</v>
      </c>
      <c r="V3570" s="21" t="s">
        <v>89</v>
      </c>
      <c r="W3570" s="22">
        <v>15</v>
      </c>
      <c r="X3570" s="23"/>
    </row>
    <row r="3571" spans="1:24" s="1" customFormat="1" ht="14" customHeight="1" x14ac:dyDescent="0.3">
      <c r="A3571" s="24" t="s">
        <v>23</v>
      </c>
      <c r="B3571" s="24" t="s">
        <v>3187</v>
      </c>
      <c r="C3571" s="12" t="s">
        <v>3319</v>
      </c>
      <c r="D3571" s="60"/>
      <c r="E3571" s="41" t="str">
        <f t="shared" si="150"/>
        <v>Еще фото</v>
      </c>
      <c r="F3571" s="13" t="s">
        <v>103</v>
      </c>
      <c r="G3571" s="24" t="s">
        <v>2939</v>
      </c>
      <c r="H3571" s="24" t="s">
        <v>27</v>
      </c>
      <c r="I3571" s="24" t="s">
        <v>2940</v>
      </c>
      <c r="J3571" s="14" t="s">
        <v>29</v>
      </c>
      <c r="K3571" s="15" t="s">
        <v>30</v>
      </c>
      <c r="L3571" s="62"/>
      <c r="M3571" s="14"/>
      <c r="N3571" s="14" t="s">
        <v>62</v>
      </c>
      <c r="O3571" s="14"/>
      <c r="P3571" s="15" t="s">
        <v>120</v>
      </c>
      <c r="Q3571" s="16">
        <v>6699</v>
      </c>
      <c r="R3571" s="17">
        <v>40</v>
      </c>
      <c r="S3571" s="18">
        <v>4622.3099999999995</v>
      </c>
      <c r="T3571" s="19" t="s">
        <v>36</v>
      </c>
      <c r="U3571" s="20" t="s">
        <v>90</v>
      </c>
      <c r="V3571" s="21" t="s">
        <v>91</v>
      </c>
      <c r="W3571" s="22">
        <v>6</v>
      </c>
      <c r="X3571" s="23"/>
    </row>
    <row r="3572" spans="1:24" s="1" customFormat="1" ht="17" customHeight="1" x14ac:dyDescent="0.3">
      <c r="A3572" s="24" t="s">
        <v>23</v>
      </c>
      <c r="B3572" s="24" t="s">
        <v>3187</v>
      </c>
      <c r="C3572" s="12" t="s">
        <v>3319</v>
      </c>
      <c r="D3572" s="61"/>
      <c r="E3572" s="41" t="str">
        <f t="shared" si="150"/>
        <v>Еще фото</v>
      </c>
      <c r="F3572" s="13" t="s">
        <v>103</v>
      </c>
      <c r="G3572" s="24" t="s">
        <v>2939</v>
      </c>
      <c r="H3572" s="24" t="s">
        <v>27</v>
      </c>
      <c r="I3572" s="24" t="s">
        <v>2940</v>
      </c>
      <c r="J3572" s="14" t="s">
        <v>29</v>
      </c>
      <c r="K3572" s="15" t="s">
        <v>30</v>
      </c>
      <c r="L3572" s="58"/>
      <c r="M3572" s="14"/>
      <c r="N3572" s="14" t="s">
        <v>62</v>
      </c>
      <c r="O3572" s="14"/>
      <c r="P3572" s="15" t="s">
        <v>120</v>
      </c>
      <c r="Q3572" s="16">
        <v>6699</v>
      </c>
      <c r="R3572" s="17">
        <v>40</v>
      </c>
      <c r="S3572" s="18">
        <v>4622.3099999999995</v>
      </c>
      <c r="T3572" s="19" t="s">
        <v>36</v>
      </c>
      <c r="U3572" s="20" t="s">
        <v>143</v>
      </c>
      <c r="V3572" s="21" t="s">
        <v>144</v>
      </c>
      <c r="W3572" s="22">
        <v>1</v>
      </c>
      <c r="X3572" s="23"/>
    </row>
    <row r="3573" spans="1:24" s="1" customFormat="1" ht="21" customHeight="1" x14ac:dyDescent="0.3">
      <c r="A3573" s="11" t="s">
        <v>23</v>
      </c>
      <c r="B3573" s="11" t="s">
        <v>3012</v>
      </c>
      <c r="C3573" s="26" t="s">
        <v>3320</v>
      </c>
      <c r="D3573" s="59"/>
      <c r="E3573" s="41" t="str">
        <f>HYPERLINK("https://www.google.ru/search?q=1373880-110&amp;newwindow=1&amp;tbm=isch","Еще фото")</f>
        <v>Еще фото</v>
      </c>
      <c r="F3573" s="13" t="s">
        <v>103</v>
      </c>
      <c r="G3573" s="11" t="s">
        <v>2939</v>
      </c>
      <c r="H3573" s="11" t="s">
        <v>27</v>
      </c>
      <c r="I3573" s="14" t="s">
        <v>2940</v>
      </c>
      <c r="J3573" s="14" t="s">
        <v>43</v>
      </c>
      <c r="K3573" s="15" t="s">
        <v>30</v>
      </c>
      <c r="L3573" s="57" t="s">
        <v>3318</v>
      </c>
      <c r="M3573" s="14"/>
      <c r="N3573" s="14" t="s">
        <v>229</v>
      </c>
      <c r="O3573" s="14"/>
      <c r="P3573" s="15" t="s">
        <v>120</v>
      </c>
      <c r="Q3573" s="16">
        <v>6699</v>
      </c>
      <c r="R3573" s="17">
        <v>40</v>
      </c>
      <c r="S3573" s="18">
        <v>4622.3099999999995</v>
      </c>
      <c r="T3573" s="19" t="s">
        <v>36</v>
      </c>
      <c r="U3573" s="20" t="s">
        <v>37</v>
      </c>
      <c r="V3573" s="21" t="s">
        <v>38</v>
      </c>
      <c r="W3573" s="22">
        <v>11</v>
      </c>
      <c r="X3573" s="23"/>
    </row>
    <row r="3574" spans="1:24" s="1" customFormat="1" ht="21" customHeight="1" x14ac:dyDescent="0.3">
      <c r="A3574" s="24" t="s">
        <v>23</v>
      </c>
      <c r="B3574" s="24" t="s">
        <v>3012</v>
      </c>
      <c r="C3574" s="27" t="s">
        <v>3320</v>
      </c>
      <c r="D3574" s="60"/>
      <c r="E3574" s="41" t="str">
        <f>HYPERLINK("https://www.google.ru/search?q=1373880-110&amp;newwindow=1&amp;tbm=isch","Еще фото")</f>
        <v>Еще фото</v>
      </c>
      <c r="F3574" s="13" t="s">
        <v>103</v>
      </c>
      <c r="G3574" s="24" t="s">
        <v>2939</v>
      </c>
      <c r="H3574" s="24" t="s">
        <v>27</v>
      </c>
      <c r="I3574" s="24" t="s">
        <v>2940</v>
      </c>
      <c r="J3574" s="14" t="s">
        <v>43</v>
      </c>
      <c r="K3574" s="15" t="s">
        <v>30</v>
      </c>
      <c r="L3574" s="62"/>
      <c r="M3574" s="14"/>
      <c r="N3574" s="14" t="s">
        <v>229</v>
      </c>
      <c r="O3574" s="14"/>
      <c r="P3574" s="15" t="s">
        <v>120</v>
      </c>
      <c r="Q3574" s="16">
        <v>6699</v>
      </c>
      <c r="R3574" s="17">
        <v>40</v>
      </c>
      <c r="S3574" s="18">
        <v>4622.3099999999995</v>
      </c>
      <c r="T3574" s="19" t="s">
        <v>36</v>
      </c>
      <c r="U3574" s="20" t="s">
        <v>39</v>
      </c>
      <c r="V3574" s="21" t="s">
        <v>40</v>
      </c>
      <c r="W3574" s="22">
        <v>23</v>
      </c>
      <c r="X3574" s="23"/>
    </row>
    <row r="3575" spans="1:24" s="1" customFormat="1" ht="21" customHeight="1" x14ac:dyDescent="0.3">
      <c r="A3575" s="24" t="s">
        <v>23</v>
      </c>
      <c r="B3575" s="24" t="s">
        <v>3012</v>
      </c>
      <c r="C3575" s="27" t="s">
        <v>3320</v>
      </c>
      <c r="D3575" s="60"/>
      <c r="E3575" s="41" t="str">
        <f>HYPERLINK("https://www.google.ru/search?q=1373880-110&amp;newwindow=1&amp;tbm=isch","Еще фото")</f>
        <v>Еще фото</v>
      </c>
      <c r="F3575" s="13" t="s">
        <v>103</v>
      </c>
      <c r="G3575" s="24" t="s">
        <v>2939</v>
      </c>
      <c r="H3575" s="24" t="s">
        <v>27</v>
      </c>
      <c r="I3575" s="24" t="s">
        <v>2940</v>
      </c>
      <c r="J3575" s="14" t="s">
        <v>43</v>
      </c>
      <c r="K3575" s="15" t="s">
        <v>30</v>
      </c>
      <c r="L3575" s="62"/>
      <c r="M3575" s="14"/>
      <c r="N3575" s="14" t="s">
        <v>229</v>
      </c>
      <c r="O3575" s="14"/>
      <c r="P3575" s="15" t="s">
        <v>120</v>
      </c>
      <c r="Q3575" s="16">
        <v>6699</v>
      </c>
      <c r="R3575" s="17">
        <v>40</v>
      </c>
      <c r="S3575" s="18">
        <v>4622.3099999999995</v>
      </c>
      <c r="T3575" s="19" t="s">
        <v>36</v>
      </c>
      <c r="U3575" s="20" t="s">
        <v>86</v>
      </c>
      <c r="V3575" s="21" t="s">
        <v>87</v>
      </c>
      <c r="W3575" s="22">
        <v>24</v>
      </c>
      <c r="X3575" s="23"/>
    </row>
    <row r="3576" spans="1:24" s="1" customFormat="1" ht="21" customHeight="1" x14ac:dyDescent="0.3">
      <c r="A3576" s="24" t="s">
        <v>23</v>
      </c>
      <c r="B3576" s="24" t="s">
        <v>3012</v>
      </c>
      <c r="C3576" s="27" t="s">
        <v>3320</v>
      </c>
      <c r="D3576" s="60"/>
      <c r="E3576" s="41" t="str">
        <f>HYPERLINK("https://www.google.ru/search?q=1373880-110&amp;newwindow=1&amp;tbm=isch","Еще фото")</f>
        <v>Еще фото</v>
      </c>
      <c r="F3576" s="13" t="s">
        <v>103</v>
      </c>
      <c r="G3576" s="24" t="s">
        <v>2939</v>
      </c>
      <c r="H3576" s="24" t="s">
        <v>27</v>
      </c>
      <c r="I3576" s="24" t="s">
        <v>2940</v>
      </c>
      <c r="J3576" s="14" t="s">
        <v>43</v>
      </c>
      <c r="K3576" s="15" t="s">
        <v>30</v>
      </c>
      <c r="L3576" s="62"/>
      <c r="M3576" s="14"/>
      <c r="N3576" s="14" t="s">
        <v>229</v>
      </c>
      <c r="O3576" s="14"/>
      <c r="P3576" s="15" t="s">
        <v>120</v>
      </c>
      <c r="Q3576" s="16">
        <v>6699</v>
      </c>
      <c r="R3576" s="17">
        <v>40</v>
      </c>
      <c r="S3576" s="18">
        <v>4622.3099999999995</v>
      </c>
      <c r="T3576" s="19" t="s">
        <v>36</v>
      </c>
      <c r="U3576" s="20" t="s">
        <v>88</v>
      </c>
      <c r="V3576" s="21" t="s">
        <v>89</v>
      </c>
      <c r="W3576" s="22">
        <v>10</v>
      </c>
      <c r="X3576" s="23"/>
    </row>
    <row r="3577" spans="1:24" s="1" customFormat="1" ht="32" customHeight="1" x14ac:dyDescent="0.3">
      <c r="A3577" s="24" t="s">
        <v>23</v>
      </c>
      <c r="B3577" s="24" t="s">
        <v>3012</v>
      </c>
      <c r="C3577" s="27" t="s">
        <v>3320</v>
      </c>
      <c r="D3577" s="61"/>
      <c r="E3577" s="41" t="str">
        <f>HYPERLINK("https://www.google.ru/search?q=1373880-110&amp;newwindow=1&amp;tbm=isch","Еще фото")</f>
        <v>Еще фото</v>
      </c>
      <c r="F3577" s="13" t="s">
        <v>103</v>
      </c>
      <c r="G3577" s="24" t="s">
        <v>2939</v>
      </c>
      <c r="H3577" s="24" t="s">
        <v>27</v>
      </c>
      <c r="I3577" s="24" t="s">
        <v>2940</v>
      </c>
      <c r="J3577" s="14" t="s">
        <v>43</v>
      </c>
      <c r="K3577" s="15" t="s">
        <v>30</v>
      </c>
      <c r="L3577" s="58"/>
      <c r="M3577" s="14"/>
      <c r="N3577" s="14" t="s">
        <v>229</v>
      </c>
      <c r="O3577" s="14"/>
      <c r="P3577" s="15" t="s">
        <v>120</v>
      </c>
      <c r="Q3577" s="16">
        <v>6699</v>
      </c>
      <c r="R3577" s="17">
        <v>40</v>
      </c>
      <c r="S3577" s="18">
        <v>4622.3099999999995</v>
      </c>
      <c r="T3577" s="19" t="s">
        <v>36</v>
      </c>
      <c r="U3577" s="20" t="s">
        <v>90</v>
      </c>
      <c r="V3577" s="21" t="s">
        <v>91</v>
      </c>
      <c r="W3577" s="22">
        <v>6</v>
      </c>
      <c r="X3577" s="23"/>
    </row>
    <row r="3578" spans="1:24" s="1" customFormat="1" ht="21" customHeight="1" x14ac:dyDescent="0.3">
      <c r="A3578" s="11" t="s">
        <v>23</v>
      </c>
      <c r="B3578" s="11" t="s">
        <v>3012</v>
      </c>
      <c r="C3578" s="26" t="s">
        <v>3321</v>
      </c>
      <c r="D3578" s="59"/>
      <c r="E3578" s="41" t="str">
        <f>HYPERLINK("https://www.google.ru/search?q=1373880-338&amp;newwindow=1&amp;tbm=isch","Еще фото")</f>
        <v>Еще фото</v>
      </c>
      <c r="F3578" s="13" t="s">
        <v>103</v>
      </c>
      <c r="G3578" s="11" t="s">
        <v>2939</v>
      </c>
      <c r="H3578" s="11" t="s">
        <v>27</v>
      </c>
      <c r="I3578" s="14" t="s">
        <v>2940</v>
      </c>
      <c r="J3578" s="14" t="s">
        <v>43</v>
      </c>
      <c r="K3578" s="15" t="s">
        <v>30</v>
      </c>
      <c r="L3578" s="57" t="s">
        <v>3318</v>
      </c>
      <c r="M3578" s="14"/>
      <c r="N3578" s="14" t="s">
        <v>127</v>
      </c>
      <c r="O3578" s="14"/>
      <c r="P3578" s="15" t="s">
        <v>120</v>
      </c>
      <c r="Q3578" s="16">
        <v>6699</v>
      </c>
      <c r="R3578" s="17">
        <v>40</v>
      </c>
      <c r="S3578" s="18">
        <v>4622.3099999999995</v>
      </c>
      <c r="T3578" s="19" t="s">
        <v>36</v>
      </c>
      <c r="U3578" s="20" t="s">
        <v>37</v>
      </c>
      <c r="V3578" s="21" t="s">
        <v>38</v>
      </c>
      <c r="W3578" s="22">
        <v>11</v>
      </c>
      <c r="X3578" s="23"/>
    </row>
    <row r="3579" spans="1:24" s="1" customFormat="1" ht="21" customHeight="1" x14ac:dyDescent="0.3">
      <c r="A3579" s="24" t="s">
        <v>23</v>
      </c>
      <c r="B3579" s="24" t="s">
        <v>3012</v>
      </c>
      <c r="C3579" s="27" t="s">
        <v>3321</v>
      </c>
      <c r="D3579" s="60"/>
      <c r="E3579" s="41" t="str">
        <f>HYPERLINK("https://www.google.ru/search?q=1373880-338&amp;newwindow=1&amp;tbm=isch","Еще фото")</f>
        <v>Еще фото</v>
      </c>
      <c r="F3579" s="13" t="s">
        <v>103</v>
      </c>
      <c r="G3579" s="24" t="s">
        <v>2939</v>
      </c>
      <c r="H3579" s="24" t="s">
        <v>27</v>
      </c>
      <c r="I3579" s="24" t="s">
        <v>2940</v>
      </c>
      <c r="J3579" s="14" t="s">
        <v>43</v>
      </c>
      <c r="K3579" s="15" t="s">
        <v>30</v>
      </c>
      <c r="L3579" s="62"/>
      <c r="M3579" s="14"/>
      <c r="N3579" s="14" t="s">
        <v>127</v>
      </c>
      <c r="O3579" s="14"/>
      <c r="P3579" s="15" t="s">
        <v>120</v>
      </c>
      <c r="Q3579" s="16">
        <v>6699</v>
      </c>
      <c r="R3579" s="17">
        <v>40</v>
      </c>
      <c r="S3579" s="18">
        <v>4622.3099999999995</v>
      </c>
      <c r="T3579" s="19" t="s">
        <v>36</v>
      </c>
      <c r="U3579" s="20" t="s">
        <v>39</v>
      </c>
      <c r="V3579" s="21" t="s">
        <v>40</v>
      </c>
      <c r="W3579" s="22">
        <v>26</v>
      </c>
      <c r="X3579" s="23"/>
    </row>
    <row r="3580" spans="1:24" s="1" customFormat="1" ht="21" customHeight="1" x14ac:dyDescent="0.3">
      <c r="A3580" s="24" t="s">
        <v>23</v>
      </c>
      <c r="B3580" s="24" t="s">
        <v>3012</v>
      </c>
      <c r="C3580" s="27" t="s">
        <v>3321</v>
      </c>
      <c r="D3580" s="60"/>
      <c r="E3580" s="41" t="str">
        <f>HYPERLINK("https://www.google.ru/search?q=1373880-338&amp;newwindow=1&amp;tbm=isch","Еще фото")</f>
        <v>Еще фото</v>
      </c>
      <c r="F3580" s="13" t="s">
        <v>103</v>
      </c>
      <c r="G3580" s="24" t="s">
        <v>2939</v>
      </c>
      <c r="H3580" s="24" t="s">
        <v>27</v>
      </c>
      <c r="I3580" s="24" t="s">
        <v>2940</v>
      </c>
      <c r="J3580" s="14" t="s">
        <v>43</v>
      </c>
      <c r="K3580" s="15" t="s">
        <v>30</v>
      </c>
      <c r="L3580" s="62"/>
      <c r="M3580" s="14"/>
      <c r="N3580" s="14" t="s">
        <v>127</v>
      </c>
      <c r="O3580" s="14"/>
      <c r="P3580" s="15" t="s">
        <v>120</v>
      </c>
      <c r="Q3580" s="16">
        <v>6699</v>
      </c>
      <c r="R3580" s="17">
        <v>40</v>
      </c>
      <c r="S3580" s="18">
        <v>4622.3099999999995</v>
      </c>
      <c r="T3580" s="19" t="s">
        <v>36</v>
      </c>
      <c r="U3580" s="20" t="s">
        <v>86</v>
      </c>
      <c r="V3580" s="21" t="s">
        <v>87</v>
      </c>
      <c r="W3580" s="22">
        <v>24</v>
      </c>
      <c r="X3580" s="23"/>
    </row>
    <row r="3581" spans="1:24" s="1" customFormat="1" ht="21" customHeight="1" x14ac:dyDescent="0.3">
      <c r="A3581" s="24" t="s">
        <v>23</v>
      </c>
      <c r="B3581" s="24" t="s">
        <v>3012</v>
      </c>
      <c r="C3581" s="27" t="s">
        <v>3321</v>
      </c>
      <c r="D3581" s="60"/>
      <c r="E3581" s="41" t="str">
        <f>HYPERLINK("https://www.google.ru/search?q=1373880-338&amp;newwindow=1&amp;tbm=isch","Еще фото")</f>
        <v>Еще фото</v>
      </c>
      <c r="F3581" s="13" t="s">
        <v>103</v>
      </c>
      <c r="G3581" s="24" t="s">
        <v>2939</v>
      </c>
      <c r="H3581" s="24" t="s">
        <v>27</v>
      </c>
      <c r="I3581" s="24" t="s">
        <v>2940</v>
      </c>
      <c r="J3581" s="14" t="s">
        <v>43</v>
      </c>
      <c r="K3581" s="15" t="s">
        <v>30</v>
      </c>
      <c r="L3581" s="62"/>
      <c r="M3581" s="14"/>
      <c r="N3581" s="14" t="s">
        <v>127</v>
      </c>
      <c r="O3581" s="14"/>
      <c r="P3581" s="15" t="s">
        <v>120</v>
      </c>
      <c r="Q3581" s="16">
        <v>6699</v>
      </c>
      <c r="R3581" s="17">
        <v>40</v>
      </c>
      <c r="S3581" s="18">
        <v>4622.3099999999995</v>
      </c>
      <c r="T3581" s="19" t="s">
        <v>36</v>
      </c>
      <c r="U3581" s="20" t="s">
        <v>88</v>
      </c>
      <c r="V3581" s="21" t="s">
        <v>89</v>
      </c>
      <c r="W3581" s="22">
        <v>16</v>
      </c>
      <c r="X3581" s="23"/>
    </row>
    <row r="3582" spans="1:24" s="1" customFormat="1" ht="32" customHeight="1" x14ac:dyDescent="0.3">
      <c r="A3582" s="24" t="s">
        <v>23</v>
      </c>
      <c r="B3582" s="24" t="s">
        <v>3012</v>
      </c>
      <c r="C3582" s="27" t="s">
        <v>3321</v>
      </c>
      <c r="D3582" s="61"/>
      <c r="E3582" s="41" t="str">
        <f>HYPERLINK("https://www.google.ru/search?q=1373880-338&amp;newwindow=1&amp;tbm=isch","Еще фото")</f>
        <v>Еще фото</v>
      </c>
      <c r="F3582" s="13" t="s">
        <v>103</v>
      </c>
      <c r="G3582" s="24" t="s">
        <v>2939</v>
      </c>
      <c r="H3582" s="24" t="s">
        <v>27</v>
      </c>
      <c r="I3582" s="24" t="s">
        <v>2940</v>
      </c>
      <c r="J3582" s="14" t="s">
        <v>43</v>
      </c>
      <c r="K3582" s="15" t="s">
        <v>30</v>
      </c>
      <c r="L3582" s="58"/>
      <c r="M3582" s="14"/>
      <c r="N3582" s="14" t="s">
        <v>127</v>
      </c>
      <c r="O3582" s="14"/>
      <c r="P3582" s="15" t="s">
        <v>120</v>
      </c>
      <c r="Q3582" s="16">
        <v>6699</v>
      </c>
      <c r="R3582" s="17">
        <v>40</v>
      </c>
      <c r="S3582" s="18">
        <v>4622.3099999999995</v>
      </c>
      <c r="T3582" s="19" t="s">
        <v>36</v>
      </c>
      <c r="U3582" s="20" t="s">
        <v>90</v>
      </c>
      <c r="V3582" s="21" t="s">
        <v>91</v>
      </c>
      <c r="W3582" s="22">
        <v>10</v>
      </c>
      <c r="X3582" s="23"/>
    </row>
    <row r="3583" spans="1:24" s="1" customFormat="1" ht="26" customHeight="1" x14ac:dyDescent="0.3">
      <c r="A3583" s="11" t="s">
        <v>23</v>
      </c>
      <c r="B3583" s="11" t="s">
        <v>3187</v>
      </c>
      <c r="C3583" s="12" t="s">
        <v>3322</v>
      </c>
      <c r="D3583" s="59"/>
      <c r="E3583" s="41" t="str">
        <f>HYPERLINK("https://www.google.ru/search?q=1373880-391&amp;newwindow=1&amp;tbm=isch","Еще фото")</f>
        <v>Еще фото</v>
      </c>
      <c r="F3583" s="13"/>
      <c r="G3583" s="11" t="s">
        <v>2939</v>
      </c>
      <c r="H3583" s="11" t="s">
        <v>27</v>
      </c>
      <c r="I3583" s="14" t="s">
        <v>2940</v>
      </c>
      <c r="J3583" s="14" t="s">
        <v>29</v>
      </c>
      <c r="K3583" s="15" t="s">
        <v>30</v>
      </c>
      <c r="L3583" s="57" t="s">
        <v>3014</v>
      </c>
      <c r="M3583" s="14"/>
      <c r="N3583" s="14" t="s">
        <v>127</v>
      </c>
      <c r="O3583" s="14"/>
      <c r="P3583" s="15" t="s">
        <v>120</v>
      </c>
      <c r="Q3583" s="16">
        <v>8199</v>
      </c>
      <c r="R3583" s="17">
        <v>40</v>
      </c>
      <c r="S3583" s="18">
        <v>5657.3099999999995</v>
      </c>
      <c r="T3583" s="19" t="s">
        <v>36</v>
      </c>
      <c r="U3583" s="20" t="s">
        <v>37</v>
      </c>
      <c r="V3583" s="21" t="s">
        <v>38</v>
      </c>
      <c r="W3583" s="22">
        <v>13</v>
      </c>
      <c r="X3583" s="23"/>
    </row>
    <row r="3584" spans="1:24" s="1" customFormat="1" ht="26" customHeight="1" x14ac:dyDescent="0.3">
      <c r="A3584" s="24" t="s">
        <v>23</v>
      </c>
      <c r="B3584" s="24" t="s">
        <v>3187</v>
      </c>
      <c r="C3584" s="12" t="s">
        <v>3322</v>
      </c>
      <c r="D3584" s="60"/>
      <c r="E3584" s="41" t="str">
        <f>HYPERLINK("https://www.google.ru/search?q=1373880-391&amp;newwindow=1&amp;tbm=isch","Еще фото")</f>
        <v>Еще фото</v>
      </c>
      <c r="F3584" s="13"/>
      <c r="G3584" s="24" t="s">
        <v>2939</v>
      </c>
      <c r="H3584" s="24" t="s">
        <v>27</v>
      </c>
      <c r="I3584" s="24" t="s">
        <v>2940</v>
      </c>
      <c r="J3584" s="14" t="s">
        <v>29</v>
      </c>
      <c r="K3584" s="15" t="s">
        <v>30</v>
      </c>
      <c r="L3584" s="62"/>
      <c r="M3584" s="14"/>
      <c r="N3584" s="14" t="s">
        <v>127</v>
      </c>
      <c r="O3584" s="14"/>
      <c r="P3584" s="15" t="s">
        <v>120</v>
      </c>
      <c r="Q3584" s="16">
        <v>8199</v>
      </c>
      <c r="R3584" s="17">
        <v>40</v>
      </c>
      <c r="S3584" s="18">
        <v>5657.3099999999995</v>
      </c>
      <c r="T3584" s="19" t="s">
        <v>36</v>
      </c>
      <c r="U3584" s="20" t="s">
        <v>39</v>
      </c>
      <c r="V3584" s="21" t="s">
        <v>40</v>
      </c>
      <c r="W3584" s="22">
        <v>20</v>
      </c>
      <c r="X3584" s="23"/>
    </row>
    <row r="3585" spans="1:24" s="1" customFormat="1" ht="26" customHeight="1" x14ac:dyDescent="0.3">
      <c r="A3585" s="24" t="s">
        <v>23</v>
      </c>
      <c r="B3585" s="24" t="s">
        <v>3187</v>
      </c>
      <c r="C3585" s="12" t="s">
        <v>3322</v>
      </c>
      <c r="D3585" s="60"/>
      <c r="E3585" s="41" t="str">
        <f>HYPERLINK("https://www.google.ru/search?q=1373880-391&amp;newwindow=1&amp;tbm=isch","Еще фото")</f>
        <v>Еще фото</v>
      </c>
      <c r="F3585" s="13"/>
      <c r="G3585" s="24" t="s">
        <v>2939</v>
      </c>
      <c r="H3585" s="24" t="s">
        <v>27</v>
      </c>
      <c r="I3585" s="24" t="s">
        <v>2940</v>
      </c>
      <c r="J3585" s="14" t="s">
        <v>29</v>
      </c>
      <c r="K3585" s="15" t="s">
        <v>30</v>
      </c>
      <c r="L3585" s="62"/>
      <c r="M3585" s="14"/>
      <c r="N3585" s="14" t="s">
        <v>127</v>
      </c>
      <c r="O3585" s="14"/>
      <c r="P3585" s="15" t="s">
        <v>120</v>
      </c>
      <c r="Q3585" s="16">
        <v>8199</v>
      </c>
      <c r="R3585" s="17">
        <v>40</v>
      </c>
      <c r="S3585" s="18">
        <v>5657.3099999999995</v>
      </c>
      <c r="T3585" s="19" t="s">
        <v>36</v>
      </c>
      <c r="U3585" s="20" t="s">
        <v>86</v>
      </c>
      <c r="V3585" s="21" t="s">
        <v>87</v>
      </c>
      <c r="W3585" s="22">
        <v>11</v>
      </c>
      <c r="X3585" s="23"/>
    </row>
    <row r="3586" spans="1:24" s="1" customFormat="1" ht="26" customHeight="1" x14ac:dyDescent="0.3">
      <c r="A3586" s="24" t="s">
        <v>23</v>
      </c>
      <c r="B3586" s="24" t="s">
        <v>3187</v>
      </c>
      <c r="C3586" s="12" t="s">
        <v>3322</v>
      </c>
      <c r="D3586" s="61"/>
      <c r="E3586" s="41" t="str">
        <f>HYPERLINK("https://www.google.ru/search?q=1373880-391&amp;newwindow=1&amp;tbm=isch","Еще фото")</f>
        <v>Еще фото</v>
      </c>
      <c r="F3586" s="13"/>
      <c r="G3586" s="24" t="s">
        <v>2939</v>
      </c>
      <c r="H3586" s="24" t="s">
        <v>27</v>
      </c>
      <c r="I3586" s="24" t="s">
        <v>2940</v>
      </c>
      <c r="J3586" s="14" t="s">
        <v>29</v>
      </c>
      <c r="K3586" s="15" t="s">
        <v>30</v>
      </c>
      <c r="L3586" s="58"/>
      <c r="M3586" s="14"/>
      <c r="N3586" s="14" t="s">
        <v>127</v>
      </c>
      <c r="O3586" s="14"/>
      <c r="P3586" s="15" t="s">
        <v>120</v>
      </c>
      <c r="Q3586" s="16">
        <v>8199</v>
      </c>
      <c r="R3586" s="17">
        <v>40</v>
      </c>
      <c r="S3586" s="18">
        <v>5657.3099999999995</v>
      </c>
      <c r="T3586" s="19" t="s">
        <v>36</v>
      </c>
      <c r="U3586" s="20" t="s">
        <v>88</v>
      </c>
      <c r="V3586" s="21" t="s">
        <v>89</v>
      </c>
      <c r="W3586" s="22">
        <v>2</v>
      </c>
      <c r="X3586" s="23"/>
    </row>
    <row r="3587" spans="1:24" s="1" customFormat="1" ht="35" customHeight="1" x14ac:dyDescent="0.3">
      <c r="A3587" s="11" t="s">
        <v>23</v>
      </c>
      <c r="B3587" s="11" t="s">
        <v>3187</v>
      </c>
      <c r="C3587" s="12" t="s">
        <v>3323</v>
      </c>
      <c r="D3587" s="59"/>
      <c r="E3587" s="41" t="str">
        <f>HYPERLINK("https://www.google.ru/search?q=1373880-410&amp;newwindow=1&amp;tbm=isch","Еще фото")</f>
        <v>Еще фото</v>
      </c>
      <c r="F3587" s="13" t="s">
        <v>103</v>
      </c>
      <c r="G3587" s="11" t="s">
        <v>2939</v>
      </c>
      <c r="H3587" s="11" t="s">
        <v>27</v>
      </c>
      <c r="I3587" s="14" t="s">
        <v>2940</v>
      </c>
      <c r="J3587" s="14" t="s">
        <v>29</v>
      </c>
      <c r="K3587" s="15" t="s">
        <v>30</v>
      </c>
      <c r="L3587" s="57" t="s">
        <v>3318</v>
      </c>
      <c r="M3587" s="14"/>
      <c r="N3587" s="14" t="s">
        <v>115</v>
      </c>
      <c r="O3587" s="14"/>
      <c r="P3587" s="15" t="s">
        <v>120</v>
      </c>
      <c r="Q3587" s="16">
        <v>8199</v>
      </c>
      <c r="R3587" s="17">
        <v>40</v>
      </c>
      <c r="S3587" s="18">
        <v>5657.3099999999995</v>
      </c>
      <c r="T3587" s="19" t="s">
        <v>36</v>
      </c>
      <c r="U3587" s="20" t="s">
        <v>37</v>
      </c>
      <c r="V3587" s="21" t="s">
        <v>38</v>
      </c>
      <c r="W3587" s="22">
        <v>7</v>
      </c>
      <c r="X3587" s="23"/>
    </row>
    <row r="3588" spans="1:24" s="1" customFormat="1" ht="35" customHeight="1" x14ac:dyDescent="0.3">
      <c r="A3588" s="24" t="s">
        <v>23</v>
      </c>
      <c r="B3588" s="24" t="s">
        <v>3187</v>
      </c>
      <c r="C3588" s="12" t="s">
        <v>3323</v>
      </c>
      <c r="D3588" s="60"/>
      <c r="E3588" s="41" t="str">
        <f>HYPERLINK("https://www.google.ru/search?q=1373880-410&amp;newwindow=1&amp;tbm=isch","Еще фото")</f>
        <v>Еще фото</v>
      </c>
      <c r="F3588" s="13" t="s">
        <v>103</v>
      </c>
      <c r="G3588" s="24" t="s">
        <v>2939</v>
      </c>
      <c r="H3588" s="24" t="s">
        <v>27</v>
      </c>
      <c r="I3588" s="24" t="s">
        <v>2940</v>
      </c>
      <c r="J3588" s="14" t="s">
        <v>29</v>
      </c>
      <c r="K3588" s="15" t="s">
        <v>30</v>
      </c>
      <c r="L3588" s="62"/>
      <c r="M3588" s="14"/>
      <c r="N3588" s="14" t="s">
        <v>115</v>
      </c>
      <c r="O3588" s="14"/>
      <c r="P3588" s="15" t="s">
        <v>120</v>
      </c>
      <c r="Q3588" s="16">
        <v>8199</v>
      </c>
      <c r="R3588" s="17">
        <v>40</v>
      </c>
      <c r="S3588" s="18">
        <v>5657.3099999999995</v>
      </c>
      <c r="T3588" s="19" t="s">
        <v>36</v>
      </c>
      <c r="U3588" s="20" t="s">
        <v>39</v>
      </c>
      <c r="V3588" s="21" t="s">
        <v>40</v>
      </c>
      <c r="W3588" s="22">
        <v>11</v>
      </c>
      <c r="X3588" s="23"/>
    </row>
    <row r="3589" spans="1:24" s="1" customFormat="1" ht="37.049999999999997" customHeight="1" x14ac:dyDescent="0.3">
      <c r="A3589" s="24" t="s">
        <v>23</v>
      </c>
      <c r="B3589" s="24" t="s">
        <v>3187</v>
      </c>
      <c r="C3589" s="12" t="s">
        <v>3323</v>
      </c>
      <c r="D3589" s="61"/>
      <c r="E3589" s="41" t="str">
        <f>HYPERLINK("https://www.google.ru/search?q=1373880-410&amp;newwindow=1&amp;tbm=isch","Еще фото")</f>
        <v>Еще фото</v>
      </c>
      <c r="F3589" s="13" t="s">
        <v>103</v>
      </c>
      <c r="G3589" s="24" t="s">
        <v>2939</v>
      </c>
      <c r="H3589" s="24" t="s">
        <v>27</v>
      </c>
      <c r="I3589" s="24" t="s">
        <v>2940</v>
      </c>
      <c r="J3589" s="14" t="s">
        <v>29</v>
      </c>
      <c r="K3589" s="15" t="s">
        <v>30</v>
      </c>
      <c r="L3589" s="58"/>
      <c r="M3589" s="14"/>
      <c r="N3589" s="14" t="s">
        <v>115</v>
      </c>
      <c r="O3589" s="14"/>
      <c r="P3589" s="15" t="s">
        <v>120</v>
      </c>
      <c r="Q3589" s="16">
        <v>8199</v>
      </c>
      <c r="R3589" s="17">
        <v>40</v>
      </c>
      <c r="S3589" s="18">
        <v>5657.3099999999995</v>
      </c>
      <c r="T3589" s="19" t="s">
        <v>36</v>
      </c>
      <c r="U3589" s="20" t="s">
        <v>86</v>
      </c>
      <c r="V3589" s="21" t="s">
        <v>87</v>
      </c>
      <c r="W3589" s="22">
        <v>18</v>
      </c>
      <c r="X3589" s="23"/>
    </row>
    <row r="3590" spans="1:24" s="1" customFormat="1" ht="21" customHeight="1" x14ac:dyDescent="0.3">
      <c r="A3590" s="11" t="s">
        <v>23</v>
      </c>
      <c r="B3590" s="11" t="s">
        <v>3012</v>
      </c>
      <c r="C3590" s="26" t="s">
        <v>3324</v>
      </c>
      <c r="D3590" s="59"/>
      <c r="E3590" s="41" t="str">
        <f>HYPERLINK("https://www.google.ru/search?q=1373880-477&amp;newwindow=1&amp;tbm=isch","Еще фото")</f>
        <v>Еще фото</v>
      </c>
      <c r="F3590" s="13" t="s">
        <v>103</v>
      </c>
      <c r="G3590" s="11" t="s">
        <v>2939</v>
      </c>
      <c r="H3590" s="11" t="s">
        <v>27</v>
      </c>
      <c r="I3590" s="14" t="s">
        <v>2940</v>
      </c>
      <c r="J3590" s="14" t="s">
        <v>43</v>
      </c>
      <c r="K3590" s="15" t="s">
        <v>30</v>
      </c>
      <c r="L3590" s="57" t="s">
        <v>3318</v>
      </c>
      <c r="M3590" s="14"/>
      <c r="N3590" s="14" t="s">
        <v>46</v>
      </c>
      <c r="O3590" s="14"/>
      <c r="P3590" s="15" t="s">
        <v>120</v>
      </c>
      <c r="Q3590" s="16">
        <v>6699</v>
      </c>
      <c r="R3590" s="17">
        <v>40</v>
      </c>
      <c r="S3590" s="18">
        <v>4622.3099999999995</v>
      </c>
      <c r="T3590" s="19" t="s">
        <v>36</v>
      </c>
      <c r="U3590" s="20" t="s">
        <v>37</v>
      </c>
      <c r="V3590" s="21" t="s">
        <v>38</v>
      </c>
      <c r="W3590" s="22">
        <v>9</v>
      </c>
      <c r="X3590" s="23"/>
    </row>
    <row r="3591" spans="1:24" s="1" customFormat="1" ht="21" customHeight="1" x14ac:dyDescent="0.3">
      <c r="A3591" s="24" t="s">
        <v>23</v>
      </c>
      <c r="B3591" s="24" t="s">
        <v>3012</v>
      </c>
      <c r="C3591" s="27" t="s">
        <v>3324</v>
      </c>
      <c r="D3591" s="60"/>
      <c r="E3591" s="41" t="str">
        <f>HYPERLINK("https://www.google.ru/search?q=1373880-477&amp;newwindow=1&amp;tbm=isch","Еще фото")</f>
        <v>Еще фото</v>
      </c>
      <c r="F3591" s="13" t="s">
        <v>103</v>
      </c>
      <c r="G3591" s="24" t="s">
        <v>2939</v>
      </c>
      <c r="H3591" s="24" t="s">
        <v>27</v>
      </c>
      <c r="I3591" s="24" t="s">
        <v>2940</v>
      </c>
      <c r="J3591" s="14" t="s">
        <v>43</v>
      </c>
      <c r="K3591" s="15" t="s">
        <v>30</v>
      </c>
      <c r="L3591" s="62"/>
      <c r="M3591" s="14"/>
      <c r="N3591" s="14" t="s">
        <v>46</v>
      </c>
      <c r="O3591" s="14"/>
      <c r="P3591" s="15" t="s">
        <v>120</v>
      </c>
      <c r="Q3591" s="16">
        <v>6699</v>
      </c>
      <c r="R3591" s="17">
        <v>40</v>
      </c>
      <c r="S3591" s="18">
        <v>4622.3099999999995</v>
      </c>
      <c r="T3591" s="19" t="s">
        <v>36</v>
      </c>
      <c r="U3591" s="20" t="s">
        <v>39</v>
      </c>
      <c r="V3591" s="21" t="s">
        <v>40</v>
      </c>
      <c r="W3591" s="22">
        <v>25</v>
      </c>
      <c r="X3591" s="23"/>
    </row>
    <row r="3592" spans="1:24" s="1" customFormat="1" ht="21" customHeight="1" x14ac:dyDescent="0.3">
      <c r="A3592" s="24" t="s">
        <v>23</v>
      </c>
      <c r="B3592" s="24" t="s">
        <v>3012</v>
      </c>
      <c r="C3592" s="27" t="s">
        <v>3324</v>
      </c>
      <c r="D3592" s="60"/>
      <c r="E3592" s="41" t="str">
        <f>HYPERLINK("https://www.google.ru/search?q=1373880-477&amp;newwindow=1&amp;tbm=isch","Еще фото")</f>
        <v>Еще фото</v>
      </c>
      <c r="F3592" s="13" t="s">
        <v>103</v>
      </c>
      <c r="G3592" s="24" t="s">
        <v>2939</v>
      </c>
      <c r="H3592" s="24" t="s">
        <v>27</v>
      </c>
      <c r="I3592" s="24" t="s">
        <v>2940</v>
      </c>
      <c r="J3592" s="14" t="s">
        <v>43</v>
      </c>
      <c r="K3592" s="15" t="s">
        <v>30</v>
      </c>
      <c r="L3592" s="62"/>
      <c r="M3592" s="14"/>
      <c r="N3592" s="14" t="s">
        <v>46</v>
      </c>
      <c r="O3592" s="14"/>
      <c r="P3592" s="15" t="s">
        <v>120</v>
      </c>
      <c r="Q3592" s="16">
        <v>6699</v>
      </c>
      <c r="R3592" s="17">
        <v>40</v>
      </c>
      <c r="S3592" s="18">
        <v>4622.3099999999995</v>
      </c>
      <c r="T3592" s="19" t="s">
        <v>36</v>
      </c>
      <c r="U3592" s="20" t="s">
        <v>86</v>
      </c>
      <c r="V3592" s="21" t="s">
        <v>87</v>
      </c>
      <c r="W3592" s="22">
        <v>24</v>
      </c>
      <c r="X3592" s="23"/>
    </row>
    <row r="3593" spans="1:24" s="1" customFormat="1" ht="21" customHeight="1" x14ac:dyDescent="0.3">
      <c r="A3593" s="24" t="s">
        <v>23</v>
      </c>
      <c r="B3593" s="24" t="s">
        <v>3012</v>
      </c>
      <c r="C3593" s="27" t="s">
        <v>3324</v>
      </c>
      <c r="D3593" s="60"/>
      <c r="E3593" s="41" t="str">
        <f>HYPERLINK("https://www.google.ru/search?q=1373880-477&amp;newwindow=1&amp;tbm=isch","Еще фото")</f>
        <v>Еще фото</v>
      </c>
      <c r="F3593" s="13" t="s">
        <v>103</v>
      </c>
      <c r="G3593" s="24" t="s">
        <v>2939</v>
      </c>
      <c r="H3593" s="24" t="s">
        <v>27</v>
      </c>
      <c r="I3593" s="24" t="s">
        <v>2940</v>
      </c>
      <c r="J3593" s="14" t="s">
        <v>43</v>
      </c>
      <c r="K3593" s="15" t="s">
        <v>30</v>
      </c>
      <c r="L3593" s="62"/>
      <c r="M3593" s="14"/>
      <c r="N3593" s="14" t="s">
        <v>46</v>
      </c>
      <c r="O3593" s="14"/>
      <c r="P3593" s="15" t="s">
        <v>120</v>
      </c>
      <c r="Q3593" s="16">
        <v>6699</v>
      </c>
      <c r="R3593" s="17">
        <v>40</v>
      </c>
      <c r="S3593" s="18">
        <v>4622.3099999999995</v>
      </c>
      <c r="T3593" s="19" t="s">
        <v>36</v>
      </c>
      <c r="U3593" s="20" t="s">
        <v>88</v>
      </c>
      <c r="V3593" s="21" t="s">
        <v>89</v>
      </c>
      <c r="W3593" s="22">
        <v>15</v>
      </c>
      <c r="X3593" s="23"/>
    </row>
    <row r="3594" spans="1:24" s="1" customFormat="1" ht="32" customHeight="1" x14ac:dyDescent="0.3">
      <c r="A3594" s="24" t="s">
        <v>23</v>
      </c>
      <c r="B3594" s="24" t="s">
        <v>3012</v>
      </c>
      <c r="C3594" s="27" t="s">
        <v>3324</v>
      </c>
      <c r="D3594" s="61"/>
      <c r="E3594" s="41" t="str">
        <f>HYPERLINK("https://www.google.ru/search?q=1373880-477&amp;newwindow=1&amp;tbm=isch","Еще фото")</f>
        <v>Еще фото</v>
      </c>
      <c r="F3594" s="13" t="s">
        <v>103</v>
      </c>
      <c r="G3594" s="24" t="s">
        <v>2939</v>
      </c>
      <c r="H3594" s="24" t="s">
        <v>27</v>
      </c>
      <c r="I3594" s="24" t="s">
        <v>2940</v>
      </c>
      <c r="J3594" s="14" t="s">
        <v>43</v>
      </c>
      <c r="K3594" s="15" t="s">
        <v>30</v>
      </c>
      <c r="L3594" s="58"/>
      <c r="M3594" s="14"/>
      <c r="N3594" s="14" t="s">
        <v>46</v>
      </c>
      <c r="O3594" s="14"/>
      <c r="P3594" s="15" t="s">
        <v>120</v>
      </c>
      <c r="Q3594" s="16">
        <v>6699</v>
      </c>
      <c r="R3594" s="17">
        <v>40</v>
      </c>
      <c r="S3594" s="18">
        <v>4622.3099999999995</v>
      </c>
      <c r="T3594" s="19" t="s">
        <v>36</v>
      </c>
      <c r="U3594" s="20" t="s">
        <v>90</v>
      </c>
      <c r="V3594" s="21" t="s">
        <v>91</v>
      </c>
      <c r="W3594" s="22">
        <v>10</v>
      </c>
      <c r="X3594" s="23"/>
    </row>
    <row r="3595" spans="1:24" s="1" customFormat="1" ht="35" customHeight="1" x14ac:dyDescent="0.3">
      <c r="A3595" s="11" t="s">
        <v>23</v>
      </c>
      <c r="B3595" s="11" t="s">
        <v>3012</v>
      </c>
      <c r="C3595" s="12" t="s">
        <v>3325</v>
      </c>
      <c r="D3595" s="59"/>
      <c r="E3595" s="41" t="str">
        <f>HYPERLINK("https://www.google.ru/search?q=1373880-651&amp;newwindow=1&amp;tbm=isch","Еще фото")</f>
        <v>Еще фото</v>
      </c>
      <c r="F3595" s="13"/>
      <c r="G3595" s="11" t="s">
        <v>2939</v>
      </c>
      <c r="H3595" s="11" t="s">
        <v>27</v>
      </c>
      <c r="I3595" s="14" t="s">
        <v>2940</v>
      </c>
      <c r="J3595" s="14" t="s">
        <v>43</v>
      </c>
      <c r="K3595" s="15" t="s">
        <v>30</v>
      </c>
      <c r="L3595" s="57" t="s">
        <v>3014</v>
      </c>
      <c r="M3595" s="14"/>
      <c r="N3595" s="14" t="s">
        <v>382</v>
      </c>
      <c r="O3595" s="14"/>
      <c r="P3595" s="15" t="s">
        <v>120</v>
      </c>
      <c r="Q3595" s="16">
        <v>8099</v>
      </c>
      <c r="R3595" s="17">
        <v>40</v>
      </c>
      <c r="S3595" s="18">
        <v>5588.3099999999995</v>
      </c>
      <c r="T3595" s="19" t="s">
        <v>36</v>
      </c>
      <c r="U3595" s="20" t="s">
        <v>37</v>
      </c>
      <c r="V3595" s="21" t="s">
        <v>38</v>
      </c>
      <c r="W3595" s="22">
        <v>2</v>
      </c>
      <c r="X3595" s="23"/>
    </row>
    <row r="3596" spans="1:24" s="1" customFormat="1" ht="35" customHeight="1" x14ac:dyDescent="0.3">
      <c r="A3596" s="24" t="s">
        <v>23</v>
      </c>
      <c r="B3596" s="24" t="s">
        <v>3012</v>
      </c>
      <c r="C3596" s="12" t="s">
        <v>3325</v>
      </c>
      <c r="D3596" s="60"/>
      <c r="E3596" s="41" t="str">
        <f>HYPERLINK("https://www.google.ru/search?q=1373880-651&amp;newwindow=1&amp;tbm=isch","Еще фото")</f>
        <v>Еще фото</v>
      </c>
      <c r="F3596" s="13"/>
      <c r="G3596" s="24" t="s">
        <v>2939</v>
      </c>
      <c r="H3596" s="24" t="s">
        <v>27</v>
      </c>
      <c r="I3596" s="24" t="s">
        <v>2940</v>
      </c>
      <c r="J3596" s="14" t="s">
        <v>43</v>
      </c>
      <c r="K3596" s="15" t="s">
        <v>30</v>
      </c>
      <c r="L3596" s="62"/>
      <c r="M3596" s="14"/>
      <c r="N3596" s="14" t="s">
        <v>382</v>
      </c>
      <c r="O3596" s="14"/>
      <c r="P3596" s="15" t="s">
        <v>120</v>
      </c>
      <c r="Q3596" s="16">
        <v>8099</v>
      </c>
      <c r="R3596" s="17">
        <v>40</v>
      </c>
      <c r="S3596" s="18">
        <v>5588.3099999999995</v>
      </c>
      <c r="T3596" s="19" t="s">
        <v>36</v>
      </c>
      <c r="U3596" s="20" t="s">
        <v>39</v>
      </c>
      <c r="V3596" s="21" t="s">
        <v>40</v>
      </c>
      <c r="W3596" s="22">
        <v>3</v>
      </c>
      <c r="X3596" s="23"/>
    </row>
    <row r="3597" spans="1:24" s="1" customFormat="1" ht="37.049999999999997" customHeight="1" x14ac:dyDescent="0.3">
      <c r="A3597" s="24" t="s">
        <v>23</v>
      </c>
      <c r="B3597" s="24" t="s">
        <v>3012</v>
      </c>
      <c r="C3597" s="12" t="s">
        <v>3325</v>
      </c>
      <c r="D3597" s="61"/>
      <c r="E3597" s="41" t="str">
        <f>HYPERLINK("https://www.google.ru/search?q=1373880-651&amp;newwindow=1&amp;tbm=isch","Еще фото")</f>
        <v>Еще фото</v>
      </c>
      <c r="F3597" s="13"/>
      <c r="G3597" s="24" t="s">
        <v>2939</v>
      </c>
      <c r="H3597" s="24" t="s">
        <v>27</v>
      </c>
      <c r="I3597" s="24" t="s">
        <v>2940</v>
      </c>
      <c r="J3597" s="14" t="s">
        <v>43</v>
      </c>
      <c r="K3597" s="15" t="s">
        <v>30</v>
      </c>
      <c r="L3597" s="58"/>
      <c r="M3597" s="14"/>
      <c r="N3597" s="14" t="s">
        <v>382</v>
      </c>
      <c r="O3597" s="14"/>
      <c r="P3597" s="15" t="s">
        <v>120</v>
      </c>
      <c r="Q3597" s="16">
        <v>8099</v>
      </c>
      <c r="R3597" s="17">
        <v>40</v>
      </c>
      <c r="S3597" s="18">
        <v>5588.3099999999995</v>
      </c>
      <c r="T3597" s="19" t="s">
        <v>36</v>
      </c>
      <c r="U3597" s="20" t="s">
        <v>88</v>
      </c>
      <c r="V3597" s="21" t="s">
        <v>89</v>
      </c>
      <c r="W3597" s="22">
        <v>9</v>
      </c>
      <c r="X3597" s="23"/>
    </row>
    <row r="3598" spans="1:24" s="1" customFormat="1" ht="35" customHeight="1" x14ac:dyDescent="0.3">
      <c r="A3598" s="11" t="s">
        <v>23</v>
      </c>
      <c r="B3598" s="11" t="s">
        <v>3012</v>
      </c>
      <c r="C3598" s="12" t="s">
        <v>3326</v>
      </c>
      <c r="D3598" s="59"/>
      <c r="E3598" s="41" t="str">
        <f>HYPERLINK("https://www.google.ru/search?q=1373880-842&amp;newwindow=1&amp;tbm=isch","Еще фото")</f>
        <v>Еще фото</v>
      </c>
      <c r="F3598" s="13" t="s">
        <v>103</v>
      </c>
      <c r="G3598" s="11" t="s">
        <v>2939</v>
      </c>
      <c r="H3598" s="11" t="s">
        <v>27</v>
      </c>
      <c r="I3598" s="14" t="s">
        <v>2940</v>
      </c>
      <c r="J3598" s="14" t="s">
        <v>43</v>
      </c>
      <c r="K3598" s="15" t="s">
        <v>30</v>
      </c>
      <c r="L3598" s="57" t="s">
        <v>3014</v>
      </c>
      <c r="M3598" s="14"/>
      <c r="N3598" s="14" t="s">
        <v>2005</v>
      </c>
      <c r="O3598" s="14"/>
      <c r="P3598" s="15" t="s">
        <v>120</v>
      </c>
      <c r="Q3598" s="16">
        <v>8199</v>
      </c>
      <c r="R3598" s="17">
        <v>40</v>
      </c>
      <c r="S3598" s="18">
        <v>5657.3099999999995</v>
      </c>
      <c r="T3598" s="19" t="s">
        <v>36</v>
      </c>
      <c r="U3598" s="20" t="s">
        <v>37</v>
      </c>
      <c r="V3598" s="21" t="s">
        <v>38</v>
      </c>
      <c r="W3598" s="22">
        <v>4</v>
      </c>
      <c r="X3598" s="23"/>
    </row>
    <row r="3599" spans="1:24" s="1" customFormat="1" ht="35" customHeight="1" x14ac:dyDescent="0.3">
      <c r="A3599" s="24" t="s">
        <v>23</v>
      </c>
      <c r="B3599" s="24" t="s">
        <v>3012</v>
      </c>
      <c r="C3599" s="12" t="s">
        <v>3326</v>
      </c>
      <c r="D3599" s="60"/>
      <c r="E3599" s="41" t="str">
        <f>HYPERLINK("https://www.google.ru/search?q=1373880-842&amp;newwindow=1&amp;tbm=isch","Еще фото")</f>
        <v>Еще фото</v>
      </c>
      <c r="F3599" s="13" t="s">
        <v>103</v>
      </c>
      <c r="G3599" s="24" t="s">
        <v>2939</v>
      </c>
      <c r="H3599" s="24" t="s">
        <v>27</v>
      </c>
      <c r="I3599" s="24" t="s">
        <v>2940</v>
      </c>
      <c r="J3599" s="14" t="s">
        <v>43</v>
      </c>
      <c r="K3599" s="15" t="s">
        <v>30</v>
      </c>
      <c r="L3599" s="62"/>
      <c r="M3599" s="14"/>
      <c r="N3599" s="14" t="s">
        <v>2005</v>
      </c>
      <c r="O3599" s="14"/>
      <c r="P3599" s="15" t="s">
        <v>120</v>
      </c>
      <c r="Q3599" s="16">
        <v>8199</v>
      </c>
      <c r="R3599" s="17">
        <v>40</v>
      </c>
      <c r="S3599" s="18">
        <v>5657.3099999999995</v>
      </c>
      <c r="T3599" s="19" t="s">
        <v>36</v>
      </c>
      <c r="U3599" s="20" t="s">
        <v>86</v>
      </c>
      <c r="V3599" s="21" t="s">
        <v>87</v>
      </c>
      <c r="W3599" s="22">
        <v>12</v>
      </c>
      <c r="X3599" s="23"/>
    </row>
    <row r="3600" spans="1:24" s="1" customFormat="1" ht="37.049999999999997" customHeight="1" x14ac:dyDescent="0.3">
      <c r="A3600" s="24" t="s">
        <v>23</v>
      </c>
      <c r="B3600" s="24" t="s">
        <v>3012</v>
      </c>
      <c r="C3600" s="12" t="s">
        <v>3326</v>
      </c>
      <c r="D3600" s="61"/>
      <c r="E3600" s="41" t="str">
        <f>HYPERLINK("https://www.google.ru/search?q=1373880-842&amp;newwindow=1&amp;tbm=isch","Еще фото")</f>
        <v>Еще фото</v>
      </c>
      <c r="F3600" s="13" t="s">
        <v>103</v>
      </c>
      <c r="G3600" s="24" t="s">
        <v>2939</v>
      </c>
      <c r="H3600" s="24" t="s">
        <v>27</v>
      </c>
      <c r="I3600" s="24" t="s">
        <v>2940</v>
      </c>
      <c r="J3600" s="14" t="s">
        <v>43</v>
      </c>
      <c r="K3600" s="15" t="s">
        <v>30</v>
      </c>
      <c r="L3600" s="58"/>
      <c r="M3600" s="14"/>
      <c r="N3600" s="14" t="s">
        <v>2005</v>
      </c>
      <c r="O3600" s="14"/>
      <c r="P3600" s="15" t="s">
        <v>120</v>
      </c>
      <c r="Q3600" s="16">
        <v>8199</v>
      </c>
      <c r="R3600" s="17">
        <v>40</v>
      </c>
      <c r="S3600" s="18">
        <v>5657.3099999999995</v>
      </c>
      <c r="T3600" s="19" t="s">
        <v>36</v>
      </c>
      <c r="U3600" s="20" t="s">
        <v>88</v>
      </c>
      <c r="V3600" s="21" t="s">
        <v>89</v>
      </c>
      <c r="W3600" s="22">
        <v>7</v>
      </c>
      <c r="X3600" s="23"/>
    </row>
    <row r="3601" spans="1:24" s="1" customFormat="1" ht="35" customHeight="1" x14ac:dyDescent="0.3">
      <c r="A3601" s="11" t="s">
        <v>23</v>
      </c>
      <c r="B3601" s="11" t="s">
        <v>3327</v>
      </c>
      <c r="C3601" s="12" t="s">
        <v>3328</v>
      </c>
      <c r="D3601" s="59"/>
      <c r="E3601" s="41" t="str">
        <f>HYPERLINK("https://www.google.ru/search?q=1373881-001&amp;newwindow=1&amp;tbm=isch","Еще фото")</f>
        <v>Еще фото</v>
      </c>
      <c r="F3601" s="13" t="s">
        <v>152</v>
      </c>
      <c r="G3601" s="11" t="s">
        <v>2939</v>
      </c>
      <c r="H3601" s="11" t="s">
        <v>27</v>
      </c>
      <c r="I3601" s="14" t="s">
        <v>2940</v>
      </c>
      <c r="J3601" s="14" t="s">
        <v>29</v>
      </c>
      <c r="K3601" s="15" t="s">
        <v>30</v>
      </c>
      <c r="L3601" s="57" t="s">
        <v>3329</v>
      </c>
      <c r="M3601" s="14" t="s">
        <v>45</v>
      </c>
      <c r="N3601" s="14" t="s">
        <v>33</v>
      </c>
      <c r="O3601" s="14" t="s">
        <v>34</v>
      </c>
      <c r="P3601" s="15" t="s">
        <v>120</v>
      </c>
      <c r="Q3601" s="16">
        <v>8699</v>
      </c>
      <c r="R3601" s="17">
        <v>40</v>
      </c>
      <c r="S3601" s="18">
        <v>6002.3099999999995</v>
      </c>
      <c r="T3601" s="19" t="s">
        <v>36</v>
      </c>
      <c r="U3601" s="20" t="s">
        <v>37</v>
      </c>
      <c r="V3601" s="21" t="s">
        <v>38</v>
      </c>
      <c r="W3601" s="22">
        <v>6</v>
      </c>
      <c r="X3601" s="23"/>
    </row>
    <row r="3602" spans="1:24" s="1" customFormat="1" ht="35" customHeight="1" x14ac:dyDescent="0.3">
      <c r="A3602" s="24" t="s">
        <v>23</v>
      </c>
      <c r="B3602" s="24" t="s">
        <v>3327</v>
      </c>
      <c r="C3602" s="12" t="s">
        <v>3328</v>
      </c>
      <c r="D3602" s="60"/>
      <c r="E3602" s="41" t="str">
        <f>HYPERLINK("https://www.google.ru/search?q=1373881-001&amp;newwindow=1&amp;tbm=isch","Еще фото")</f>
        <v>Еще фото</v>
      </c>
      <c r="F3602" s="13" t="s">
        <v>152</v>
      </c>
      <c r="G3602" s="24" t="s">
        <v>2939</v>
      </c>
      <c r="H3602" s="24" t="s">
        <v>27</v>
      </c>
      <c r="I3602" s="24" t="s">
        <v>2940</v>
      </c>
      <c r="J3602" s="14" t="s">
        <v>29</v>
      </c>
      <c r="K3602" s="15" t="s">
        <v>30</v>
      </c>
      <c r="L3602" s="62"/>
      <c r="M3602" s="14" t="s">
        <v>45</v>
      </c>
      <c r="N3602" s="14" t="s">
        <v>33</v>
      </c>
      <c r="O3602" s="14" t="s">
        <v>34</v>
      </c>
      <c r="P3602" s="15" t="s">
        <v>120</v>
      </c>
      <c r="Q3602" s="16">
        <v>8699</v>
      </c>
      <c r="R3602" s="17">
        <v>40</v>
      </c>
      <c r="S3602" s="18">
        <v>6002.3099999999995</v>
      </c>
      <c r="T3602" s="19" t="s">
        <v>36</v>
      </c>
      <c r="U3602" s="20" t="s">
        <v>86</v>
      </c>
      <c r="V3602" s="21" t="s">
        <v>87</v>
      </c>
      <c r="W3602" s="22">
        <v>18</v>
      </c>
      <c r="X3602" s="23"/>
    </row>
    <row r="3603" spans="1:24" s="1" customFormat="1" ht="37.049999999999997" customHeight="1" x14ac:dyDescent="0.3">
      <c r="A3603" s="24" t="s">
        <v>23</v>
      </c>
      <c r="B3603" s="24" t="s">
        <v>3327</v>
      </c>
      <c r="C3603" s="12" t="s">
        <v>3328</v>
      </c>
      <c r="D3603" s="61"/>
      <c r="E3603" s="41" t="str">
        <f>HYPERLINK("https://www.google.ru/search?q=1373881-001&amp;newwindow=1&amp;tbm=isch","Еще фото")</f>
        <v>Еще фото</v>
      </c>
      <c r="F3603" s="13" t="s">
        <v>152</v>
      </c>
      <c r="G3603" s="24" t="s">
        <v>2939</v>
      </c>
      <c r="H3603" s="24" t="s">
        <v>27</v>
      </c>
      <c r="I3603" s="24" t="s">
        <v>2940</v>
      </c>
      <c r="J3603" s="14" t="s">
        <v>29</v>
      </c>
      <c r="K3603" s="15" t="s">
        <v>30</v>
      </c>
      <c r="L3603" s="58"/>
      <c r="M3603" s="14" t="s">
        <v>45</v>
      </c>
      <c r="N3603" s="14" t="s">
        <v>33</v>
      </c>
      <c r="O3603" s="14" t="s">
        <v>34</v>
      </c>
      <c r="P3603" s="15" t="s">
        <v>120</v>
      </c>
      <c r="Q3603" s="16">
        <v>8699</v>
      </c>
      <c r="R3603" s="17">
        <v>40</v>
      </c>
      <c r="S3603" s="18">
        <v>6002.3099999999995</v>
      </c>
      <c r="T3603" s="19" t="s">
        <v>36</v>
      </c>
      <c r="U3603" s="20" t="s">
        <v>143</v>
      </c>
      <c r="V3603" s="21" t="s">
        <v>144</v>
      </c>
      <c r="W3603" s="22">
        <v>1</v>
      </c>
      <c r="X3603" s="23"/>
    </row>
    <row r="3604" spans="1:24" s="1" customFormat="1" ht="14" customHeight="1" x14ac:dyDescent="0.3">
      <c r="A3604" s="11" t="s">
        <v>23</v>
      </c>
      <c r="B3604" s="11" t="s">
        <v>3330</v>
      </c>
      <c r="C3604" s="12" t="s">
        <v>3331</v>
      </c>
      <c r="D3604" s="59"/>
      <c r="E3604" s="41" t="str">
        <f t="shared" ref="E3604:E3610" si="151">HYPERLINK("https://www.google.ru/search?q=1373881-012&amp;newwindow=1&amp;tbm=isch","Еще фото")</f>
        <v>Еще фото</v>
      </c>
      <c r="F3604" s="13" t="s">
        <v>152</v>
      </c>
      <c r="G3604" s="11" t="s">
        <v>2939</v>
      </c>
      <c r="H3604" s="11" t="s">
        <v>27</v>
      </c>
      <c r="I3604" s="14" t="s">
        <v>2940</v>
      </c>
      <c r="J3604" s="14" t="s">
        <v>29</v>
      </c>
      <c r="K3604" s="15" t="s">
        <v>30</v>
      </c>
      <c r="L3604" s="57" t="s">
        <v>3329</v>
      </c>
      <c r="M3604" s="14" t="s">
        <v>45</v>
      </c>
      <c r="N3604" s="14" t="s">
        <v>62</v>
      </c>
      <c r="O3604" s="14" t="s">
        <v>34</v>
      </c>
      <c r="P3604" s="15" t="s">
        <v>120</v>
      </c>
      <c r="Q3604" s="16">
        <v>8699</v>
      </c>
      <c r="R3604" s="17">
        <v>40</v>
      </c>
      <c r="S3604" s="18">
        <v>6002.3099999999995</v>
      </c>
      <c r="T3604" s="19" t="s">
        <v>36</v>
      </c>
      <c r="U3604" s="20" t="s">
        <v>63</v>
      </c>
      <c r="V3604" s="21" t="s">
        <v>85</v>
      </c>
      <c r="W3604" s="22">
        <v>1</v>
      </c>
      <c r="X3604" s="23"/>
    </row>
    <row r="3605" spans="1:24" s="1" customFormat="1" ht="14" customHeight="1" x14ac:dyDescent="0.3">
      <c r="A3605" s="24" t="s">
        <v>23</v>
      </c>
      <c r="B3605" s="24" t="s">
        <v>3330</v>
      </c>
      <c r="C3605" s="12" t="s">
        <v>3331</v>
      </c>
      <c r="D3605" s="60"/>
      <c r="E3605" s="41" t="str">
        <f t="shared" si="151"/>
        <v>Еще фото</v>
      </c>
      <c r="F3605" s="13" t="s">
        <v>152</v>
      </c>
      <c r="G3605" s="24" t="s">
        <v>2939</v>
      </c>
      <c r="H3605" s="24" t="s">
        <v>27</v>
      </c>
      <c r="I3605" s="24" t="s">
        <v>2940</v>
      </c>
      <c r="J3605" s="14" t="s">
        <v>29</v>
      </c>
      <c r="K3605" s="15" t="s">
        <v>30</v>
      </c>
      <c r="L3605" s="62"/>
      <c r="M3605" s="14" t="s">
        <v>45</v>
      </c>
      <c r="N3605" s="14" t="s">
        <v>62</v>
      </c>
      <c r="O3605" s="14" t="s">
        <v>34</v>
      </c>
      <c r="P3605" s="15" t="s">
        <v>120</v>
      </c>
      <c r="Q3605" s="16">
        <v>8699</v>
      </c>
      <c r="R3605" s="17">
        <v>40</v>
      </c>
      <c r="S3605" s="18">
        <v>6002.3099999999995</v>
      </c>
      <c r="T3605" s="19" t="s">
        <v>36</v>
      </c>
      <c r="U3605" s="20" t="s">
        <v>37</v>
      </c>
      <c r="V3605" s="21" t="s">
        <v>38</v>
      </c>
      <c r="W3605" s="22">
        <v>29</v>
      </c>
      <c r="X3605" s="23"/>
    </row>
    <row r="3606" spans="1:24" s="1" customFormat="1" ht="14" customHeight="1" x14ac:dyDescent="0.3">
      <c r="A3606" s="24" t="s">
        <v>23</v>
      </c>
      <c r="B3606" s="24" t="s">
        <v>3330</v>
      </c>
      <c r="C3606" s="12" t="s">
        <v>3331</v>
      </c>
      <c r="D3606" s="60"/>
      <c r="E3606" s="41" t="str">
        <f t="shared" si="151"/>
        <v>Еще фото</v>
      </c>
      <c r="F3606" s="13" t="s">
        <v>152</v>
      </c>
      <c r="G3606" s="24" t="s">
        <v>2939</v>
      </c>
      <c r="H3606" s="24" t="s">
        <v>27</v>
      </c>
      <c r="I3606" s="24" t="s">
        <v>2940</v>
      </c>
      <c r="J3606" s="14" t="s">
        <v>29</v>
      </c>
      <c r="K3606" s="15" t="s">
        <v>30</v>
      </c>
      <c r="L3606" s="62"/>
      <c r="M3606" s="14" t="s">
        <v>45</v>
      </c>
      <c r="N3606" s="14" t="s">
        <v>62</v>
      </c>
      <c r="O3606" s="14" t="s">
        <v>34</v>
      </c>
      <c r="P3606" s="15" t="s">
        <v>120</v>
      </c>
      <c r="Q3606" s="16">
        <v>8699</v>
      </c>
      <c r="R3606" s="17">
        <v>40</v>
      </c>
      <c r="S3606" s="18">
        <v>6002.3099999999995</v>
      </c>
      <c r="T3606" s="19" t="s">
        <v>36</v>
      </c>
      <c r="U3606" s="20" t="s">
        <v>39</v>
      </c>
      <c r="V3606" s="21" t="s">
        <v>40</v>
      </c>
      <c r="W3606" s="22">
        <v>67</v>
      </c>
      <c r="X3606" s="23"/>
    </row>
    <row r="3607" spans="1:24" s="1" customFormat="1" ht="14" customHeight="1" x14ac:dyDescent="0.3">
      <c r="A3607" s="24" t="s">
        <v>23</v>
      </c>
      <c r="B3607" s="24" t="s">
        <v>3330</v>
      </c>
      <c r="C3607" s="12" t="s">
        <v>3331</v>
      </c>
      <c r="D3607" s="60"/>
      <c r="E3607" s="41" t="str">
        <f t="shared" si="151"/>
        <v>Еще фото</v>
      </c>
      <c r="F3607" s="13" t="s">
        <v>152</v>
      </c>
      <c r="G3607" s="24" t="s">
        <v>2939</v>
      </c>
      <c r="H3607" s="24" t="s">
        <v>27</v>
      </c>
      <c r="I3607" s="24" t="s">
        <v>2940</v>
      </c>
      <c r="J3607" s="14" t="s">
        <v>29</v>
      </c>
      <c r="K3607" s="15" t="s">
        <v>30</v>
      </c>
      <c r="L3607" s="62"/>
      <c r="M3607" s="14" t="s">
        <v>45</v>
      </c>
      <c r="N3607" s="14" t="s">
        <v>62</v>
      </c>
      <c r="O3607" s="14" t="s">
        <v>34</v>
      </c>
      <c r="P3607" s="15" t="s">
        <v>120</v>
      </c>
      <c r="Q3607" s="16">
        <v>8699</v>
      </c>
      <c r="R3607" s="17">
        <v>40</v>
      </c>
      <c r="S3607" s="18">
        <v>6002.3099999999995</v>
      </c>
      <c r="T3607" s="19" t="s">
        <v>36</v>
      </c>
      <c r="U3607" s="20" t="s">
        <v>86</v>
      </c>
      <c r="V3607" s="21" t="s">
        <v>87</v>
      </c>
      <c r="W3607" s="22">
        <v>48</v>
      </c>
      <c r="X3607" s="23"/>
    </row>
    <row r="3608" spans="1:24" s="1" customFormat="1" ht="14" customHeight="1" x14ac:dyDescent="0.3">
      <c r="A3608" s="24" t="s">
        <v>23</v>
      </c>
      <c r="B3608" s="24" t="s">
        <v>3330</v>
      </c>
      <c r="C3608" s="12" t="s">
        <v>3331</v>
      </c>
      <c r="D3608" s="60"/>
      <c r="E3608" s="41" t="str">
        <f t="shared" si="151"/>
        <v>Еще фото</v>
      </c>
      <c r="F3608" s="13" t="s">
        <v>152</v>
      </c>
      <c r="G3608" s="24" t="s">
        <v>2939</v>
      </c>
      <c r="H3608" s="24" t="s">
        <v>27</v>
      </c>
      <c r="I3608" s="24" t="s">
        <v>2940</v>
      </c>
      <c r="J3608" s="14" t="s">
        <v>29</v>
      </c>
      <c r="K3608" s="15" t="s">
        <v>30</v>
      </c>
      <c r="L3608" s="62"/>
      <c r="M3608" s="14" t="s">
        <v>45</v>
      </c>
      <c r="N3608" s="14" t="s">
        <v>62</v>
      </c>
      <c r="O3608" s="14" t="s">
        <v>34</v>
      </c>
      <c r="P3608" s="15" t="s">
        <v>120</v>
      </c>
      <c r="Q3608" s="16">
        <v>8699</v>
      </c>
      <c r="R3608" s="17">
        <v>40</v>
      </c>
      <c r="S3608" s="18">
        <v>6002.3099999999995</v>
      </c>
      <c r="T3608" s="19" t="s">
        <v>36</v>
      </c>
      <c r="U3608" s="20" t="s">
        <v>88</v>
      </c>
      <c r="V3608" s="21" t="s">
        <v>89</v>
      </c>
      <c r="W3608" s="22">
        <v>21</v>
      </c>
      <c r="X3608" s="23"/>
    </row>
    <row r="3609" spans="1:24" s="1" customFormat="1" ht="14" customHeight="1" x14ac:dyDescent="0.3">
      <c r="A3609" s="24" t="s">
        <v>23</v>
      </c>
      <c r="B3609" s="24" t="s">
        <v>3330</v>
      </c>
      <c r="C3609" s="12" t="s">
        <v>3331</v>
      </c>
      <c r="D3609" s="60"/>
      <c r="E3609" s="41" t="str">
        <f t="shared" si="151"/>
        <v>Еще фото</v>
      </c>
      <c r="F3609" s="13" t="s">
        <v>152</v>
      </c>
      <c r="G3609" s="24" t="s">
        <v>2939</v>
      </c>
      <c r="H3609" s="24" t="s">
        <v>27</v>
      </c>
      <c r="I3609" s="24" t="s">
        <v>2940</v>
      </c>
      <c r="J3609" s="14" t="s">
        <v>29</v>
      </c>
      <c r="K3609" s="15" t="s">
        <v>30</v>
      </c>
      <c r="L3609" s="62"/>
      <c r="M3609" s="14" t="s">
        <v>45</v>
      </c>
      <c r="N3609" s="14" t="s">
        <v>62</v>
      </c>
      <c r="O3609" s="14" t="s">
        <v>34</v>
      </c>
      <c r="P3609" s="15" t="s">
        <v>120</v>
      </c>
      <c r="Q3609" s="16">
        <v>8699</v>
      </c>
      <c r="R3609" s="17">
        <v>40</v>
      </c>
      <c r="S3609" s="18">
        <v>6002.3099999999995</v>
      </c>
      <c r="T3609" s="19" t="s">
        <v>36</v>
      </c>
      <c r="U3609" s="20" t="s">
        <v>90</v>
      </c>
      <c r="V3609" s="21" t="s">
        <v>91</v>
      </c>
      <c r="W3609" s="22">
        <v>5</v>
      </c>
      <c r="X3609" s="23"/>
    </row>
    <row r="3610" spans="1:24" s="1" customFormat="1" ht="17" customHeight="1" x14ac:dyDescent="0.3">
      <c r="A3610" s="24" t="s">
        <v>23</v>
      </c>
      <c r="B3610" s="24" t="s">
        <v>3330</v>
      </c>
      <c r="C3610" s="12" t="s">
        <v>3331</v>
      </c>
      <c r="D3610" s="61"/>
      <c r="E3610" s="41" t="str">
        <f t="shared" si="151"/>
        <v>Еще фото</v>
      </c>
      <c r="F3610" s="13" t="s">
        <v>152</v>
      </c>
      <c r="G3610" s="24" t="s">
        <v>2939</v>
      </c>
      <c r="H3610" s="24" t="s">
        <v>27</v>
      </c>
      <c r="I3610" s="24" t="s">
        <v>2940</v>
      </c>
      <c r="J3610" s="14" t="s">
        <v>29</v>
      </c>
      <c r="K3610" s="15" t="s">
        <v>30</v>
      </c>
      <c r="L3610" s="58"/>
      <c r="M3610" s="14" t="s">
        <v>45</v>
      </c>
      <c r="N3610" s="14" t="s">
        <v>62</v>
      </c>
      <c r="O3610" s="14" t="s">
        <v>34</v>
      </c>
      <c r="P3610" s="15" t="s">
        <v>120</v>
      </c>
      <c r="Q3610" s="16">
        <v>8699</v>
      </c>
      <c r="R3610" s="17">
        <v>40</v>
      </c>
      <c r="S3610" s="18">
        <v>6002.3099999999995</v>
      </c>
      <c r="T3610" s="19" t="s">
        <v>36</v>
      </c>
      <c r="U3610" s="20" t="s">
        <v>143</v>
      </c>
      <c r="V3610" s="21" t="s">
        <v>144</v>
      </c>
      <c r="W3610" s="22">
        <v>2</v>
      </c>
      <c r="X3610" s="23"/>
    </row>
    <row r="3611" spans="1:24" s="1" customFormat="1" ht="52.05" customHeight="1" x14ac:dyDescent="0.3">
      <c r="A3611" s="11" t="s">
        <v>23</v>
      </c>
      <c r="B3611" s="11" t="s">
        <v>3330</v>
      </c>
      <c r="C3611" s="12" t="s">
        <v>3332</v>
      </c>
      <c r="D3611" s="55"/>
      <c r="E3611" s="41" t="str">
        <f>HYPERLINK("https://www.google.ru/search?q=1373881-410&amp;newwindow=1&amp;tbm=isch","Еще фото")</f>
        <v>Еще фото</v>
      </c>
      <c r="F3611" s="13" t="s">
        <v>103</v>
      </c>
      <c r="G3611" s="11" t="s">
        <v>2939</v>
      </c>
      <c r="H3611" s="11" t="s">
        <v>27</v>
      </c>
      <c r="I3611" s="14" t="s">
        <v>2940</v>
      </c>
      <c r="J3611" s="14" t="s">
        <v>29</v>
      </c>
      <c r="K3611" s="15" t="s">
        <v>30</v>
      </c>
      <c r="L3611" s="57" t="s">
        <v>3329</v>
      </c>
      <c r="M3611" s="14" t="s">
        <v>45</v>
      </c>
      <c r="N3611" s="14" t="s">
        <v>115</v>
      </c>
      <c r="O3611" s="14" t="s">
        <v>34</v>
      </c>
      <c r="P3611" s="15" t="s">
        <v>120</v>
      </c>
      <c r="Q3611" s="16">
        <v>9199</v>
      </c>
      <c r="R3611" s="17">
        <v>40</v>
      </c>
      <c r="S3611" s="18">
        <v>6347.3099999999995</v>
      </c>
      <c r="T3611" s="19" t="s">
        <v>36</v>
      </c>
      <c r="U3611" s="20" t="s">
        <v>37</v>
      </c>
      <c r="V3611" s="21" t="s">
        <v>38</v>
      </c>
      <c r="W3611" s="22">
        <v>2</v>
      </c>
      <c r="X3611" s="23"/>
    </row>
    <row r="3612" spans="1:24" s="1" customFormat="1" ht="61.05" customHeight="1" x14ac:dyDescent="0.3">
      <c r="A3612" s="24" t="s">
        <v>23</v>
      </c>
      <c r="B3612" s="24" t="s">
        <v>3330</v>
      </c>
      <c r="C3612" s="12" t="s">
        <v>3332</v>
      </c>
      <c r="D3612" s="56"/>
      <c r="E3612" s="41" t="str">
        <f>HYPERLINK("https://www.google.ru/search?q=1373881-410&amp;newwindow=1&amp;tbm=isch","Еще фото")</f>
        <v>Еще фото</v>
      </c>
      <c r="F3612" s="13" t="s">
        <v>103</v>
      </c>
      <c r="G3612" s="24" t="s">
        <v>2939</v>
      </c>
      <c r="H3612" s="24" t="s">
        <v>27</v>
      </c>
      <c r="I3612" s="24" t="s">
        <v>2940</v>
      </c>
      <c r="J3612" s="14" t="s">
        <v>29</v>
      </c>
      <c r="K3612" s="15" t="s">
        <v>30</v>
      </c>
      <c r="L3612" s="58"/>
      <c r="M3612" s="14" t="s">
        <v>45</v>
      </c>
      <c r="N3612" s="14" t="s">
        <v>115</v>
      </c>
      <c r="O3612" s="14" t="s">
        <v>34</v>
      </c>
      <c r="P3612" s="15" t="s">
        <v>120</v>
      </c>
      <c r="Q3612" s="16">
        <v>9199</v>
      </c>
      <c r="R3612" s="17">
        <v>40</v>
      </c>
      <c r="S3612" s="18">
        <v>6347.3099999999995</v>
      </c>
      <c r="T3612" s="19" t="s">
        <v>36</v>
      </c>
      <c r="U3612" s="20" t="s">
        <v>39</v>
      </c>
      <c r="V3612" s="21" t="s">
        <v>40</v>
      </c>
      <c r="W3612" s="22">
        <v>3</v>
      </c>
      <c r="X3612" s="23"/>
    </row>
    <row r="3613" spans="1:24" s="1" customFormat="1" ht="21" customHeight="1" x14ac:dyDescent="0.3">
      <c r="A3613" s="11" t="s">
        <v>23</v>
      </c>
      <c r="B3613" s="11" t="s">
        <v>3333</v>
      </c>
      <c r="C3613" s="26" t="s">
        <v>3334</v>
      </c>
      <c r="D3613" s="59"/>
      <c r="E3613" s="41" t="str">
        <f>HYPERLINK("https://www.google.ru/search?q=1374250-001&amp;newwindow=1&amp;tbm=isch","Еще фото")</f>
        <v>Еще фото</v>
      </c>
      <c r="F3613" s="13" t="s">
        <v>103</v>
      </c>
      <c r="G3613" s="11" t="s">
        <v>2945</v>
      </c>
      <c r="H3613" s="11" t="s">
        <v>27</v>
      </c>
      <c r="I3613" s="14" t="s">
        <v>2940</v>
      </c>
      <c r="J3613" s="14" t="s">
        <v>29</v>
      </c>
      <c r="K3613" s="15" t="s">
        <v>30</v>
      </c>
      <c r="L3613" s="57" t="s">
        <v>3335</v>
      </c>
      <c r="M3613" s="14"/>
      <c r="N3613" s="14" t="s">
        <v>33</v>
      </c>
      <c r="O3613" s="14"/>
      <c r="P3613" s="15" t="s">
        <v>120</v>
      </c>
      <c r="Q3613" s="16">
        <v>5899</v>
      </c>
      <c r="R3613" s="17">
        <v>40</v>
      </c>
      <c r="S3613" s="18">
        <v>4070.31</v>
      </c>
      <c r="T3613" s="19" t="s">
        <v>36</v>
      </c>
      <c r="U3613" s="20" t="s">
        <v>37</v>
      </c>
      <c r="V3613" s="21" t="s">
        <v>38</v>
      </c>
      <c r="W3613" s="22">
        <v>13</v>
      </c>
      <c r="X3613" s="23"/>
    </row>
    <row r="3614" spans="1:24" s="1" customFormat="1" ht="21" customHeight="1" x14ac:dyDescent="0.3">
      <c r="A3614" s="24" t="s">
        <v>23</v>
      </c>
      <c r="B3614" s="24" t="s">
        <v>3333</v>
      </c>
      <c r="C3614" s="27" t="s">
        <v>3334</v>
      </c>
      <c r="D3614" s="60"/>
      <c r="E3614" s="41" t="str">
        <f>HYPERLINK("https://www.google.ru/search?q=1374250-001&amp;newwindow=1&amp;tbm=isch","Еще фото")</f>
        <v>Еще фото</v>
      </c>
      <c r="F3614" s="13" t="s">
        <v>103</v>
      </c>
      <c r="G3614" s="24" t="s">
        <v>2945</v>
      </c>
      <c r="H3614" s="24" t="s">
        <v>27</v>
      </c>
      <c r="I3614" s="24" t="s">
        <v>2940</v>
      </c>
      <c r="J3614" s="14" t="s">
        <v>29</v>
      </c>
      <c r="K3614" s="15" t="s">
        <v>30</v>
      </c>
      <c r="L3614" s="62"/>
      <c r="M3614" s="14"/>
      <c r="N3614" s="14" t="s">
        <v>33</v>
      </c>
      <c r="O3614" s="14"/>
      <c r="P3614" s="15" t="s">
        <v>120</v>
      </c>
      <c r="Q3614" s="16">
        <v>5899</v>
      </c>
      <c r="R3614" s="17">
        <v>40</v>
      </c>
      <c r="S3614" s="18">
        <v>4070.31</v>
      </c>
      <c r="T3614" s="19" t="s">
        <v>36</v>
      </c>
      <c r="U3614" s="20" t="s">
        <v>39</v>
      </c>
      <c r="V3614" s="21" t="s">
        <v>40</v>
      </c>
      <c r="W3614" s="22">
        <v>18</v>
      </c>
      <c r="X3614" s="23"/>
    </row>
    <row r="3615" spans="1:24" s="1" customFormat="1" ht="21" customHeight="1" x14ac:dyDescent="0.3">
      <c r="A3615" s="24" t="s">
        <v>23</v>
      </c>
      <c r="B3615" s="24" t="s">
        <v>3333</v>
      </c>
      <c r="C3615" s="27" t="s">
        <v>3334</v>
      </c>
      <c r="D3615" s="60"/>
      <c r="E3615" s="41" t="str">
        <f>HYPERLINK("https://www.google.ru/search?q=1374250-001&amp;newwindow=1&amp;tbm=isch","Еще фото")</f>
        <v>Еще фото</v>
      </c>
      <c r="F3615" s="13" t="s">
        <v>103</v>
      </c>
      <c r="G3615" s="24" t="s">
        <v>2945</v>
      </c>
      <c r="H3615" s="24" t="s">
        <v>27</v>
      </c>
      <c r="I3615" s="24" t="s">
        <v>2940</v>
      </c>
      <c r="J3615" s="14" t="s">
        <v>29</v>
      </c>
      <c r="K3615" s="15" t="s">
        <v>30</v>
      </c>
      <c r="L3615" s="62"/>
      <c r="M3615" s="14"/>
      <c r="N3615" s="14" t="s">
        <v>33</v>
      </c>
      <c r="O3615" s="14"/>
      <c r="P3615" s="15" t="s">
        <v>120</v>
      </c>
      <c r="Q3615" s="16">
        <v>5899</v>
      </c>
      <c r="R3615" s="17">
        <v>40</v>
      </c>
      <c r="S3615" s="18">
        <v>4070.31</v>
      </c>
      <c r="T3615" s="19" t="s">
        <v>36</v>
      </c>
      <c r="U3615" s="20" t="s">
        <v>86</v>
      </c>
      <c r="V3615" s="21" t="s">
        <v>87</v>
      </c>
      <c r="W3615" s="22">
        <v>18</v>
      </c>
      <c r="X3615" s="23"/>
    </row>
    <row r="3616" spans="1:24" s="1" customFormat="1" ht="21" customHeight="1" x14ac:dyDescent="0.3">
      <c r="A3616" s="24" t="s">
        <v>23</v>
      </c>
      <c r="B3616" s="24" t="s">
        <v>3333</v>
      </c>
      <c r="C3616" s="27" t="s">
        <v>3334</v>
      </c>
      <c r="D3616" s="60"/>
      <c r="E3616" s="41" t="str">
        <f>HYPERLINK("https://www.google.ru/search?q=1374250-001&amp;newwindow=1&amp;tbm=isch","Еще фото")</f>
        <v>Еще фото</v>
      </c>
      <c r="F3616" s="13" t="s">
        <v>103</v>
      </c>
      <c r="G3616" s="24" t="s">
        <v>2945</v>
      </c>
      <c r="H3616" s="24" t="s">
        <v>27</v>
      </c>
      <c r="I3616" s="24" t="s">
        <v>2940</v>
      </c>
      <c r="J3616" s="14" t="s">
        <v>29</v>
      </c>
      <c r="K3616" s="15" t="s">
        <v>30</v>
      </c>
      <c r="L3616" s="62"/>
      <c r="M3616" s="14"/>
      <c r="N3616" s="14" t="s">
        <v>33</v>
      </c>
      <c r="O3616" s="14"/>
      <c r="P3616" s="15" t="s">
        <v>120</v>
      </c>
      <c r="Q3616" s="16">
        <v>5899</v>
      </c>
      <c r="R3616" s="17">
        <v>40</v>
      </c>
      <c r="S3616" s="18">
        <v>4070.31</v>
      </c>
      <c r="T3616" s="19" t="s">
        <v>36</v>
      </c>
      <c r="U3616" s="20" t="s">
        <v>88</v>
      </c>
      <c r="V3616" s="21" t="s">
        <v>89</v>
      </c>
      <c r="W3616" s="22">
        <v>7</v>
      </c>
      <c r="X3616" s="23"/>
    </row>
    <row r="3617" spans="1:24" s="1" customFormat="1" ht="32" customHeight="1" x14ac:dyDescent="0.3">
      <c r="A3617" s="24" t="s">
        <v>23</v>
      </c>
      <c r="B3617" s="24" t="s">
        <v>3333</v>
      </c>
      <c r="C3617" s="27" t="s">
        <v>3334</v>
      </c>
      <c r="D3617" s="61"/>
      <c r="E3617" s="41" t="str">
        <f>HYPERLINK("https://www.google.ru/search?q=1374250-001&amp;newwindow=1&amp;tbm=isch","Еще фото")</f>
        <v>Еще фото</v>
      </c>
      <c r="F3617" s="13" t="s">
        <v>103</v>
      </c>
      <c r="G3617" s="24" t="s">
        <v>2945</v>
      </c>
      <c r="H3617" s="24" t="s">
        <v>27</v>
      </c>
      <c r="I3617" s="24" t="s">
        <v>2940</v>
      </c>
      <c r="J3617" s="14" t="s">
        <v>29</v>
      </c>
      <c r="K3617" s="15" t="s">
        <v>30</v>
      </c>
      <c r="L3617" s="58"/>
      <c r="M3617" s="14"/>
      <c r="N3617" s="14" t="s">
        <v>33</v>
      </c>
      <c r="O3617" s="14"/>
      <c r="P3617" s="15" t="s">
        <v>120</v>
      </c>
      <c r="Q3617" s="16">
        <v>5899</v>
      </c>
      <c r="R3617" s="17">
        <v>40</v>
      </c>
      <c r="S3617" s="18">
        <v>4070.31</v>
      </c>
      <c r="T3617" s="19" t="s">
        <v>36</v>
      </c>
      <c r="U3617" s="20" t="s">
        <v>90</v>
      </c>
      <c r="V3617" s="21" t="s">
        <v>91</v>
      </c>
      <c r="W3617" s="22">
        <v>8</v>
      </c>
      <c r="X3617" s="23"/>
    </row>
    <row r="3618" spans="1:24" s="1" customFormat="1" ht="17" customHeight="1" x14ac:dyDescent="0.3">
      <c r="A3618" s="11" t="s">
        <v>23</v>
      </c>
      <c r="B3618" s="11" t="s">
        <v>3336</v>
      </c>
      <c r="C3618" s="12" t="s">
        <v>3337</v>
      </c>
      <c r="D3618" s="59"/>
      <c r="E3618" s="41" t="str">
        <f t="shared" ref="E3618:E3623" si="152">HYPERLINK("https://www.google.ru/search?q=1374250-012&amp;newwindow=1&amp;tbm=isch","Еще фото")</f>
        <v>Еще фото</v>
      </c>
      <c r="F3618" s="13" t="s">
        <v>103</v>
      </c>
      <c r="G3618" s="11" t="s">
        <v>2945</v>
      </c>
      <c r="H3618" s="11" t="s">
        <v>27</v>
      </c>
      <c r="I3618" s="14" t="s">
        <v>2940</v>
      </c>
      <c r="J3618" s="14" t="s">
        <v>29</v>
      </c>
      <c r="K3618" s="15" t="s">
        <v>30</v>
      </c>
      <c r="L3618" s="57" t="s">
        <v>3335</v>
      </c>
      <c r="M3618" s="14"/>
      <c r="N3618" s="14" t="s">
        <v>62</v>
      </c>
      <c r="O3618" s="14"/>
      <c r="P3618" s="15" t="s">
        <v>120</v>
      </c>
      <c r="Q3618" s="16">
        <v>5899</v>
      </c>
      <c r="R3618" s="17">
        <v>40</v>
      </c>
      <c r="S3618" s="18">
        <v>4070.31</v>
      </c>
      <c r="T3618" s="19" t="s">
        <v>36</v>
      </c>
      <c r="U3618" s="20" t="s">
        <v>37</v>
      </c>
      <c r="V3618" s="21" t="s">
        <v>38</v>
      </c>
      <c r="W3618" s="22">
        <v>11</v>
      </c>
      <c r="X3618" s="23"/>
    </row>
    <row r="3619" spans="1:24" s="1" customFormat="1" ht="17" customHeight="1" x14ac:dyDescent="0.3">
      <c r="A3619" s="24" t="s">
        <v>23</v>
      </c>
      <c r="B3619" s="24" t="s">
        <v>3336</v>
      </c>
      <c r="C3619" s="12" t="s">
        <v>3337</v>
      </c>
      <c r="D3619" s="60"/>
      <c r="E3619" s="41" t="str">
        <f t="shared" si="152"/>
        <v>Еще фото</v>
      </c>
      <c r="F3619" s="13" t="s">
        <v>103</v>
      </c>
      <c r="G3619" s="24" t="s">
        <v>2945</v>
      </c>
      <c r="H3619" s="24" t="s">
        <v>27</v>
      </c>
      <c r="I3619" s="24" t="s">
        <v>2940</v>
      </c>
      <c r="J3619" s="14" t="s">
        <v>29</v>
      </c>
      <c r="K3619" s="15" t="s">
        <v>30</v>
      </c>
      <c r="L3619" s="62"/>
      <c r="M3619" s="14"/>
      <c r="N3619" s="14" t="s">
        <v>62</v>
      </c>
      <c r="O3619" s="14"/>
      <c r="P3619" s="15" t="s">
        <v>120</v>
      </c>
      <c r="Q3619" s="16">
        <v>5899</v>
      </c>
      <c r="R3619" s="17">
        <v>40</v>
      </c>
      <c r="S3619" s="18">
        <v>4070.31</v>
      </c>
      <c r="T3619" s="19" t="s">
        <v>36</v>
      </c>
      <c r="U3619" s="20" t="s">
        <v>39</v>
      </c>
      <c r="V3619" s="21" t="s">
        <v>40</v>
      </c>
      <c r="W3619" s="22">
        <v>18</v>
      </c>
      <c r="X3619" s="23"/>
    </row>
    <row r="3620" spans="1:24" s="1" customFormat="1" ht="17" customHeight="1" x14ac:dyDescent="0.3">
      <c r="A3620" s="24" t="s">
        <v>23</v>
      </c>
      <c r="B3620" s="24" t="s">
        <v>3336</v>
      </c>
      <c r="C3620" s="12" t="s">
        <v>3337</v>
      </c>
      <c r="D3620" s="60"/>
      <c r="E3620" s="41" t="str">
        <f t="shared" si="152"/>
        <v>Еще фото</v>
      </c>
      <c r="F3620" s="13" t="s">
        <v>103</v>
      </c>
      <c r="G3620" s="24" t="s">
        <v>2945</v>
      </c>
      <c r="H3620" s="24" t="s">
        <v>27</v>
      </c>
      <c r="I3620" s="24" t="s">
        <v>2940</v>
      </c>
      <c r="J3620" s="14" t="s">
        <v>29</v>
      </c>
      <c r="K3620" s="15" t="s">
        <v>30</v>
      </c>
      <c r="L3620" s="62"/>
      <c r="M3620" s="14"/>
      <c r="N3620" s="14" t="s">
        <v>62</v>
      </c>
      <c r="O3620" s="14"/>
      <c r="P3620" s="15" t="s">
        <v>120</v>
      </c>
      <c r="Q3620" s="16">
        <v>5899</v>
      </c>
      <c r="R3620" s="17">
        <v>40</v>
      </c>
      <c r="S3620" s="18">
        <v>4070.31</v>
      </c>
      <c r="T3620" s="19" t="s">
        <v>36</v>
      </c>
      <c r="U3620" s="20" t="s">
        <v>86</v>
      </c>
      <c r="V3620" s="21" t="s">
        <v>87</v>
      </c>
      <c r="W3620" s="22">
        <v>19</v>
      </c>
      <c r="X3620" s="23"/>
    </row>
    <row r="3621" spans="1:24" s="1" customFormat="1" ht="17" customHeight="1" x14ac:dyDescent="0.3">
      <c r="A3621" s="24" t="s">
        <v>23</v>
      </c>
      <c r="B3621" s="24" t="s">
        <v>3336</v>
      </c>
      <c r="C3621" s="12" t="s">
        <v>3337</v>
      </c>
      <c r="D3621" s="60"/>
      <c r="E3621" s="41" t="str">
        <f t="shared" si="152"/>
        <v>Еще фото</v>
      </c>
      <c r="F3621" s="13" t="s">
        <v>103</v>
      </c>
      <c r="G3621" s="24" t="s">
        <v>2945</v>
      </c>
      <c r="H3621" s="24" t="s">
        <v>27</v>
      </c>
      <c r="I3621" s="24" t="s">
        <v>2940</v>
      </c>
      <c r="J3621" s="14" t="s">
        <v>29</v>
      </c>
      <c r="K3621" s="15" t="s">
        <v>30</v>
      </c>
      <c r="L3621" s="62"/>
      <c r="M3621" s="14"/>
      <c r="N3621" s="14" t="s">
        <v>62</v>
      </c>
      <c r="O3621" s="14"/>
      <c r="P3621" s="15" t="s">
        <v>120</v>
      </c>
      <c r="Q3621" s="16">
        <v>5899</v>
      </c>
      <c r="R3621" s="17">
        <v>40</v>
      </c>
      <c r="S3621" s="18">
        <v>4070.31</v>
      </c>
      <c r="T3621" s="19" t="s">
        <v>36</v>
      </c>
      <c r="U3621" s="20" t="s">
        <v>88</v>
      </c>
      <c r="V3621" s="21" t="s">
        <v>89</v>
      </c>
      <c r="W3621" s="22">
        <v>16</v>
      </c>
      <c r="X3621" s="23"/>
    </row>
    <row r="3622" spans="1:24" s="1" customFormat="1" ht="17" customHeight="1" x14ac:dyDescent="0.3">
      <c r="A3622" s="24" t="s">
        <v>23</v>
      </c>
      <c r="B3622" s="24" t="s">
        <v>3336</v>
      </c>
      <c r="C3622" s="12" t="s">
        <v>3337</v>
      </c>
      <c r="D3622" s="60"/>
      <c r="E3622" s="41" t="str">
        <f t="shared" si="152"/>
        <v>Еще фото</v>
      </c>
      <c r="F3622" s="13" t="s">
        <v>103</v>
      </c>
      <c r="G3622" s="24" t="s">
        <v>2945</v>
      </c>
      <c r="H3622" s="24" t="s">
        <v>27</v>
      </c>
      <c r="I3622" s="24" t="s">
        <v>2940</v>
      </c>
      <c r="J3622" s="14" t="s">
        <v>29</v>
      </c>
      <c r="K3622" s="15" t="s">
        <v>30</v>
      </c>
      <c r="L3622" s="62"/>
      <c r="M3622" s="14"/>
      <c r="N3622" s="14" t="s">
        <v>62</v>
      </c>
      <c r="O3622" s="14"/>
      <c r="P3622" s="15" t="s">
        <v>120</v>
      </c>
      <c r="Q3622" s="16">
        <v>5899</v>
      </c>
      <c r="R3622" s="17">
        <v>40</v>
      </c>
      <c r="S3622" s="18">
        <v>4070.31</v>
      </c>
      <c r="T3622" s="19" t="s">
        <v>36</v>
      </c>
      <c r="U3622" s="20" t="s">
        <v>90</v>
      </c>
      <c r="V3622" s="21" t="s">
        <v>91</v>
      </c>
      <c r="W3622" s="22">
        <v>4</v>
      </c>
      <c r="X3622" s="23"/>
    </row>
    <row r="3623" spans="1:24" s="1" customFormat="1" ht="22.05" customHeight="1" x14ac:dyDescent="0.3">
      <c r="A3623" s="24" t="s">
        <v>23</v>
      </c>
      <c r="B3623" s="24" t="s">
        <v>3336</v>
      </c>
      <c r="C3623" s="12" t="s">
        <v>3337</v>
      </c>
      <c r="D3623" s="61"/>
      <c r="E3623" s="41" t="str">
        <f t="shared" si="152"/>
        <v>Еще фото</v>
      </c>
      <c r="F3623" s="13" t="s">
        <v>103</v>
      </c>
      <c r="G3623" s="24" t="s">
        <v>2945</v>
      </c>
      <c r="H3623" s="24" t="s">
        <v>27</v>
      </c>
      <c r="I3623" s="24" t="s">
        <v>2940</v>
      </c>
      <c r="J3623" s="14" t="s">
        <v>29</v>
      </c>
      <c r="K3623" s="15" t="s">
        <v>30</v>
      </c>
      <c r="L3623" s="58"/>
      <c r="M3623" s="14"/>
      <c r="N3623" s="14" t="s">
        <v>62</v>
      </c>
      <c r="O3623" s="14"/>
      <c r="P3623" s="15" t="s">
        <v>120</v>
      </c>
      <c r="Q3623" s="16">
        <v>5899</v>
      </c>
      <c r="R3623" s="17">
        <v>40</v>
      </c>
      <c r="S3623" s="18">
        <v>4070.31</v>
      </c>
      <c r="T3623" s="19" t="s">
        <v>36</v>
      </c>
      <c r="U3623" s="20" t="s">
        <v>408</v>
      </c>
      <c r="V3623" s="21" t="s">
        <v>409</v>
      </c>
      <c r="W3623" s="22">
        <v>4</v>
      </c>
      <c r="X3623" s="23"/>
    </row>
    <row r="3624" spans="1:24" s="1" customFormat="1" ht="35" customHeight="1" x14ac:dyDescent="0.3">
      <c r="A3624" s="11" t="s">
        <v>23</v>
      </c>
      <c r="B3624" s="11" t="s">
        <v>3338</v>
      </c>
      <c r="C3624" s="12" t="s">
        <v>3339</v>
      </c>
      <c r="D3624" s="59"/>
      <c r="E3624" s="41" t="str">
        <f>HYPERLINK("https://www.google.ru/search?q=1374250-452&amp;newwindow=1&amp;tbm=isch","Еще фото")</f>
        <v>Еще фото</v>
      </c>
      <c r="F3624" s="13"/>
      <c r="G3624" s="11" t="s">
        <v>2945</v>
      </c>
      <c r="H3624" s="11" t="s">
        <v>27</v>
      </c>
      <c r="I3624" s="14" t="s">
        <v>2940</v>
      </c>
      <c r="J3624" s="14" t="s">
        <v>43</v>
      </c>
      <c r="K3624" s="15" t="s">
        <v>30</v>
      </c>
      <c r="L3624" s="57" t="s">
        <v>3340</v>
      </c>
      <c r="M3624" s="14"/>
      <c r="N3624" s="14" t="s">
        <v>115</v>
      </c>
      <c r="O3624" s="14"/>
      <c r="P3624" s="15" t="s">
        <v>120</v>
      </c>
      <c r="Q3624" s="16">
        <v>6099</v>
      </c>
      <c r="R3624" s="17">
        <v>40</v>
      </c>
      <c r="S3624" s="18">
        <v>4208.3099999999995</v>
      </c>
      <c r="T3624" s="19" t="s">
        <v>36</v>
      </c>
      <c r="U3624" s="20" t="s">
        <v>37</v>
      </c>
      <c r="V3624" s="21" t="s">
        <v>38</v>
      </c>
      <c r="W3624" s="22">
        <v>4</v>
      </c>
      <c r="X3624" s="23"/>
    </row>
    <row r="3625" spans="1:24" s="1" customFormat="1" ht="35" customHeight="1" x14ac:dyDescent="0.3">
      <c r="A3625" s="24" t="s">
        <v>23</v>
      </c>
      <c r="B3625" s="24" t="s">
        <v>3338</v>
      </c>
      <c r="C3625" s="12" t="s">
        <v>3339</v>
      </c>
      <c r="D3625" s="60"/>
      <c r="E3625" s="41" t="str">
        <f>HYPERLINK("https://www.google.ru/search?q=1374250-452&amp;newwindow=1&amp;tbm=isch","Еще фото")</f>
        <v>Еще фото</v>
      </c>
      <c r="F3625" s="13"/>
      <c r="G3625" s="24" t="s">
        <v>2945</v>
      </c>
      <c r="H3625" s="24" t="s">
        <v>27</v>
      </c>
      <c r="I3625" s="24" t="s">
        <v>2940</v>
      </c>
      <c r="J3625" s="14" t="s">
        <v>43</v>
      </c>
      <c r="K3625" s="15" t="s">
        <v>30</v>
      </c>
      <c r="L3625" s="62"/>
      <c r="M3625" s="14"/>
      <c r="N3625" s="14" t="s">
        <v>115</v>
      </c>
      <c r="O3625" s="14"/>
      <c r="P3625" s="15" t="s">
        <v>120</v>
      </c>
      <c r="Q3625" s="16">
        <v>6099</v>
      </c>
      <c r="R3625" s="17">
        <v>40</v>
      </c>
      <c r="S3625" s="18">
        <v>4208.3099999999995</v>
      </c>
      <c r="T3625" s="19" t="s">
        <v>36</v>
      </c>
      <c r="U3625" s="20" t="s">
        <v>39</v>
      </c>
      <c r="V3625" s="21" t="s">
        <v>40</v>
      </c>
      <c r="W3625" s="22">
        <v>1</v>
      </c>
      <c r="X3625" s="23"/>
    </row>
    <row r="3626" spans="1:24" s="1" customFormat="1" ht="37.049999999999997" customHeight="1" x14ac:dyDescent="0.3">
      <c r="A3626" s="24" t="s">
        <v>23</v>
      </c>
      <c r="B3626" s="24" t="s">
        <v>3338</v>
      </c>
      <c r="C3626" s="12" t="s">
        <v>3339</v>
      </c>
      <c r="D3626" s="61"/>
      <c r="E3626" s="41" t="str">
        <f>HYPERLINK("https://www.google.ru/search?q=1374250-452&amp;newwindow=1&amp;tbm=isch","Еще фото")</f>
        <v>Еще фото</v>
      </c>
      <c r="F3626" s="13"/>
      <c r="G3626" s="24" t="s">
        <v>2945</v>
      </c>
      <c r="H3626" s="24" t="s">
        <v>27</v>
      </c>
      <c r="I3626" s="24" t="s">
        <v>2940</v>
      </c>
      <c r="J3626" s="14" t="s">
        <v>43</v>
      </c>
      <c r="K3626" s="15" t="s">
        <v>30</v>
      </c>
      <c r="L3626" s="58"/>
      <c r="M3626" s="14"/>
      <c r="N3626" s="14" t="s">
        <v>115</v>
      </c>
      <c r="O3626" s="14"/>
      <c r="P3626" s="15" t="s">
        <v>120</v>
      </c>
      <c r="Q3626" s="16">
        <v>6099</v>
      </c>
      <c r="R3626" s="17">
        <v>40</v>
      </c>
      <c r="S3626" s="18">
        <v>4208.3099999999995</v>
      </c>
      <c r="T3626" s="19" t="s">
        <v>36</v>
      </c>
      <c r="U3626" s="20" t="s">
        <v>86</v>
      </c>
      <c r="V3626" s="21" t="s">
        <v>87</v>
      </c>
      <c r="W3626" s="22">
        <v>1</v>
      </c>
      <c r="X3626" s="23"/>
    </row>
    <row r="3627" spans="1:24" s="1" customFormat="1" ht="108" customHeight="1" x14ac:dyDescent="0.3">
      <c r="A3627" s="11" t="s">
        <v>23</v>
      </c>
      <c r="B3627" s="11" t="s">
        <v>2972</v>
      </c>
      <c r="C3627" s="12" t="s">
        <v>3341</v>
      </c>
      <c r="D3627" s="25"/>
      <c r="E3627" s="41" t="str">
        <f>HYPERLINK("https://www.google.ru/search?q=1374644-003&amp;newwindow=1&amp;tbm=isch","Еще фото")</f>
        <v>Еще фото</v>
      </c>
      <c r="F3627" s="13" t="s">
        <v>152</v>
      </c>
      <c r="G3627" s="11" t="s">
        <v>2966</v>
      </c>
      <c r="H3627" s="11" t="s">
        <v>27</v>
      </c>
      <c r="I3627" s="14" t="s">
        <v>2940</v>
      </c>
      <c r="J3627" s="14" t="s">
        <v>29</v>
      </c>
      <c r="K3627" s="15" t="s">
        <v>30</v>
      </c>
      <c r="L3627" s="14" t="s">
        <v>2974</v>
      </c>
      <c r="M3627" s="14"/>
      <c r="N3627" s="14" t="s">
        <v>33</v>
      </c>
      <c r="O3627" s="14"/>
      <c r="P3627" s="15" t="s">
        <v>248</v>
      </c>
      <c r="Q3627" s="16">
        <v>18699</v>
      </c>
      <c r="R3627" s="17">
        <v>40</v>
      </c>
      <c r="S3627" s="18">
        <v>12902.31</v>
      </c>
      <c r="T3627" s="19" t="s">
        <v>36</v>
      </c>
      <c r="U3627" s="20" t="s">
        <v>37</v>
      </c>
      <c r="V3627" s="21" t="s">
        <v>38</v>
      </c>
      <c r="W3627" s="22">
        <v>2</v>
      </c>
      <c r="X3627" s="23"/>
    </row>
    <row r="3628" spans="1:24" s="1" customFormat="1" ht="108" customHeight="1" x14ac:dyDescent="0.3">
      <c r="A3628" s="11" t="s">
        <v>23</v>
      </c>
      <c r="B3628" s="11" t="s">
        <v>2972</v>
      </c>
      <c r="C3628" s="12" t="s">
        <v>3342</v>
      </c>
      <c r="D3628" s="25"/>
      <c r="E3628" s="41" t="str">
        <f>HYPERLINK("https://www.google.ru/search?q=1374644-026&amp;newwindow=1&amp;tbm=isch","Еще фото")</f>
        <v>Еще фото</v>
      </c>
      <c r="F3628" s="13"/>
      <c r="G3628" s="11" t="s">
        <v>2966</v>
      </c>
      <c r="H3628" s="11" t="s">
        <v>27</v>
      </c>
      <c r="I3628" s="14" t="s">
        <v>2940</v>
      </c>
      <c r="J3628" s="14" t="s">
        <v>29</v>
      </c>
      <c r="K3628" s="15" t="s">
        <v>30</v>
      </c>
      <c r="L3628" s="14" t="s">
        <v>2974</v>
      </c>
      <c r="M3628" s="14"/>
      <c r="N3628" s="14" t="s">
        <v>62</v>
      </c>
      <c r="O3628" s="14"/>
      <c r="P3628" s="15" t="s">
        <v>248</v>
      </c>
      <c r="Q3628" s="16">
        <v>14499</v>
      </c>
      <c r="R3628" s="17">
        <v>40</v>
      </c>
      <c r="S3628" s="18">
        <v>10004.31</v>
      </c>
      <c r="T3628" s="19" t="s">
        <v>36</v>
      </c>
      <c r="U3628" s="20" t="s">
        <v>37</v>
      </c>
      <c r="V3628" s="21" t="s">
        <v>38</v>
      </c>
      <c r="W3628" s="22">
        <v>1</v>
      </c>
      <c r="X3628" s="23"/>
    </row>
    <row r="3629" spans="1:24" s="1" customFormat="1" ht="108" customHeight="1" x14ac:dyDescent="0.3">
      <c r="A3629" s="11" t="s">
        <v>23</v>
      </c>
      <c r="B3629" s="11" t="s">
        <v>3343</v>
      </c>
      <c r="C3629" s="12" t="s">
        <v>3344</v>
      </c>
      <c r="D3629" s="25"/>
      <c r="E3629" s="41" t="str">
        <f>HYPERLINK("https://www.google.ru/search?q=1374889-001&amp;newwindow=1&amp;tbm=isch","Еще фото")</f>
        <v>Еще фото</v>
      </c>
      <c r="F3629" s="13" t="s">
        <v>152</v>
      </c>
      <c r="G3629" s="11" t="s">
        <v>2966</v>
      </c>
      <c r="H3629" s="11" t="s">
        <v>27</v>
      </c>
      <c r="I3629" s="14" t="s">
        <v>2940</v>
      </c>
      <c r="J3629" s="14" t="s">
        <v>29</v>
      </c>
      <c r="K3629" s="15" t="s">
        <v>59</v>
      </c>
      <c r="L3629" s="14" t="s">
        <v>3345</v>
      </c>
      <c r="M3629" s="14" t="s">
        <v>32</v>
      </c>
      <c r="N3629" s="14" t="s">
        <v>33</v>
      </c>
      <c r="O3629" s="14"/>
      <c r="P3629" s="15" t="s">
        <v>213</v>
      </c>
      <c r="Q3629" s="16">
        <v>10999</v>
      </c>
      <c r="R3629" s="17">
        <v>40</v>
      </c>
      <c r="S3629" s="18">
        <v>7589.3099999999986</v>
      </c>
      <c r="T3629" s="19" t="s">
        <v>36</v>
      </c>
      <c r="U3629" s="20" t="s">
        <v>37</v>
      </c>
      <c r="V3629" s="21" t="s">
        <v>106</v>
      </c>
      <c r="W3629" s="22">
        <v>1</v>
      </c>
      <c r="X3629" s="23"/>
    </row>
    <row r="3630" spans="1:24" s="1" customFormat="1" ht="108" customHeight="1" x14ac:dyDescent="0.3">
      <c r="A3630" s="11" t="s">
        <v>23</v>
      </c>
      <c r="B3630" s="11" t="s">
        <v>3346</v>
      </c>
      <c r="C3630" s="12" t="s">
        <v>3347</v>
      </c>
      <c r="D3630" s="25"/>
      <c r="E3630" s="41" t="str">
        <f>HYPERLINK("https://www.google.ru/search?q=1376794-015&amp;newwindow=1&amp;tbm=isch","Еще фото")</f>
        <v>Еще фото</v>
      </c>
      <c r="F3630" s="13"/>
      <c r="G3630" s="11" t="s">
        <v>2966</v>
      </c>
      <c r="H3630" s="11" t="s">
        <v>27</v>
      </c>
      <c r="I3630" s="14" t="s">
        <v>2940</v>
      </c>
      <c r="J3630" s="14" t="s">
        <v>29</v>
      </c>
      <c r="K3630" s="15" t="s">
        <v>30</v>
      </c>
      <c r="L3630" s="14" t="s">
        <v>3348</v>
      </c>
      <c r="M3630" s="14" t="s">
        <v>32</v>
      </c>
      <c r="N3630" s="14" t="s">
        <v>69</v>
      </c>
      <c r="O3630" s="14"/>
      <c r="P3630" s="15" t="s">
        <v>53</v>
      </c>
      <c r="Q3630" s="16">
        <v>12499</v>
      </c>
      <c r="R3630" s="17">
        <v>40</v>
      </c>
      <c r="S3630" s="18">
        <v>8624.31</v>
      </c>
      <c r="T3630" s="19" t="s">
        <v>36</v>
      </c>
      <c r="U3630" s="20" t="s">
        <v>39</v>
      </c>
      <c r="V3630" s="21" t="s">
        <v>40</v>
      </c>
      <c r="W3630" s="22">
        <v>4</v>
      </c>
      <c r="X3630" s="23"/>
    </row>
    <row r="3631" spans="1:24" s="1" customFormat="1" ht="108" customHeight="1" x14ac:dyDescent="0.3">
      <c r="A3631" s="11" t="s">
        <v>23</v>
      </c>
      <c r="B3631" s="11" t="s">
        <v>3349</v>
      </c>
      <c r="C3631" s="12" t="s">
        <v>3350</v>
      </c>
      <c r="D3631" s="25"/>
      <c r="E3631" s="41" t="str">
        <f>HYPERLINK("https://www.google.ru/search?q=1376794-025&amp;newwindow=1&amp;tbm=isch","Еще фото")</f>
        <v>Еще фото</v>
      </c>
      <c r="F3631" s="13" t="s">
        <v>152</v>
      </c>
      <c r="G3631" s="11" t="s">
        <v>2966</v>
      </c>
      <c r="H3631" s="11" t="s">
        <v>27</v>
      </c>
      <c r="I3631" s="14" t="s">
        <v>2940</v>
      </c>
      <c r="J3631" s="14" t="s">
        <v>29</v>
      </c>
      <c r="K3631" s="15" t="s">
        <v>30</v>
      </c>
      <c r="L3631" s="14" t="s">
        <v>3351</v>
      </c>
      <c r="M3631" s="14" t="s">
        <v>32</v>
      </c>
      <c r="N3631" s="14" t="s">
        <v>62</v>
      </c>
      <c r="O3631" s="14"/>
      <c r="P3631" s="15" t="s">
        <v>53</v>
      </c>
      <c r="Q3631" s="16">
        <v>12699</v>
      </c>
      <c r="R3631" s="17">
        <v>40</v>
      </c>
      <c r="S3631" s="18">
        <v>8762.31</v>
      </c>
      <c r="T3631" s="19" t="s">
        <v>36</v>
      </c>
      <c r="U3631" s="20" t="s">
        <v>37</v>
      </c>
      <c r="V3631" s="21" t="s">
        <v>38</v>
      </c>
      <c r="W3631" s="22">
        <v>8</v>
      </c>
      <c r="X3631" s="23"/>
    </row>
    <row r="3632" spans="1:24" s="1" customFormat="1" ht="108" customHeight="1" x14ac:dyDescent="0.3">
      <c r="A3632" s="11" t="s">
        <v>23</v>
      </c>
      <c r="B3632" s="11" t="s">
        <v>3346</v>
      </c>
      <c r="C3632" s="12" t="s">
        <v>3352</v>
      </c>
      <c r="D3632" s="25"/>
      <c r="E3632" s="41" t="str">
        <f>HYPERLINK("https://www.google.ru/search?q=1376794-348&amp;newwindow=1&amp;tbm=isch","Еще фото")</f>
        <v>Еще фото</v>
      </c>
      <c r="F3632" s="13"/>
      <c r="G3632" s="11" t="s">
        <v>2966</v>
      </c>
      <c r="H3632" s="11" t="s">
        <v>27</v>
      </c>
      <c r="I3632" s="14" t="s">
        <v>2940</v>
      </c>
      <c r="J3632" s="14" t="s">
        <v>29</v>
      </c>
      <c r="K3632" s="15" t="s">
        <v>30</v>
      </c>
      <c r="L3632" s="14" t="s">
        <v>3348</v>
      </c>
      <c r="M3632" s="14" t="s">
        <v>32</v>
      </c>
      <c r="N3632" s="14" t="s">
        <v>127</v>
      </c>
      <c r="O3632" s="14"/>
      <c r="P3632" s="15" t="s">
        <v>53</v>
      </c>
      <c r="Q3632" s="16">
        <v>11099</v>
      </c>
      <c r="R3632" s="17">
        <v>40</v>
      </c>
      <c r="S3632" s="18">
        <v>7658.3099999999986</v>
      </c>
      <c r="T3632" s="19" t="s">
        <v>36</v>
      </c>
      <c r="U3632" s="20" t="s">
        <v>37</v>
      </c>
      <c r="V3632" s="21" t="s">
        <v>38</v>
      </c>
      <c r="W3632" s="22">
        <v>6</v>
      </c>
      <c r="X3632" s="23"/>
    </row>
    <row r="3633" spans="1:24" s="1" customFormat="1" ht="52.05" customHeight="1" x14ac:dyDescent="0.3">
      <c r="A3633" s="11" t="s">
        <v>23</v>
      </c>
      <c r="B3633" s="11" t="s">
        <v>3349</v>
      </c>
      <c r="C3633" s="12" t="s">
        <v>3353</v>
      </c>
      <c r="D3633" s="55"/>
      <c r="E3633" s="41" t="str">
        <f>HYPERLINK("https://www.google.ru/search?q=1376794-743&amp;newwindow=1&amp;tbm=isch","Еще фото")</f>
        <v>Еще фото</v>
      </c>
      <c r="F3633" s="13"/>
      <c r="G3633" s="11" t="s">
        <v>2966</v>
      </c>
      <c r="H3633" s="11" t="s">
        <v>27</v>
      </c>
      <c r="I3633" s="14" t="s">
        <v>2940</v>
      </c>
      <c r="J3633" s="14" t="s">
        <v>29</v>
      </c>
      <c r="K3633" s="15" t="s">
        <v>30</v>
      </c>
      <c r="L3633" s="57" t="s">
        <v>3351</v>
      </c>
      <c r="M3633" s="14" t="s">
        <v>32</v>
      </c>
      <c r="N3633" s="14" t="s">
        <v>1165</v>
      </c>
      <c r="O3633" s="14"/>
      <c r="P3633" s="15" t="s">
        <v>1008</v>
      </c>
      <c r="Q3633" s="16">
        <v>13999</v>
      </c>
      <c r="R3633" s="17">
        <v>40</v>
      </c>
      <c r="S3633" s="18">
        <v>9659.31</v>
      </c>
      <c r="T3633" s="19" t="s">
        <v>36</v>
      </c>
      <c r="U3633" s="20" t="s">
        <v>39</v>
      </c>
      <c r="V3633" s="21" t="s">
        <v>40</v>
      </c>
      <c r="W3633" s="22">
        <v>4</v>
      </c>
      <c r="X3633" s="23"/>
    </row>
    <row r="3634" spans="1:24" s="1" customFormat="1" ht="61.05" customHeight="1" x14ac:dyDescent="0.3">
      <c r="A3634" s="24" t="s">
        <v>23</v>
      </c>
      <c r="B3634" s="24" t="s">
        <v>3349</v>
      </c>
      <c r="C3634" s="12" t="s">
        <v>3353</v>
      </c>
      <c r="D3634" s="56"/>
      <c r="E3634" s="41" t="str">
        <f>HYPERLINK("https://www.google.ru/search?q=1376794-743&amp;newwindow=1&amp;tbm=isch","Еще фото")</f>
        <v>Еще фото</v>
      </c>
      <c r="F3634" s="13"/>
      <c r="G3634" s="24" t="s">
        <v>2966</v>
      </c>
      <c r="H3634" s="24" t="s">
        <v>27</v>
      </c>
      <c r="I3634" s="24" t="s">
        <v>2940</v>
      </c>
      <c r="J3634" s="14" t="s">
        <v>29</v>
      </c>
      <c r="K3634" s="15" t="s">
        <v>30</v>
      </c>
      <c r="L3634" s="58"/>
      <c r="M3634" s="14" t="s">
        <v>32</v>
      </c>
      <c r="N3634" s="14" t="s">
        <v>1165</v>
      </c>
      <c r="O3634" s="14"/>
      <c r="P3634" s="15" t="s">
        <v>1008</v>
      </c>
      <c r="Q3634" s="16">
        <v>13999</v>
      </c>
      <c r="R3634" s="17">
        <v>40</v>
      </c>
      <c r="S3634" s="18">
        <v>9659.31</v>
      </c>
      <c r="T3634" s="19" t="s">
        <v>36</v>
      </c>
      <c r="U3634" s="20" t="s">
        <v>86</v>
      </c>
      <c r="V3634" s="21" t="s">
        <v>87</v>
      </c>
      <c r="W3634" s="22">
        <v>1</v>
      </c>
      <c r="X3634" s="23"/>
    </row>
    <row r="3635" spans="1:24" s="1" customFormat="1" ht="108" customHeight="1" x14ac:dyDescent="0.3">
      <c r="A3635" s="11" t="s">
        <v>23</v>
      </c>
      <c r="B3635" s="11" t="s">
        <v>3354</v>
      </c>
      <c r="C3635" s="12" t="s">
        <v>3355</v>
      </c>
      <c r="D3635" s="25"/>
      <c r="E3635" s="41" t="str">
        <f>HYPERLINK("https://www.google.ru/search?q=1376795-025&amp;newwindow=1&amp;tbm=isch","Еще фото")</f>
        <v>Еще фото</v>
      </c>
      <c r="F3635" s="13"/>
      <c r="G3635" s="11" t="s">
        <v>2966</v>
      </c>
      <c r="H3635" s="11" t="s">
        <v>27</v>
      </c>
      <c r="I3635" s="14" t="s">
        <v>2940</v>
      </c>
      <c r="J3635" s="14" t="s">
        <v>29</v>
      </c>
      <c r="K3635" s="15" t="s">
        <v>30</v>
      </c>
      <c r="L3635" s="14" t="s">
        <v>3205</v>
      </c>
      <c r="M3635" s="14" t="s">
        <v>32</v>
      </c>
      <c r="N3635" s="14" t="s">
        <v>62</v>
      </c>
      <c r="O3635" s="14"/>
      <c r="P3635" s="15" t="s">
        <v>47</v>
      </c>
      <c r="Q3635" s="16">
        <v>9199</v>
      </c>
      <c r="R3635" s="17">
        <v>40</v>
      </c>
      <c r="S3635" s="18">
        <v>6347.3099999999995</v>
      </c>
      <c r="T3635" s="19" t="s">
        <v>36</v>
      </c>
      <c r="U3635" s="20" t="s">
        <v>86</v>
      </c>
      <c r="V3635" s="21" t="s">
        <v>87</v>
      </c>
      <c r="W3635" s="22">
        <v>1</v>
      </c>
      <c r="X3635" s="23"/>
    </row>
    <row r="3636" spans="1:24" s="1" customFormat="1" ht="108" customHeight="1" x14ac:dyDescent="0.3">
      <c r="A3636" s="11" t="s">
        <v>23</v>
      </c>
      <c r="B3636" s="11" t="s">
        <v>3356</v>
      </c>
      <c r="C3636" s="12" t="s">
        <v>3357</v>
      </c>
      <c r="D3636" s="25"/>
      <c r="E3636" s="41" t="str">
        <f>HYPERLINK("https://www.google.ru/search?q=1377398-504&amp;newwindow=1&amp;tbm=isch","Еще фото")</f>
        <v>Еще фото</v>
      </c>
      <c r="F3636" s="13"/>
      <c r="G3636" s="11" t="s">
        <v>2945</v>
      </c>
      <c r="H3636" s="11" t="s">
        <v>27</v>
      </c>
      <c r="I3636" s="14" t="s">
        <v>2940</v>
      </c>
      <c r="J3636" s="14" t="s">
        <v>211</v>
      </c>
      <c r="K3636" s="15" t="s">
        <v>30</v>
      </c>
      <c r="L3636" s="14" t="s">
        <v>3358</v>
      </c>
      <c r="M3636" s="14" t="s">
        <v>32</v>
      </c>
      <c r="N3636" s="14" t="s">
        <v>3359</v>
      </c>
      <c r="O3636" s="14"/>
      <c r="P3636" s="15" t="s">
        <v>1008</v>
      </c>
      <c r="Q3636" s="16">
        <v>10999</v>
      </c>
      <c r="R3636" s="17">
        <v>40</v>
      </c>
      <c r="S3636" s="18">
        <v>7589.3099999999986</v>
      </c>
      <c r="T3636" s="19" t="s">
        <v>36</v>
      </c>
      <c r="U3636" s="20" t="s">
        <v>86</v>
      </c>
      <c r="V3636" s="21" t="s">
        <v>87</v>
      </c>
      <c r="W3636" s="22">
        <v>1</v>
      </c>
      <c r="X3636" s="23"/>
    </row>
    <row r="3637" spans="1:24" s="1" customFormat="1" ht="108" customHeight="1" x14ac:dyDescent="0.3">
      <c r="A3637" s="11" t="s">
        <v>23</v>
      </c>
      <c r="B3637" s="11" t="s">
        <v>2993</v>
      </c>
      <c r="C3637" s="12" t="s">
        <v>3360</v>
      </c>
      <c r="D3637" s="25"/>
      <c r="E3637" s="41" t="str">
        <f>HYPERLINK("https://www.google.ru/search?q=1378495-001&amp;newwindow=1&amp;tbm=isch","Еще фото")</f>
        <v>Еще фото</v>
      </c>
      <c r="F3637" s="13"/>
      <c r="G3637" s="11" t="s">
        <v>2966</v>
      </c>
      <c r="H3637" s="11" t="s">
        <v>27</v>
      </c>
      <c r="I3637" s="14" t="s">
        <v>2940</v>
      </c>
      <c r="J3637" s="14" t="s">
        <v>29</v>
      </c>
      <c r="K3637" s="15" t="s">
        <v>30</v>
      </c>
      <c r="L3637" s="14" t="s">
        <v>2995</v>
      </c>
      <c r="M3637" s="14" t="s">
        <v>32</v>
      </c>
      <c r="N3637" s="14" t="s">
        <v>33</v>
      </c>
      <c r="O3637" s="14"/>
      <c r="P3637" s="15" t="s">
        <v>47</v>
      </c>
      <c r="Q3637" s="16">
        <v>21999</v>
      </c>
      <c r="R3637" s="17">
        <v>40</v>
      </c>
      <c r="S3637" s="18">
        <v>15179.309999999998</v>
      </c>
      <c r="T3637" s="19" t="s">
        <v>36</v>
      </c>
      <c r="U3637" s="20" t="s">
        <v>37</v>
      </c>
      <c r="V3637" s="21" t="s">
        <v>38</v>
      </c>
      <c r="W3637" s="22">
        <v>3</v>
      </c>
      <c r="X3637" s="23"/>
    </row>
    <row r="3638" spans="1:24" s="1" customFormat="1" ht="26" customHeight="1" x14ac:dyDescent="0.3">
      <c r="A3638" s="11" t="s">
        <v>23</v>
      </c>
      <c r="B3638" s="11" t="s">
        <v>3361</v>
      </c>
      <c r="C3638" s="12" t="s">
        <v>3362</v>
      </c>
      <c r="D3638" s="59"/>
      <c r="E3638" s="41" t="str">
        <f>HYPERLINK("https://www.google.ru/search?q=1379157-001&amp;newwindow=1&amp;tbm=isch","Еще фото")</f>
        <v>Еще фото</v>
      </c>
      <c r="F3638" s="13" t="s">
        <v>103</v>
      </c>
      <c r="G3638" s="11" t="s">
        <v>2966</v>
      </c>
      <c r="H3638" s="11" t="s">
        <v>27</v>
      </c>
      <c r="I3638" s="14" t="s">
        <v>2940</v>
      </c>
      <c r="J3638" s="14" t="s">
        <v>29</v>
      </c>
      <c r="K3638" s="15" t="s">
        <v>59</v>
      </c>
      <c r="L3638" s="57" t="s">
        <v>3363</v>
      </c>
      <c r="M3638" s="14"/>
      <c r="N3638" s="14" t="s">
        <v>33</v>
      </c>
      <c r="O3638" s="14"/>
      <c r="P3638" s="15" t="s">
        <v>458</v>
      </c>
      <c r="Q3638" s="16">
        <v>8199</v>
      </c>
      <c r="R3638" s="17">
        <v>40</v>
      </c>
      <c r="S3638" s="18">
        <v>5657.3099999999995</v>
      </c>
      <c r="T3638" s="19" t="s">
        <v>36</v>
      </c>
      <c r="U3638" s="20" t="s">
        <v>63</v>
      </c>
      <c r="V3638" s="21" t="s">
        <v>64</v>
      </c>
      <c r="W3638" s="22">
        <v>14</v>
      </c>
      <c r="X3638" s="23"/>
    </row>
    <row r="3639" spans="1:24" s="1" customFormat="1" ht="26" customHeight="1" x14ac:dyDescent="0.3">
      <c r="A3639" s="24" t="s">
        <v>23</v>
      </c>
      <c r="B3639" s="24" t="s">
        <v>3361</v>
      </c>
      <c r="C3639" s="12" t="s">
        <v>3362</v>
      </c>
      <c r="D3639" s="60"/>
      <c r="E3639" s="41" t="str">
        <f>HYPERLINK("https://www.google.ru/search?q=1379157-001&amp;newwindow=1&amp;tbm=isch","Еще фото")</f>
        <v>Еще фото</v>
      </c>
      <c r="F3639" s="13" t="s">
        <v>103</v>
      </c>
      <c r="G3639" s="24" t="s">
        <v>2966</v>
      </c>
      <c r="H3639" s="24" t="s">
        <v>27</v>
      </c>
      <c r="I3639" s="24" t="s">
        <v>2940</v>
      </c>
      <c r="J3639" s="14" t="s">
        <v>29</v>
      </c>
      <c r="K3639" s="15" t="s">
        <v>59</v>
      </c>
      <c r="L3639" s="62"/>
      <c r="M3639" s="14"/>
      <c r="N3639" s="14" t="s">
        <v>33</v>
      </c>
      <c r="O3639" s="14"/>
      <c r="P3639" s="15" t="s">
        <v>458</v>
      </c>
      <c r="Q3639" s="16">
        <v>8199</v>
      </c>
      <c r="R3639" s="17">
        <v>40</v>
      </c>
      <c r="S3639" s="18">
        <v>5657.3099999999995</v>
      </c>
      <c r="T3639" s="19" t="s">
        <v>36</v>
      </c>
      <c r="U3639" s="20" t="s">
        <v>37</v>
      </c>
      <c r="V3639" s="21" t="s">
        <v>106</v>
      </c>
      <c r="W3639" s="22">
        <v>19</v>
      </c>
      <c r="X3639" s="23"/>
    </row>
    <row r="3640" spans="1:24" s="1" customFormat="1" ht="26" customHeight="1" x14ac:dyDescent="0.3">
      <c r="A3640" s="24" t="s">
        <v>23</v>
      </c>
      <c r="B3640" s="24" t="s">
        <v>3361</v>
      </c>
      <c r="C3640" s="12" t="s">
        <v>3362</v>
      </c>
      <c r="D3640" s="60"/>
      <c r="E3640" s="41" t="str">
        <f>HYPERLINK("https://www.google.ru/search?q=1379157-001&amp;newwindow=1&amp;tbm=isch","Еще фото")</f>
        <v>Еще фото</v>
      </c>
      <c r="F3640" s="13" t="s">
        <v>103</v>
      </c>
      <c r="G3640" s="24" t="s">
        <v>2966</v>
      </c>
      <c r="H3640" s="24" t="s">
        <v>27</v>
      </c>
      <c r="I3640" s="24" t="s">
        <v>2940</v>
      </c>
      <c r="J3640" s="14" t="s">
        <v>29</v>
      </c>
      <c r="K3640" s="15" t="s">
        <v>59</v>
      </c>
      <c r="L3640" s="62"/>
      <c r="M3640" s="14"/>
      <c r="N3640" s="14" t="s">
        <v>33</v>
      </c>
      <c r="O3640" s="14"/>
      <c r="P3640" s="15" t="s">
        <v>458</v>
      </c>
      <c r="Q3640" s="16">
        <v>8199</v>
      </c>
      <c r="R3640" s="17">
        <v>40</v>
      </c>
      <c r="S3640" s="18">
        <v>5657.3099999999995</v>
      </c>
      <c r="T3640" s="19" t="s">
        <v>36</v>
      </c>
      <c r="U3640" s="20" t="s">
        <v>39</v>
      </c>
      <c r="V3640" s="21" t="s">
        <v>85</v>
      </c>
      <c r="W3640" s="22">
        <v>20</v>
      </c>
      <c r="X3640" s="23"/>
    </row>
    <row r="3641" spans="1:24" s="1" customFormat="1" ht="26" customHeight="1" x14ac:dyDescent="0.3">
      <c r="A3641" s="24" t="s">
        <v>23</v>
      </c>
      <c r="B3641" s="24" t="s">
        <v>3361</v>
      </c>
      <c r="C3641" s="12" t="s">
        <v>3362</v>
      </c>
      <c r="D3641" s="61"/>
      <c r="E3641" s="41" t="str">
        <f>HYPERLINK("https://www.google.ru/search?q=1379157-001&amp;newwindow=1&amp;tbm=isch","Еще фото")</f>
        <v>Еще фото</v>
      </c>
      <c r="F3641" s="13" t="s">
        <v>103</v>
      </c>
      <c r="G3641" s="24" t="s">
        <v>2966</v>
      </c>
      <c r="H3641" s="24" t="s">
        <v>27</v>
      </c>
      <c r="I3641" s="24" t="s">
        <v>2940</v>
      </c>
      <c r="J3641" s="14" t="s">
        <v>29</v>
      </c>
      <c r="K3641" s="15" t="s">
        <v>59</v>
      </c>
      <c r="L3641" s="58"/>
      <c r="M3641" s="14"/>
      <c r="N3641" s="14" t="s">
        <v>33</v>
      </c>
      <c r="O3641" s="14"/>
      <c r="P3641" s="15" t="s">
        <v>458</v>
      </c>
      <c r="Q3641" s="16">
        <v>8199</v>
      </c>
      <c r="R3641" s="17">
        <v>40</v>
      </c>
      <c r="S3641" s="18">
        <v>5657.3099999999995</v>
      </c>
      <c r="T3641" s="19" t="s">
        <v>36</v>
      </c>
      <c r="U3641" s="20" t="s">
        <v>86</v>
      </c>
      <c r="V3641" s="21" t="s">
        <v>38</v>
      </c>
      <c r="W3641" s="22">
        <v>17</v>
      </c>
      <c r="X3641" s="23"/>
    </row>
    <row r="3642" spans="1:24" s="1" customFormat="1" ht="21" customHeight="1" x14ac:dyDescent="0.3">
      <c r="A3642" s="11" t="s">
        <v>23</v>
      </c>
      <c r="B3642" s="11" t="s">
        <v>3364</v>
      </c>
      <c r="C3642" s="26" t="s">
        <v>3365</v>
      </c>
      <c r="D3642" s="59"/>
      <c r="E3642" s="41" t="str">
        <f>HYPERLINK("https://www.google.ru/search?q=1379288-001&amp;newwindow=1&amp;tbm=isch","Еще фото")</f>
        <v>Еще фото</v>
      </c>
      <c r="F3642" s="13" t="s">
        <v>103</v>
      </c>
      <c r="G3642" s="11" t="s">
        <v>2945</v>
      </c>
      <c r="H3642" s="11" t="s">
        <v>27</v>
      </c>
      <c r="I3642" s="14" t="s">
        <v>2940</v>
      </c>
      <c r="J3642" s="14" t="s">
        <v>29</v>
      </c>
      <c r="K3642" s="15" t="s">
        <v>30</v>
      </c>
      <c r="L3642" s="57" t="s">
        <v>3366</v>
      </c>
      <c r="M3642" s="14"/>
      <c r="N3642" s="14" t="s">
        <v>33</v>
      </c>
      <c r="O3642" s="14"/>
      <c r="P3642" s="15" t="s">
        <v>1008</v>
      </c>
      <c r="Q3642" s="16">
        <v>7599</v>
      </c>
      <c r="R3642" s="17">
        <v>40</v>
      </c>
      <c r="S3642" s="18">
        <v>5243.3099999999995</v>
      </c>
      <c r="T3642" s="19" t="s">
        <v>36</v>
      </c>
      <c r="U3642" s="20" t="s">
        <v>37</v>
      </c>
      <c r="V3642" s="21" t="s">
        <v>38</v>
      </c>
      <c r="W3642" s="22">
        <v>14</v>
      </c>
      <c r="X3642" s="23"/>
    </row>
    <row r="3643" spans="1:24" s="1" customFormat="1" ht="21" customHeight="1" x14ac:dyDescent="0.3">
      <c r="A3643" s="24" t="s">
        <v>23</v>
      </c>
      <c r="B3643" s="24" t="s">
        <v>3364</v>
      </c>
      <c r="C3643" s="27" t="s">
        <v>3365</v>
      </c>
      <c r="D3643" s="60"/>
      <c r="E3643" s="41" t="str">
        <f>HYPERLINK("https://www.google.ru/search?q=1379288-001&amp;newwindow=1&amp;tbm=isch","Еще фото")</f>
        <v>Еще фото</v>
      </c>
      <c r="F3643" s="13" t="s">
        <v>103</v>
      </c>
      <c r="G3643" s="24" t="s">
        <v>2945</v>
      </c>
      <c r="H3643" s="24" t="s">
        <v>27</v>
      </c>
      <c r="I3643" s="24" t="s">
        <v>2940</v>
      </c>
      <c r="J3643" s="14" t="s">
        <v>29</v>
      </c>
      <c r="K3643" s="15" t="s">
        <v>30</v>
      </c>
      <c r="L3643" s="62"/>
      <c r="M3643" s="14"/>
      <c r="N3643" s="14" t="s">
        <v>33</v>
      </c>
      <c r="O3643" s="14"/>
      <c r="P3643" s="15" t="s">
        <v>1008</v>
      </c>
      <c r="Q3643" s="16">
        <v>7599</v>
      </c>
      <c r="R3643" s="17">
        <v>40</v>
      </c>
      <c r="S3643" s="18">
        <v>5243.3099999999995</v>
      </c>
      <c r="T3643" s="19" t="s">
        <v>36</v>
      </c>
      <c r="U3643" s="20" t="s">
        <v>39</v>
      </c>
      <c r="V3643" s="21" t="s">
        <v>40</v>
      </c>
      <c r="W3643" s="22">
        <v>17</v>
      </c>
      <c r="X3643" s="23"/>
    </row>
    <row r="3644" spans="1:24" s="1" customFormat="1" ht="21" customHeight="1" x14ac:dyDescent="0.3">
      <c r="A3644" s="24" t="s">
        <v>23</v>
      </c>
      <c r="B3644" s="24" t="s">
        <v>3364</v>
      </c>
      <c r="C3644" s="27" t="s">
        <v>3365</v>
      </c>
      <c r="D3644" s="60"/>
      <c r="E3644" s="41" t="str">
        <f>HYPERLINK("https://www.google.ru/search?q=1379288-001&amp;newwindow=1&amp;tbm=isch","Еще фото")</f>
        <v>Еще фото</v>
      </c>
      <c r="F3644" s="13" t="s">
        <v>103</v>
      </c>
      <c r="G3644" s="24" t="s">
        <v>2945</v>
      </c>
      <c r="H3644" s="24" t="s">
        <v>27</v>
      </c>
      <c r="I3644" s="24" t="s">
        <v>2940</v>
      </c>
      <c r="J3644" s="14" t="s">
        <v>29</v>
      </c>
      <c r="K3644" s="15" t="s">
        <v>30</v>
      </c>
      <c r="L3644" s="62"/>
      <c r="M3644" s="14"/>
      <c r="N3644" s="14" t="s">
        <v>33</v>
      </c>
      <c r="O3644" s="14"/>
      <c r="P3644" s="15" t="s">
        <v>1008</v>
      </c>
      <c r="Q3644" s="16">
        <v>7599</v>
      </c>
      <c r="R3644" s="17">
        <v>40</v>
      </c>
      <c r="S3644" s="18">
        <v>5243.3099999999995</v>
      </c>
      <c r="T3644" s="19" t="s">
        <v>36</v>
      </c>
      <c r="U3644" s="20" t="s">
        <v>86</v>
      </c>
      <c r="V3644" s="21" t="s">
        <v>87</v>
      </c>
      <c r="W3644" s="22">
        <v>21</v>
      </c>
      <c r="X3644" s="23"/>
    </row>
    <row r="3645" spans="1:24" s="1" customFormat="1" ht="21" customHeight="1" x14ac:dyDescent="0.3">
      <c r="A3645" s="24" t="s">
        <v>23</v>
      </c>
      <c r="B3645" s="24" t="s">
        <v>3364</v>
      </c>
      <c r="C3645" s="27" t="s">
        <v>3365</v>
      </c>
      <c r="D3645" s="60"/>
      <c r="E3645" s="41" t="str">
        <f>HYPERLINK("https://www.google.ru/search?q=1379288-001&amp;newwindow=1&amp;tbm=isch","Еще фото")</f>
        <v>Еще фото</v>
      </c>
      <c r="F3645" s="13" t="s">
        <v>103</v>
      </c>
      <c r="G3645" s="24" t="s">
        <v>2945</v>
      </c>
      <c r="H3645" s="24" t="s">
        <v>27</v>
      </c>
      <c r="I3645" s="24" t="s">
        <v>2940</v>
      </c>
      <c r="J3645" s="14" t="s">
        <v>29</v>
      </c>
      <c r="K3645" s="15" t="s">
        <v>30</v>
      </c>
      <c r="L3645" s="62"/>
      <c r="M3645" s="14"/>
      <c r="N3645" s="14" t="s">
        <v>33</v>
      </c>
      <c r="O3645" s="14"/>
      <c r="P3645" s="15" t="s">
        <v>1008</v>
      </c>
      <c r="Q3645" s="16">
        <v>7599</v>
      </c>
      <c r="R3645" s="17">
        <v>40</v>
      </c>
      <c r="S3645" s="18">
        <v>5243.3099999999995</v>
      </c>
      <c r="T3645" s="19" t="s">
        <v>36</v>
      </c>
      <c r="U3645" s="20" t="s">
        <v>88</v>
      </c>
      <c r="V3645" s="21" t="s">
        <v>89</v>
      </c>
      <c r="W3645" s="22">
        <v>11</v>
      </c>
      <c r="X3645" s="23"/>
    </row>
    <row r="3646" spans="1:24" s="1" customFormat="1" ht="32" customHeight="1" x14ac:dyDescent="0.3">
      <c r="A3646" s="24" t="s">
        <v>23</v>
      </c>
      <c r="B3646" s="24" t="s">
        <v>3364</v>
      </c>
      <c r="C3646" s="27" t="s">
        <v>3365</v>
      </c>
      <c r="D3646" s="61"/>
      <c r="E3646" s="41" t="str">
        <f>HYPERLINK("https://www.google.ru/search?q=1379288-001&amp;newwindow=1&amp;tbm=isch","Еще фото")</f>
        <v>Еще фото</v>
      </c>
      <c r="F3646" s="13" t="s">
        <v>103</v>
      </c>
      <c r="G3646" s="24" t="s">
        <v>2945</v>
      </c>
      <c r="H3646" s="24" t="s">
        <v>27</v>
      </c>
      <c r="I3646" s="24" t="s">
        <v>2940</v>
      </c>
      <c r="J3646" s="14" t="s">
        <v>29</v>
      </c>
      <c r="K3646" s="15" t="s">
        <v>30</v>
      </c>
      <c r="L3646" s="58"/>
      <c r="M3646" s="14"/>
      <c r="N3646" s="14" t="s">
        <v>33</v>
      </c>
      <c r="O3646" s="14"/>
      <c r="P3646" s="15" t="s">
        <v>1008</v>
      </c>
      <c r="Q3646" s="16">
        <v>7599</v>
      </c>
      <c r="R3646" s="17">
        <v>40</v>
      </c>
      <c r="S3646" s="18">
        <v>5243.3099999999995</v>
      </c>
      <c r="T3646" s="19" t="s">
        <v>36</v>
      </c>
      <c r="U3646" s="20" t="s">
        <v>90</v>
      </c>
      <c r="V3646" s="21" t="s">
        <v>91</v>
      </c>
      <c r="W3646" s="22">
        <v>10</v>
      </c>
      <c r="X3646" s="23"/>
    </row>
    <row r="3647" spans="1:24" s="1" customFormat="1" ht="108" customHeight="1" x14ac:dyDescent="0.3">
      <c r="A3647" s="11" t="s">
        <v>23</v>
      </c>
      <c r="B3647" s="11" t="s">
        <v>3367</v>
      </c>
      <c r="C3647" s="12" t="s">
        <v>3368</v>
      </c>
      <c r="D3647" s="25"/>
      <c r="E3647" s="41" t="str">
        <f>HYPERLINK("https://www.google.ru/search?q=1379306-400&amp;newwindow=1&amp;tbm=isch","Еще фото")</f>
        <v>Еще фото</v>
      </c>
      <c r="F3647" s="13"/>
      <c r="G3647" s="11" t="s">
        <v>2939</v>
      </c>
      <c r="H3647" s="11" t="s">
        <v>27</v>
      </c>
      <c r="I3647" s="14" t="s">
        <v>2940</v>
      </c>
      <c r="J3647" s="14" t="s">
        <v>29</v>
      </c>
      <c r="K3647" s="15" t="s">
        <v>30</v>
      </c>
      <c r="L3647" s="14" t="s">
        <v>3369</v>
      </c>
      <c r="M3647" s="14"/>
      <c r="N3647" s="14" t="s">
        <v>115</v>
      </c>
      <c r="O3647" s="14"/>
      <c r="P3647" s="15" t="s">
        <v>1008</v>
      </c>
      <c r="Q3647" s="16">
        <v>11999</v>
      </c>
      <c r="R3647" s="17">
        <v>40</v>
      </c>
      <c r="S3647" s="18">
        <v>8279.31</v>
      </c>
      <c r="T3647" s="19" t="s">
        <v>36</v>
      </c>
      <c r="U3647" s="20" t="s">
        <v>39</v>
      </c>
      <c r="V3647" s="21" t="s">
        <v>40</v>
      </c>
      <c r="W3647" s="22">
        <v>2</v>
      </c>
      <c r="X3647" s="23"/>
    </row>
    <row r="3648" spans="1:24" s="1" customFormat="1" ht="26" customHeight="1" x14ac:dyDescent="0.3">
      <c r="A3648" s="11" t="s">
        <v>23</v>
      </c>
      <c r="B3648" s="11" t="s">
        <v>3370</v>
      </c>
      <c r="C3648" s="12" t="s">
        <v>3371</v>
      </c>
      <c r="D3648" s="59"/>
      <c r="E3648" s="41" t="str">
        <f>HYPERLINK("https://www.google.ru/search?q=1379349-001&amp;newwindow=1&amp;tbm=isch","Еще фото")</f>
        <v>Еще фото</v>
      </c>
      <c r="F3648" s="13" t="s">
        <v>103</v>
      </c>
      <c r="G3648" s="11" t="s">
        <v>2945</v>
      </c>
      <c r="H3648" s="11" t="s">
        <v>27</v>
      </c>
      <c r="I3648" s="14" t="s">
        <v>2940</v>
      </c>
      <c r="J3648" s="14" t="s">
        <v>29</v>
      </c>
      <c r="K3648" s="15" t="s">
        <v>59</v>
      </c>
      <c r="L3648" s="57" t="s">
        <v>3372</v>
      </c>
      <c r="M3648" s="14"/>
      <c r="N3648" s="14" t="s">
        <v>33</v>
      </c>
      <c r="O3648" s="14"/>
      <c r="P3648" s="15" t="s">
        <v>1008</v>
      </c>
      <c r="Q3648" s="16">
        <v>6999</v>
      </c>
      <c r="R3648" s="17">
        <v>40</v>
      </c>
      <c r="S3648" s="18">
        <v>4829.3099999999995</v>
      </c>
      <c r="T3648" s="19" t="s">
        <v>36</v>
      </c>
      <c r="U3648" s="20" t="s">
        <v>63</v>
      </c>
      <c r="V3648" s="21" t="s">
        <v>64</v>
      </c>
      <c r="W3648" s="22">
        <v>12</v>
      </c>
      <c r="X3648" s="23"/>
    </row>
    <row r="3649" spans="1:24" s="1" customFormat="1" ht="26" customHeight="1" x14ac:dyDescent="0.3">
      <c r="A3649" s="24" t="s">
        <v>23</v>
      </c>
      <c r="B3649" s="24" t="s">
        <v>3370</v>
      </c>
      <c r="C3649" s="12" t="s">
        <v>3371</v>
      </c>
      <c r="D3649" s="60"/>
      <c r="E3649" s="41" t="str">
        <f>HYPERLINK("https://www.google.ru/search?q=1379349-001&amp;newwindow=1&amp;tbm=isch","Еще фото")</f>
        <v>Еще фото</v>
      </c>
      <c r="F3649" s="13" t="s">
        <v>103</v>
      </c>
      <c r="G3649" s="24" t="s">
        <v>2945</v>
      </c>
      <c r="H3649" s="24" t="s">
        <v>27</v>
      </c>
      <c r="I3649" s="24" t="s">
        <v>2940</v>
      </c>
      <c r="J3649" s="14" t="s">
        <v>29</v>
      </c>
      <c r="K3649" s="15" t="s">
        <v>59</v>
      </c>
      <c r="L3649" s="62"/>
      <c r="M3649" s="14"/>
      <c r="N3649" s="14" t="s">
        <v>33</v>
      </c>
      <c r="O3649" s="14"/>
      <c r="P3649" s="15" t="s">
        <v>1008</v>
      </c>
      <c r="Q3649" s="16">
        <v>6999</v>
      </c>
      <c r="R3649" s="17">
        <v>40</v>
      </c>
      <c r="S3649" s="18">
        <v>4829.3099999999995</v>
      </c>
      <c r="T3649" s="19" t="s">
        <v>36</v>
      </c>
      <c r="U3649" s="20" t="s">
        <v>37</v>
      </c>
      <c r="V3649" s="21" t="s">
        <v>106</v>
      </c>
      <c r="W3649" s="22">
        <v>18</v>
      </c>
      <c r="X3649" s="23"/>
    </row>
    <row r="3650" spans="1:24" s="1" customFormat="1" ht="26" customHeight="1" x14ac:dyDescent="0.3">
      <c r="A3650" s="24" t="s">
        <v>23</v>
      </c>
      <c r="B3650" s="24" t="s">
        <v>3370</v>
      </c>
      <c r="C3650" s="12" t="s">
        <v>3371</v>
      </c>
      <c r="D3650" s="60"/>
      <c r="E3650" s="41" t="str">
        <f>HYPERLINK("https://www.google.ru/search?q=1379349-001&amp;newwindow=1&amp;tbm=isch","Еще фото")</f>
        <v>Еще фото</v>
      </c>
      <c r="F3650" s="13" t="s">
        <v>103</v>
      </c>
      <c r="G3650" s="24" t="s">
        <v>2945</v>
      </c>
      <c r="H3650" s="24" t="s">
        <v>27</v>
      </c>
      <c r="I3650" s="24" t="s">
        <v>2940</v>
      </c>
      <c r="J3650" s="14" t="s">
        <v>29</v>
      </c>
      <c r="K3650" s="15" t="s">
        <v>59</v>
      </c>
      <c r="L3650" s="62"/>
      <c r="M3650" s="14"/>
      <c r="N3650" s="14" t="s">
        <v>33</v>
      </c>
      <c r="O3650" s="14"/>
      <c r="P3650" s="15" t="s">
        <v>1008</v>
      </c>
      <c r="Q3650" s="16">
        <v>6999</v>
      </c>
      <c r="R3650" s="17">
        <v>40</v>
      </c>
      <c r="S3650" s="18">
        <v>4829.3099999999995</v>
      </c>
      <c r="T3650" s="19" t="s">
        <v>36</v>
      </c>
      <c r="U3650" s="20" t="s">
        <v>39</v>
      </c>
      <c r="V3650" s="21" t="s">
        <v>85</v>
      </c>
      <c r="W3650" s="22">
        <v>18</v>
      </c>
      <c r="X3650" s="23"/>
    </row>
    <row r="3651" spans="1:24" s="1" customFormat="1" ht="26" customHeight="1" x14ac:dyDescent="0.3">
      <c r="A3651" s="24" t="s">
        <v>23</v>
      </c>
      <c r="B3651" s="24" t="s">
        <v>3370</v>
      </c>
      <c r="C3651" s="12" t="s">
        <v>3371</v>
      </c>
      <c r="D3651" s="61"/>
      <c r="E3651" s="41" t="str">
        <f>HYPERLINK("https://www.google.ru/search?q=1379349-001&amp;newwindow=1&amp;tbm=isch","Еще фото")</f>
        <v>Еще фото</v>
      </c>
      <c r="F3651" s="13" t="s">
        <v>103</v>
      </c>
      <c r="G3651" s="24" t="s">
        <v>2945</v>
      </c>
      <c r="H3651" s="24" t="s">
        <v>27</v>
      </c>
      <c r="I3651" s="24" t="s">
        <v>2940</v>
      </c>
      <c r="J3651" s="14" t="s">
        <v>29</v>
      </c>
      <c r="K3651" s="15" t="s">
        <v>59</v>
      </c>
      <c r="L3651" s="58"/>
      <c r="M3651" s="14"/>
      <c r="N3651" s="14" t="s">
        <v>33</v>
      </c>
      <c r="O3651" s="14"/>
      <c r="P3651" s="15" t="s">
        <v>1008</v>
      </c>
      <c r="Q3651" s="16">
        <v>6999</v>
      </c>
      <c r="R3651" s="17">
        <v>40</v>
      </c>
      <c r="S3651" s="18">
        <v>4829.3099999999995</v>
      </c>
      <c r="T3651" s="19" t="s">
        <v>36</v>
      </c>
      <c r="U3651" s="20" t="s">
        <v>86</v>
      </c>
      <c r="V3651" s="21" t="s">
        <v>38</v>
      </c>
      <c r="W3651" s="22">
        <v>14</v>
      </c>
      <c r="X3651" s="23"/>
    </row>
    <row r="3652" spans="1:24" s="1" customFormat="1" ht="26" customHeight="1" x14ac:dyDescent="0.3">
      <c r="A3652" s="11" t="s">
        <v>23</v>
      </c>
      <c r="B3652" s="11" t="s">
        <v>3373</v>
      </c>
      <c r="C3652" s="12" t="s">
        <v>3374</v>
      </c>
      <c r="D3652" s="59"/>
      <c r="E3652" s="41" t="str">
        <f>HYPERLINK("https://www.google.ru/search?q=1379349-703&amp;newwindow=1&amp;tbm=isch","Еще фото")</f>
        <v>Еще фото</v>
      </c>
      <c r="F3652" s="13" t="s">
        <v>103</v>
      </c>
      <c r="G3652" s="11" t="s">
        <v>2945</v>
      </c>
      <c r="H3652" s="11" t="s">
        <v>27</v>
      </c>
      <c r="I3652" s="14" t="s">
        <v>2940</v>
      </c>
      <c r="J3652" s="14" t="s">
        <v>29</v>
      </c>
      <c r="K3652" s="15" t="s">
        <v>59</v>
      </c>
      <c r="L3652" s="57" t="s">
        <v>3372</v>
      </c>
      <c r="M3652" s="14"/>
      <c r="N3652" s="14" t="s">
        <v>46</v>
      </c>
      <c r="O3652" s="14"/>
      <c r="P3652" s="15" t="s">
        <v>1008</v>
      </c>
      <c r="Q3652" s="16">
        <v>6999</v>
      </c>
      <c r="R3652" s="17">
        <v>40</v>
      </c>
      <c r="S3652" s="18">
        <v>4829.3099999999995</v>
      </c>
      <c r="T3652" s="19" t="s">
        <v>36</v>
      </c>
      <c r="U3652" s="20" t="s">
        <v>63</v>
      </c>
      <c r="V3652" s="21" t="s">
        <v>64</v>
      </c>
      <c r="W3652" s="22">
        <v>15</v>
      </c>
      <c r="X3652" s="23"/>
    </row>
    <row r="3653" spans="1:24" s="1" customFormat="1" ht="26" customHeight="1" x14ac:dyDescent="0.3">
      <c r="A3653" s="24" t="s">
        <v>23</v>
      </c>
      <c r="B3653" s="24" t="s">
        <v>3373</v>
      </c>
      <c r="C3653" s="12" t="s">
        <v>3374</v>
      </c>
      <c r="D3653" s="60"/>
      <c r="E3653" s="41" t="str">
        <f>HYPERLINK("https://www.google.ru/search?q=1379349-703&amp;newwindow=1&amp;tbm=isch","Еще фото")</f>
        <v>Еще фото</v>
      </c>
      <c r="F3653" s="13" t="s">
        <v>103</v>
      </c>
      <c r="G3653" s="24" t="s">
        <v>2945</v>
      </c>
      <c r="H3653" s="24" t="s">
        <v>27</v>
      </c>
      <c r="I3653" s="24" t="s">
        <v>2940</v>
      </c>
      <c r="J3653" s="14" t="s">
        <v>29</v>
      </c>
      <c r="K3653" s="15" t="s">
        <v>59</v>
      </c>
      <c r="L3653" s="62"/>
      <c r="M3653" s="14"/>
      <c r="N3653" s="14" t="s">
        <v>46</v>
      </c>
      <c r="O3653" s="14"/>
      <c r="P3653" s="15" t="s">
        <v>1008</v>
      </c>
      <c r="Q3653" s="16">
        <v>6999</v>
      </c>
      <c r="R3653" s="17">
        <v>40</v>
      </c>
      <c r="S3653" s="18">
        <v>4829.3099999999995</v>
      </c>
      <c r="T3653" s="19" t="s">
        <v>36</v>
      </c>
      <c r="U3653" s="20" t="s">
        <v>37</v>
      </c>
      <c r="V3653" s="21" t="s">
        <v>106</v>
      </c>
      <c r="W3653" s="22">
        <v>11</v>
      </c>
      <c r="X3653" s="23"/>
    </row>
    <row r="3654" spans="1:24" s="1" customFormat="1" ht="26" customHeight="1" x14ac:dyDescent="0.3">
      <c r="A3654" s="24" t="s">
        <v>23</v>
      </c>
      <c r="B3654" s="24" t="s">
        <v>3373</v>
      </c>
      <c r="C3654" s="12" t="s">
        <v>3374</v>
      </c>
      <c r="D3654" s="60"/>
      <c r="E3654" s="41" t="str">
        <f>HYPERLINK("https://www.google.ru/search?q=1379349-703&amp;newwindow=1&amp;tbm=isch","Еще фото")</f>
        <v>Еще фото</v>
      </c>
      <c r="F3654" s="13" t="s">
        <v>103</v>
      </c>
      <c r="G3654" s="24" t="s">
        <v>2945</v>
      </c>
      <c r="H3654" s="24" t="s">
        <v>27</v>
      </c>
      <c r="I3654" s="24" t="s">
        <v>2940</v>
      </c>
      <c r="J3654" s="14" t="s">
        <v>29</v>
      </c>
      <c r="K3654" s="15" t="s">
        <v>59</v>
      </c>
      <c r="L3654" s="62"/>
      <c r="M3654" s="14"/>
      <c r="N3654" s="14" t="s">
        <v>46</v>
      </c>
      <c r="O3654" s="14"/>
      <c r="P3654" s="15" t="s">
        <v>1008</v>
      </c>
      <c r="Q3654" s="16">
        <v>6999</v>
      </c>
      <c r="R3654" s="17">
        <v>40</v>
      </c>
      <c r="S3654" s="18">
        <v>4829.3099999999995</v>
      </c>
      <c r="T3654" s="19" t="s">
        <v>36</v>
      </c>
      <c r="U3654" s="20" t="s">
        <v>39</v>
      </c>
      <c r="V3654" s="21" t="s">
        <v>85</v>
      </c>
      <c r="W3654" s="22">
        <v>15</v>
      </c>
      <c r="X3654" s="23"/>
    </row>
    <row r="3655" spans="1:24" s="1" customFormat="1" ht="26" customHeight="1" x14ac:dyDescent="0.3">
      <c r="A3655" s="24" t="s">
        <v>23</v>
      </c>
      <c r="B3655" s="24" t="s">
        <v>3373</v>
      </c>
      <c r="C3655" s="12" t="s">
        <v>3374</v>
      </c>
      <c r="D3655" s="61"/>
      <c r="E3655" s="41" t="str">
        <f>HYPERLINK("https://www.google.ru/search?q=1379349-703&amp;newwindow=1&amp;tbm=isch","Еще фото")</f>
        <v>Еще фото</v>
      </c>
      <c r="F3655" s="13" t="s">
        <v>103</v>
      </c>
      <c r="G3655" s="24" t="s">
        <v>2945</v>
      </c>
      <c r="H3655" s="24" t="s">
        <v>27</v>
      </c>
      <c r="I3655" s="24" t="s">
        <v>2940</v>
      </c>
      <c r="J3655" s="14" t="s">
        <v>29</v>
      </c>
      <c r="K3655" s="15" t="s">
        <v>59</v>
      </c>
      <c r="L3655" s="58"/>
      <c r="M3655" s="14"/>
      <c r="N3655" s="14" t="s">
        <v>46</v>
      </c>
      <c r="O3655" s="14"/>
      <c r="P3655" s="15" t="s">
        <v>1008</v>
      </c>
      <c r="Q3655" s="16">
        <v>6999</v>
      </c>
      <c r="R3655" s="17">
        <v>40</v>
      </c>
      <c r="S3655" s="18">
        <v>4829.3099999999995</v>
      </c>
      <c r="T3655" s="19" t="s">
        <v>36</v>
      </c>
      <c r="U3655" s="20" t="s">
        <v>86</v>
      </c>
      <c r="V3655" s="21" t="s">
        <v>38</v>
      </c>
      <c r="W3655" s="22">
        <v>12</v>
      </c>
      <c r="X3655" s="23"/>
    </row>
    <row r="3656" spans="1:24" s="1" customFormat="1" ht="108" customHeight="1" x14ac:dyDescent="0.3">
      <c r="A3656" s="11" t="s">
        <v>23</v>
      </c>
      <c r="B3656" s="11" t="s">
        <v>3375</v>
      </c>
      <c r="C3656" s="12" t="s">
        <v>3376</v>
      </c>
      <c r="D3656" s="25"/>
      <c r="E3656" s="41" t="str">
        <f>HYPERLINK("https://www.google.ru/search?q=1379475-001&amp;newwindow=1&amp;tbm=isch","Еще фото")</f>
        <v>Еще фото</v>
      </c>
      <c r="F3656" s="13" t="s">
        <v>103</v>
      </c>
      <c r="G3656" s="11" t="s">
        <v>2945</v>
      </c>
      <c r="H3656" s="11" t="s">
        <v>27</v>
      </c>
      <c r="I3656" s="14" t="s">
        <v>2940</v>
      </c>
      <c r="J3656" s="14" t="s">
        <v>43</v>
      </c>
      <c r="K3656" s="15" t="s">
        <v>59</v>
      </c>
      <c r="L3656" s="14" t="s">
        <v>3377</v>
      </c>
      <c r="M3656" s="14"/>
      <c r="N3656" s="14" t="s">
        <v>33</v>
      </c>
      <c r="O3656" s="14"/>
      <c r="P3656" s="15" t="s">
        <v>120</v>
      </c>
      <c r="Q3656" s="16">
        <v>5499</v>
      </c>
      <c r="R3656" s="17">
        <v>40</v>
      </c>
      <c r="S3656" s="18">
        <v>3794.31</v>
      </c>
      <c r="T3656" s="19" t="s">
        <v>36</v>
      </c>
      <c r="U3656" s="20" t="s">
        <v>39</v>
      </c>
      <c r="V3656" s="21" t="s">
        <v>85</v>
      </c>
      <c r="W3656" s="22">
        <v>1</v>
      </c>
      <c r="X3656" s="23"/>
    </row>
    <row r="3657" spans="1:24" s="1" customFormat="1" ht="108" customHeight="1" x14ac:dyDescent="0.3">
      <c r="A3657" s="11" t="s">
        <v>23</v>
      </c>
      <c r="B3657" s="11" t="s">
        <v>3378</v>
      </c>
      <c r="C3657" s="12" t="s">
        <v>3379</v>
      </c>
      <c r="D3657" s="25"/>
      <c r="E3657" s="41" t="str">
        <f>HYPERLINK("https://www.google.ru/search?q=1379475-012&amp;newwindow=1&amp;tbm=isch","Еще фото")</f>
        <v>Еще фото</v>
      </c>
      <c r="F3657" s="13" t="s">
        <v>103</v>
      </c>
      <c r="G3657" s="11" t="s">
        <v>2945</v>
      </c>
      <c r="H3657" s="11" t="s">
        <v>27</v>
      </c>
      <c r="I3657" s="14" t="s">
        <v>2940</v>
      </c>
      <c r="J3657" s="14" t="s">
        <v>43</v>
      </c>
      <c r="K3657" s="15" t="s">
        <v>59</v>
      </c>
      <c r="L3657" s="14" t="s">
        <v>3380</v>
      </c>
      <c r="M3657" s="14"/>
      <c r="N3657" s="14" t="s">
        <v>62</v>
      </c>
      <c r="O3657" s="14"/>
      <c r="P3657" s="15" t="s">
        <v>120</v>
      </c>
      <c r="Q3657" s="16">
        <v>5499</v>
      </c>
      <c r="R3657" s="17">
        <v>40</v>
      </c>
      <c r="S3657" s="18">
        <v>3794.31</v>
      </c>
      <c r="T3657" s="19" t="s">
        <v>36</v>
      </c>
      <c r="U3657" s="20" t="s">
        <v>37</v>
      </c>
      <c r="V3657" s="21" t="s">
        <v>106</v>
      </c>
      <c r="W3657" s="22">
        <v>1</v>
      </c>
      <c r="X3657" s="23"/>
    </row>
    <row r="3658" spans="1:24" s="1" customFormat="1" ht="35" customHeight="1" x14ac:dyDescent="0.3">
      <c r="A3658" s="11" t="s">
        <v>23</v>
      </c>
      <c r="B3658" s="11" t="s">
        <v>3381</v>
      </c>
      <c r="C3658" s="12" t="s">
        <v>3382</v>
      </c>
      <c r="D3658" s="59"/>
      <c r="E3658" s="41" t="str">
        <f>HYPERLINK("https://www.google.ru/search?q=1379495-001&amp;newwindow=1&amp;tbm=isch","Еще фото")</f>
        <v>Еще фото</v>
      </c>
      <c r="F3658" s="13" t="s">
        <v>103</v>
      </c>
      <c r="G3658" s="11" t="s">
        <v>2939</v>
      </c>
      <c r="H3658" s="11" t="s">
        <v>27</v>
      </c>
      <c r="I3658" s="14" t="s">
        <v>2940</v>
      </c>
      <c r="J3658" s="14" t="s">
        <v>29</v>
      </c>
      <c r="K3658" s="15" t="s">
        <v>59</v>
      </c>
      <c r="L3658" s="57" t="s">
        <v>3383</v>
      </c>
      <c r="M3658" s="14"/>
      <c r="N3658" s="14" t="s">
        <v>33</v>
      </c>
      <c r="O3658" s="14"/>
      <c r="P3658" s="15" t="s">
        <v>120</v>
      </c>
      <c r="Q3658" s="16">
        <v>7199</v>
      </c>
      <c r="R3658" s="17">
        <v>40</v>
      </c>
      <c r="S3658" s="18">
        <v>4967.3099999999995</v>
      </c>
      <c r="T3658" s="19" t="s">
        <v>36</v>
      </c>
      <c r="U3658" s="20" t="s">
        <v>37</v>
      </c>
      <c r="V3658" s="21" t="s">
        <v>106</v>
      </c>
      <c r="W3658" s="22">
        <v>8</v>
      </c>
      <c r="X3658" s="23"/>
    </row>
    <row r="3659" spans="1:24" s="1" customFormat="1" ht="35" customHeight="1" x14ac:dyDescent="0.3">
      <c r="A3659" s="24" t="s">
        <v>23</v>
      </c>
      <c r="B3659" s="24" t="s">
        <v>3381</v>
      </c>
      <c r="C3659" s="12" t="s">
        <v>3382</v>
      </c>
      <c r="D3659" s="60"/>
      <c r="E3659" s="41" t="str">
        <f>HYPERLINK("https://www.google.ru/search?q=1379495-001&amp;newwindow=1&amp;tbm=isch","Еще фото")</f>
        <v>Еще фото</v>
      </c>
      <c r="F3659" s="13" t="s">
        <v>103</v>
      </c>
      <c r="G3659" s="24" t="s">
        <v>2939</v>
      </c>
      <c r="H3659" s="24" t="s">
        <v>27</v>
      </c>
      <c r="I3659" s="24" t="s">
        <v>2940</v>
      </c>
      <c r="J3659" s="14" t="s">
        <v>29</v>
      </c>
      <c r="K3659" s="15" t="s">
        <v>59</v>
      </c>
      <c r="L3659" s="62"/>
      <c r="M3659" s="14"/>
      <c r="N3659" s="14" t="s">
        <v>33</v>
      </c>
      <c r="O3659" s="14"/>
      <c r="P3659" s="15" t="s">
        <v>120</v>
      </c>
      <c r="Q3659" s="16">
        <v>7199</v>
      </c>
      <c r="R3659" s="17">
        <v>40</v>
      </c>
      <c r="S3659" s="18">
        <v>4967.3099999999995</v>
      </c>
      <c r="T3659" s="19" t="s">
        <v>36</v>
      </c>
      <c r="U3659" s="20" t="s">
        <v>39</v>
      </c>
      <c r="V3659" s="21" t="s">
        <v>85</v>
      </c>
      <c r="W3659" s="22">
        <v>6</v>
      </c>
      <c r="X3659" s="23"/>
    </row>
    <row r="3660" spans="1:24" s="1" customFormat="1" ht="37.049999999999997" customHeight="1" x14ac:dyDescent="0.3">
      <c r="A3660" s="24" t="s">
        <v>23</v>
      </c>
      <c r="B3660" s="24" t="s">
        <v>3381</v>
      </c>
      <c r="C3660" s="12" t="s">
        <v>3382</v>
      </c>
      <c r="D3660" s="61"/>
      <c r="E3660" s="41" t="str">
        <f>HYPERLINK("https://www.google.ru/search?q=1379495-001&amp;newwindow=1&amp;tbm=isch","Еще фото")</f>
        <v>Еще фото</v>
      </c>
      <c r="F3660" s="13" t="s">
        <v>103</v>
      </c>
      <c r="G3660" s="24" t="s">
        <v>2939</v>
      </c>
      <c r="H3660" s="24" t="s">
        <v>27</v>
      </c>
      <c r="I3660" s="24" t="s">
        <v>2940</v>
      </c>
      <c r="J3660" s="14" t="s">
        <v>29</v>
      </c>
      <c r="K3660" s="15" t="s">
        <v>59</v>
      </c>
      <c r="L3660" s="58"/>
      <c r="M3660" s="14"/>
      <c r="N3660" s="14" t="s">
        <v>33</v>
      </c>
      <c r="O3660" s="14"/>
      <c r="P3660" s="15" t="s">
        <v>120</v>
      </c>
      <c r="Q3660" s="16">
        <v>7199</v>
      </c>
      <c r="R3660" s="17">
        <v>40</v>
      </c>
      <c r="S3660" s="18">
        <v>4967.3099999999995</v>
      </c>
      <c r="T3660" s="19" t="s">
        <v>36</v>
      </c>
      <c r="U3660" s="20" t="s">
        <v>86</v>
      </c>
      <c r="V3660" s="21" t="s">
        <v>38</v>
      </c>
      <c r="W3660" s="22">
        <v>1</v>
      </c>
      <c r="X3660" s="23"/>
    </row>
    <row r="3661" spans="1:24" s="1" customFormat="1" ht="21" customHeight="1" x14ac:dyDescent="0.3">
      <c r="A3661" s="11" t="s">
        <v>23</v>
      </c>
      <c r="B3661" s="11" t="s">
        <v>3149</v>
      </c>
      <c r="C3661" s="26" t="s">
        <v>3384</v>
      </c>
      <c r="D3661" s="59"/>
      <c r="E3661" s="41" t="str">
        <f>HYPERLINK("https://www.google.ru/search?q=1379500-001&amp;newwindow=1&amp;tbm=isch","Еще фото")</f>
        <v>Еще фото</v>
      </c>
      <c r="F3661" s="13" t="s">
        <v>103</v>
      </c>
      <c r="G3661" s="11" t="s">
        <v>2939</v>
      </c>
      <c r="H3661" s="11" t="s">
        <v>27</v>
      </c>
      <c r="I3661" s="14" t="s">
        <v>2940</v>
      </c>
      <c r="J3661" s="14" t="s">
        <v>29</v>
      </c>
      <c r="K3661" s="15" t="s">
        <v>59</v>
      </c>
      <c r="L3661" s="57" t="s">
        <v>3385</v>
      </c>
      <c r="M3661" s="14"/>
      <c r="N3661" s="14" t="s">
        <v>33</v>
      </c>
      <c r="O3661" s="14"/>
      <c r="P3661" s="15" t="s">
        <v>120</v>
      </c>
      <c r="Q3661" s="16">
        <v>5299</v>
      </c>
      <c r="R3661" s="17">
        <v>40</v>
      </c>
      <c r="S3661" s="18">
        <v>3656.31</v>
      </c>
      <c r="T3661" s="19" t="s">
        <v>36</v>
      </c>
      <c r="U3661" s="20" t="s">
        <v>63</v>
      </c>
      <c r="V3661" s="21" t="s">
        <v>64</v>
      </c>
      <c r="W3661" s="22">
        <v>11</v>
      </c>
      <c r="X3661" s="23"/>
    </row>
    <row r="3662" spans="1:24" s="1" customFormat="1" ht="21" customHeight="1" x14ac:dyDescent="0.3">
      <c r="A3662" s="24" t="s">
        <v>23</v>
      </c>
      <c r="B3662" s="24" t="s">
        <v>3149</v>
      </c>
      <c r="C3662" s="27" t="s">
        <v>3384</v>
      </c>
      <c r="D3662" s="60"/>
      <c r="E3662" s="41" t="str">
        <f>HYPERLINK("https://www.google.ru/search?q=1379500-001&amp;newwindow=1&amp;tbm=isch","Еще фото")</f>
        <v>Еще фото</v>
      </c>
      <c r="F3662" s="13" t="s">
        <v>103</v>
      </c>
      <c r="G3662" s="24" t="s">
        <v>2939</v>
      </c>
      <c r="H3662" s="24" t="s">
        <v>27</v>
      </c>
      <c r="I3662" s="24" t="s">
        <v>2940</v>
      </c>
      <c r="J3662" s="14" t="s">
        <v>29</v>
      </c>
      <c r="K3662" s="15" t="s">
        <v>59</v>
      </c>
      <c r="L3662" s="62"/>
      <c r="M3662" s="14"/>
      <c r="N3662" s="14" t="s">
        <v>33</v>
      </c>
      <c r="O3662" s="14"/>
      <c r="P3662" s="15" t="s">
        <v>120</v>
      </c>
      <c r="Q3662" s="16">
        <v>5299</v>
      </c>
      <c r="R3662" s="17">
        <v>40</v>
      </c>
      <c r="S3662" s="18">
        <v>3656.31</v>
      </c>
      <c r="T3662" s="19" t="s">
        <v>36</v>
      </c>
      <c r="U3662" s="20" t="s">
        <v>37</v>
      </c>
      <c r="V3662" s="21" t="s">
        <v>106</v>
      </c>
      <c r="W3662" s="22">
        <v>14</v>
      </c>
      <c r="X3662" s="23"/>
    </row>
    <row r="3663" spans="1:24" s="1" customFormat="1" ht="21" customHeight="1" x14ac:dyDescent="0.3">
      <c r="A3663" s="24" t="s">
        <v>23</v>
      </c>
      <c r="B3663" s="24" t="s">
        <v>3149</v>
      </c>
      <c r="C3663" s="27" t="s">
        <v>3384</v>
      </c>
      <c r="D3663" s="60"/>
      <c r="E3663" s="41" t="str">
        <f>HYPERLINK("https://www.google.ru/search?q=1379500-001&amp;newwindow=1&amp;tbm=isch","Еще фото")</f>
        <v>Еще фото</v>
      </c>
      <c r="F3663" s="13" t="s">
        <v>103</v>
      </c>
      <c r="G3663" s="24" t="s">
        <v>2939</v>
      </c>
      <c r="H3663" s="24" t="s">
        <v>27</v>
      </c>
      <c r="I3663" s="24" t="s">
        <v>2940</v>
      </c>
      <c r="J3663" s="14" t="s">
        <v>29</v>
      </c>
      <c r="K3663" s="15" t="s">
        <v>59</v>
      </c>
      <c r="L3663" s="62"/>
      <c r="M3663" s="14"/>
      <c r="N3663" s="14" t="s">
        <v>33</v>
      </c>
      <c r="O3663" s="14"/>
      <c r="P3663" s="15" t="s">
        <v>120</v>
      </c>
      <c r="Q3663" s="16">
        <v>5299</v>
      </c>
      <c r="R3663" s="17">
        <v>40</v>
      </c>
      <c r="S3663" s="18">
        <v>3656.31</v>
      </c>
      <c r="T3663" s="19" t="s">
        <v>36</v>
      </c>
      <c r="U3663" s="20" t="s">
        <v>39</v>
      </c>
      <c r="V3663" s="21" t="s">
        <v>85</v>
      </c>
      <c r="W3663" s="22">
        <v>10</v>
      </c>
      <c r="X3663" s="23"/>
    </row>
    <row r="3664" spans="1:24" s="1" customFormat="1" ht="21" customHeight="1" x14ac:dyDescent="0.3">
      <c r="A3664" s="24" t="s">
        <v>23</v>
      </c>
      <c r="B3664" s="24" t="s">
        <v>3149</v>
      </c>
      <c r="C3664" s="27" t="s">
        <v>3384</v>
      </c>
      <c r="D3664" s="60"/>
      <c r="E3664" s="41" t="str">
        <f>HYPERLINK("https://www.google.ru/search?q=1379500-001&amp;newwindow=1&amp;tbm=isch","Еще фото")</f>
        <v>Еще фото</v>
      </c>
      <c r="F3664" s="13" t="s">
        <v>103</v>
      </c>
      <c r="G3664" s="24" t="s">
        <v>2939</v>
      </c>
      <c r="H3664" s="24" t="s">
        <v>27</v>
      </c>
      <c r="I3664" s="24" t="s">
        <v>2940</v>
      </c>
      <c r="J3664" s="14" t="s">
        <v>29</v>
      </c>
      <c r="K3664" s="15" t="s">
        <v>59</v>
      </c>
      <c r="L3664" s="62"/>
      <c r="M3664" s="14"/>
      <c r="N3664" s="14" t="s">
        <v>33</v>
      </c>
      <c r="O3664" s="14"/>
      <c r="P3664" s="15" t="s">
        <v>120</v>
      </c>
      <c r="Q3664" s="16">
        <v>5299</v>
      </c>
      <c r="R3664" s="17">
        <v>40</v>
      </c>
      <c r="S3664" s="18">
        <v>3656.31</v>
      </c>
      <c r="T3664" s="19" t="s">
        <v>36</v>
      </c>
      <c r="U3664" s="20" t="s">
        <v>86</v>
      </c>
      <c r="V3664" s="21" t="s">
        <v>38</v>
      </c>
      <c r="W3664" s="22">
        <v>12</v>
      </c>
      <c r="X3664" s="23"/>
    </row>
    <row r="3665" spans="1:24" s="1" customFormat="1" ht="32" customHeight="1" x14ac:dyDescent="0.3">
      <c r="A3665" s="24" t="s">
        <v>23</v>
      </c>
      <c r="B3665" s="24" t="s">
        <v>3149</v>
      </c>
      <c r="C3665" s="27" t="s">
        <v>3384</v>
      </c>
      <c r="D3665" s="61"/>
      <c r="E3665" s="41" t="str">
        <f>HYPERLINK("https://www.google.ru/search?q=1379500-001&amp;newwindow=1&amp;tbm=isch","Еще фото")</f>
        <v>Еще фото</v>
      </c>
      <c r="F3665" s="13" t="s">
        <v>103</v>
      </c>
      <c r="G3665" s="24" t="s">
        <v>2939</v>
      </c>
      <c r="H3665" s="24" t="s">
        <v>27</v>
      </c>
      <c r="I3665" s="24" t="s">
        <v>2940</v>
      </c>
      <c r="J3665" s="14" t="s">
        <v>29</v>
      </c>
      <c r="K3665" s="15" t="s">
        <v>59</v>
      </c>
      <c r="L3665" s="58"/>
      <c r="M3665" s="14"/>
      <c r="N3665" s="14" t="s">
        <v>33</v>
      </c>
      <c r="O3665" s="14"/>
      <c r="P3665" s="15" t="s">
        <v>120</v>
      </c>
      <c r="Q3665" s="16">
        <v>5299</v>
      </c>
      <c r="R3665" s="17">
        <v>40</v>
      </c>
      <c r="S3665" s="18">
        <v>3656.31</v>
      </c>
      <c r="T3665" s="19" t="s">
        <v>36</v>
      </c>
      <c r="U3665" s="20" t="s">
        <v>88</v>
      </c>
      <c r="V3665" s="21" t="s">
        <v>40</v>
      </c>
      <c r="W3665" s="22">
        <v>5</v>
      </c>
      <c r="X3665" s="23"/>
    </row>
    <row r="3666" spans="1:24" s="1" customFormat="1" ht="35" customHeight="1" x14ac:dyDescent="0.3">
      <c r="A3666" s="11" t="s">
        <v>23</v>
      </c>
      <c r="B3666" s="11" t="s">
        <v>3149</v>
      </c>
      <c r="C3666" s="12" t="s">
        <v>3386</v>
      </c>
      <c r="D3666" s="59"/>
      <c r="E3666" s="41" t="str">
        <f>HYPERLINK("https://www.google.ru/search?q=1379500-013&amp;newwindow=1&amp;tbm=isch","Еще фото")</f>
        <v>Еще фото</v>
      </c>
      <c r="F3666" s="13" t="s">
        <v>103</v>
      </c>
      <c r="G3666" s="11" t="s">
        <v>2939</v>
      </c>
      <c r="H3666" s="11" t="s">
        <v>27</v>
      </c>
      <c r="I3666" s="14" t="s">
        <v>2940</v>
      </c>
      <c r="J3666" s="14" t="s">
        <v>29</v>
      </c>
      <c r="K3666" s="15" t="s">
        <v>59</v>
      </c>
      <c r="L3666" s="57" t="s">
        <v>3385</v>
      </c>
      <c r="M3666" s="14"/>
      <c r="N3666" s="14" t="s">
        <v>62</v>
      </c>
      <c r="O3666" s="14"/>
      <c r="P3666" s="15" t="s">
        <v>120</v>
      </c>
      <c r="Q3666" s="16">
        <v>5299</v>
      </c>
      <c r="R3666" s="17">
        <v>40</v>
      </c>
      <c r="S3666" s="18">
        <v>3656.31</v>
      </c>
      <c r="T3666" s="19" t="s">
        <v>36</v>
      </c>
      <c r="U3666" s="20" t="s">
        <v>63</v>
      </c>
      <c r="V3666" s="21" t="s">
        <v>64</v>
      </c>
      <c r="W3666" s="22">
        <v>2</v>
      </c>
      <c r="X3666" s="23"/>
    </row>
    <row r="3667" spans="1:24" s="1" customFormat="1" ht="35" customHeight="1" x14ac:dyDescent="0.3">
      <c r="A3667" s="24" t="s">
        <v>23</v>
      </c>
      <c r="B3667" s="24" t="s">
        <v>3149</v>
      </c>
      <c r="C3667" s="12" t="s">
        <v>3386</v>
      </c>
      <c r="D3667" s="60"/>
      <c r="E3667" s="41" t="str">
        <f>HYPERLINK("https://www.google.ru/search?q=1379500-013&amp;newwindow=1&amp;tbm=isch","Еще фото")</f>
        <v>Еще фото</v>
      </c>
      <c r="F3667" s="13" t="s">
        <v>103</v>
      </c>
      <c r="G3667" s="24" t="s">
        <v>2939</v>
      </c>
      <c r="H3667" s="24" t="s">
        <v>27</v>
      </c>
      <c r="I3667" s="24" t="s">
        <v>2940</v>
      </c>
      <c r="J3667" s="14" t="s">
        <v>29</v>
      </c>
      <c r="K3667" s="15" t="s">
        <v>59</v>
      </c>
      <c r="L3667" s="62"/>
      <c r="M3667" s="14"/>
      <c r="N3667" s="14" t="s">
        <v>62</v>
      </c>
      <c r="O3667" s="14"/>
      <c r="P3667" s="15" t="s">
        <v>120</v>
      </c>
      <c r="Q3667" s="16">
        <v>5299</v>
      </c>
      <c r="R3667" s="17">
        <v>40</v>
      </c>
      <c r="S3667" s="18">
        <v>3656.31</v>
      </c>
      <c r="T3667" s="19" t="s">
        <v>36</v>
      </c>
      <c r="U3667" s="20" t="s">
        <v>37</v>
      </c>
      <c r="V3667" s="21" t="s">
        <v>106</v>
      </c>
      <c r="W3667" s="22">
        <v>7</v>
      </c>
      <c r="X3667" s="23"/>
    </row>
    <row r="3668" spans="1:24" s="1" customFormat="1" ht="37.049999999999997" customHeight="1" x14ac:dyDescent="0.3">
      <c r="A3668" s="24" t="s">
        <v>23</v>
      </c>
      <c r="B3668" s="24" t="s">
        <v>3149</v>
      </c>
      <c r="C3668" s="12" t="s">
        <v>3386</v>
      </c>
      <c r="D3668" s="61"/>
      <c r="E3668" s="41" t="str">
        <f>HYPERLINK("https://www.google.ru/search?q=1379500-013&amp;newwindow=1&amp;tbm=isch","Еще фото")</f>
        <v>Еще фото</v>
      </c>
      <c r="F3668" s="13" t="s">
        <v>103</v>
      </c>
      <c r="G3668" s="24" t="s">
        <v>2939</v>
      </c>
      <c r="H3668" s="24" t="s">
        <v>27</v>
      </c>
      <c r="I3668" s="24" t="s">
        <v>2940</v>
      </c>
      <c r="J3668" s="14" t="s">
        <v>29</v>
      </c>
      <c r="K3668" s="15" t="s">
        <v>59</v>
      </c>
      <c r="L3668" s="58"/>
      <c r="M3668" s="14"/>
      <c r="N3668" s="14" t="s">
        <v>62</v>
      </c>
      <c r="O3668" s="14"/>
      <c r="P3668" s="15" t="s">
        <v>120</v>
      </c>
      <c r="Q3668" s="16">
        <v>5299</v>
      </c>
      <c r="R3668" s="17">
        <v>40</v>
      </c>
      <c r="S3668" s="18">
        <v>3656.31</v>
      </c>
      <c r="T3668" s="19" t="s">
        <v>36</v>
      </c>
      <c r="U3668" s="20" t="s">
        <v>86</v>
      </c>
      <c r="V3668" s="21" t="s">
        <v>38</v>
      </c>
      <c r="W3668" s="22">
        <v>6</v>
      </c>
      <c r="X3668" s="23"/>
    </row>
    <row r="3669" spans="1:24" s="1" customFormat="1" ht="21" customHeight="1" x14ac:dyDescent="0.3">
      <c r="A3669" s="11" t="s">
        <v>23</v>
      </c>
      <c r="B3669" s="11" t="s">
        <v>3149</v>
      </c>
      <c r="C3669" s="26" t="s">
        <v>3387</v>
      </c>
      <c r="D3669" s="59"/>
      <c r="E3669" s="41" t="str">
        <f>HYPERLINK("https://www.google.ru/search?q=1379500-477&amp;newwindow=1&amp;tbm=isch","Еще фото")</f>
        <v>Еще фото</v>
      </c>
      <c r="F3669" s="13"/>
      <c r="G3669" s="11" t="s">
        <v>2939</v>
      </c>
      <c r="H3669" s="11" t="s">
        <v>27</v>
      </c>
      <c r="I3669" s="14" t="s">
        <v>2940</v>
      </c>
      <c r="J3669" s="14" t="s">
        <v>43</v>
      </c>
      <c r="K3669" s="15" t="s">
        <v>59</v>
      </c>
      <c r="L3669" s="57" t="s">
        <v>3385</v>
      </c>
      <c r="M3669" s="14"/>
      <c r="N3669" s="14" t="s">
        <v>46</v>
      </c>
      <c r="O3669" s="14"/>
      <c r="P3669" s="15" t="s">
        <v>120</v>
      </c>
      <c r="Q3669" s="16">
        <v>5299</v>
      </c>
      <c r="R3669" s="17">
        <v>40</v>
      </c>
      <c r="S3669" s="18">
        <v>3656.31</v>
      </c>
      <c r="T3669" s="19" t="s">
        <v>36</v>
      </c>
      <c r="U3669" s="20" t="s">
        <v>63</v>
      </c>
      <c r="V3669" s="21" t="s">
        <v>64</v>
      </c>
      <c r="W3669" s="22">
        <v>15</v>
      </c>
      <c r="X3669" s="23"/>
    </row>
    <row r="3670" spans="1:24" s="1" customFormat="1" ht="21" customHeight="1" x14ac:dyDescent="0.3">
      <c r="A3670" s="24" t="s">
        <v>23</v>
      </c>
      <c r="B3670" s="24" t="s">
        <v>3149</v>
      </c>
      <c r="C3670" s="27" t="s">
        <v>3387</v>
      </c>
      <c r="D3670" s="60"/>
      <c r="E3670" s="41" t="str">
        <f>HYPERLINK("https://www.google.ru/search?q=1379500-477&amp;newwindow=1&amp;tbm=isch","Еще фото")</f>
        <v>Еще фото</v>
      </c>
      <c r="F3670" s="13"/>
      <c r="G3670" s="24" t="s">
        <v>2939</v>
      </c>
      <c r="H3670" s="24" t="s">
        <v>27</v>
      </c>
      <c r="I3670" s="24" t="s">
        <v>2940</v>
      </c>
      <c r="J3670" s="14" t="s">
        <v>43</v>
      </c>
      <c r="K3670" s="15" t="s">
        <v>59</v>
      </c>
      <c r="L3670" s="62"/>
      <c r="M3670" s="14"/>
      <c r="N3670" s="14" t="s">
        <v>46</v>
      </c>
      <c r="O3670" s="14"/>
      <c r="P3670" s="15" t="s">
        <v>120</v>
      </c>
      <c r="Q3670" s="16">
        <v>5299</v>
      </c>
      <c r="R3670" s="17">
        <v>40</v>
      </c>
      <c r="S3670" s="18">
        <v>3656.31</v>
      </c>
      <c r="T3670" s="19" t="s">
        <v>36</v>
      </c>
      <c r="U3670" s="20" t="s">
        <v>37</v>
      </c>
      <c r="V3670" s="21" t="s">
        <v>106</v>
      </c>
      <c r="W3670" s="22">
        <v>21</v>
      </c>
      <c r="X3670" s="23"/>
    </row>
    <row r="3671" spans="1:24" s="1" customFormat="1" ht="21" customHeight="1" x14ac:dyDescent="0.3">
      <c r="A3671" s="24" t="s">
        <v>23</v>
      </c>
      <c r="B3671" s="24" t="s">
        <v>3149</v>
      </c>
      <c r="C3671" s="27" t="s">
        <v>3387</v>
      </c>
      <c r="D3671" s="60"/>
      <c r="E3671" s="41" t="str">
        <f>HYPERLINK("https://www.google.ru/search?q=1379500-477&amp;newwindow=1&amp;tbm=isch","Еще фото")</f>
        <v>Еще фото</v>
      </c>
      <c r="F3671" s="13"/>
      <c r="G3671" s="24" t="s">
        <v>2939</v>
      </c>
      <c r="H3671" s="24" t="s">
        <v>27</v>
      </c>
      <c r="I3671" s="24" t="s">
        <v>2940</v>
      </c>
      <c r="J3671" s="14" t="s">
        <v>43</v>
      </c>
      <c r="K3671" s="15" t="s">
        <v>59</v>
      </c>
      <c r="L3671" s="62"/>
      <c r="M3671" s="14"/>
      <c r="N3671" s="14" t="s">
        <v>46</v>
      </c>
      <c r="O3671" s="14"/>
      <c r="P3671" s="15" t="s">
        <v>120</v>
      </c>
      <c r="Q3671" s="16">
        <v>5299</v>
      </c>
      <c r="R3671" s="17">
        <v>40</v>
      </c>
      <c r="S3671" s="18">
        <v>3656.31</v>
      </c>
      <c r="T3671" s="19" t="s">
        <v>36</v>
      </c>
      <c r="U3671" s="20" t="s">
        <v>39</v>
      </c>
      <c r="V3671" s="21" t="s">
        <v>85</v>
      </c>
      <c r="W3671" s="22">
        <v>15</v>
      </c>
      <c r="X3671" s="23"/>
    </row>
    <row r="3672" spans="1:24" s="1" customFormat="1" ht="21" customHeight="1" x14ac:dyDescent="0.3">
      <c r="A3672" s="24" t="s">
        <v>23</v>
      </c>
      <c r="B3672" s="24" t="s">
        <v>3149</v>
      </c>
      <c r="C3672" s="27" t="s">
        <v>3387</v>
      </c>
      <c r="D3672" s="60"/>
      <c r="E3672" s="41" t="str">
        <f>HYPERLINK("https://www.google.ru/search?q=1379500-477&amp;newwindow=1&amp;tbm=isch","Еще фото")</f>
        <v>Еще фото</v>
      </c>
      <c r="F3672" s="13"/>
      <c r="G3672" s="24" t="s">
        <v>2939</v>
      </c>
      <c r="H3672" s="24" t="s">
        <v>27</v>
      </c>
      <c r="I3672" s="24" t="s">
        <v>2940</v>
      </c>
      <c r="J3672" s="14" t="s">
        <v>43</v>
      </c>
      <c r="K3672" s="15" t="s">
        <v>59</v>
      </c>
      <c r="L3672" s="62"/>
      <c r="M3672" s="14"/>
      <c r="N3672" s="14" t="s">
        <v>46</v>
      </c>
      <c r="O3672" s="14"/>
      <c r="P3672" s="15" t="s">
        <v>120</v>
      </c>
      <c r="Q3672" s="16">
        <v>5299</v>
      </c>
      <c r="R3672" s="17">
        <v>40</v>
      </c>
      <c r="S3672" s="18">
        <v>3656.31</v>
      </c>
      <c r="T3672" s="19" t="s">
        <v>36</v>
      </c>
      <c r="U3672" s="20" t="s">
        <v>86</v>
      </c>
      <c r="V3672" s="21" t="s">
        <v>38</v>
      </c>
      <c r="W3672" s="22">
        <v>12</v>
      </c>
      <c r="X3672" s="23"/>
    </row>
    <row r="3673" spans="1:24" s="1" customFormat="1" ht="32" customHeight="1" x14ac:dyDescent="0.3">
      <c r="A3673" s="24" t="s">
        <v>23</v>
      </c>
      <c r="B3673" s="24" t="s">
        <v>3149</v>
      </c>
      <c r="C3673" s="27" t="s">
        <v>3387</v>
      </c>
      <c r="D3673" s="61"/>
      <c r="E3673" s="41" t="str">
        <f>HYPERLINK("https://www.google.ru/search?q=1379500-477&amp;newwindow=1&amp;tbm=isch","Еще фото")</f>
        <v>Еще фото</v>
      </c>
      <c r="F3673" s="13"/>
      <c r="G3673" s="24" t="s">
        <v>2939</v>
      </c>
      <c r="H3673" s="24" t="s">
        <v>27</v>
      </c>
      <c r="I3673" s="24" t="s">
        <v>2940</v>
      </c>
      <c r="J3673" s="14" t="s">
        <v>43</v>
      </c>
      <c r="K3673" s="15" t="s">
        <v>59</v>
      </c>
      <c r="L3673" s="58"/>
      <c r="M3673" s="14"/>
      <c r="N3673" s="14" t="s">
        <v>46</v>
      </c>
      <c r="O3673" s="14"/>
      <c r="P3673" s="15" t="s">
        <v>120</v>
      </c>
      <c r="Q3673" s="16">
        <v>5299</v>
      </c>
      <c r="R3673" s="17">
        <v>40</v>
      </c>
      <c r="S3673" s="18">
        <v>3656.31</v>
      </c>
      <c r="T3673" s="19" t="s">
        <v>36</v>
      </c>
      <c r="U3673" s="20" t="s">
        <v>88</v>
      </c>
      <c r="V3673" s="21" t="s">
        <v>40</v>
      </c>
      <c r="W3673" s="22">
        <v>4</v>
      </c>
      <c r="X3673" s="23"/>
    </row>
    <row r="3674" spans="1:24" s="1" customFormat="1" ht="108" customHeight="1" x14ac:dyDescent="0.3">
      <c r="A3674" s="11" t="s">
        <v>23</v>
      </c>
      <c r="B3674" s="11" t="s">
        <v>3149</v>
      </c>
      <c r="C3674" s="12" t="s">
        <v>3388</v>
      </c>
      <c r="D3674" s="25"/>
      <c r="E3674" s="41" t="str">
        <f>HYPERLINK("https://www.google.ru/search?q=1379500-648&amp;newwindow=1&amp;tbm=isch","Еще фото")</f>
        <v>Еще фото</v>
      </c>
      <c r="F3674" s="13" t="s">
        <v>103</v>
      </c>
      <c r="G3674" s="11" t="s">
        <v>2939</v>
      </c>
      <c r="H3674" s="11" t="s">
        <v>27</v>
      </c>
      <c r="I3674" s="14" t="s">
        <v>2940</v>
      </c>
      <c r="J3674" s="14" t="s">
        <v>43</v>
      </c>
      <c r="K3674" s="15" t="s">
        <v>59</v>
      </c>
      <c r="L3674" s="14" t="s">
        <v>3385</v>
      </c>
      <c r="M3674" s="14"/>
      <c r="N3674" s="14" t="s">
        <v>69</v>
      </c>
      <c r="O3674" s="14"/>
      <c r="P3674" s="15" t="s">
        <v>120</v>
      </c>
      <c r="Q3674" s="16">
        <v>5299</v>
      </c>
      <c r="R3674" s="17">
        <v>40</v>
      </c>
      <c r="S3674" s="18">
        <v>3656.31</v>
      </c>
      <c r="T3674" s="19" t="s">
        <v>36</v>
      </c>
      <c r="U3674" s="20" t="s">
        <v>37</v>
      </c>
      <c r="V3674" s="21" t="s">
        <v>106</v>
      </c>
      <c r="W3674" s="22">
        <v>1</v>
      </c>
      <c r="X3674" s="23"/>
    </row>
    <row r="3675" spans="1:24" s="1" customFormat="1" ht="26" customHeight="1" x14ac:dyDescent="0.3">
      <c r="A3675" s="11" t="s">
        <v>23</v>
      </c>
      <c r="B3675" s="11" t="s">
        <v>3123</v>
      </c>
      <c r="C3675" s="12" t="s">
        <v>3389</v>
      </c>
      <c r="D3675" s="59"/>
      <c r="E3675" s="41" t="str">
        <f>HYPERLINK("https://www.google.ru/search?q=1379744-014&amp;newwindow=1&amp;tbm=isch","Еще фото")</f>
        <v>Еще фото</v>
      </c>
      <c r="F3675" s="13"/>
      <c r="G3675" s="11" t="s">
        <v>2939</v>
      </c>
      <c r="H3675" s="11" t="s">
        <v>27</v>
      </c>
      <c r="I3675" s="14" t="s">
        <v>2940</v>
      </c>
      <c r="J3675" s="14" t="s">
        <v>29</v>
      </c>
      <c r="K3675" s="15" t="s">
        <v>30</v>
      </c>
      <c r="L3675" s="57" t="s">
        <v>3125</v>
      </c>
      <c r="M3675" s="14" t="s">
        <v>140</v>
      </c>
      <c r="N3675" s="14" t="s">
        <v>62</v>
      </c>
      <c r="O3675" s="14"/>
      <c r="P3675" s="15" t="s">
        <v>47</v>
      </c>
      <c r="Q3675" s="16">
        <v>8599</v>
      </c>
      <c r="R3675" s="17">
        <v>40</v>
      </c>
      <c r="S3675" s="18">
        <v>5933.3099999999995</v>
      </c>
      <c r="T3675" s="19" t="s">
        <v>36</v>
      </c>
      <c r="U3675" s="20" t="s">
        <v>63</v>
      </c>
      <c r="V3675" s="21" t="s">
        <v>85</v>
      </c>
      <c r="W3675" s="22">
        <v>2</v>
      </c>
      <c r="X3675" s="23"/>
    </row>
    <row r="3676" spans="1:24" s="1" customFormat="1" ht="26" customHeight="1" x14ac:dyDescent="0.3">
      <c r="A3676" s="24" t="s">
        <v>23</v>
      </c>
      <c r="B3676" s="24" t="s">
        <v>3123</v>
      </c>
      <c r="C3676" s="12" t="s">
        <v>3389</v>
      </c>
      <c r="D3676" s="60"/>
      <c r="E3676" s="41" t="str">
        <f>HYPERLINK("https://www.google.ru/search?q=1379744-014&amp;newwindow=1&amp;tbm=isch","Еще фото")</f>
        <v>Еще фото</v>
      </c>
      <c r="F3676" s="13"/>
      <c r="G3676" s="24" t="s">
        <v>2939</v>
      </c>
      <c r="H3676" s="24" t="s">
        <v>27</v>
      </c>
      <c r="I3676" s="24" t="s">
        <v>2940</v>
      </c>
      <c r="J3676" s="14" t="s">
        <v>29</v>
      </c>
      <c r="K3676" s="15" t="s">
        <v>30</v>
      </c>
      <c r="L3676" s="62"/>
      <c r="M3676" s="14" t="s">
        <v>140</v>
      </c>
      <c r="N3676" s="14" t="s">
        <v>62</v>
      </c>
      <c r="O3676" s="14"/>
      <c r="P3676" s="15" t="s">
        <v>47</v>
      </c>
      <c r="Q3676" s="16">
        <v>8599</v>
      </c>
      <c r="R3676" s="17">
        <v>40</v>
      </c>
      <c r="S3676" s="18">
        <v>5933.3099999999995</v>
      </c>
      <c r="T3676" s="19" t="s">
        <v>36</v>
      </c>
      <c r="U3676" s="20" t="s">
        <v>37</v>
      </c>
      <c r="V3676" s="21" t="s">
        <v>38</v>
      </c>
      <c r="W3676" s="22">
        <v>1</v>
      </c>
      <c r="X3676" s="23"/>
    </row>
    <row r="3677" spans="1:24" s="1" customFormat="1" ht="26" customHeight="1" x14ac:dyDescent="0.3">
      <c r="A3677" s="24" t="s">
        <v>23</v>
      </c>
      <c r="B3677" s="24" t="s">
        <v>3123</v>
      </c>
      <c r="C3677" s="12" t="s">
        <v>3389</v>
      </c>
      <c r="D3677" s="60"/>
      <c r="E3677" s="41" t="str">
        <f>HYPERLINK("https://www.google.ru/search?q=1379744-014&amp;newwindow=1&amp;tbm=isch","Еще фото")</f>
        <v>Еще фото</v>
      </c>
      <c r="F3677" s="13"/>
      <c r="G3677" s="24" t="s">
        <v>2939</v>
      </c>
      <c r="H3677" s="24" t="s">
        <v>27</v>
      </c>
      <c r="I3677" s="24" t="s">
        <v>2940</v>
      </c>
      <c r="J3677" s="14" t="s">
        <v>29</v>
      </c>
      <c r="K3677" s="15" t="s">
        <v>30</v>
      </c>
      <c r="L3677" s="62"/>
      <c r="M3677" s="14" t="s">
        <v>140</v>
      </c>
      <c r="N3677" s="14" t="s">
        <v>62</v>
      </c>
      <c r="O3677" s="14"/>
      <c r="P3677" s="15" t="s">
        <v>47</v>
      </c>
      <c r="Q3677" s="16">
        <v>8599</v>
      </c>
      <c r="R3677" s="17">
        <v>40</v>
      </c>
      <c r="S3677" s="18">
        <v>5933.3099999999995</v>
      </c>
      <c r="T3677" s="19" t="s">
        <v>36</v>
      </c>
      <c r="U3677" s="20" t="s">
        <v>39</v>
      </c>
      <c r="V3677" s="21" t="s">
        <v>40</v>
      </c>
      <c r="W3677" s="22">
        <v>1</v>
      </c>
      <c r="X3677" s="23"/>
    </row>
    <row r="3678" spans="1:24" s="1" customFormat="1" ht="26" customHeight="1" x14ac:dyDescent="0.3">
      <c r="A3678" s="24" t="s">
        <v>23</v>
      </c>
      <c r="B3678" s="24" t="s">
        <v>3123</v>
      </c>
      <c r="C3678" s="12" t="s">
        <v>3389</v>
      </c>
      <c r="D3678" s="61"/>
      <c r="E3678" s="41" t="str">
        <f>HYPERLINK("https://www.google.ru/search?q=1379744-014&amp;newwindow=1&amp;tbm=isch","Еще фото")</f>
        <v>Еще фото</v>
      </c>
      <c r="F3678" s="13"/>
      <c r="G3678" s="24" t="s">
        <v>2939</v>
      </c>
      <c r="H3678" s="24" t="s">
        <v>27</v>
      </c>
      <c r="I3678" s="24" t="s">
        <v>2940</v>
      </c>
      <c r="J3678" s="14" t="s">
        <v>29</v>
      </c>
      <c r="K3678" s="15" t="s">
        <v>30</v>
      </c>
      <c r="L3678" s="58"/>
      <c r="M3678" s="14" t="s">
        <v>140</v>
      </c>
      <c r="N3678" s="14" t="s">
        <v>62</v>
      </c>
      <c r="O3678" s="14"/>
      <c r="P3678" s="15" t="s">
        <v>47</v>
      </c>
      <c r="Q3678" s="16">
        <v>8599</v>
      </c>
      <c r="R3678" s="17">
        <v>40</v>
      </c>
      <c r="S3678" s="18">
        <v>5933.3099999999995</v>
      </c>
      <c r="T3678" s="19" t="s">
        <v>36</v>
      </c>
      <c r="U3678" s="20" t="s">
        <v>90</v>
      </c>
      <c r="V3678" s="21" t="s">
        <v>91</v>
      </c>
      <c r="W3678" s="22">
        <v>1</v>
      </c>
      <c r="X3678" s="23"/>
    </row>
    <row r="3679" spans="1:24" s="1" customFormat="1" ht="52.05" customHeight="1" x14ac:dyDescent="0.3">
      <c r="A3679" s="11" t="s">
        <v>23</v>
      </c>
      <c r="B3679" s="11" t="s">
        <v>3390</v>
      </c>
      <c r="C3679" s="12" t="s">
        <v>3391</v>
      </c>
      <c r="D3679" s="55"/>
      <c r="E3679" s="41" t="str">
        <f>HYPERLINK("https://www.google.ru/search?q=1379744-743&amp;newwindow=1&amp;tbm=isch","Еще фото")</f>
        <v>Еще фото</v>
      </c>
      <c r="F3679" s="13" t="s">
        <v>103</v>
      </c>
      <c r="G3679" s="11" t="s">
        <v>2939</v>
      </c>
      <c r="H3679" s="11" t="s">
        <v>27</v>
      </c>
      <c r="I3679" s="14" t="s">
        <v>2940</v>
      </c>
      <c r="J3679" s="14" t="s">
        <v>29</v>
      </c>
      <c r="K3679" s="15" t="s">
        <v>30</v>
      </c>
      <c r="L3679" s="57" t="s">
        <v>3125</v>
      </c>
      <c r="M3679" s="14" t="s">
        <v>140</v>
      </c>
      <c r="N3679" s="14" t="s">
        <v>1165</v>
      </c>
      <c r="O3679" s="14"/>
      <c r="P3679" s="15" t="s">
        <v>47</v>
      </c>
      <c r="Q3679" s="16">
        <v>8599</v>
      </c>
      <c r="R3679" s="17">
        <v>40</v>
      </c>
      <c r="S3679" s="18">
        <v>5933.3099999999995</v>
      </c>
      <c r="T3679" s="19" t="s">
        <v>36</v>
      </c>
      <c r="U3679" s="20" t="s">
        <v>37</v>
      </c>
      <c r="V3679" s="21" t="s">
        <v>38</v>
      </c>
      <c r="W3679" s="22">
        <v>1</v>
      </c>
      <c r="X3679" s="23"/>
    </row>
    <row r="3680" spans="1:24" s="1" customFormat="1" ht="61.05" customHeight="1" x14ac:dyDescent="0.3">
      <c r="A3680" s="24" t="s">
        <v>23</v>
      </c>
      <c r="B3680" s="24" t="s">
        <v>3390</v>
      </c>
      <c r="C3680" s="12" t="s">
        <v>3391</v>
      </c>
      <c r="D3680" s="56"/>
      <c r="E3680" s="41" t="str">
        <f>HYPERLINK("https://www.google.ru/search?q=1379744-743&amp;newwindow=1&amp;tbm=isch","Еще фото")</f>
        <v>Еще фото</v>
      </c>
      <c r="F3680" s="13" t="s">
        <v>103</v>
      </c>
      <c r="G3680" s="24" t="s">
        <v>2939</v>
      </c>
      <c r="H3680" s="24" t="s">
        <v>27</v>
      </c>
      <c r="I3680" s="24" t="s">
        <v>2940</v>
      </c>
      <c r="J3680" s="14" t="s">
        <v>29</v>
      </c>
      <c r="K3680" s="15" t="s">
        <v>30</v>
      </c>
      <c r="L3680" s="58"/>
      <c r="M3680" s="14" t="s">
        <v>140</v>
      </c>
      <c r="N3680" s="14" t="s">
        <v>1165</v>
      </c>
      <c r="O3680" s="14"/>
      <c r="P3680" s="15" t="s">
        <v>47</v>
      </c>
      <c r="Q3680" s="16">
        <v>8599</v>
      </c>
      <c r="R3680" s="17">
        <v>40</v>
      </c>
      <c r="S3680" s="18">
        <v>5933.3099999999995</v>
      </c>
      <c r="T3680" s="19" t="s">
        <v>36</v>
      </c>
      <c r="U3680" s="20" t="s">
        <v>39</v>
      </c>
      <c r="V3680" s="21" t="s">
        <v>40</v>
      </c>
      <c r="W3680" s="22">
        <v>1</v>
      </c>
      <c r="X3680" s="23"/>
    </row>
    <row r="3681" spans="1:24" s="1" customFormat="1" ht="108" customHeight="1" x14ac:dyDescent="0.3">
      <c r="A3681" s="11" t="s">
        <v>23</v>
      </c>
      <c r="B3681" s="11" t="s">
        <v>3123</v>
      </c>
      <c r="C3681" s="12" t="s">
        <v>3392</v>
      </c>
      <c r="D3681" s="25"/>
      <c r="E3681" s="41" t="str">
        <f>HYPERLINK("https://www.google.ru/search?q=1379745-390&amp;newwindow=1&amp;tbm=isch","Еще фото")</f>
        <v>Еще фото</v>
      </c>
      <c r="F3681" s="13"/>
      <c r="G3681" s="11" t="s">
        <v>2939</v>
      </c>
      <c r="H3681" s="11" t="s">
        <v>27</v>
      </c>
      <c r="I3681" s="14" t="s">
        <v>2940</v>
      </c>
      <c r="J3681" s="14" t="s">
        <v>29</v>
      </c>
      <c r="K3681" s="15" t="s">
        <v>30</v>
      </c>
      <c r="L3681" s="14" t="s">
        <v>3138</v>
      </c>
      <c r="M3681" s="14" t="s">
        <v>140</v>
      </c>
      <c r="N3681" s="14" t="s">
        <v>180</v>
      </c>
      <c r="O3681" s="14"/>
      <c r="P3681" s="15" t="s">
        <v>47</v>
      </c>
      <c r="Q3681" s="16">
        <v>8299</v>
      </c>
      <c r="R3681" s="17">
        <v>40</v>
      </c>
      <c r="S3681" s="18">
        <v>5726.3099999999995</v>
      </c>
      <c r="T3681" s="19" t="s">
        <v>36</v>
      </c>
      <c r="U3681" s="20" t="s">
        <v>39</v>
      </c>
      <c r="V3681" s="21" t="s">
        <v>40</v>
      </c>
      <c r="W3681" s="22">
        <v>1</v>
      </c>
      <c r="X3681" s="23"/>
    </row>
    <row r="3682" spans="1:24" s="1" customFormat="1" ht="26" customHeight="1" x14ac:dyDescent="0.3">
      <c r="A3682" s="11" t="s">
        <v>23</v>
      </c>
      <c r="B3682" s="11" t="s">
        <v>3393</v>
      </c>
      <c r="C3682" s="12" t="s">
        <v>3394</v>
      </c>
      <c r="D3682" s="59"/>
      <c r="E3682" s="41" t="str">
        <f>HYPERLINK("https://www.google.ru/search?q=1379755-001&amp;newwindow=1&amp;tbm=isch","Еще фото")</f>
        <v>Еще фото</v>
      </c>
      <c r="F3682" s="13" t="s">
        <v>152</v>
      </c>
      <c r="G3682" s="11" t="s">
        <v>2945</v>
      </c>
      <c r="H3682" s="11" t="s">
        <v>27</v>
      </c>
      <c r="I3682" s="14" t="s">
        <v>2940</v>
      </c>
      <c r="J3682" s="14" t="s">
        <v>29</v>
      </c>
      <c r="K3682" s="15" t="s">
        <v>30</v>
      </c>
      <c r="L3682" s="57" t="s">
        <v>3395</v>
      </c>
      <c r="M3682" s="14" t="s">
        <v>68</v>
      </c>
      <c r="N3682" s="14" t="s">
        <v>33</v>
      </c>
      <c r="O3682" s="14"/>
      <c r="P3682" s="15" t="s">
        <v>120</v>
      </c>
      <c r="Q3682" s="16">
        <v>4399</v>
      </c>
      <c r="R3682" s="17">
        <v>40</v>
      </c>
      <c r="S3682" s="18">
        <v>3035.31</v>
      </c>
      <c r="T3682" s="19" t="s">
        <v>36</v>
      </c>
      <c r="U3682" s="20" t="s">
        <v>37</v>
      </c>
      <c r="V3682" s="21" t="s">
        <v>38</v>
      </c>
      <c r="W3682" s="22">
        <v>3</v>
      </c>
      <c r="X3682" s="23"/>
    </row>
    <row r="3683" spans="1:24" s="1" customFormat="1" ht="26" customHeight="1" x14ac:dyDescent="0.3">
      <c r="A3683" s="24" t="s">
        <v>23</v>
      </c>
      <c r="B3683" s="24" t="s">
        <v>3393</v>
      </c>
      <c r="C3683" s="12" t="s">
        <v>3394</v>
      </c>
      <c r="D3683" s="60"/>
      <c r="E3683" s="41" t="str">
        <f>HYPERLINK("https://www.google.ru/search?q=1379755-001&amp;newwindow=1&amp;tbm=isch","Еще фото")</f>
        <v>Еще фото</v>
      </c>
      <c r="F3683" s="13" t="s">
        <v>152</v>
      </c>
      <c r="G3683" s="24" t="s">
        <v>2945</v>
      </c>
      <c r="H3683" s="24" t="s">
        <v>27</v>
      </c>
      <c r="I3683" s="24" t="s">
        <v>2940</v>
      </c>
      <c r="J3683" s="14" t="s">
        <v>29</v>
      </c>
      <c r="K3683" s="15" t="s">
        <v>30</v>
      </c>
      <c r="L3683" s="62"/>
      <c r="M3683" s="14" t="s">
        <v>68</v>
      </c>
      <c r="N3683" s="14" t="s">
        <v>33</v>
      </c>
      <c r="O3683" s="14"/>
      <c r="P3683" s="15" t="s">
        <v>120</v>
      </c>
      <c r="Q3683" s="16">
        <v>4399</v>
      </c>
      <c r="R3683" s="17">
        <v>40</v>
      </c>
      <c r="S3683" s="18">
        <v>3035.31</v>
      </c>
      <c r="T3683" s="19" t="s">
        <v>36</v>
      </c>
      <c r="U3683" s="20" t="s">
        <v>39</v>
      </c>
      <c r="V3683" s="21" t="s">
        <v>40</v>
      </c>
      <c r="W3683" s="22">
        <v>14</v>
      </c>
      <c r="X3683" s="23"/>
    </row>
    <row r="3684" spans="1:24" s="1" customFormat="1" ht="26" customHeight="1" x14ac:dyDescent="0.3">
      <c r="A3684" s="24" t="s">
        <v>23</v>
      </c>
      <c r="B3684" s="24" t="s">
        <v>3393</v>
      </c>
      <c r="C3684" s="12" t="s">
        <v>3394</v>
      </c>
      <c r="D3684" s="60"/>
      <c r="E3684" s="41" t="str">
        <f>HYPERLINK("https://www.google.ru/search?q=1379755-001&amp;newwindow=1&amp;tbm=isch","Еще фото")</f>
        <v>Еще фото</v>
      </c>
      <c r="F3684" s="13" t="s">
        <v>152</v>
      </c>
      <c r="G3684" s="24" t="s">
        <v>2945</v>
      </c>
      <c r="H3684" s="24" t="s">
        <v>27</v>
      </c>
      <c r="I3684" s="24" t="s">
        <v>2940</v>
      </c>
      <c r="J3684" s="14" t="s">
        <v>29</v>
      </c>
      <c r="K3684" s="15" t="s">
        <v>30</v>
      </c>
      <c r="L3684" s="62"/>
      <c r="M3684" s="14" t="s">
        <v>68</v>
      </c>
      <c r="N3684" s="14" t="s">
        <v>33</v>
      </c>
      <c r="O3684" s="14"/>
      <c r="P3684" s="15" t="s">
        <v>120</v>
      </c>
      <c r="Q3684" s="16">
        <v>4399</v>
      </c>
      <c r="R3684" s="17">
        <v>40</v>
      </c>
      <c r="S3684" s="18">
        <v>3035.31</v>
      </c>
      <c r="T3684" s="19" t="s">
        <v>36</v>
      </c>
      <c r="U3684" s="20" t="s">
        <v>86</v>
      </c>
      <c r="V3684" s="21" t="s">
        <v>87</v>
      </c>
      <c r="W3684" s="22">
        <v>12</v>
      </c>
      <c r="X3684" s="23"/>
    </row>
    <row r="3685" spans="1:24" s="1" customFormat="1" ht="26" customHeight="1" x14ac:dyDescent="0.3">
      <c r="A3685" s="24" t="s">
        <v>23</v>
      </c>
      <c r="B3685" s="24" t="s">
        <v>3393</v>
      </c>
      <c r="C3685" s="12" t="s">
        <v>3394</v>
      </c>
      <c r="D3685" s="61"/>
      <c r="E3685" s="41" t="str">
        <f>HYPERLINK("https://www.google.ru/search?q=1379755-001&amp;newwindow=1&amp;tbm=isch","Еще фото")</f>
        <v>Еще фото</v>
      </c>
      <c r="F3685" s="13" t="s">
        <v>152</v>
      </c>
      <c r="G3685" s="24" t="s">
        <v>2945</v>
      </c>
      <c r="H3685" s="24" t="s">
        <v>27</v>
      </c>
      <c r="I3685" s="24" t="s">
        <v>2940</v>
      </c>
      <c r="J3685" s="14" t="s">
        <v>29</v>
      </c>
      <c r="K3685" s="15" t="s">
        <v>30</v>
      </c>
      <c r="L3685" s="58"/>
      <c r="M3685" s="14" t="s">
        <v>68</v>
      </c>
      <c r="N3685" s="14" t="s">
        <v>33</v>
      </c>
      <c r="O3685" s="14"/>
      <c r="P3685" s="15" t="s">
        <v>120</v>
      </c>
      <c r="Q3685" s="16">
        <v>4399</v>
      </c>
      <c r="R3685" s="17">
        <v>40</v>
      </c>
      <c r="S3685" s="18">
        <v>3035.31</v>
      </c>
      <c r="T3685" s="19" t="s">
        <v>36</v>
      </c>
      <c r="U3685" s="20" t="s">
        <v>88</v>
      </c>
      <c r="V3685" s="21" t="s">
        <v>89</v>
      </c>
      <c r="W3685" s="22">
        <v>2</v>
      </c>
      <c r="X3685" s="23"/>
    </row>
    <row r="3686" spans="1:24" s="1" customFormat="1" ht="21" customHeight="1" x14ac:dyDescent="0.3">
      <c r="A3686" s="11" t="s">
        <v>23</v>
      </c>
      <c r="B3686" s="11" t="s">
        <v>3393</v>
      </c>
      <c r="C3686" s="26" t="s">
        <v>3396</v>
      </c>
      <c r="D3686" s="59"/>
      <c r="E3686" s="41" t="str">
        <f>HYPERLINK("https://www.google.ru/search?q=1379755-025&amp;newwindow=1&amp;tbm=isch","Еще фото")</f>
        <v>Еще фото</v>
      </c>
      <c r="F3686" s="13" t="s">
        <v>152</v>
      </c>
      <c r="G3686" s="11" t="s">
        <v>2945</v>
      </c>
      <c r="H3686" s="11" t="s">
        <v>27</v>
      </c>
      <c r="I3686" s="14" t="s">
        <v>2940</v>
      </c>
      <c r="J3686" s="14" t="s">
        <v>29</v>
      </c>
      <c r="K3686" s="15" t="s">
        <v>30</v>
      </c>
      <c r="L3686" s="57" t="s">
        <v>3395</v>
      </c>
      <c r="M3686" s="14" t="s">
        <v>68</v>
      </c>
      <c r="N3686" s="14" t="s">
        <v>62</v>
      </c>
      <c r="O3686" s="14"/>
      <c r="P3686" s="15" t="s">
        <v>120</v>
      </c>
      <c r="Q3686" s="16">
        <v>4399</v>
      </c>
      <c r="R3686" s="17">
        <v>40</v>
      </c>
      <c r="S3686" s="18">
        <v>3035.31</v>
      </c>
      <c r="T3686" s="19" t="s">
        <v>36</v>
      </c>
      <c r="U3686" s="20" t="s">
        <v>37</v>
      </c>
      <c r="V3686" s="21" t="s">
        <v>38</v>
      </c>
      <c r="W3686" s="22">
        <v>13</v>
      </c>
      <c r="X3686" s="23"/>
    </row>
    <row r="3687" spans="1:24" s="1" customFormat="1" ht="21" customHeight="1" x14ac:dyDescent="0.3">
      <c r="A3687" s="24" t="s">
        <v>23</v>
      </c>
      <c r="B3687" s="24" t="s">
        <v>3393</v>
      </c>
      <c r="C3687" s="27" t="s">
        <v>3396</v>
      </c>
      <c r="D3687" s="60"/>
      <c r="E3687" s="41" t="str">
        <f>HYPERLINK("https://www.google.ru/search?q=1379755-025&amp;newwindow=1&amp;tbm=isch","Еще фото")</f>
        <v>Еще фото</v>
      </c>
      <c r="F3687" s="13" t="s">
        <v>152</v>
      </c>
      <c r="G3687" s="24" t="s">
        <v>2945</v>
      </c>
      <c r="H3687" s="24" t="s">
        <v>27</v>
      </c>
      <c r="I3687" s="24" t="s">
        <v>2940</v>
      </c>
      <c r="J3687" s="14" t="s">
        <v>29</v>
      </c>
      <c r="K3687" s="15" t="s">
        <v>30</v>
      </c>
      <c r="L3687" s="62"/>
      <c r="M3687" s="14" t="s">
        <v>68</v>
      </c>
      <c r="N3687" s="14" t="s">
        <v>62</v>
      </c>
      <c r="O3687" s="14"/>
      <c r="P3687" s="15" t="s">
        <v>120</v>
      </c>
      <c r="Q3687" s="16">
        <v>4399</v>
      </c>
      <c r="R3687" s="17">
        <v>40</v>
      </c>
      <c r="S3687" s="18">
        <v>3035.31</v>
      </c>
      <c r="T3687" s="19" t="s">
        <v>36</v>
      </c>
      <c r="U3687" s="20" t="s">
        <v>39</v>
      </c>
      <c r="V3687" s="21" t="s">
        <v>40</v>
      </c>
      <c r="W3687" s="22">
        <v>19</v>
      </c>
      <c r="X3687" s="23"/>
    </row>
    <row r="3688" spans="1:24" s="1" customFormat="1" ht="21" customHeight="1" x14ac:dyDescent="0.3">
      <c r="A3688" s="24" t="s">
        <v>23</v>
      </c>
      <c r="B3688" s="24" t="s">
        <v>3393</v>
      </c>
      <c r="C3688" s="27" t="s">
        <v>3396</v>
      </c>
      <c r="D3688" s="60"/>
      <c r="E3688" s="41" t="str">
        <f>HYPERLINK("https://www.google.ru/search?q=1379755-025&amp;newwindow=1&amp;tbm=isch","Еще фото")</f>
        <v>Еще фото</v>
      </c>
      <c r="F3688" s="13" t="s">
        <v>152</v>
      </c>
      <c r="G3688" s="24" t="s">
        <v>2945</v>
      </c>
      <c r="H3688" s="24" t="s">
        <v>27</v>
      </c>
      <c r="I3688" s="24" t="s">
        <v>2940</v>
      </c>
      <c r="J3688" s="14" t="s">
        <v>29</v>
      </c>
      <c r="K3688" s="15" t="s">
        <v>30</v>
      </c>
      <c r="L3688" s="62"/>
      <c r="M3688" s="14" t="s">
        <v>68</v>
      </c>
      <c r="N3688" s="14" t="s">
        <v>62</v>
      </c>
      <c r="O3688" s="14"/>
      <c r="P3688" s="15" t="s">
        <v>120</v>
      </c>
      <c r="Q3688" s="16">
        <v>4399</v>
      </c>
      <c r="R3688" s="17">
        <v>40</v>
      </c>
      <c r="S3688" s="18">
        <v>3035.31</v>
      </c>
      <c r="T3688" s="19" t="s">
        <v>36</v>
      </c>
      <c r="U3688" s="20" t="s">
        <v>86</v>
      </c>
      <c r="V3688" s="21" t="s">
        <v>87</v>
      </c>
      <c r="W3688" s="22">
        <v>25</v>
      </c>
      <c r="X3688" s="23"/>
    </row>
    <row r="3689" spans="1:24" s="1" customFormat="1" ht="21" customHeight="1" x14ac:dyDescent="0.3">
      <c r="A3689" s="24" t="s">
        <v>23</v>
      </c>
      <c r="B3689" s="24" t="s">
        <v>3393</v>
      </c>
      <c r="C3689" s="27" t="s">
        <v>3396</v>
      </c>
      <c r="D3689" s="60"/>
      <c r="E3689" s="41" t="str">
        <f>HYPERLINK("https://www.google.ru/search?q=1379755-025&amp;newwindow=1&amp;tbm=isch","Еще фото")</f>
        <v>Еще фото</v>
      </c>
      <c r="F3689" s="13" t="s">
        <v>152</v>
      </c>
      <c r="G3689" s="24" t="s">
        <v>2945</v>
      </c>
      <c r="H3689" s="24" t="s">
        <v>27</v>
      </c>
      <c r="I3689" s="24" t="s">
        <v>2940</v>
      </c>
      <c r="J3689" s="14" t="s">
        <v>29</v>
      </c>
      <c r="K3689" s="15" t="s">
        <v>30</v>
      </c>
      <c r="L3689" s="62"/>
      <c r="M3689" s="14" t="s">
        <v>68</v>
      </c>
      <c r="N3689" s="14" t="s">
        <v>62</v>
      </c>
      <c r="O3689" s="14"/>
      <c r="P3689" s="15" t="s">
        <v>120</v>
      </c>
      <c r="Q3689" s="16">
        <v>4399</v>
      </c>
      <c r="R3689" s="17">
        <v>40</v>
      </c>
      <c r="S3689" s="18">
        <v>3035.31</v>
      </c>
      <c r="T3689" s="19" t="s">
        <v>36</v>
      </c>
      <c r="U3689" s="20" t="s">
        <v>88</v>
      </c>
      <c r="V3689" s="21" t="s">
        <v>89</v>
      </c>
      <c r="W3689" s="22">
        <v>15</v>
      </c>
      <c r="X3689" s="23"/>
    </row>
    <row r="3690" spans="1:24" s="1" customFormat="1" ht="32" customHeight="1" x14ac:dyDescent="0.3">
      <c r="A3690" s="24" t="s">
        <v>23</v>
      </c>
      <c r="B3690" s="24" t="s">
        <v>3393</v>
      </c>
      <c r="C3690" s="27" t="s">
        <v>3396</v>
      </c>
      <c r="D3690" s="61"/>
      <c r="E3690" s="41" t="str">
        <f>HYPERLINK("https://www.google.ru/search?q=1379755-025&amp;newwindow=1&amp;tbm=isch","Еще фото")</f>
        <v>Еще фото</v>
      </c>
      <c r="F3690" s="13" t="s">
        <v>152</v>
      </c>
      <c r="G3690" s="24" t="s">
        <v>2945</v>
      </c>
      <c r="H3690" s="24" t="s">
        <v>27</v>
      </c>
      <c r="I3690" s="24" t="s">
        <v>2940</v>
      </c>
      <c r="J3690" s="14" t="s">
        <v>29</v>
      </c>
      <c r="K3690" s="15" t="s">
        <v>30</v>
      </c>
      <c r="L3690" s="58"/>
      <c r="M3690" s="14" t="s">
        <v>68</v>
      </c>
      <c r="N3690" s="14" t="s">
        <v>62</v>
      </c>
      <c r="O3690" s="14"/>
      <c r="P3690" s="15" t="s">
        <v>120</v>
      </c>
      <c r="Q3690" s="16">
        <v>4399</v>
      </c>
      <c r="R3690" s="17">
        <v>40</v>
      </c>
      <c r="S3690" s="18">
        <v>3035.31</v>
      </c>
      <c r="T3690" s="19" t="s">
        <v>36</v>
      </c>
      <c r="U3690" s="20" t="s">
        <v>90</v>
      </c>
      <c r="V3690" s="21" t="s">
        <v>91</v>
      </c>
      <c r="W3690" s="22">
        <v>7</v>
      </c>
      <c r="X3690" s="23"/>
    </row>
    <row r="3691" spans="1:24" s="1" customFormat="1" ht="21" customHeight="1" x14ac:dyDescent="0.3">
      <c r="A3691" s="11" t="s">
        <v>23</v>
      </c>
      <c r="B3691" s="11" t="s">
        <v>3393</v>
      </c>
      <c r="C3691" s="26" t="s">
        <v>3397</v>
      </c>
      <c r="D3691" s="59"/>
      <c r="E3691" s="41" t="str">
        <f>HYPERLINK("https://www.google.ru/search?q=1379755-390&amp;newwindow=1&amp;tbm=isch","Еще фото")</f>
        <v>Еще фото</v>
      </c>
      <c r="F3691" s="13" t="s">
        <v>103</v>
      </c>
      <c r="G3691" s="11" t="s">
        <v>2945</v>
      </c>
      <c r="H3691" s="11" t="s">
        <v>27</v>
      </c>
      <c r="I3691" s="14" t="s">
        <v>2940</v>
      </c>
      <c r="J3691" s="14" t="s">
        <v>29</v>
      </c>
      <c r="K3691" s="15" t="s">
        <v>30</v>
      </c>
      <c r="L3691" s="57" t="s">
        <v>3398</v>
      </c>
      <c r="M3691" s="14" t="s">
        <v>68</v>
      </c>
      <c r="N3691" s="14" t="s">
        <v>127</v>
      </c>
      <c r="O3691" s="14"/>
      <c r="P3691" s="15" t="s">
        <v>3399</v>
      </c>
      <c r="Q3691" s="16">
        <v>7099</v>
      </c>
      <c r="R3691" s="17">
        <v>40</v>
      </c>
      <c r="S3691" s="18">
        <v>4898.3099999999995</v>
      </c>
      <c r="T3691" s="19" t="s">
        <v>36</v>
      </c>
      <c r="U3691" s="20" t="s">
        <v>37</v>
      </c>
      <c r="V3691" s="21" t="s">
        <v>38</v>
      </c>
      <c r="W3691" s="22">
        <v>13</v>
      </c>
      <c r="X3691" s="23"/>
    </row>
    <row r="3692" spans="1:24" s="1" customFormat="1" ht="21" customHeight="1" x14ac:dyDescent="0.3">
      <c r="A3692" s="24" t="s">
        <v>23</v>
      </c>
      <c r="B3692" s="24" t="s">
        <v>3393</v>
      </c>
      <c r="C3692" s="27" t="s">
        <v>3397</v>
      </c>
      <c r="D3692" s="60"/>
      <c r="E3692" s="41" t="str">
        <f>HYPERLINK("https://www.google.ru/search?q=1379755-390&amp;newwindow=1&amp;tbm=isch","Еще фото")</f>
        <v>Еще фото</v>
      </c>
      <c r="F3692" s="13" t="s">
        <v>103</v>
      </c>
      <c r="G3692" s="24" t="s">
        <v>2945</v>
      </c>
      <c r="H3692" s="24" t="s">
        <v>27</v>
      </c>
      <c r="I3692" s="24" t="s">
        <v>2940</v>
      </c>
      <c r="J3692" s="14" t="s">
        <v>29</v>
      </c>
      <c r="K3692" s="15" t="s">
        <v>30</v>
      </c>
      <c r="L3692" s="62"/>
      <c r="M3692" s="14" t="s">
        <v>68</v>
      </c>
      <c r="N3692" s="14" t="s">
        <v>127</v>
      </c>
      <c r="O3692" s="14"/>
      <c r="P3692" s="15" t="s">
        <v>3399</v>
      </c>
      <c r="Q3692" s="16">
        <v>7099</v>
      </c>
      <c r="R3692" s="17">
        <v>40</v>
      </c>
      <c r="S3692" s="18">
        <v>4898.3099999999995</v>
      </c>
      <c r="T3692" s="19" t="s">
        <v>36</v>
      </c>
      <c r="U3692" s="20" t="s">
        <v>39</v>
      </c>
      <c r="V3692" s="21" t="s">
        <v>40</v>
      </c>
      <c r="W3692" s="22">
        <v>34</v>
      </c>
      <c r="X3692" s="23"/>
    </row>
    <row r="3693" spans="1:24" s="1" customFormat="1" ht="21" customHeight="1" x14ac:dyDescent="0.3">
      <c r="A3693" s="24" t="s">
        <v>23</v>
      </c>
      <c r="B3693" s="24" t="s">
        <v>3393</v>
      </c>
      <c r="C3693" s="27" t="s">
        <v>3397</v>
      </c>
      <c r="D3693" s="60"/>
      <c r="E3693" s="41" t="str">
        <f>HYPERLINK("https://www.google.ru/search?q=1379755-390&amp;newwindow=1&amp;tbm=isch","Еще фото")</f>
        <v>Еще фото</v>
      </c>
      <c r="F3693" s="13" t="s">
        <v>103</v>
      </c>
      <c r="G3693" s="24" t="s">
        <v>2945</v>
      </c>
      <c r="H3693" s="24" t="s">
        <v>27</v>
      </c>
      <c r="I3693" s="24" t="s">
        <v>2940</v>
      </c>
      <c r="J3693" s="14" t="s">
        <v>29</v>
      </c>
      <c r="K3693" s="15" t="s">
        <v>30</v>
      </c>
      <c r="L3693" s="62"/>
      <c r="M3693" s="14" t="s">
        <v>68</v>
      </c>
      <c r="N3693" s="14" t="s">
        <v>127</v>
      </c>
      <c r="O3693" s="14"/>
      <c r="P3693" s="15" t="s">
        <v>3399</v>
      </c>
      <c r="Q3693" s="16">
        <v>7099</v>
      </c>
      <c r="R3693" s="17">
        <v>40</v>
      </c>
      <c r="S3693" s="18">
        <v>4898.3099999999995</v>
      </c>
      <c r="T3693" s="19" t="s">
        <v>36</v>
      </c>
      <c r="U3693" s="20" t="s">
        <v>86</v>
      </c>
      <c r="V3693" s="21" t="s">
        <v>87</v>
      </c>
      <c r="W3693" s="22">
        <v>30</v>
      </c>
      <c r="X3693" s="23"/>
    </row>
    <row r="3694" spans="1:24" s="1" customFormat="1" ht="21" customHeight="1" x14ac:dyDescent="0.3">
      <c r="A3694" s="24" t="s">
        <v>23</v>
      </c>
      <c r="B3694" s="24" t="s">
        <v>3393</v>
      </c>
      <c r="C3694" s="27" t="s">
        <v>3397</v>
      </c>
      <c r="D3694" s="60"/>
      <c r="E3694" s="41" t="str">
        <f>HYPERLINK("https://www.google.ru/search?q=1379755-390&amp;newwindow=1&amp;tbm=isch","Еще фото")</f>
        <v>Еще фото</v>
      </c>
      <c r="F3694" s="13" t="s">
        <v>103</v>
      </c>
      <c r="G3694" s="24" t="s">
        <v>2945</v>
      </c>
      <c r="H3694" s="24" t="s">
        <v>27</v>
      </c>
      <c r="I3694" s="24" t="s">
        <v>2940</v>
      </c>
      <c r="J3694" s="14" t="s">
        <v>29</v>
      </c>
      <c r="K3694" s="15" t="s">
        <v>30</v>
      </c>
      <c r="L3694" s="62"/>
      <c r="M3694" s="14" t="s">
        <v>68</v>
      </c>
      <c r="N3694" s="14" t="s">
        <v>127</v>
      </c>
      <c r="O3694" s="14"/>
      <c r="P3694" s="15" t="s">
        <v>3399</v>
      </c>
      <c r="Q3694" s="16">
        <v>7099</v>
      </c>
      <c r="R3694" s="17">
        <v>40</v>
      </c>
      <c r="S3694" s="18">
        <v>4898.3099999999995</v>
      </c>
      <c r="T3694" s="19" t="s">
        <v>36</v>
      </c>
      <c r="U3694" s="20" t="s">
        <v>88</v>
      </c>
      <c r="V3694" s="21" t="s">
        <v>89</v>
      </c>
      <c r="W3694" s="22">
        <v>25</v>
      </c>
      <c r="X3694" s="23"/>
    </row>
    <row r="3695" spans="1:24" s="1" customFormat="1" ht="32" customHeight="1" x14ac:dyDescent="0.3">
      <c r="A3695" s="24" t="s">
        <v>23</v>
      </c>
      <c r="B3695" s="24" t="s">
        <v>3393</v>
      </c>
      <c r="C3695" s="27" t="s">
        <v>3397</v>
      </c>
      <c r="D3695" s="61"/>
      <c r="E3695" s="41" t="str">
        <f>HYPERLINK("https://www.google.ru/search?q=1379755-390&amp;newwindow=1&amp;tbm=isch","Еще фото")</f>
        <v>Еще фото</v>
      </c>
      <c r="F3695" s="13" t="s">
        <v>103</v>
      </c>
      <c r="G3695" s="24" t="s">
        <v>2945</v>
      </c>
      <c r="H3695" s="24" t="s">
        <v>27</v>
      </c>
      <c r="I3695" s="24" t="s">
        <v>2940</v>
      </c>
      <c r="J3695" s="14" t="s">
        <v>29</v>
      </c>
      <c r="K3695" s="15" t="s">
        <v>30</v>
      </c>
      <c r="L3695" s="58"/>
      <c r="M3695" s="14" t="s">
        <v>68</v>
      </c>
      <c r="N3695" s="14" t="s">
        <v>127</v>
      </c>
      <c r="O3695" s="14"/>
      <c r="P3695" s="15" t="s">
        <v>3399</v>
      </c>
      <c r="Q3695" s="16">
        <v>7099</v>
      </c>
      <c r="R3695" s="17">
        <v>40</v>
      </c>
      <c r="S3695" s="18">
        <v>4898.3099999999995</v>
      </c>
      <c r="T3695" s="19" t="s">
        <v>36</v>
      </c>
      <c r="U3695" s="20" t="s">
        <v>90</v>
      </c>
      <c r="V3695" s="21" t="s">
        <v>91</v>
      </c>
      <c r="W3695" s="22">
        <v>10</v>
      </c>
      <c r="X3695" s="23"/>
    </row>
    <row r="3696" spans="1:24" s="1" customFormat="1" ht="35" customHeight="1" x14ac:dyDescent="0.3">
      <c r="A3696" s="11" t="s">
        <v>23</v>
      </c>
      <c r="B3696" s="11" t="s">
        <v>3393</v>
      </c>
      <c r="C3696" s="12" t="s">
        <v>3400</v>
      </c>
      <c r="D3696" s="59"/>
      <c r="E3696" s="41" t="str">
        <f>HYPERLINK("https://www.google.ru/search?q=1379755-410&amp;newwindow=1&amp;tbm=isch","Еще фото")</f>
        <v>Еще фото</v>
      </c>
      <c r="F3696" s="13" t="s">
        <v>103</v>
      </c>
      <c r="G3696" s="11" t="s">
        <v>2945</v>
      </c>
      <c r="H3696" s="11" t="s">
        <v>27</v>
      </c>
      <c r="I3696" s="14" t="s">
        <v>2940</v>
      </c>
      <c r="J3696" s="14" t="s">
        <v>29</v>
      </c>
      <c r="K3696" s="15" t="s">
        <v>30</v>
      </c>
      <c r="L3696" s="57" t="s">
        <v>3395</v>
      </c>
      <c r="M3696" s="14" t="s">
        <v>68</v>
      </c>
      <c r="N3696" s="14" t="s">
        <v>115</v>
      </c>
      <c r="O3696" s="14"/>
      <c r="P3696" s="15" t="s">
        <v>120</v>
      </c>
      <c r="Q3696" s="16">
        <v>6899</v>
      </c>
      <c r="R3696" s="17">
        <v>40</v>
      </c>
      <c r="S3696" s="18">
        <v>4760.3099999999995</v>
      </c>
      <c r="T3696" s="19" t="s">
        <v>36</v>
      </c>
      <c r="U3696" s="20" t="s">
        <v>37</v>
      </c>
      <c r="V3696" s="21" t="s">
        <v>38</v>
      </c>
      <c r="W3696" s="22">
        <v>1</v>
      </c>
      <c r="X3696" s="23"/>
    </row>
    <row r="3697" spans="1:24" s="1" customFormat="1" ht="35" customHeight="1" x14ac:dyDescent="0.3">
      <c r="A3697" s="24" t="s">
        <v>23</v>
      </c>
      <c r="B3697" s="24" t="s">
        <v>3393</v>
      </c>
      <c r="C3697" s="12" t="s">
        <v>3400</v>
      </c>
      <c r="D3697" s="60"/>
      <c r="E3697" s="41" t="str">
        <f>HYPERLINK("https://www.google.ru/search?q=1379755-410&amp;newwindow=1&amp;tbm=isch","Еще фото")</f>
        <v>Еще фото</v>
      </c>
      <c r="F3697" s="13" t="s">
        <v>103</v>
      </c>
      <c r="G3697" s="24" t="s">
        <v>2945</v>
      </c>
      <c r="H3697" s="24" t="s">
        <v>27</v>
      </c>
      <c r="I3697" s="24" t="s">
        <v>2940</v>
      </c>
      <c r="J3697" s="14" t="s">
        <v>29</v>
      </c>
      <c r="K3697" s="15" t="s">
        <v>30</v>
      </c>
      <c r="L3697" s="62"/>
      <c r="M3697" s="14" t="s">
        <v>68</v>
      </c>
      <c r="N3697" s="14" t="s">
        <v>115</v>
      </c>
      <c r="O3697" s="14"/>
      <c r="P3697" s="15" t="s">
        <v>120</v>
      </c>
      <c r="Q3697" s="16">
        <v>6899</v>
      </c>
      <c r="R3697" s="17">
        <v>40</v>
      </c>
      <c r="S3697" s="18">
        <v>4760.3099999999995</v>
      </c>
      <c r="T3697" s="19" t="s">
        <v>36</v>
      </c>
      <c r="U3697" s="20" t="s">
        <v>86</v>
      </c>
      <c r="V3697" s="21" t="s">
        <v>87</v>
      </c>
      <c r="W3697" s="22">
        <v>2</v>
      </c>
      <c r="X3697" s="23"/>
    </row>
    <row r="3698" spans="1:24" s="1" customFormat="1" ht="37.049999999999997" customHeight="1" x14ac:dyDescent="0.3">
      <c r="A3698" s="24" t="s">
        <v>23</v>
      </c>
      <c r="B3698" s="24" t="s">
        <v>3393</v>
      </c>
      <c r="C3698" s="12" t="s">
        <v>3400</v>
      </c>
      <c r="D3698" s="61"/>
      <c r="E3698" s="41" t="str">
        <f>HYPERLINK("https://www.google.ru/search?q=1379755-410&amp;newwindow=1&amp;tbm=isch","Еще фото")</f>
        <v>Еще фото</v>
      </c>
      <c r="F3698" s="13" t="s">
        <v>103</v>
      </c>
      <c r="G3698" s="24" t="s">
        <v>2945</v>
      </c>
      <c r="H3698" s="24" t="s">
        <v>27</v>
      </c>
      <c r="I3698" s="24" t="s">
        <v>2940</v>
      </c>
      <c r="J3698" s="14" t="s">
        <v>29</v>
      </c>
      <c r="K3698" s="15" t="s">
        <v>30</v>
      </c>
      <c r="L3698" s="58"/>
      <c r="M3698" s="14" t="s">
        <v>68</v>
      </c>
      <c r="N3698" s="14" t="s">
        <v>115</v>
      </c>
      <c r="O3698" s="14"/>
      <c r="P3698" s="15" t="s">
        <v>120</v>
      </c>
      <c r="Q3698" s="16">
        <v>6899</v>
      </c>
      <c r="R3698" s="17">
        <v>40</v>
      </c>
      <c r="S3698" s="18">
        <v>4760.3099999999995</v>
      </c>
      <c r="T3698" s="19" t="s">
        <v>36</v>
      </c>
      <c r="U3698" s="20" t="s">
        <v>88</v>
      </c>
      <c r="V3698" s="21" t="s">
        <v>89</v>
      </c>
      <c r="W3698" s="22">
        <v>1</v>
      </c>
      <c r="X3698" s="23"/>
    </row>
    <row r="3699" spans="1:24" s="1" customFormat="1" ht="21" customHeight="1" x14ac:dyDescent="0.3">
      <c r="A3699" s="11" t="s">
        <v>23</v>
      </c>
      <c r="B3699" s="11" t="s">
        <v>3149</v>
      </c>
      <c r="C3699" s="26" t="s">
        <v>3401</v>
      </c>
      <c r="D3699" s="59"/>
      <c r="E3699" s="41" t="str">
        <f>HYPERLINK("https://www.google.ru/search?q=1379757-001&amp;newwindow=1&amp;tbm=isch","Еще фото")</f>
        <v>Еще фото</v>
      </c>
      <c r="F3699" s="13" t="s">
        <v>103</v>
      </c>
      <c r="G3699" s="11" t="s">
        <v>2939</v>
      </c>
      <c r="H3699" s="11" t="s">
        <v>27</v>
      </c>
      <c r="I3699" s="14" t="s">
        <v>2940</v>
      </c>
      <c r="J3699" s="14" t="s">
        <v>29</v>
      </c>
      <c r="K3699" s="15" t="s">
        <v>30</v>
      </c>
      <c r="L3699" s="57" t="s">
        <v>3402</v>
      </c>
      <c r="M3699" s="14"/>
      <c r="N3699" s="14" t="s">
        <v>33</v>
      </c>
      <c r="O3699" s="14"/>
      <c r="P3699" s="15" t="s">
        <v>120</v>
      </c>
      <c r="Q3699" s="16">
        <v>6099</v>
      </c>
      <c r="R3699" s="17">
        <v>40</v>
      </c>
      <c r="S3699" s="18">
        <v>4208.3099999999995</v>
      </c>
      <c r="T3699" s="19" t="s">
        <v>36</v>
      </c>
      <c r="U3699" s="20" t="s">
        <v>37</v>
      </c>
      <c r="V3699" s="21" t="s">
        <v>38</v>
      </c>
      <c r="W3699" s="22">
        <v>4</v>
      </c>
      <c r="X3699" s="23"/>
    </row>
    <row r="3700" spans="1:24" s="1" customFormat="1" ht="21" customHeight="1" x14ac:dyDescent="0.3">
      <c r="A3700" s="24" t="s">
        <v>23</v>
      </c>
      <c r="B3700" s="24" t="s">
        <v>3149</v>
      </c>
      <c r="C3700" s="27" t="s">
        <v>3401</v>
      </c>
      <c r="D3700" s="60"/>
      <c r="E3700" s="41" t="str">
        <f>HYPERLINK("https://www.google.ru/search?q=1379757-001&amp;newwindow=1&amp;tbm=isch","Еще фото")</f>
        <v>Еще фото</v>
      </c>
      <c r="F3700" s="13" t="s">
        <v>103</v>
      </c>
      <c r="G3700" s="24" t="s">
        <v>2939</v>
      </c>
      <c r="H3700" s="24" t="s">
        <v>27</v>
      </c>
      <c r="I3700" s="24" t="s">
        <v>2940</v>
      </c>
      <c r="J3700" s="14" t="s">
        <v>29</v>
      </c>
      <c r="K3700" s="15" t="s">
        <v>30</v>
      </c>
      <c r="L3700" s="62"/>
      <c r="M3700" s="14"/>
      <c r="N3700" s="14" t="s">
        <v>33</v>
      </c>
      <c r="O3700" s="14"/>
      <c r="P3700" s="15" t="s">
        <v>120</v>
      </c>
      <c r="Q3700" s="16">
        <v>6099</v>
      </c>
      <c r="R3700" s="17">
        <v>40</v>
      </c>
      <c r="S3700" s="18">
        <v>4208.3099999999995</v>
      </c>
      <c r="T3700" s="19" t="s">
        <v>36</v>
      </c>
      <c r="U3700" s="20" t="s">
        <v>39</v>
      </c>
      <c r="V3700" s="21" t="s">
        <v>40</v>
      </c>
      <c r="W3700" s="22">
        <v>4</v>
      </c>
      <c r="X3700" s="23"/>
    </row>
    <row r="3701" spans="1:24" s="1" customFormat="1" ht="21" customHeight="1" x14ac:dyDescent="0.3">
      <c r="A3701" s="24" t="s">
        <v>23</v>
      </c>
      <c r="B3701" s="24" t="s">
        <v>3149</v>
      </c>
      <c r="C3701" s="27" t="s">
        <v>3401</v>
      </c>
      <c r="D3701" s="60"/>
      <c r="E3701" s="41" t="str">
        <f>HYPERLINK("https://www.google.ru/search?q=1379757-001&amp;newwindow=1&amp;tbm=isch","Еще фото")</f>
        <v>Еще фото</v>
      </c>
      <c r="F3701" s="13" t="s">
        <v>103</v>
      </c>
      <c r="G3701" s="24" t="s">
        <v>2939</v>
      </c>
      <c r="H3701" s="24" t="s">
        <v>27</v>
      </c>
      <c r="I3701" s="24" t="s">
        <v>2940</v>
      </c>
      <c r="J3701" s="14" t="s">
        <v>29</v>
      </c>
      <c r="K3701" s="15" t="s">
        <v>30</v>
      </c>
      <c r="L3701" s="62"/>
      <c r="M3701" s="14"/>
      <c r="N3701" s="14" t="s">
        <v>33</v>
      </c>
      <c r="O3701" s="14"/>
      <c r="P3701" s="15" t="s">
        <v>120</v>
      </c>
      <c r="Q3701" s="16">
        <v>6099</v>
      </c>
      <c r="R3701" s="17">
        <v>40</v>
      </c>
      <c r="S3701" s="18">
        <v>4208.3099999999995</v>
      </c>
      <c r="T3701" s="19" t="s">
        <v>36</v>
      </c>
      <c r="U3701" s="20" t="s">
        <v>86</v>
      </c>
      <c r="V3701" s="21" t="s">
        <v>87</v>
      </c>
      <c r="W3701" s="22">
        <v>11</v>
      </c>
      <c r="X3701" s="23"/>
    </row>
    <row r="3702" spans="1:24" s="1" customFormat="1" ht="21" customHeight="1" x14ac:dyDescent="0.3">
      <c r="A3702" s="24" t="s">
        <v>23</v>
      </c>
      <c r="B3702" s="24" t="s">
        <v>3149</v>
      </c>
      <c r="C3702" s="27" t="s">
        <v>3401</v>
      </c>
      <c r="D3702" s="60"/>
      <c r="E3702" s="41" t="str">
        <f>HYPERLINK("https://www.google.ru/search?q=1379757-001&amp;newwindow=1&amp;tbm=isch","Еще фото")</f>
        <v>Еще фото</v>
      </c>
      <c r="F3702" s="13" t="s">
        <v>103</v>
      </c>
      <c r="G3702" s="24" t="s">
        <v>2939</v>
      </c>
      <c r="H3702" s="24" t="s">
        <v>27</v>
      </c>
      <c r="I3702" s="24" t="s">
        <v>2940</v>
      </c>
      <c r="J3702" s="14" t="s">
        <v>29</v>
      </c>
      <c r="K3702" s="15" t="s">
        <v>30</v>
      </c>
      <c r="L3702" s="62"/>
      <c r="M3702" s="14"/>
      <c r="N3702" s="14" t="s">
        <v>33</v>
      </c>
      <c r="O3702" s="14"/>
      <c r="P3702" s="15" t="s">
        <v>120</v>
      </c>
      <c r="Q3702" s="16">
        <v>6099</v>
      </c>
      <c r="R3702" s="17">
        <v>40</v>
      </c>
      <c r="S3702" s="18">
        <v>4208.3099999999995</v>
      </c>
      <c r="T3702" s="19" t="s">
        <v>36</v>
      </c>
      <c r="U3702" s="20" t="s">
        <v>88</v>
      </c>
      <c r="V3702" s="21" t="s">
        <v>89</v>
      </c>
      <c r="W3702" s="22">
        <v>11</v>
      </c>
      <c r="X3702" s="23"/>
    </row>
    <row r="3703" spans="1:24" s="1" customFormat="1" ht="32" customHeight="1" x14ac:dyDescent="0.3">
      <c r="A3703" s="24" t="s">
        <v>23</v>
      </c>
      <c r="B3703" s="24" t="s">
        <v>3149</v>
      </c>
      <c r="C3703" s="27" t="s">
        <v>3401</v>
      </c>
      <c r="D3703" s="61"/>
      <c r="E3703" s="41" t="str">
        <f>HYPERLINK("https://www.google.ru/search?q=1379757-001&amp;newwindow=1&amp;tbm=isch","Еще фото")</f>
        <v>Еще фото</v>
      </c>
      <c r="F3703" s="13" t="s">
        <v>103</v>
      </c>
      <c r="G3703" s="24" t="s">
        <v>2939</v>
      </c>
      <c r="H3703" s="24" t="s">
        <v>27</v>
      </c>
      <c r="I3703" s="24" t="s">
        <v>2940</v>
      </c>
      <c r="J3703" s="14" t="s">
        <v>29</v>
      </c>
      <c r="K3703" s="15" t="s">
        <v>30</v>
      </c>
      <c r="L3703" s="58"/>
      <c r="M3703" s="14"/>
      <c r="N3703" s="14" t="s">
        <v>33</v>
      </c>
      <c r="O3703" s="14"/>
      <c r="P3703" s="15" t="s">
        <v>120</v>
      </c>
      <c r="Q3703" s="16">
        <v>6099</v>
      </c>
      <c r="R3703" s="17">
        <v>40</v>
      </c>
      <c r="S3703" s="18">
        <v>4208.3099999999995</v>
      </c>
      <c r="T3703" s="19" t="s">
        <v>36</v>
      </c>
      <c r="U3703" s="20" t="s">
        <v>90</v>
      </c>
      <c r="V3703" s="21" t="s">
        <v>91</v>
      </c>
      <c r="W3703" s="22">
        <v>4</v>
      </c>
      <c r="X3703" s="23"/>
    </row>
    <row r="3704" spans="1:24" s="1" customFormat="1" ht="108" customHeight="1" x14ac:dyDescent="0.3">
      <c r="A3704" s="11" t="s">
        <v>23</v>
      </c>
      <c r="B3704" s="11" t="s">
        <v>3149</v>
      </c>
      <c r="C3704" s="12" t="s">
        <v>3403</v>
      </c>
      <c r="D3704" s="25"/>
      <c r="E3704" s="41" t="str">
        <f>HYPERLINK("https://www.google.ru/search?q=1379757-025&amp;newwindow=1&amp;tbm=isch","Еще фото")</f>
        <v>Еще фото</v>
      </c>
      <c r="F3704" s="13" t="s">
        <v>103</v>
      </c>
      <c r="G3704" s="11" t="s">
        <v>2939</v>
      </c>
      <c r="H3704" s="11" t="s">
        <v>27</v>
      </c>
      <c r="I3704" s="14" t="s">
        <v>2940</v>
      </c>
      <c r="J3704" s="14" t="s">
        <v>29</v>
      </c>
      <c r="K3704" s="15" t="s">
        <v>30</v>
      </c>
      <c r="L3704" s="14" t="s">
        <v>3404</v>
      </c>
      <c r="M3704" s="14" t="s">
        <v>68</v>
      </c>
      <c r="N3704" s="14" t="s">
        <v>62</v>
      </c>
      <c r="O3704" s="14"/>
      <c r="P3704" s="15" t="s">
        <v>120</v>
      </c>
      <c r="Q3704" s="16">
        <v>7899</v>
      </c>
      <c r="R3704" s="17">
        <v>40</v>
      </c>
      <c r="S3704" s="18">
        <v>5450.3099999999995</v>
      </c>
      <c r="T3704" s="19" t="s">
        <v>36</v>
      </c>
      <c r="U3704" s="20" t="s">
        <v>63</v>
      </c>
      <c r="V3704" s="21" t="s">
        <v>85</v>
      </c>
      <c r="W3704" s="22">
        <v>1</v>
      </c>
      <c r="X3704" s="23"/>
    </row>
    <row r="3705" spans="1:24" s="1" customFormat="1" ht="21" customHeight="1" x14ac:dyDescent="0.3">
      <c r="A3705" s="11" t="s">
        <v>23</v>
      </c>
      <c r="B3705" s="11" t="s">
        <v>3149</v>
      </c>
      <c r="C3705" s="26" t="s">
        <v>3405</v>
      </c>
      <c r="D3705" s="59"/>
      <c r="E3705" s="41" t="str">
        <f>HYPERLINK("https://www.google.ru/search?q=1379757-390&amp;newwindow=1&amp;tbm=isch","Еще фото")</f>
        <v>Еще фото</v>
      </c>
      <c r="F3705" s="13" t="s">
        <v>103</v>
      </c>
      <c r="G3705" s="11" t="s">
        <v>2939</v>
      </c>
      <c r="H3705" s="11" t="s">
        <v>27</v>
      </c>
      <c r="I3705" s="14" t="s">
        <v>2940</v>
      </c>
      <c r="J3705" s="14" t="s">
        <v>29</v>
      </c>
      <c r="K3705" s="15" t="s">
        <v>30</v>
      </c>
      <c r="L3705" s="57" t="s">
        <v>3406</v>
      </c>
      <c r="M3705" s="14" t="s">
        <v>68</v>
      </c>
      <c r="N3705" s="14" t="s">
        <v>127</v>
      </c>
      <c r="O3705" s="14"/>
      <c r="P3705" s="15" t="s">
        <v>120</v>
      </c>
      <c r="Q3705" s="16">
        <v>7199</v>
      </c>
      <c r="R3705" s="17">
        <v>40</v>
      </c>
      <c r="S3705" s="18">
        <v>4967.3099999999995</v>
      </c>
      <c r="T3705" s="19" t="s">
        <v>36</v>
      </c>
      <c r="U3705" s="20" t="s">
        <v>37</v>
      </c>
      <c r="V3705" s="21" t="s">
        <v>38</v>
      </c>
      <c r="W3705" s="22">
        <v>13</v>
      </c>
      <c r="X3705" s="23"/>
    </row>
    <row r="3706" spans="1:24" s="1" customFormat="1" ht="21" customHeight="1" x14ac:dyDescent="0.3">
      <c r="A3706" s="24" t="s">
        <v>23</v>
      </c>
      <c r="B3706" s="24" t="s">
        <v>3149</v>
      </c>
      <c r="C3706" s="27" t="s">
        <v>3405</v>
      </c>
      <c r="D3706" s="60"/>
      <c r="E3706" s="41" t="str">
        <f>HYPERLINK("https://www.google.ru/search?q=1379757-390&amp;newwindow=1&amp;tbm=isch","Еще фото")</f>
        <v>Еще фото</v>
      </c>
      <c r="F3706" s="13" t="s">
        <v>103</v>
      </c>
      <c r="G3706" s="24" t="s">
        <v>2939</v>
      </c>
      <c r="H3706" s="24" t="s">
        <v>27</v>
      </c>
      <c r="I3706" s="24" t="s">
        <v>2940</v>
      </c>
      <c r="J3706" s="14" t="s">
        <v>29</v>
      </c>
      <c r="K3706" s="15" t="s">
        <v>30</v>
      </c>
      <c r="L3706" s="62"/>
      <c r="M3706" s="14" t="s">
        <v>68</v>
      </c>
      <c r="N3706" s="14" t="s">
        <v>127</v>
      </c>
      <c r="O3706" s="14"/>
      <c r="P3706" s="15" t="s">
        <v>120</v>
      </c>
      <c r="Q3706" s="16">
        <v>7199</v>
      </c>
      <c r="R3706" s="17">
        <v>40</v>
      </c>
      <c r="S3706" s="18">
        <v>4967.3099999999995</v>
      </c>
      <c r="T3706" s="19" t="s">
        <v>36</v>
      </c>
      <c r="U3706" s="20" t="s">
        <v>39</v>
      </c>
      <c r="V3706" s="21" t="s">
        <v>40</v>
      </c>
      <c r="W3706" s="22">
        <v>27</v>
      </c>
      <c r="X3706" s="23"/>
    </row>
    <row r="3707" spans="1:24" s="1" customFormat="1" ht="21" customHeight="1" x14ac:dyDescent="0.3">
      <c r="A3707" s="24" t="s">
        <v>23</v>
      </c>
      <c r="B3707" s="24" t="s">
        <v>3149</v>
      </c>
      <c r="C3707" s="27" t="s">
        <v>3405</v>
      </c>
      <c r="D3707" s="60"/>
      <c r="E3707" s="41" t="str">
        <f>HYPERLINK("https://www.google.ru/search?q=1379757-390&amp;newwindow=1&amp;tbm=isch","Еще фото")</f>
        <v>Еще фото</v>
      </c>
      <c r="F3707" s="13" t="s">
        <v>103</v>
      </c>
      <c r="G3707" s="24" t="s">
        <v>2939</v>
      </c>
      <c r="H3707" s="24" t="s">
        <v>27</v>
      </c>
      <c r="I3707" s="24" t="s">
        <v>2940</v>
      </c>
      <c r="J3707" s="14" t="s">
        <v>29</v>
      </c>
      <c r="K3707" s="15" t="s">
        <v>30</v>
      </c>
      <c r="L3707" s="62"/>
      <c r="M3707" s="14" t="s">
        <v>68</v>
      </c>
      <c r="N3707" s="14" t="s">
        <v>127</v>
      </c>
      <c r="O3707" s="14"/>
      <c r="P3707" s="15" t="s">
        <v>120</v>
      </c>
      <c r="Q3707" s="16">
        <v>7199</v>
      </c>
      <c r="R3707" s="17">
        <v>40</v>
      </c>
      <c r="S3707" s="18">
        <v>4967.3099999999995</v>
      </c>
      <c r="T3707" s="19" t="s">
        <v>36</v>
      </c>
      <c r="U3707" s="20" t="s">
        <v>86</v>
      </c>
      <c r="V3707" s="21" t="s">
        <v>87</v>
      </c>
      <c r="W3707" s="22">
        <v>32</v>
      </c>
      <c r="X3707" s="23"/>
    </row>
    <row r="3708" spans="1:24" s="1" customFormat="1" ht="21" customHeight="1" x14ac:dyDescent="0.3">
      <c r="A3708" s="24" t="s">
        <v>23</v>
      </c>
      <c r="B3708" s="24" t="s">
        <v>3149</v>
      </c>
      <c r="C3708" s="27" t="s">
        <v>3405</v>
      </c>
      <c r="D3708" s="60"/>
      <c r="E3708" s="41" t="str">
        <f>HYPERLINK("https://www.google.ru/search?q=1379757-390&amp;newwindow=1&amp;tbm=isch","Еще фото")</f>
        <v>Еще фото</v>
      </c>
      <c r="F3708" s="13" t="s">
        <v>103</v>
      </c>
      <c r="G3708" s="24" t="s">
        <v>2939</v>
      </c>
      <c r="H3708" s="24" t="s">
        <v>27</v>
      </c>
      <c r="I3708" s="24" t="s">
        <v>2940</v>
      </c>
      <c r="J3708" s="14" t="s">
        <v>29</v>
      </c>
      <c r="K3708" s="15" t="s">
        <v>30</v>
      </c>
      <c r="L3708" s="62"/>
      <c r="M3708" s="14" t="s">
        <v>68</v>
      </c>
      <c r="N3708" s="14" t="s">
        <v>127</v>
      </c>
      <c r="O3708" s="14"/>
      <c r="P3708" s="15" t="s">
        <v>120</v>
      </c>
      <c r="Q3708" s="16">
        <v>7199</v>
      </c>
      <c r="R3708" s="17">
        <v>40</v>
      </c>
      <c r="S3708" s="18">
        <v>4967.3099999999995</v>
      </c>
      <c r="T3708" s="19" t="s">
        <v>36</v>
      </c>
      <c r="U3708" s="20" t="s">
        <v>88</v>
      </c>
      <c r="V3708" s="21" t="s">
        <v>89</v>
      </c>
      <c r="W3708" s="22">
        <v>23</v>
      </c>
      <c r="X3708" s="23"/>
    </row>
    <row r="3709" spans="1:24" s="1" customFormat="1" ht="32" customHeight="1" x14ac:dyDescent="0.3">
      <c r="A3709" s="24" t="s">
        <v>23</v>
      </c>
      <c r="B3709" s="24" t="s">
        <v>3149</v>
      </c>
      <c r="C3709" s="27" t="s">
        <v>3405</v>
      </c>
      <c r="D3709" s="61"/>
      <c r="E3709" s="41" t="str">
        <f>HYPERLINK("https://www.google.ru/search?q=1379757-390&amp;newwindow=1&amp;tbm=isch","Еще фото")</f>
        <v>Еще фото</v>
      </c>
      <c r="F3709" s="13" t="s">
        <v>103</v>
      </c>
      <c r="G3709" s="24" t="s">
        <v>2939</v>
      </c>
      <c r="H3709" s="24" t="s">
        <v>27</v>
      </c>
      <c r="I3709" s="24" t="s">
        <v>2940</v>
      </c>
      <c r="J3709" s="14" t="s">
        <v>29</v>
      </c>
      <c r="K3709" s="15" t="s">
        <v>30</v>
      </c>
      <c r="L3709" s="58"/>
      <c r="M3709" s="14" t="s">
        <v>68</v>
      </c>
      <c r="N3709" s="14" t="s">
        <v>127</v>
      </c>
      <c r="O3709" s="14"/>
      <c r="P3709" s="15" t="s">
        <v>120</v>
      </c>
      <c r="Q3709" s="16">
        <v>7199</v>
      </c>
      <c r="R3709" s="17">
        <v>40</v>
      </c>
      <c r="S3709" s="18">
        <v>4967.3099999999995</v>
      </c>
      <c r="T3709" s="19" t="s">
        <v>36</v>
      </c>
      <c r="U3709" s="20" t="s">
        <v>90</v>
      </c>
      <c r="V3709" s="21" t="s">
        <v>91</v>
      </c>
      <c r="W3709" s="22">
        <v>8</v>
      </c>
      <c r="X3709" s="23"/>
    </row>
    <row r="3710" spans="1:24" s="1" customFormat="1" ht="108" customHeight="1" x14ac:dyDescent="0.3">
      <c r="A3710" s="11" t="s">
        <v>23</v>
      </c>
      <c r="B3710" s="11" t="s">
        <v>3149</v>
      </c>
      <c r="C3710" s="12" t="s">
        <v>3407</v>
      </c>
      <c r="D3710" s="25"/>
      <c r="E3710" s="41" t="str">
        <f>HYPERLINK("https://www.google.ru/search?q=1379757-426&amp;newwindow=1&amp;tbm=isch","Еще фото")</f>
        <v>Еще фото</v>
      </c>
      <c r="F3710" s="13"/>
      <c r="G3710" s="11" t="s">
        <v>2939</v>
      </c>
      <c r="H3710" s="11" t="s">
        <v>27</v>
      </c>
      <c r="I3710" s="14" t="s">
        <v>2940</v>
      </c>
      <c r="J3710" s="14" t="s">
        <v>29</v>
      </c>
      <c r="K3710" s="15" t="s">
        <v>30</v>
      </c>
      <c r="L3710" s="14" t="s">
        <v>3408</v>
      </c>
      <c r="M3710" s="14" t="s">
        <v>68</v>
      </c>
      <c r="N3710" s="14" t="s">
        <v>3228</v>
      </c>
      <c r="O3710" s="14"/>
      <c r="P3710" s="15" t="s">
        <v>120</v>
      </c>
      <c r="Q3710" s="16">
        <v>8299</v>
      </c>
      <c r="R3710" s="17">
        <v>40</v>
      </c>
      <c r="S3710" s="18">
        <v>5726.3099999999995</v>
      </c>
      <c r="T3710" s="19" t="s">
        <v>36</v>
      </c>
      <c r="U3710" s="20" t="s">
        <v>39</v>
      </c>
      <c r="V3710" s="21" t="s">
        <v>40</v>
      </c>
      <c r="W3710" s="22">
        <v>1</v>
      </c>
      <c r="X3710" s="23"/>
    </row>
    <row r="3711" spans="1:24" s="1" customFormat="1" ht="108" customHeight="1" x14ac:dyDescent="0.3">
      <c r="A3711" s="11" t="s">
        <v>23</v>
      </c>
      <c r="B3711" s="11" t="s">
        <v>3149</v>
      </c>
      <c r="C3711" s="12" t="s">
        <v>3409</v>
      </c>
      <c r="D3711" s="25"/>
      <c r="E3711" s="41" t="str">
        <f>HYPERLINK("https://www.google.ru/search?q=1379757-743&amp;newwindow=1&amp;tbm=isch","Еще фото")</f>
        <v>Еще фото</v>
      </c>
      <c r="F3711" s="13"/>
      <c r="G3711" s="11" t="s">
        <v>2939</v>
      </c>
      <c r="H3711" s="11" t="s">
        <v>27</v>
      </c>
      <c r="I3711" s="14" t="s">
        <v>2940</v>
      </c>
      <c r="J3711" s="14" t="s">
        <v>29</v>
      </c>
      <c r="K3711" s="15" t="s">
        <v>30</v>
      </c>
      <c r="L3711" s="14" t="s">
        <v>3408</v>
      </c>
      <c r="M3711" s="14" t="s">
        <v>68</v>
      </c>
      <c r="N3711" s="14" t="s">
        <v>3410</v>
      </c>
      <c r="O3711" s="14"/>
      <c r="P3711" s="15" t="s">
        <v>120</v>
      </c>
      <c r="Q3711" s="16">
        <v>8199</v>
      </c>
      <c r="R3711" s="17">
        <v>40</v>
      </c>
      <c r="S3711" s="18">
        <v>5657.3099999999995</v>
      </c>
      <c r="T3711" s="19" t="s">
        <v>36</v>
      </c>
      <c r="U3711" s="20" t="s">
        <v>39</v>
      </c>
      <c r="V3711" s="21" t="s">
        <v>40</v>
      </c>
      <c r="W3711" s="22">
        <v>1</v>
      </c>
      <c r="X3711" s="23"/>
    </row>
    <row r="3712" spans="1:24" s="1" customFormat="1" ht="21" customHeight="1" x14ac:dyDescent="0.3">
      <c r="A3712" s="11" t="s">
        <v>23</v>
      </c>
      <c r="B3712" s="11" t="s">
        <v>3055</v>
      </c>
      <c r="C3712" s="26" t="s">
        <v>3411</v>
      </c>
      <c r="D3712" s="59"/>
      <c r="E3712" s="41" t="str">
        <f>HYPERLINK("https://www.google.ru/search?q=1379758-001&amp;newwindow=1&amp;tbm=isch","Еще фото")</f>
        <v>Еще фото</v>
      </c>
      <c r="F3712" s="13" t="s">
        <v>103</v>
      </c>
      <c r="G3712" s="11" t="s">
        <v>2939</v>
      </c>
      <c r="H3712" s="11" t="s">
        <v>27</v>
      </c>
      <c r="I3712" s="14" t="s">
        <v>2940</v>
      </c>
      <c r="J3712" s="14" t="s">
        <v>29</v>
      </c>
      <c r="K3712" s="15" t="s">
        <v>30</v>
      </c>
      <c r="L3712" s="57" t="s">
        <v>3412</v>
      </c>
      <c r="M3712" s="14" t="s">
        <v>68</v>
      </c>
      <c r="N3712" s="14" t="s">
        <v>33</v>
      </c>
      <c r="O3712" s="14"/>
      <c r="P3712" s="15" t="s">
        <v>120</v>
      </c>
      <c r="Q3712" s="16">
        <v>7399</v>
      </c>
      <c r="R3712" s="17">
        <v>40</v>
      </c>
      <c r="S3712" s="18">
        <v>5105.3099999999995</v>
      </c>
      <c r="T3712" s="19" t="s">
        <v>36</v>
      </c>
      <c r="U3712" s="20" t="s">
        <v>37</v>
      </c>
      <c r="V3712" s="21" t="s">
        <v>38</v>
      </c>
      <c r="W3712" s="22">
        <v>12</v>
      </c>
      <c r="X3712" s="23"/>
    </row>
    <row r="3713" spans="1:24" s="1" customFormat="1" ht="21" customHeight="1" x14ac:dyDescent="0.3">
      <c r="A3713" s="24" t="s">
        <v>23</v>
      </c>
      <c r="B3713" s="24" t="s">
        <v>3055</v>
      </c>
      <c r="C3713" s="27" t="s">
        <v>3411</v>
      </c>
      <c r="D3713" s="60"/>
      <c r="E3713" s="41" t="str">
        <f>HYPERLINK("https://www.google.ru/search?q=1379758-001&amp;newwindow=1&amp;tbm=isch","Еще фото")</f>
        <v>Еще фото</v>
      </c>
      <c r="F3713" s="13" t="s">
        <v>103</v>
      </c>
      <c r="G3713" s="24" t="s">
        <v>2939</v>
      </c>
      <c r="H3713" s="24" t="s">
        <v>27</v>
      </c>
      <c r="I3713" s="24" t="s">
        <v>2940</v>
      </c>
      <c r="J3713" s="14" t="s">
        <v>29</v>
      </c>
      <c r="K3713" s="15" t="s">
        <v>30</v>
      </c>
      <c r="L3713" s="62"/>
      <c r="M3713" s="14" t="s">
        <v>68</v>
      </c>
      <c r="N3713" s="14" t="s">
        <v>33</v>
      </c>
      <c r="O3713" s="14"/>
      <c r="P3713" s="15" t="s">
        <v>120</v>
      </c>
      <c r="Q3713" s="16">
        <v>7399</v>
      </c>
      <c r="R3713" s="17">
        <v>40</v>
      </c>
      <c r="S3713" s="18">
        <v>5105.3099999999995</v>
      </c>
      <c r="T3713" s="19" t="s">
        <v>36</v>
      </c>
      <c r="U3713" s="20" t="s">
        <v>39</v>
      </c>
      <c r="V3713" s="21" t="s">
        <v>40</v>
      </c>
      <c r="W3713" s="22">
        <v>23</v>
      </c>
      <c r="X3713" s="23"/>
    </row>
    <row r="3714" spans="1:24" s="1" customFormat="1" ht="21" customHeight="1" x14ac:dyDescent="0.3">
      <c r="A3714" s="24" t="s">
        <v>23</v>
      </c>
      <c r="B3714" s="24" t="s">
        <v>3055</v>
      </c>
      <c r="C3714" s="27" t="s">
        <v>3411</v>
      </c>
      <c r="D3714" s="60"/>
      <c r="E3714" s="41" t="str">
        <f>HYPERLINK("https://www.google.ru/search?q=1379758-001&amp;newwindow=1&amp;tbm=isch","Еще фото")</f>
        <v>Еще фото</v>
      </c>
      <c r="F3714" s="13" t="s">
        <v>103</v>
      </c>
      <c r="G3714" s="24" t="s">
        <v>2939</v>
      </c>
      <c r="H3714" s="24" t="s">
        <v>27</v>
      </c>
      <c r="I3714" s="24" t="s">
        <v>2940</v>
      </c>
      <c r="J3714" s="14" t="s">
        <v>29</v>
      </c>
      <c r="K3714" s="15" t="s">
        <v>30</v>
      </c>
      <c r="L3714" s="62"/>
      <c r="M3714" s="14" t="s">
        <v>68</v>
      </c>
      <c r="N3714" s="14" t="s">
        <v>33</v>
      </c>
      <c r="O3714" s="14"/>
      <c r="P3714" s="15" t="s">
        <v>120</v>
      </c>
      <c r="Q3714" s="16">
        <v>7399</v>
      </c>
      <c r="R3714" s="17">
        <v>40</v>
      </c>
      <c r="S3714" s="18">
        <v>5105.3099999999995</v>
      </c>
      <c r="T3714" s="19" t="s">
        <v>36</v>
      </c>
      <c r="U3714" s="20" t="s">
        <v>86</v>
      </c>
      <c r="V3714" s="21" t="s">
        <v>87</v>
      </c>
      <c r="W3714" s="22">
        <v>30</v>
      </c>
      <c r="X3714" s="23"/>
    </row>
    <row r="3715" spans="1:24" s="1" customFormat="1" ht="21" customHeight="1" x14ac:dyDescent="0.3">
      <c r="A3715" s="24" t="s">
        <v>23</v>
      </c>
      <c r="B3715" s="24" t="s">
        <v>3055</v>
      </c>
      <c r="C3715" s="27" t="s">
        <v>3411</v>
      </c>
      <c r="D3715" s="60"/>
      <c r="E3715" s="41" t="str">
        <f>HYPERLINK("https://www.google.ru/search?q=1379758-001&amp;newwindow=1&amp;tbm=isch","Еще фото")</f>
        <v>Еще фото</v>
      </c>
      <c r="F3715" s="13" t="s">
        <v>103</v>
      </c>
      <c r="G3715" s="24" t="s">
        <v>2939</v>
      </c>
      <c r="H3715" s="24" t="s">
        <v>27</v>
      </c>
      <c r="I3715" s="24" t="s">
        <v>2940</v>
      </c>
      <c r="J3715" s="14" t="s">
        <v>29</v>
      </c>
      <c r="K3715" s="15" t="s">
        <v>30</v>
      </c>
      <c r="L3715" s="62"/>
      <c r="M3715" s="14" t="s">
        <v>68</v>
      </c>
      <c r="N3715" s="14" t="s">
        <v>33</v>
      </c>
      <c r="O3715" s="14"/>
      <c r="P3715" s="15" t="s">
        <v>120</v>
      </c>
      <c r="Q3715" s="16">
        <v>7399</v>
      </c>
      <c r="R3715" s="17">
        <v>40</v>
      </c>
      <c r="S3715" s="18">
        <v>5105.3099999999995</v>
      </c>
      <c r="T3715" s="19" t="s">
        <v>36</v>
      </c>
      <c r="U3715" s="20" t="s">
        <v>88</v>
      </c>
      <c r="V3715" s="21" t="s">
        <v>89</v>
      </c>
      <c r="W3715" s="22">
        <v>16</v>
      </c>
      <c r="X3715" s="23"/>
    </row>
    <row r="3716" spans="1:24" s="1" customFormat="1" ht="32" customHeight="1" x14ac:dyDescent="0.3">
      <c r="A3716" s="24" t="s">
        <v>23</v>
      </c>
      <c r="B3716" s="24" t="s">
        <v>3055</v>
      </c>
      <c r="C3716" s="27" t="s">
        <v>3411</v>
      </c>
      <c r="D3716" s="61"/>
      <c r="E3716" s="41" t="str">
        <f>HYPERLINK("https://www.google.ru/search?q=1379758-001&amp;newwindow=1&amp;tbm=isch","Еще фото")</f>
        <v>Еще фото</v>
      </c>
      <c r="F3716" s="13" t="s">
        <v>103</v>
      </c>
      <c r="G3716" s="24" t="s">
        <v>2939</v>
      </c>
      <c r="H3716" s="24" t="s">
        <v>27</v>
      </c>
      <c r="I3716" s="24" t="s">
        <v>2940</v>
      </c>
      <c r="J3716" s="14" t="s">
        <v>29</v>
      </c>
      <c r="K3716" s="15" t="s">
        <v>30</v>
      </c>
      <c r="L3716" s="58"/>
      <c r="M3716" s="14" t="s">
        <v>68</v>
      </c>
      <c r="N3716" s="14" t="s">
        <v>33</v>
      </c>
      <c r="O3716" s="14"/>
      <c r="P3716" s="15" t="s">
        <v>120</v>
      </c>
      <c r="Q3716" s="16">
        <v>7399</v>
      </c>
      <c r="R3716" s="17">
        <v>40</v>
      </c>
      <c r="S3716" s="18">
        <v>5105.3099999999995</v>
      </c>
      <c r="T3716" s="19" t="s">
        <v>36</v>
      </c>
      <c r="U3716" s="20" t="s">
        <v>90</v>
      </c>
      <c r="V3716" s="21" t="s">
        <v>91</v>
      </c>
      <c r="W3716" s="22">
        <v>4</v>
      </c>
      <c r="X3716" s="23"/>
    </row>
    <row r="3717" spans="1:24" s="1" customFormat="1" ht="35" customHeight="1" x14ac:dyDescent="0.3">
      <c r="A3717" s="11" t="s">
        <v>23</v>
      </c>
      <c r="B3717" s="11" t="s">
        <v>3055</v>
      </c>
      <c r="C3717" s="12" t="s">
        <v>3413</v>
      </c>
      <c r="D3717" s="59"/>
      <c r="E3717" s="41" t="str">
        <f>HYPERLINK("https://www.google.ru/search?q=1379758-100&amp;newwindow=1&amp;tbm=isch","Еще фото")</f>
        <v>Еще фото</v>
      </c>
      <c r="F3717" s="13"/>
      <c r="G3717" s="11" t="s">
        <v>2939</v>
      </c>
      <c r="H3717" s="11" t="s">
        <v>27</v>
      </c>
      <c r="I3717" s="14" t="s">
        <v>2940</v>
      </c>
      <c r="J3717" s="14" t="s">
        <v>29</v>
      </c>
      <c r="K3717" s="15" t="s">
        <v>30</v>
      </c>
      <c r="L3717" s="57" t="s">
        <v>3227</v>
      </c>
      <c r="M3717" s="14" t="s">
        <v>68</v>
      </c>
      <c r="N3717" s="14" t="s">
        <v>861</v>
      </c>
      <c r="O3717" s="14"/>
      <c r="P3717" s="15" t="s">
        <v>120</v>
      </c>
      <c r="Q3717" s="16">
        <v>8299</v>
      </c>
      <c r="R3717" s="17">
        <v>40</v>
      </c>
      <c r="S3717" s="18">
        <v>5726.3099999999995</v>
      </c>
      <c r="T3717" s="19" t="s">
        <v>36</v>
      </c>
      <c r="U3717" s="20" t="s">
        <v>39</v>
      </c>
      <c r="V3717" s="21" t="s">
        <v>40</v>
      </c>
      <c r="W3717" s="22">
        <v>6</v>
      </c>
      <c r="X3717" s="23"/>
    </row>
    <row r="3718" spans="1:24" s="1" customFormat="1" ht="35" customHeight="1" x14ac:dyDescent="0.3">
      <c r="A3718" s="24" t="s">
        <v>23</v>
      </c>
      <c r="B3718" s="24" t="s">
        <v>3055</v>
      </c>
      <c r="C3718" s="12" t="s">
        <v>3413</v>
      </c>
      <c r="D3718" s="60"/>
      <c r="E3718" s="41" t="str">
        <f>HYPERLINK("https://www.google.ru/search?q=1379758-100&amp;newwindow=1&amp;tbm=isch","Еще фото")</f>
        <v>Еще фото</v>
      </c>
      <c r="F3718" s="13"/>
      <c r="G3718" s="24" t="s">
        <v>2939</v>
      </c>
      <c r="H3718" s="24" t="s">
        <v>27</v>
      </c>
      <c r="I3718" s="24" t="s">
        <v>2940</v>
      </c>
      <c r="J3718" s="14" t="s">
        <v>29</v>
      </c>
      <c r="K3718" s="15" t="s">
        <v>30</v>
      </c>
      <c r="L3718" s="62"/>
      <c r="M3718" s="14" t="s">
        <v>68</v>
      </c>
      <c r="N3718" s="14" t="s">
        <v>861</v>
      </c>
      <c r="O3718" s="14"/>
      <c r="P3718" s="15" t="s">
        <v>120</v>
      </c>
      <c r="Q3718" s="16">
        <v>8299</v>
      </c>
      <c r="R3718" s="17">
        <v>40</v>
      </c>
      <c r="S3718" s="18">
        <v>5726.3099999999995</v>
      </c>
      <c r="T3718" s="19" t="s">
        <v>36</v>
      </c>
      <c r="U3718" s="20" t="s">
        <v>88</v>
      </c>
      <c r="V3718" s="21" t="s">
        <v>89</v>
      </c>
      <c r="W3718" s="22">
        <v>6</v>
      </c>
      <c r="X3718" s="23"/>
    </row>
    <row r="3719" spans="1:24" s="1" customFormat="1" ht="37.049999999999997" customHeight="1" x14ac:dyDescent="0.3">
      <c r="A3719" s="24" t="s">
        <v>23</v>
      </c>
      <c r="B3719" s="24" t="s">
        <v>3055</v>
      </c>
      <c r="C3719" s="12" t="s">
        <v>3413</v>
      </c>
      <c r="D3719" s="61"/>
      <c r="E3719" s="41" t="str">
        <f>HYPERLINK("https://www.google.ru/search?q=1379758-100&amp;newwindow=1&amp;tbm=isch","Еще фото")</f>
        <v>Еще фото</v>
      </c>
      <c r="F3719" s="13"/>
      <c r="G3719" s="24" t="s">
        <v>2939</v>
      </c>
      <c r="H3719" s="24" t="s">
        <v>27</v>
      </c>
      <c r="I3719" s="24" t="s">
        <v>2940</v>
      </c>
      <c r="J3719" s="14" t="s">
        <v>29</v>
      </c>
      <c r="K3719" s="15" t="s">
        <v>30</v>
      </c>
      <c r="L3719" s="58"/>
      <c r="M3719" s="14" t="s">
        <v>68</v>
      </c>
      <c r="N3719" s="14" t="s">
        <v>861</v>
      </c>
      <c r="O3719" s="14"/>
      <c r="P3719" s="15" t="s">
        <v>120</v>
      </c>
      <c r="Q3719" s="16">
        <v>8299</v>
      </c>
      <c r="R3719" s="17">
        <v>40</v>
      </c>
      <c r="S3719" s="18">
        <v>5726.3099999999995</v>
      </c>
      <c r="T3719" s="19" t="s">
        <v>36</v>
      </c>
      <c r="U3719" s="20" t="s">
        <v>90</v>
      </c>
      <c r="V3719" s="21" t="s">
        <v>91</v>
      </c>
      <c r="W3719" s="22">
        <v>1</v>
      </c>
      <c r="X3719" s="23"/>
    </row>
    <row r="3720" spans="1:24" s="1" customFormat="1" ht="21" customHeight="1" x14ac:dyDescent="0.3">
      <c r="A3720" s="11" t="s">
        <v>23</v>
      </c>
      <c r="B3720" s="11" t="s">
        <v>3055</v>
      </c>
      <c r="C3720" s="26" t="s">
        <v>3414</v>
      </c>
      <c r="D3720" s="59"/>
      <c r="E3720" s="41" t="str">
        <f>HYPERLINK("https://www.google.ru/search?q=1379758-390&amp;newwindow=1&amp;tbm=isch","Еще фото")</f>
        <v>Еще фото</v>
      </c>
      <c r="F3720" s="13" t="s">
        <v>103</v>
      </c>
      <c r="G3720" s="11" t="s">
        <v>2939</v>
      </c>
      <c r="H3720" s="11" t="s">
        <v>27</v>
      </c>
      <c r="I3720" s="14" t="s">
        <v>2940</v>
      </c>
      <c r="J3720" s="14" t="s">
        <v>29</v>
      </c>
      <c r="K3720" s="15" t="s">
        <v>30</v>
      </c>
      <c r="L3720" s="57" t="s">
        <v>3412</v>
      </c>
      <c r="M3720" s="14"/>
      <c r="N3720" s="14" t="s">
        <v>127</v>
      </c>
      <c r="O3720" s="14"/>
      <c r="P3720" s="15" t="s">
        <v>120</v>
      </c>
      <c r="Q3720" s="16">
        <v>5399</v>
      </c>
      <c r="R3720" s="17">
        <v>40</v>
      </c>
      <c r="S3720" s="18">
        <v>3725.31</v>
      </c>
      <c r="T3720" s="19" t="s">
        <v>36</v>
      </c>
      <c r="U3720" s="20" t="s">
        <v>37</v>
      </c>
      <c r="V3720" s="21" t="s">
        <v>38</v>
      </c>
      <c r="W3720" s="22">
        <v>8</v>
      </c>
      <c r="X3720" s="23"/>
    </row>
    <row r="3721" spans="1:24" s="1" customFormat="1" ht="21" customHeight="1" x14ac:dyDescent="0.3">
      <c r="A3721" s="24" t="s">
        <v>23</v>
      </c>
      <c r="B3721" s="24" t="s">
        <v>3055</v>
      </c>
      <c r="C3721" s="27" t="s">
        <v>3414</v>
      </c>
      <c r="D3721" s="60"/>
      <c r="E3721" s="41" t="str">
        <f>HYPERLINK("https://www.google.ru/search?q=1379758-390&amp;newwindow=1&amp;tbm=isch","Еще фото")</f>
        <v>Еще фото</v>
      </c>
      <c r="F3721" s="13" t="s">
        <v>103</v>
      </c>
      <c r="G3721" s="24" t="s">
        <v>2939</v>
      </c>
      <c r="H3721" s="24" t="s">
        <v>27</v>
      </c>
      <c r="I3721" s="24" t="s">
        <v>2940</v>
      </c>
      <c r="J3721" s="14" t="s">
        <v>29</v>
      </c>
      <c r="K3721" s="15" t="s">
        <v>30</v>
      </c>
      <c r="L3721" s="62"/>
      <c r="M3721" s="14"/>
      <c r="N3721" s="14" t="s">
        <v>127</v>
      </c>
      <c r="O3721" s="14"/>
      <c r="P3721" s="15" t="s">
        <v>120</v>
      </c>
      <c r="Q3721" s="16">
        <v>5399</v>
      </c>
      <c r="R3721" s="17">
        <v>40</v>
      </c>
      <c r="S3721" s="18">
        <v>3725.31</v>
      </c>
      <c r="T3721" s="19" t="s">
        <v>36</v>
      </c>
      <c r="U3721" s="20" t="s">
        <v>39</v>
      </c>
      <c r="V3721" s="21" t="s">
        <v>40</v>
      </c>
      <c r="W3721" s="22">
        <v>24</v>
      </c>
      <c r="X3721" s="23"/>
    </row>
    <row r="3722" spans="1:24" s="1" customFormat="1" ht="21" customHeight="1" x14ac:dyDescent="0.3">
      <c r="A3722" s="24" t="s">
        <v>23</v>
      </c>
      <c r="B3722" s="24" t="s">
        <v>3055</v>
      </c>
      <c r="C3722" s="27" t="s">
        <v>3414</v>
      </c>
      <c r="D3722" s="60"/>
      <c r="E3722" s="41" t="str">
        <f>HYPERLINK("https://www.google.ru/search?q=1379758-390&amp;newwindow=1&amp;tbm=isch","Еще фото")</f>
        <v>Еще фото</v>
      </c>
      <c r="F3722" s="13" t="s">
        <v>103</v>
      </c>
      <c r="G3722" s="24" t="s">
        <v>2939</v>
      </c>
      <c r="H3722" s="24" t="s">
        <v>27</v>
      </c>
      <c r="I3722" s="24" t="s">
        <v>2940</v>
      </c>
      <c r="J3722" s="14" t="s">
        <v>29</v>
      </c>
      <c r="K3722" s="15" t="s">
        <v>30</v>
      </c>
      <c r="L3722" s="62"/>
      <c r="M3722" s="14"/>
      <c r="N3722" s="14" t="s">
        <v>127</v>
      </c>
      <c r="O3722" s="14"/>
      <c r="P3722" s="15" t="s">
        <v>120</v>
      </c>
      <c r="Q3722" s="16">
        <v>5399</v>
      </c>
      <c r="R3722" s="17">
        <v>40</v>
      </c>
      <c r="S3722" s="18">
        <v>3725.31</v>
      </c>
      <c r="T3722" s="19" t="s">
        <v>36</v>
      </c>
      <c r="U3722" s="20" t="s">
        <v>86</v>
      </c>
      <c r="V3722" s="21" t="s">
        <v>87</v>
      </c>
      <c r="W3722" s="22">
        <v>30</v>
      </c>
      <c r="X3722" s="23"/>
    </row>
    <row r="3723" spans="1:24" s="1" customFormat="1" ht="21" customHeight="1" x14ac:dyDescent="0.3">
      <c r="A3723" s="24" t="s">
        <v>23</v>
      </c>
      <c r="B3723" s="24" t="s">
        <v>3055</v>
      </c>
      <c r="C3723" s="27" t="s">
        <v>3414</v>
      </c>
      <c r="D3723" s="60"/>
      <c r="E3723" s="41" t="str">
        <f>HYPERLINK("https://www.google.ru/search?q=1379758-390&amp;newwindow=1&amp;tbm=isch","Еще фото")</f>
        <v>Еще фото</v>
      </c>
      <c r="F3723" s="13" t="s">
        <v>103</v>
      </c>
      <c r="G3723" s="24" t="s">
        <v>2939</v>
      </c>
      <c r="H3723" s="24" t="s">
        <v>27</v>
      </c>
      <c r="I3723" s="24" t="s">
        <v>2940</v>
      </c>
      <c r="J3723" s="14" t="s">
        <v>29</v>
      </c>
      <c r="K3723" s="15" t="s">
        <v>30</v>
      </c>
      <c r="L3723" s="62"/>
      <c r="M3723" s="14"/>
      <c r="N3723" s="14" t="s">
        <v>127</v>
      </c>
      <c r="O3723" s="14"/>
      <c r="P3723" s="15" t="s">
        <v>120</v>
      </c>
      <c r="Q3723" s="16">
        <v>5399</v>
      </c>
      <c r="R3723" s="17">
        <v>40</v>
      </c>
      <c r="S3723" s="18">
        <v>3725.31</v>
      </c>
      <c r="T3723" s="19" t="s">
        <v>36</v>
      </c>
      <c r="U3723" s="20" t="s">
        <v>88</v>
      </c>
      <c r="V3723" s="21" t="s">
        <v>89</v>
      </c>
      <c r="W3723" s="22">
        <v>9</v>
      </c>
      <c r="X3723" s="23"/>
    </row>
    <row r="3724" spans="1:24" s="1" customFormat="1" ht="32" customHeight="1" x14ac:dyDescent="0.3">
      <c r="A3724" s="24" t="s">
        <v>23</v>
      </c>
      <c r="B3724" s="24" t="s">
        <v>3055</v>
      </c>
      <c r="C3724" s="27" t="s">
        <v>3414</v>
      </c>
      <c r="D3724" s="61"/>
      <c r="E3724" s="41" t="str">
        <f>HYPERLINK("https://www.google.ru/search?q=1379758-390&amp;newwindow=1&amp;tbm=isch","Еще фото")</f>
        <v>Еще фото</v>
      </c>
      <c r="F3724" s="13" t="s">
        <v>103</v>
      </c>
      <c r="G3724" s="24" t="s">
        <v>2939</v>
      </c>
      <c r="H3724" s="24" t="s">
        <v>27</v>
      </c>
      <c r="I3724" s="24" t="s">
        <v>2940</v>
      </c>
      <c r="J3724" s="14" t="s">
        <v>29</v>
      </c>
      <c r="K3724" s="15" t="s">
        <v>30</v>
      </c>
      <c r="L3724" s="58"/>
      <c r="M3724" s="14"/>
      <c r="N3724" s="14" t="s">
        <v>127</v>
      </c>
      <c r="O3724" s="14"/>
      <c r="P3724" s="15" t="s">
        <v>120</v>
      </c>
      <c r="Q3724" s="16">
        <v>5399</v>
      </c>
      <c r="R3724" s="17">
        <v>40</v>
      </c>
      <c r="S3724" s="18">
        <v>3725.31</v>
      </c>
      <c r="T3724" s="19" t="s">
        <v>36</v>
      </c>
      <c r="U3724" s="20" t="s">
        <v>90</v>
      </c>
      <c r="V3724" s="21" t="s">
        <v>91</v>
      </c>
      <c r="W3724" s="22">
        <v>4</v>
      </c>
      <c r="X3724" s="23"/>
    </row>
    <row r="3725" spans="1:24" s="1" customFormat="1" ht="52.05" customHeight="1" x14ac:dyDescent="0.3">
      <c r="A3725" s="11" t="s">
        <v>23</v>
      </c>
      <c r="B3725" s="11" t="s">
        <v>3055</v>
      </c>
      <c r="C3725" s="12" t="s">
        <v>3415</v>
      </c>
      <c r="D3725" s="55"/>
      <c r="E3725" s="41" t="str">
        <f>HYPERLINK("https://www.google.ru/search?q=1379758-410&amp;newwindow=1&amp;tbm=isch","Еще фото")</f>
        <v>Еще фото</v>
      </c>
      <c r="F3725" s="13"/>
      <c r="G3725" s="11" t="s">
        <v>2939</v>
      </c>
      <c r="H3725" s="11" t="s">
        <v>27</v>
      </c>
      <c r="I3725" s="14" t="s">
        <v>2940</v>
      </c>
      <c r="J3725" s="14" t="s">
        <v>29</v>
      </c>
      <c r="K3725" s="15" t="s">
        <v>30</v>
      </c>
      <c r="L3725" s="57" t="s">
        <v>3227</v>
      </c>
      <c r="M3725" s="14" t="s">
        <v>68</v>
      </c>
      <c r="N3725" s="14" t="s">
        <v>115</v>
      </c>
      <c r="O3725" s="14"/>
      <c r="P3725" s="15" t="s">
        <v>120</v>
      </c>
      <c r="Q3725" s="16">
        <v>8199</v>
      </c>
      <c r="R3725" s="17">
        <v>40</v>
      </c>
      <c r="S3725" s="18">
        <v>5657.3099999999995</v>
      </c>
      <c r="T3725" s="19" t="s">
        <v>36</v>
      </c>
      <c r="U3725" s="20" t="s">
        <v>39</v>
      </c>
      <c r="V3725" s="21" t="s">
        <v>40</v>
      </c>
      <c r="W3725" s="22">
        <v>6</v>
      </c>
      <c r="X3725" s="23"/>
    </row>
    <row r="3726" spans="1:24" s="1" customFormat="1" ht="61.05" customHeight="1" x14ac:dyDescent="0.3">
      <c r="A3726" s="24" t="s">
        <v>23</v>
      </c>
      <c r="B3726" s="24" t="s">
        <v>3055</v>
      </c>
      <c r="C3726" s="12" t="s">
        <v>3415</v>
      </c>
      <c r="D3726" s="56"/>
      <c r="E3726" s="41" t="str">
        <f>HYPERLINK("https://www.google.ru/search?q=1379758-410&amp;newwindow=1&amp;tbm=isch","Еще фото")</f>
        <v>Еще фото</v>
      </c>
      <c r="F3726" s="13"/>
      <c r="G3726" s="24" t="s">
        <v>2939</v>
      </c>
      <c r="H3726" s="24" t="s">
        <v>27</v>
      </c>
      <c r="I3726" s="24" t="s">
        <v>2940</v>
      </c>
      <c r="J3726" s="14" t="s">
        <v>29</v>
      </c>
      <c r="K3726" s="15" t="s">
        <v>30</v>
      </c>
      <c r="L3726" s="58"/>
      <c r="M3726" s="14" t="s">
        <v>68</v>
      </c>
      <c r="N3726" s="14" t="s">
        <v>115</v>
      </c>
      <c r="O3726" s="14"/>
      <c r="P3726" s="15" t="s">
        <v>120</v>
      </c>
      <c r="Q3726" s="16">
        <v>8199</v>
      </c>
      <c r="R3726" s="17">
        <v>40</v>
      </c>
      <c r="S3726" s="18">
        <v>5657.3099999999995</v>
      </c>
      <c r="T3726" s="19" t="s">
        <v>36</v>
      </c>
      <c r="U3726" s="20" t="s">
        <v>86</v>
      </c>
      <c r="V3726" s="21" t="s">
        <v>87</v>
      </c>
      <c r="W3726" s="22">
        <v>8</v>
      </c>
      <c r="X3726" s="23"/>
    </row>
    <row r="3727" spans="1:24" s="1" customFormat="1" ht="52.05" customHeight="1" x14ac:dyDescent="0.3">
      <c r="A3727" s="11" t="s">
        <v>23</v>
      </c>
      <c r="B3727" s="11" t="s">
        <v>3055</v>
      </c>
      <c r="C3727" s="12" t="s">
        <v>3416</v>
      </c>
      <c r="D3727" s="55"/>
      <c r="E3727" s="41" t="str">
        <f>HYPERLINK("https://www.google.ru/search?q=1379758-426&amp;newwindow=1&amp;tbm=isch","Еще фото")</f>
        <v>Еще фото</v>
      </c>
      <c r="F3727" s="13"/>
      <c r="G3727" s="11" t="s">
        <v>2939</v>
      </c>
      <c r="H3727" s="11" t="s">
        <v>27</v>
      </c>
      <c r="I3727" s="14" t="s">
        <v>2940</v>
      </c>
      <c r="J3727" s="14" t="s">
        <v>29</v>
      </c>
      <c r="K3727" s="15" t="s">
        <v>30</v>
      </c>
      <c r="L3727" s="57" t="s">
        <v>3227</v>
      </c>
      <c r="M3727" s="14" t="s">
        <v>68</v>
      </c>
      <c r="N3727" s="14" t="s">
        <v>3228</v>
      </c>
      <c r="O3727" s="14"/>
      <c r="P3727" s="15" t="s">
        <v>120</v>
      </c>
      <c r="Q3727" s="16">
        <v>8199</v>
      </c>
      <c r="R3727" s="17">
        <v>40</v>
      </c>
      <c r="S3727" s="18">
        <v>5657.3099999999995</v>
      </c>
      <c r="T3727" s="19" t="s">
        <v>36</v>
      </c>
      <c r="U3727" s="20" t="s">
        <v>37</v>
      </c>
      <c r="V3727" s="21" t="s">
        <v>38</v>
      </c>
      <c r="W3727" s="22">
        <v>6</v>
      </c>
      <c r="X3727" s="23"/>
    </row>
    <row r="3728" spans="1:24" s="1" customFormat="1" ht="61.05" customHeight="1" x14ac:dyDescent="0.3">
      <c r="A3728" s="24" t="s">
        <v>23</v>
      </c>
      <c r="B3728" s="24" t="s">
        <v>3055</v>
      </c>
      <c r="C3728" s="12" t="s">
        <v>3416</v>
      </c>
      <c r="D3728" s="56"/>
      <c r="E3728" s="41" t="str">
        <f>HYPERLINK("https://www.google.ru/search?q=1379758-426&amp;newwindow=1&amp;tbm=isch","Еще фото")</f>
        <v>Еще фото</v>
      </c>
      <c r="F3728" s="13"/>
      <c r="G3728" s="24" t="s">
        <v>2939</v>
      </c>
      <c r="H3728" s="24" t="s">
        <v>27</v>
      </c>
      <c r="I3728" s="24" t="s">
        <v>2940</v>
      </c>
      <c r="J3728" s="14" t="s">
        <v>29</v>
      </c>
      <c r="K3728" s="15" t="s">
        <v>30</v>
      </c>
      <c r="L3728" s="58"/>
      <c r="M3728" s="14" t="s">
        <v>68</v>
      </c>
      <c r="N3728" s="14" t="s">
        <v>3228</v>
      </c>
      <c r="O3728" s="14"/>
      <c r="P3728" s="15" t="s">
        <v>120</v>
      </c>
      <c r="Q3728" s="16">
        <v>8199</v>
      </c>
      <c r="R3728" s="17">
        <v>40</v>
      </c>
      <c r="S3728" s="18">
        <v>5657.3099999999995</v>
      </c>
      <c r="T3728" s="19" t="s">
        <v>36</v>
      </c>
      <c r="U3728" s="20" t="s">
        <v>86</v>
      </c>
      <c r="V3728" s="21" t="s">
        <v>87</v>
      </c>
      <c r="W3728" s="22">
        <v>7</v>
      </c>
      <c r="X3728" s="23"/>
    </row>
    <row r="3729" spans="1:24" s="1" customFormat="1" ht="21" customHeight="1" x14ac:dyDescent="0.3">
      <c r="A3729" s="11" t="s">
        <v>23</v>
      </c>
      <c r="B3729" s="11" t="s">
        <v>3055</v>
      </c>
      <c r="C3729" s="26" t="s">
        <v>3417</v>
      </c>
      <c r="D3729" s="59"/>
      <c r="E3729" s="41" t="str">
        <f>HYPERLINK("https://www.google.ru/search?q=1379758-477&amp;newwindow=1&amp;tbm=isch","Еще фото")</f>
        <v>Еще фото</v>
      </c>
      <c r="F3729" s="13" t="s">
        <v>103</v>
      </c>
      <c r="G3729" s="11" t="s">
        <v>2939</v>
      </c>
      <c r="H3729" s="11" t="s">
        <v>27</v>
      </c>
      <c r="I3729" s="14" t="s">
        <v>2940</v>
      </c>
      <c r="J3729" s="14" t="s">
        <v>43</v>
      </c>
      <c r="K3729" s="15" t="s">
        <v>30</v>
      </c>
      <c r="L3729" s="57" t="s">
        <v>3227</v>
      </c>
      <c r="M3729" s="14"/>
      <c r="N3729" s="14" t="s">
        <v>46</v>
      </c>
      <c r="O3729" s="14"/>
      <c r="P3729" s="15" t="s">
        <v>120</v>
      </c>
      <c r="Q3729" s="16">
        <v>5399</v>
      </c>
      <c r="R3729" s="17">
        <v>40</v>
      </c>
      <c r="S3729" s="18">
        <v>3725.31</v>
      </c>
      <c r="T3729" s="19" t="s">
        <v>36</v>
      </c>
      <c r="U3729" s="20" t="s">
        <v>37</v>
      </c>
      <c r="V3729" s="21" t="s">
        <v>38</v>
      </c>
      <c r="W3729" s="22">
        <v>9</v>
      </c>
      <c r="X3729" s="23"/>
    </row>
    <row r="3730" spans="1:24" s="1" customFormat="1" ht="21" customHeight="1" x14ac:dyDescent="0.3">
      <c r="A3730" s="24" t="s">
        <v>23</v>
      </c>
      <c r="B3730" s="24" t="s">
        <v>3055</v>
      </c>
      <c r="C3730" s="27" t="s">
        <v>3417</v>
      </c>
      <c r="D3730" s="60"/>
      <c r="E3730" s="41" t="str">
        <f>HYPERLINK("https://www.google.ru/search?q=1379758-477&amp;newwindow=1&amp;tbm=isch","Еще фото")</f>
        <v>Еще фото</v>
      </c>
      <c r="F3730" s="13" t="s">
        <v>103</v>
      </c>
      <c r="G3730" s="24" t="s">
        <v>2939</v>
      </c>
      <c r="H3730" s="24" t="s">
        <v>27</v>
      </c>
      <c r="I3730" s="24" t="s">
        <v>2940</v>
      </c>
      <c r="J3730" s="14" t="s">
        <v>43</v>
      </c>
      <c r="K3730" s="15" t="s">
        <v>30</v>
      </c>
      <c r="L3730" s="62"/>
      <c r="M3730" s="14"/>
      <c r="N3730" s="14" t="s">
        <v>46</v>
      </c>
      <c r="O3730" s="14"/>
      <c r="P3730" s="15" t="s">
        <v>120</v>
      </c>
      <c r="Q3730" s="16">
        <v>5399</v>
      </c>
      <c r="R3730" s="17">
        <v>40</v>
      </c>
      <c r="S3730" s="18">
        <v>3725.31</v>
      </c>
      <c r="T3730" s="19" t="s">
        <v>36</v>
      </c>
      <c r="U3730" s="20" t="s">
        <v>39</v>
      </c>
      <c r="V3730" s="21" t="s">
        <v>40</v>
      </c>
      <c r="W3730" s="22">
        <v>20</v>
      </c>
      <c r="X3730" s="23"/>
    </row>
    <row r="3731" spans="1:24" s="1" customFormat="1" ht="21" customHeight="1" x14ac:dyDescent="0.3">
      <c r="A3731" s="24" t="s">
        <v>23</v>
      </c>
      <c r="B3731" s="24" t="s">
        <v>3055</v>
      </c>
      <c r="C3731" s="27" t="s">
        <v>3417</v>
      </c>
      <c r="D3731" s="60"/>
      <c r="E3731" s="41" t="str">
        <f>HYPERLINK("https://www.google.ru/search?q=1379758-477&amp;newwindow=1&amp;tbm=isch","Еще фото")</f>
        <v>Еще фото</v>
      </c>
      <c r="F3731" s="13" t="s">
        <v>103</v>
      </c>
      <c r="G3731" s="24" t="s">
        <v>2939</v>
      </c>
      <c r="H3731" s="24" t="s">
        <v>27</v>
      </c>
      <c r="I3731" s="24" t="s">
        <v>2940</v>
      </c>
      <c r="J3731" s="14" t="s">
        <v>43</v>
      </c>
      <c r="K3731" s="15" t="s">
        <v>30</v>
      </c>
      <c r="L3731" s="62"/>
      <c r="M3731" s="14"/>
      <c r="N3731" s="14" t="s">
        <v>46</v>
      </c>
      <c r="O3731" s="14"/>
      <c r="P3731" s="15" t="s">
        <v>120</v>
      </c>
      <c r="Q3731" s="16">
        <v>5399</v>
      </c>
      <c r="R3731" s="17">
        <v>40</v>
      </c>
      <c r="S3731" s="18">
        <v>3725.31</v>
      </c>
      <c r="T3731" s="19" t="s">
        <v>36</v>
      </c>
      <c r="U3731" s="20" t="s">
        <v>86</v>
      </c>
      <c r="V3731" s="21" t="s">
        <v>87</v>
      </c>
      <c r="W3731" s="22">
        <v>26</v>
      </c>
      <c r="X3731" s="23"/>
    </row>
    <row r="3732" spans="1:24" s="1" customFormat="1" ht="21" customHeight="1" x14ac:dyDescent="0.3">
      <c r="A3732" s="24" t="s">
        <v>23</v>
      </c>
      <c r="B3732" s="24" t="s">
        <v>3055</v>
      </c>
      <c r="C3732" s="27" t="s">
        <v>3417</v>
      </c>
      <c r="D3732" s="60"/>
      <c r="E3732" s="41" t="str">
        <f>HYPERLINK("https://www.google.ru/search?q=1379758-477&amp;newwindow=1&amp;tbm=isch","Еще фото")</f>
        <v>Еще фото</v>
      </c>
      <c r="F3732" s="13" t="s">
        <v>103</v>
      </c>
      <c r="G3732" s="24" t="s">
        <v>2939</v>
      </c>
      <c r="H3732" s="24" t="s">
        <v>27</v>
      </c>
      <c r="I3732" s="24" t="s">
        <v>2940</v>
      </c>
      <c r="J3732" s="14" t="s">
        <v>43</v>
      </c>
      <c r="K3732" s="15" t="s">
        <v>30</v>
      </c>
      <c r="L3732" s="62"/>
      <c r="M3732" s="14"/>
      <c r="N3732" s="14" t="s">
        <v>46</v>
      </c>
      <c r="O3732" s="14"/>
      <c r="P3732" s="15" t="s">
        <v>120</v>
      </c>
      <c r="Q3732" s="16">
        <v>5399</v>
      </c>
      <c r="R3732" s="17">
        <v>40</v>
      </c>
      <c r="S3732" s="18">
        <v>3725.31</v>
      </c>
      <c r="T3732" s="19" t="s">
        <v>36</v>
      </c>
      <c r="U3732" s="20" t="s">
        <v>88</v>
      </c>
      <c r="V3732" s="21" t="s">
        <v>89</v>
      </c>
      <c r="W3732" s="22">
        <v>15</v>
      </c>
      <c r="X3732" s="23"/>
    </row>
    <row r="3733" spans="1:24" s="1" customFormat="1" ht="32" customHeight="1" x14ac:dyDescent="0.3">
      <c r="A3733" s="24" t="s">
        <v>23</v>
      </c>
      <c r="B3733" s="24" t="s">
        <v>3055</v>
      </c>
      <c r="C3733" s="27" t="s">
        <v>3417</v>
      </c>
      <c r="D3733" s="61"/>
      <c r="E3733" s="41" t="str">
        <f>HYPERLINK("https://www.google.ru/search?q=1379758-477&amp;newwindow=1&amp;tbm=isch","Еще фото")</f>
        <v>Еще фото</v>
      </c>
      <c r="F3733" s="13" t="s">
        <v>103</v>
      </c>
      <c r="G3733" s="24" t="s">
        <v>2939</v>
      </c>
      <c r="H3733" s="24" t="s">
        <v>27</v>
      </c>
      <c r="I3733" s="24" t="s">
        <v>2940</v>
      </c>
      <c r="J3733" s="14" t="s">
        <v>43</v>
      </c>
      <c r="K3733" s="15" t="s">
        <v>30</v>
      </c>
      <c r="L3733" s="58"/>
      <c r="M3733" s="14"/>
      <c r="N3733" s="14" t="s">
        <v>46</v>
      </c>
      <c r="O3733" s="14"/>
      <c r="P3733" s="15" t="s">
        <v>120</v>
      </c>
      <c r="Q3733" s="16">
        <v>5399</v>
      </c>
      <c r="R3733" s="17">
        <v>40</v>
      </c>
      <c r="S3733" s="18">
        <v>3725.31</v>
      </c>
      <c r="T3733" s="19" t="s">
        <v>36</v>
      </c>
      <c r="U3733" s="20" t="s">
        <v>90</v>
      </c>
      <c r="V3733" s="21" t="s">
        <v>91</v>
      </c>
      <c r="W3733" s="22">
        <v>5</v>
      </c>
      <c r="X3733" s="23"/>
    </row>
    <row r="3734" spans="1:24" s="1" customFormat="1" ht="35" customHeight="1" x14ac:dyDescent="0.3">
      <c r="A3734" s="11" t="s">
        <v>23</v>
      </c>
      <c r="B3734" s="11" t="s">
        <v>3055</v>
      </c>
      <c r="C3734" s="12" t="s">
        <v>3418</v>
      </c>
      <c r="D3734" s="59"/>
      <c r="E3734" s="41" t="str">
        <f>HYPERLINK("https://www.google.ru/search?q=1379758-600&amp;newwindow=1&amp;tbm=isch","Еще фото")</f>
        <v>Еще фото</v>
      </c>
      <c r="F3734" s="13"/>
      <c r="G3734" s="11" t="s">
        <v>2939</v>
      </c>
      <c r="H3734" s="11" t="s">
        <v>27</v>
      </c>
      <c r="I3734" s="14" t="s">
        <v>2940</v>
      </c>
      <c r="J3734" s="14" t="s">
        <v>29</v>
      </c>
      <c r="K3734" s="15" t="s">
        <v>30</v>
      </c>
      <c r="L3734" s="57" t="s">
        <v>3227</v>
      </c>
      <c r="M3734" s="14" t="s">
        <v>68</v>
      </c>
      <c r="N3734" s="14" t="s">
        <v>3419</v>
      </c>
      <c r="O3734" s="14"/>
      <c r="P3734" s="15" t="s">
        <v>120</v>
      </c>
      <c r="Q3734" s="16">
        <v>8299</v>
      </c>
      <c r="R3734" s="17">
        <v>40</v>
      </c>
      <c r="S3734" s="18">
        <v>5726.3099999999995</v>
      </c>
      <c r="T3734" s="19" t="s">
        <v>36</v>
      </c>
      <c r="U3734" s="20" t="s">
        <v>37</v>
      </c>
      <c r="V3734" s="21" t="s">
        <v>38</v>
      </c>
      <c r="W3734" s="22">
        <v>2</v>
      </c>
      <c r="X3734" s="23"/>
    </row>
    <row r="3735" spans="1:24" s="1" customFormat="1" ht="35" customHeight="1" x14ac:dyDescent="0.3">
      <c r="A3735" s="24" t="s">
        <v>23</v>
      </c>
      <c r="B3735" s="24" t="s">
        <v>3055</v>
      </c>
      <c r="C3735" s="12" t="s">
        <v>3418</v>
      </c>
      <c r="D3735" s="60"/>
      <c r="E3735" s="41" t="str">
        <f>HYPERLINK("https://www.google.ru/search?q=1379758-600&amp;newwindow=1&amp;tbm=isch","Еще фото")</f>
        <v>Еще фото</v>
      </c>
      <c r="F3735" s="13"/>
      <c r="G3735" s="24" t="s">
        <v>2939</v>
      </c>
      <c r="H3735" s="24" t="s">
        <v>27</v>
      </c>
      <c r="I3735" s="24" t="s">
        <v>2940</v>
      </c>
      <c r="J3735" s="14" t="s">
        <v>29</v>
      </c>
      <c r="K3735" s="15" t="s">
        <v>30</v>
      </c>
      <c r="L3735" s="62"/>
      <c r="M3735" s="14" t="s">
        <v>68</v>
      </c>
      <c r="N3735" s="14" t="s">
        <v>3419</v>
      </c>
      <c r="O3735" s="14"/>
      <c r="P3735" s="15" t="s">
        <v>120</v>
      </c>
      <c r="Q3735" s="16">
        <v>8299</v>
      </c>
      <c r="R3735" s="17">
        <v>40</v>
      </c>
      <c r="S3735" s="18">
        <v>5726.3099999999995</v>
      </c>
      <c r="T3735" s="19" t="s">
        <v>36</v>
      </c>
      <c r="U3735" s="20" t="s">
        <v>39</v>
      </c>
      <c r="V3735" s="21" t="s">
        <v>40</v>
      </c>
      <c r="W3735" s="22">
        <v>9</v>
      </c>
      <c r="X3735" s="23"/>
    </row>
    <row r="3736" spans="1:24" s="1" customFormat="1" ht="37.049999999999997" customHeight="1" x14ac:dyDescent="0.3">
      <c r="A3736" s="24" t="s">
        <v>23</v>
      </c>
      <c r="B3736" s="24" t="s">
        <v>3055</v>
      </c>
      <c r="C3736" s="12" t="s">
        <v>3418</v>
      </c>
      <c r="D3736" s="61"/>
      <c r="E3736" s="41" t="str">
        <f>HYPERLINK("https://www.google.ru/search?q=1379758-600&amp;newwindow=1&amp;tbm=isch","Еще фото")</f>
        <v>Еще фото</v>
      </c>
      <c r="F3736" s="13"/>
      <c r="G3736" s="24" t="s">
        <v>2939</v>
      </c>
      <c r="H3736" s="24" t="s">
        <v>27</v>
      </c>
      <c r="I3736" s="24" t="s">
        <v>2940</v>
      </c>
      <c r="J3736" s="14" t="s">
        <v>29</v>
      </c>
      <c r="K3736" s="15" t="s">
        <v>30</v>
      </c>
      <c r="L3736" s="58"/>
      <c r="M3736" s="14" t="s">
        <v>68</v>
      </c>
      <c r="N3736" s="14" t="s">
        <v>3419</v>
      </c>
      <c r="O3736" s="14"/>
      <c r="P3736" s="15" t="s">
        <v>120</v>
      </c>
      <c r="Q3736" s="16">
        <v>8299</v>
      </c>
      <c r="R3736" s="17">
        <v>40</v>
      </c>
      <c r="S3736" s="18">
        <v>5726.3099999999995</v>
      </c>
      <c r="T3736" s="19" t="s">
        <v>36</v>
      </c>
      <c r="U3736" s="20" t="s">
        <v>86</v>
      </c>
      <c r="V3736" s="21" t="s">
        <v>87</v>
      </c>
      <c r="W3736" s="22">
        <v>12</v>
      </c>
      <c r="X3736" s="23"/>
    </row>
    <row r="3737" spans="1:24" s="1" customFormat="1" ht="108" customHeight="1" x14ac:dyDescent="0.3">
      <c r="A3737" s="11" t="s">
        <v>23</v>
      </c>
      <c r="B3737" s="11" t="s">
        <v>3277</v>
      </c>
      <c r="C3737" s="12" t="s">
        <v>3420</v>
      </c>
      <c r="D3737" s="25"/>
      <c r="E3737" s="41" t="str">
        <f>HYPERLINK("https://www.google.ru/search?q=1379767-001&amp;newwindow=1&amp;tbm=isch","Еще фото")</f>
        <v>Еще фото</v>
      </c>
      <c r="F3737" s="13" t="s">
        <v>103</v>
      </c>
      <c r="G3737" s="11" t="s">
        <v>2939</v>
      </c>
      <c r="H3737" s="11" t="s">
        <v>27</v>
      </c>
      <c r="I3737" s="14" t="s">
        <v>2940</v>
      </c>
      <c r="J3737" s="14" t="s">
        <v>29</v>
      </c>
      <c r="K3737" s="15" t="s">
        <v>30</v>
      </c>
      <c r="L3737" s="14" t="s">
        <v>3421</v>
      </c>
      <c r="M3737" s="14"/>
      <c r="N3737" s="14" t="s">
        <v>33</v>
      </c>
      <c r="O3737" s="14"/>
      <c r="P3737" s="15" t="s">
        <v>120</v>
      </c>
      <c r="Q3737" s="16">
        <v>6499</v>
      </c>
      <c r="R3737" s="17">
        <v>40</v>
      </c>
      <c r="S3737" s="18">
        <v>4484.3099999999995</v>
      </c>
      <c r="T3737" s="19" t="s">
        <v>36</v>
      </c>
      <c r="U3737" s="20" t="s">
        <v>37</v>
      </c>
      <c r="V3737" s="21" t="s">
        <v>38</v>
      </c>
      <c r="W3737" s="22">
        <v>6</v>
      </c>
      <c r="X3737" s="23"/>
    </row>
    <row r="3738" spans="1:24" s="1" customFormat="1" ht="52.05" customHeight="1" x14ac:dyDescent="0.3">
      <c r="A3738" s="11" t="s">
        <v>23</v>
      </c>
      <c r="B3738" s="11" t="s">
        <v>3277</v>
      </c>
      <c r="C3738" s="12" t="s">
        <v>3422</v>
      </c>
      <c r="D3738" s="55"/>
      <c r="E3738" s="41" t="str">
        <f>HYPERLINK("https://www.google.ru/search?q=1379767-025&amp;newwindow=1&amp;tbm=isch","Еще фото")</f>
        <v>Еще фото</v>
      </c>
      <c r="F3738" s="13" t="s">
        <v>103</v>
      </c>
      <c r="G3738" s="11" t="s">
        <v>2939</v>
      </c>
      <c r="H3738" s="11" t="s">
        <v>27</v>
      </c>
      <c r="I3738" s="14" t="s">
        <v>2940</v>
      </c>
      <c r="J3738" s="14" t="s">
        <v>29</v>
      </c>
      <c r="K3738" s="15" t="s">
        <v>30</v>
      </c>
      <c r="L3738" s="57" t="s">
        <v>3421</v>
      </c>
      <c r="M3738" s="14"/>
      <c r="N3738" s="14" t="s">
        <v>62</v>
      </c>
      <c r="O3738" s="14"/>
      <c r="P3738" s="15" t="s">
        <v>120</v>
      </c>
      <c r="Q3738" s="16">
        <v>6499</v>
      </c>
      <c r="R3738" s="17">
        <v>40</v>
      </c>
      <c r="S3738" s="18">
        <v>4484.3099999999995</v>
      </c>
      <c r="T3738" s="19" t="s">
        <v>36</v>
      </c>
      <c r="U3738" s="20" t="s">
        <v>37</v>
      </c>
      <c r="V3738" s="21" t="s">
        <v>38</v>
      </c>
      <c r="W3738" s="22">
        <v>4</v>
      </c>
      <c r="X3738" s="23"/>
    </row>
    <row r="3739" spans="1:24" s="1" customFormat="1" ht="61.05" customHeight="1" x14ac:dyDescent="0.3">
      <c r="A3739" s="24" t="s">
        <v>23</v>
      </c>
      <c r="B3739" s="24" t="s">
        <v>3277</v>
      </c>
      <c r="C3739" s="12" t="s">
        <v>3422</v>
      </c>
      <c r="D3739" s="56"/>
      <c r="E3739" s="41" t="str">
        <f>HYPERLINK("https://www.google.ru/search?q=1379767-025&amp;newwindow=1&amp;tbm=isch","Еще фото")</f>
        <v>Еще фото</v>
      </c>
      <c r="F3739" s="13" t="s">
        <v>103</v>
      </c>
      <c r="G3739" s="24" t="s">
        <v>2939</v>
      </c>
      <c r="H3739" s="24" t="s">
        <v>27</v>
      </c>
      <c r="I3739" s="24" t="s">
        <v>2940</v>
      </c>
      <c r="J3739" s="14" t="s">
        <v>29</v>
      </c>
      <c r="K3739" s="15" t="s">
        <v>30</v>
      </c>
      <c r="L3739" s="58"/>
      <c r="M3739" s="14"/>
      <c r="N3739" s="14" t="s">
        <v>62</v>
      </c>
      <c r="O3739" s="14"/>
      <c r="P3739" s="15" t="s">
        <v>120</v>
      </c>
      <c r="Q3739" s="16">
        <v>6499</v>
      </c>
      <c r="R3739" s="17">
        <v>40</v>
      </c>
      <c r="S3739" s="18">
        <v>4484.3099999999995</v>
      </c>
      <c r="T3739" s="19" t="s">
        <v>36</v>
      </c>
      <c r="U3739" s="20" t="s">
        <v>39</v>
      </c>
      <c r="V3739" s="21" t="s">
        <v>40</v>
      </c>
      <c r="W3739" s="22">
        <v>8</v>
      </c>
      <c r="X3739" s="23"/>
    </row>
    <row r="3740" spans="1:24" s="1" customFormat="1" ht="21" customHeight="1" x14ac:dyDescent="0.3">
      <c r="A3740" s="11" t="s">
        <v>23</v>
      </c>
      <c r="B3740" s="11" t="s">
        <v>3277</v>
      </c>
      <c r="C3740" s="26" t="s">
        <v>3423</v>
      </c>
      <c r="D3740" s="59"/>
      <c r="E3740" s="41" t="str">
        <f>HYPERLINK("https://www.google.ru/search?q=1379767-390&amp;newwindow=1&amp;tbm=isch","Еще фото")</f>
        <v>Еще фото</v>
      </c>
      <c r="F3740" s="13" t="s">
        <v>103</v>
      </c>
      <c r="G3740" s="11" t="s">
        <v>2939</v>
      </c>
      <c r="H3740" s="11" t="s">
        <v>27</v>
      </c>
      <c r="I3740" s="14" t="s">
        <v>2940</v>
      </c>
      <c r="J3740" s="14" t="s">
        <v>29</v>
      </c>
      <c r="K3740" s="15" t="s">
        <v>30</v>
      </c>
      <c r="L3740" s="57" t="s">
        <v>3424</v>
      </c>
      <c r="M3740" s="14" t="s">
        <v>68</v>
      </c>
      <c r="N3740" s="14" t="s">
        <v>127</v>
      </c>
      <c r="O3740" s="14"/>
      <c r="P3740" s="15" t="s">
        <v>120</v>
      </c>
      <c r="Q3740" s="16">
        <v>8499</v>
      </c>
      <c r="R3740" s="17">
        <v>40</v>
      </c>
      <c r="S3740" s="18">
        <v>5864.3099999999995</v>
      </c>
      <c r="T3740" s="19" t="s">
        <v>36</v>
      </c>
      <c r="U3740" s="20" t="s">
        <v>37</v>
      </c>
      <c r="V3740" s="21" t="s">
        <v>38</v>
      </c>
      <c r="W3740" s="22">
        <v>13</v>
      </c>
      <c r="X3740" s="23"/>
    </row>
    <row r="3741" spans="1:24" s="1" customFormat="1" ht="21" customHeight="1" x14ac:dyDescent="0.3">
      <c r="A3741" s="24" t="s">
        <v>23</v>
      </c>
      <c r="B3741" s="24" t="s">
        <v>3277</v>
      </c>
      <c r="C3741" s="27" t="s">
        <v>3423</v>
      </c>
      <c r="D3741" s="60"/>
      <c r="E3741" s="41" t="str">
        <f>HYPERLINK("https://www.google.ru/search?q=1379767-390&amp;newwindow=1&amp;tbm=isch","Еще фото")</f>
        <v>Еще фото</v>
      </c>
      <c r="F3741" s="13" t="s">
        <v>103</v>
      </c>
      <c r="G3741" s="24" t="s">
        <v>2939</v>
      </c>
      <c r="H3741" s="24" t="s">
        <v>27</v>
      </c>
      <c r="I3741" s="24" t="s">
        <v>2940</v>
      </c>
      <c r="J3741" s="14" t="s">
        <v>29</v>
      </c>
      <c r="K3741" s="15" t="s">
        <v>30</v>
      </c>
      <c r="L3741" s="62"/>
      <c r="M3741" s="14" t="s">
        <v>68</v>
      </c>
      <c r="N3741" s="14" t="s">
        <v>127</v>
      </c>
      <c r="O3741" s="14"/>
      <c r="P3741" s="15" t="s">
        <v>120</v>
      </c>
      <c r="Q3741" s="16">
        <v>8499</v>
      </c>
      <c r="R3741" s="17">
        <v>40</v>
      </c>
      <c r="S3741" s="18">
        <v>5864.3099999999995</v>
      </c>
      <c r="T3741" s="19" t="s">
        <v>36</v>
      </c>
      <c r="U3741" s="20" t="s">
        <v>39</v>
      </c>
      <c r="V3741" s="21" t="s">
        <v>40</v>
      </c>
      <c r="W3741" s="22">
        <v>29</v>
      </c>
      <c r="X3741" s="23"/>
    </row>
    <row r="3742" spans="1:24" s="1" customFormat="1" ht="21" customHeight="1" x14ac:dyDescent="0.3">
      <c r="A3742" s="24" t="s">
        <v>23</v>
      </c>
      <c r="B3742" s="24" t="s">
        <v>3277</v>
      </c>
      <c r="C3742" s="27" t="s">
        <v>3423</v>
      </c>
      <c r="D3742" s="60"/>
      <c r="E3742" s="41" t="str">
        <f>HYPERLINK("https://www.google.ru/search?q=1379767-390&amp;newwindow=1&amp;tbm=isch","Еще фото")</f>
        <v>Еще фото</v>
      </c>
      <c r="F3742" s="13" t="s">
        <v>103</v>
      </c>
      <c r="G3742" s="24" t="s">
        <v>2939</v>
      </c>
      <c r="H3742" s="24" t="s">
        <v>27</v>
      </c>
      <c r="I3742" s="24" t="s">
        <v>2940</v>
      </c>
      <c r="J3742" s="14" t="s">
        <v>29</v>
      </c>
      <c r="K3742" s="15" t="s">
        <v>30</v>
      </c>
      <c r="L3742" s="62"/>
      <c r="M3742" s="14" t="s">
        <v>68</v>
      </c>
      <c r="N3742" s="14" t="s">
        <v>127</v>
      </c>
      <c r="O3742" s="14"/>
      <c r="P3742" s="15" t="s">
        <v>120</v>
      </c>
      <c r="Q3742" s="16">
        <v>8499</v>
      </c>
      <c r="R3742" s="17">
        <v>40</v>
      </c>
      <c r="S3742" s="18">
        <v>5864.3099999999995</v>
      </c>
      <c r="T3742" s="19" t="s">
        <v>36</v>
      </c>
      <c r="U3742" s="20" t="s">
        <v>86</v>
      </c>
      <c r="V3742" s="21" t="s">
        <v>87</v>
      </c>
      <c r="W3742" s="22">
        <v>19</v>
      </c>
      <c r="X3742" s="23"/>
    </row>
    <row r="3743" spans="1:24" s="1" customFormat="1" ht="21" customHeight="1" x14ac:dyDescent="0.3">
      <c r="A3743" s="24" t="s">
        <v>23</v>
      </c>
      <c r="B3743" s="24" t="s">
        <v>3277</v>
      </c>
      <c r="C3743" s="27" t="s">
        <v>3423</v>
      </c>
      <c r="D3743" s="60"/>
      <c r="E3743" s="41" t="str">
        <f>HYPERLINK("https://www.google.ru/search?q=1379767-390&amp;newwindow=1&amp;tbm=isch","Еще фото")</f>
        <v>Еще фото</v>
      </c>
      <c r="F3743" s="13" t="s">
        <v>103</v>
      </c>
      <c r="G3743" s="24" t="s">
        <v>2939</v>
      </c>
      <c r="H3743" s="24" t="s">
        <v>27</v>
      </c>
      <c r="I3743" s="24" t="s">
        <v>2940</v>
      </c>
      <c r="J3743" s="14" t="s">
        <v>29</v>
      </c>
      <c r="K3743" s="15" t="s">
        <v>30</v>
      </c>
      <c r="L3743" s="62"/>
      <c r="M3743" s="14" t="s">
        <v>68</v>
      </c>
      <c r="N3743" s="14" t="s">
        <v>127</v>
      </c>
      <c r="O3743" s="14"/>
      <c r="P3743" s="15" t="s">
        <v>120</v>
      </c>
      <c r="Q3743" s="16">
        <v>8499</v>
      </c>
      <c r="R3743" s="17">
        <v>40</v>
      </c>
      <c r="S3743" s="18">
        <v>5864.3099999999995</v>
      </c>
      <c r="T3743" s="19" t="s">
        <v>36</v>
      </c>
      <c r="U3743" s="20" t="s">
        <v>88</v>
      </c>
      <c r="V3743" s="21" t="s">
        <v>89</v>
      </c>
      <c r="W3743" s="22">
        <v>7</v>
      </c>
      <c r="X3743" s="23"/>
    </row>
    <row r="3744" spans="1:24" s="1" customFormat="1" ht="32" customHeight="1" x14ac:dyDescent="0.3">
      <c r="A3744" s="24" t="s">
        <v>23</v>
      </c>
      <c r="B3744" s="24" t="s">
        <v>3277</v>
      </c>
      <c r="C3744" s="27" t="s">
        <v>3423</v>
      </c>
      <c r="D3744" s="61"/>
      <c r="E3744" s="41" t="str">
        <f>HYPERLINK("https://www.google.ru/search?q=1379767-390&amp;newwindow=1&amp;tbm=isch","Еще фото")</f>
        <v>Еще фото</v>
      </c>
      <c r="F3744" s="13" t="s">
        <v>103</v>
      </c>
      <c r="G3744" s="24" t="s">
        <v>2939</v>
      </c>
      <c r="H3744" s="24" t="s">
        <v>27</v>
      </c>
      <c r="I3744" s="24" t="s">
        <v>2940</v>
      </c>
      <c r="J3744" s="14" t="s">
        <v>29</v>
      </c>
      <c r="K3744" s="15" t="s">
        <v>30</v>
      </c>
      <c r="L3744" s="58"/>
      <c r="M3744" s="14" t="s">
        <v>68</v>
      </c>
      <c r="N3744" s="14" t="s">
        <v>127</v>
      </c>
      <c r="O3744" s="14"/>
      <c r="P3744" s="15" t="s">
        <v>120</v>
      </c>
      <c r="Q3744" s="16">
        <v>8499</v>
      </c>
      <c r="R3744" s="17">
        <v>40</v>
      </c>
      <c r="S3744" s="18">
        <v>5864.3099999999995</v>
      </c>
      <c r="T3744" s="19" t="s">
        <v>36</v>
      </c>
      <c r="U3744" s="20" t="s">
        <v>90</v>
      </c>
      <c r="V3744" s="21" t="s">
        <v>91</v>
      </c>
      <c r="W3744" s="22">
        <v>3</v>
      </c>
      <c r="X3744" s="23"/>
    </row>
    <row r="3745" spans="1:24" s="1" customFormat="1" ht="35" customHeight="1" x14ac:dyDescent="0.3">
      <c r="A3745" s="11" t="s">
        <v>23</v>
      </c>
      <c r="B3745" s="11" t="s">
        <v>3277</v>
      </c>
      <c r="C3745" s="12" t="s">
        <v>3425</v>
      </c>
      <c r="D3745" s="59"/>
      <c r="E3745" s="41" t="str">
        <f>HYPERLINK("https://www.google.ru/search?q=1379767-410&amp;newwindow=1&amp;tbm=isch","Еще фото")</f>
        <v>Еще фото</v>
      </c>
      <c r="F3745" s="13" t="s">
        <v>103</v>
      </c>
      <c r="G3745" s="11" t="s">
        <v>2939</v>
      </c>
      <c r="H3745" s="11" t="s">
        <v>27</v>
      </c>
      <c r="I3745" s="14" t="s">
        <v>2940</v>
      </c>
      <c r="J3745" s="14" t="s">
        <v>29</v>
      </c>
      <c r="K3745" s="15" t="s">
        <v>30</v>
      </c>
      <c r="L3745" s="57" t="s">
        <v>3424</v>
      </c>
      <c r="M3745" s="14" t="s">
        <v>68</v>
      </c>
      <c r="N3745" s="14" t="s">
        <v>115</v>
      </c>
      <c r="O3745" s="14"/>
      <c r="P3745" s="15" t="s">
        <v>3426</v>
      </c>
      <c r="Q3745" s="16">
        <v>8699</v>
      </c>
      <c r="R3745" s="17">
        <v>40</v>
      </c>
      <c r="S3745" s="18">
        <v>6002.3099999999995</v>
      </c>
      <c r="T3745" s="19" t="s">
        <v>36</v>
      </c>
      <c r="U3745" s="20" t="s">
        <v>37</v>
      </c>
      <c r="V3745" s="21" t="s">
        <v>38</v>
      </c>
      <c r="W3745" s="22">
        <v>5</v>
      </c>
      <c r="X3745" s="23"/>
    </row>
    <row r="3746" spans="1:24" s="1" customFormat="1" ht="35" customHeight="1" x14ac:dyDescent="0.3">
      <c r="A3746" s="24" t="s">
        <v>23</v>
      </c>
      <c r="B3746" s="24" t="s">
        <v>3277</v>
      </c>
      <c r="C3746" s="12" t="s">
        <v>3425</v>
      </c>
      <c r="D3746" s="60"/>
      <c r="E3746" s="41" t="str">
        <f>HYPERLINK("https://www.google.ru/search?q=1379767-410&amp;newwindow=1&amp;tbm=isch","Еще фото")</f>
        <v>Еще фото</v>
      </c>
      <c r="F3746" s="13" t="s">
        <v>103</v>
      </c>
      <c r="G3746" s="24" t="s">
        <v>2939</v>
      </c>
      <c r="H3746" s="24" t="s">
        <v>27</v>
      </c>
      <c r="I3746" s="24" t="s">
        <v>2940</v>
      </c>
      <c r="J3746" s="14" t="s">
        <v>29</v>
      </c>
      <c r="K3746" s="15" t="s">
        <v>30</v>
      </c>
      <c r="L3746" s="62"/>
      <c r="M3746" s="14" t="s">
        <v>68</v>
      </c>
      <c r="N3746" s="14" t="s">
        <v>115</v>
      </c>
      <c r="O3746" s="14"/>
      <c r="P3746" s="15" t="s">
        <v>3426</v>
      </c>
      <c r="Q3746" s="16">
        <v>8699</v>
      </c>
      <c r="R3746" s="17">
        <v>40</v>
      </c>
      <c r="S3746" s="18">
        <v>6002.3099999999995</v>
      </c>
      <c r="T3746" s="19" t="s">
        <v>36</v>
      </c>
      <c r="U3746" s="20" t="s">
        <v>39</v>
      </c>
      <c r="V3746" s="21" t="s">
        <v>40</v>
      </c>
      <c r="W3746" s="22">
        <v>2</v>
      </c>
      <c r="X3746" s="23"/>
    </row>
    <row r="3747" spans="1:24" s="1" customFormat="1" ht="37.049999999999997" customHeight="1" x14ac:dyDescent="0.3">
      <c r="A3747" s="24" t="s">
        <v>23</v>
      </c>
      <c r="B3747" s="24" t="s">
        <v>3277</v>
      </c>
      <c r="C3747" s="12" t="s">
        <v>3425</v>
      </c>
      <c r="D3747" s="61"/>
      <c r="E3747" s="41" t="str">
        <f>HYPERLINK("https://www.google.ru/search?q=1379767-410&amp;newwindow=1&amp;tbm=isch","Еще фото")</f>
        <v>Еще фото</v>
      </c>
      <c r="F3747" s="13" t="s">
        <v>103</v>
      </c>
      <c r="G3747" s="24" t="s">
        <v>2939</v>
      </c>
      <c r="H3747" s="24" t="s">
        <v>27</v>
      </c>
      <c r="I3747" s="24" t="s">
        <v>2940</v>
      </c>
      <c r="J3747" s="14" t="s">
        <v>29</v>
      </c>
      <c r="K3747" s="15" t="s">
        <v>30</v>
      </c>
      <c r="L3747" s="58"/>
      <c r="M3747" s="14" t="s">
        <v>68</v>
      </c>
      <c r="N3747" s="14" t="s">
        <v>115</v>
      </c>
      <c r="O3747" s="14"/>
      <c r="P3747" s="15" t="s">
        <v>3426</v>
      </c>
      <c r="Q3747" s="16">
        <v>8699</v>
      </c>
      <c r="R3747" s="17">
        <v>40</v>
      </c>
      <c r="S3747" s="18">
        <v>6002.3099999999995</v>
      </c>
      <c r="T3747" s="19" t="s">
        <v>36</v>
      </c>
      <c r="U3747" s="20" t="s">
        <v>86</v>
      </c>
      <c r="V3747" s="21" t="s">
        <v>87</v>
      </c>
      <c r="W3747" s="22">
        <v>8</v>
      </c>
      <c r="X3747" s="23"/>
    </row>
    <row r="3748" spans="1:24" s="1" customFormat="1" ht="26" customHeight="1" x14ac:dyDescent="0.3">
      <c r="A3748" s="11" t="s">
        <v>23</v>
      </c>
      <c r="B3748" s="11" t="s">
        <v>3197</v>
      </c>
      <c r="C3748" s="12" t="s">
        <v>3427</v>
      </c>
      <c r="D3748" s="59"/>
      <c r="E3748" s="41" t="str">
        <f>HYPERLINK("https://www.google.ru/search?q=1379842-001&amp;newwindow=1&amp;tbm=isch","Еще фото")</f>
        <v>Еще фото</v>
      </c>
      <c r="F3748" s="13" t="s">
        <v>103</v>
      </c>
      <c r="G3748" s="11" t="s">
        <v>2939</v>
      </c>
      <c r="H3748" s="11" t="s">
        <v>27</v>
      </c>
      <c r="I3748" s="14" t="s">
        <v>2940</v>
      </c>
      <c r="J3748" s="14" t="s">
        <v>29</v>
      </c>
      <c r="K3748" s="15" t="s">
        <v>59</v>
      </c>
      <c r="L3748" s="57" t="s">
        <v>3199</v>
      </c>
      <c r="M3748" s="14"/>
      <c r="N3748" s="14" t="s">
        <v>33</v>
      </c>
      <c r="O3748" s="14"/>
      <c r="P3748" s="15" t="s">
        <v>542</v>
      </c>
      <c r="Q3748" s="16">
        <v>11799</v>
      </c>
      <c r="R3748" s="17">
        <v>40</v>
      </c>
      <c r="S3748" s="18">
        <v>8141.3099999999986</v>
      </c>
      <c r="T3748" s="19" t="s">
        <v>36</v>
      </c>
      <c r="U3748" s="20" t="s">
        <v>63</v>
      </c>
      <c r="V3748" s="21" t="s">
        <v>64</v>
      </c>
      <c r="W3748" s="22">
        <v>16</v>
      </c>
      <c r="X3748" s="23"/>
    </row>
    <row r="3749" spans="1:24" s="1" customFormat="1" ht="26" customHeight="1" x14ac:dyDescent="0.3">
      <c r="A3749" s="24" t="s">
        <v>23</v>
      </c>
      <c r="B3749" s="24" t="s">
        <v>3197</v>
      </c>
      <c r="C3749" s="12" t="s">
        <v>3427</v>
      </c>
      <c r="D3749" s="60"/>
      <c r="E3749" s="41" t="str">
        <f>HYPERLINK("https://www.google.ru/search?q=1379842-001&amp;newwindow=1&amp;tbm=isch","Еще фото")</f>
        <v>Еще фото</v>
      </c>
      <c r="F3749" s="13" t="s">
        <v>103</v>
      </c>
      <c r="G3749" s="24" t="s">
        <v>2939</v>
      </c>
      <c r="H3749" s="24" t="s">
        <v>27</v>
      </c>
      <c r="I3749" s="24" t="s">
        <v>2940</v>
      </c>
      <c r="J3749" s="14" t="s">
        <v>29</v>
      </c>
      <c r="K3749" s="15" t="s">
        <v>59</v>
      </c>
      <c r="L3749" s="62"/>
      <c r="M3749" s="14"/>
      <c r="N3749" s="14" t="s">
        <v>33</v>
      </c>
      <c r="O3749" s="14"/>
      <c r="P3749" s="15" t="s">
        <v>542</v>
      </c>
      <c r="Q3749" s="16">
        <v>11799</v>
      </c>
      <c r="R3749" s="17">
        <v>40</v>
      </c>
      <c r="S3749" s="18">
        <v>8141.3099999999986</v>
      </c>
      <c r="T3749" s="19" t="s">
        <v>36</v>
      </c>
      <c r="U3749" s="20" t="s">
        <v>37</v>
      </c>
      <c r="V3749" s="21" t="s">
        <v>106</v>
      </c>
      <c r="W3749" s="22">
        <v>10</v>
      </c>
      <c r="X3749" s="23"/>
    </row>
    <row r="3750" spans="1:24" s="1" customFormat="1" ht="26" customHeight="1" x14ac:dyDescent="0.3">
      <c r="A3750" s="24" t="s">
        <v>23</v>
      </c>
      <c r="B3750" s="24" t="s">
        <v>3197</v>
      </c>
      <c r="C3750" s="12" t="s">
        <v>3427</v>
      </c>
      <c r="D3750" s="60"/>
      <c r="E3750" s="41" t="str">
        <f>HYPERLINK("https://www.google.ru/search?q=1379842-001&amp;newwindow=1&amp;tbm=isch","Еще фото")</f>
        <v>Еще фото</v>
      </c>
      <c r="F3750" s="13" t="s">
        <v>103</v>
      </c>
      <c r="G3750" s="24" t="s">
        <v>2939</v>
      </c>
      <c r="H3750" s="24" t="s">
        <v>27</v>
      </c>
      <c r="I3750" s="24" t="s">
        <v>2940</v>
      </c>
      <c r="J3750" s="14" t="s">
        <v>29</v>
      </c>
      <c r="K3750" s="15" t="s">
        <v>59</v>
      </c>
      <c r="L3750" s="62"/>
      <c r="M3750" s="14"/>
      <c r="N3750" s="14" t="s">
        <v>33</v>
      </c>
      <c r="O3750" s="14"/>
      <c r="P3750" s="15" t="s">
        <v>542</v>
      </c>
      <c r="Q3750" s="16">
        <v>11799</v>
      </c>
      <c r="R3750" s="17">
        <v>40</v>
      </c>
      <c r="S3750" s="18">
        <v>8141.3099999999986</v>
      </c>
      <c r="T3750" s="19" t="s">
        <v>36</v>
      </c>
      <c r="U3750" s="20" t="s">
        <v>39</v>
      </c>
      <c r="V3750" s="21" t="s">
        <v>85</v>
      </c>
      <c r="W3750" s="22">
        <v>13</v>
      </c>
      <c r="X3750" s="23"/>
    </row>
    <row r="3751" spans="1:24" s="1" customFormat="1" ht="26" customHeight="1" x14ac:dyDescent="0.3">
      <c r="A3751" s="24" t="s">
        <v>23</v>
      </c>
      <c r="B3751" s="24" t="s">
        <v>3197</v>
      </c>
      <c r="C3751" s="12" t="s">
        <v>3427</v>
      </c>
      <c r="D3751" s="61"/>
      <c r="E3751" s="41" t="str">
        <f>HYPERLINK("https://www.google.ru/search?q=1379842-001&amp;newwindow=1&amp;tbm=isch","Еще фото")</f>
        <v>Еще фото</v>
      </c>
      <c r="F3751" s="13" t="s">
        <v>103</v>
      </c>
      <c r="G3751" s="24" t="s">
        <v>2939</v>
      </c>
      <c r="H3751" s="24" t="s">
        <v>27</v>
      </c>
      <c r="I3751" s="24" t="s">
        <v>2940</v>
      </c>
      <c r="J3751" s="14" t="s">
        <v>29</v>
      </c>
      <c r="K3751" s="15" t="s">
        <v>59</v>
      </c>
      <c r="L3751" s="58"/>
      <c r="M3751" s="14"/>
      <c r="N3751" s="14" t="s">
        <v>33</v>
      </c>
      <c r="O3751" s="14"/>
      <c r="P3751" s="15" t="s">
        <v>542</v>
      </c>
      <c r="Q3751" s="16">
        <v>11799</v>
      </c>
      <c r="R3751" s="17">
        <v>40</v>
      </c>
      <c r="S3751" s="18">
        <v>8141.3099999999986</v>
      </c>
      <c r="T3751" s="19" t="s">
        <v>36</v>
      </c>
      <c r="U3751" s="20" t="s">
        <v>86</v>
      </c>
      <c r="V3751" s="21" t="s">
        <v>38</v>
      </c>
      <c r="W3751" s="22">
        <v>11</v>
      </c>
      <c r="X3751" s="23"/>
    </row>
    <row r="3752" spans="1:24" s="1" customFormat="1" ht="21" customHeight="1" x14ac:dyDescent="0.3">
      <c r="A3752" s="11" t="s">
        <v>23</v>
      </c>
      <c r="B3752" s="11" t="s">
        <v>3428</v>
      </c>
      <c r="C3752" s="26" t="s">
        <v>3429</v>
      </c>
      <c r="D3752" s="59"/>
      <c r="E3752" s="41" t="str">
        <f>HYPERLINK("https://www.google.ru/search?q=1381688-001&amp;newwindow=1&amp;tbm=isch","Еще фото")</f>
        <v>Еще фото</v>
      </c>
      <c r="F3752" s="13" t="s">
        <v>103</v>
      </c>
      <c r="G3752" s="11" t="s">
        <v>2945</v>
      </c>
      <c r="H3752" s="11" t="s">
        <v>27</v>
      </c>
      <c r="I3752" s="14" t="s">
        <v>2940</v>
      </c>
      <c r="J3752" s="14" t="s">
        <v>29</v>
      </c>
      <c r="K3752" s="15" t="s">
        <v>30</v>
      </c>
      <c r="L3752" s="57" t="s">
        <v>3430</v>
      </c>
      <c r="M3752" s="14"/>
      <c r="N3752" s="14" t="s">
        <v>33</v>
      </c>
      <c r="O3752" s="14"/>
      <c r="P3752" s="15" t="s">
        <v>542</v>
      </c>
      <c r="Q3752" s="16">
        <v>12199</v>
      </c>
      <c r="R3752" s="17">
        <v>40</v>
      </c>
      <c r="S3752" s="18">
        <v>8417.31</v>
      </c>
      <c r="T3752" s="19" t="s">
        <v>36</v>
      </c>
      <c r="U3752" s="20" t="s">
        <v>37</v>
      </c>
      <c r="V3752" s="21" t="s">
        <v>38</v>
      </c>
      <c r="W3752" s="22">
        <v>17</v>
      </c>
      <c r="X3752" s="23"/>
    </row>
    <row r="3753" spans="1:24" s="1" customFormat="1" ht="21" customHeight="1" x14ac:dyDescent="0.3">
      <c r="A3753" s="24" t="s">
        <v>23</v>
      </c>
      <c r="B3753" s="24" t="s">
        <v>3428</v>
      </c>
      <c r="C3753" s="27" t="s">
        <v>3429</v>
      </c>
      <c r="D3753" s="60"/>
      <c r="E3753" s="41" t="str">
        <f>HYPERLINK("https://www.google.ru/search?q=1381688-001&amp;newwindow=1&amp;tbm=isch","Еще фото")</f>
        <v>Еще фото</v>
      </c>
      <c r="F3753" s="13" t="s">
        <v>103</v>
      </c>
      <c r="G3753" s="24" t="s">
        <v>2945</v>
      </c>
      <c r="H3753" s="24" t="s">
        <v>27</v>
      </c>
      <c r="I3753" s="24" t="s">
        <v>2940</v>
      </c>
      <c r="J3753" s="14" t="s">
        <v>29</v>
      </c>
      <c r="K3753" s="15" t="s">
        <v>30</v>
      </c>
      <c r="L3753" s="62"/>
      <c r="M3753" s="14"/>
      <c r="N3753" s="14" t="s">
        <v>33</v>
      </c>
      <c r="O3753" s="14"/>
      <c r="P3753" s="15" t="s">
        <v>542</v>
      </c>
      <c r="Q3753" s="16">
        <v>12199</v>
      </c>
      <c r="R3753" s="17">
        <v>40</v>
      </c>
      <c r="S3753" s="18">
        <v>8417.31</v>
      </c>
      <c r="T3753" s="19" t="s">
        <v>36</v>
      </c>
      <c r="U3753" s="20" t="s">
        <v>39</v>
      </c>
      <c r="V3753" s="21" t="s">
        <v>40</v>
      </c>
      <c r="W3753" s="22">
        <v>22</v>
      </c>
      <c r="X3753" s="23"/>
    </row>
    <row r="3754" spans="1:24" s="1" customFormat="1" ht="21" customHeight="1" x14ac:dyDescent="0.3">
      <c r="A3754" s="24" t="s">
        <v>23</v>
      </c>
      <c r="B3754" s="24" t="s">
        <v>3428</v>
      </c>
      <c r="C3754" s="27" t="s">
        <v>3429</v>
      </c>
      <c r="D3754" s="60"/>
      <c r="E3754" s="41" t="str">
        <f>HYPERLINK("https://www.google.ru/search?q=1381688-001&amp;newwindow=1&amp;tbm=isch","Еще фото")</f>
        <v>Еще фото</v>
      </c>
      <c r="F3754" s="13" t="s">
        <v>103</v>
      </c>
      <c r="G3754" s="24" t="s">
        <v>2945</v>
      </c>
      <c r="H3754" s="24" t="s">
        <v>27</v>
      </c>
      <c r="I3754" s="24" t="s">
        <v>2940</v>
      </c>
      <c r="J3754" s="14" t="s">
        <v>29</v>
      </c>
      <c r="K3754" s="15" t="s">
        <v>30</v>
      </c>
      <c r="L3754" s="62"/>
      <c r="M3754" s="14"/>
      <c r="N3754" s="14" t="s">
        <v>33</v>
      </c>
      <c r="O3754" s="14"/>
      <c r="P3754" s="15" t="s">
        <v>542</v>
      </c>
      <c r="Q3754" s="16">
        <v>12199</v>
      </c>
      <c r="R3754" s="17">
        <v>40</v>
      </c>
      <c r="S3754" s="18">
        <v>8417.31</v>
      </c>
      <c r="T3754" s="19" t="s">
        <v>36</v>
      </c>
      <c r="U3754" s="20" t="s">
        <v>86</v>
      </c>
      <c r="V3754" s="21" t="s">
        <v>87</v>
      </c>
      <c r="W3754" s="22">
        <v>27</v>
      </c>
      <c r="X3754" s="23"/>
    </row>
    <row r="3755" spans="1:24" s="1" customFormat="1" ht="21" customHeight="1" x14ac:dyDescent="0.3">
      <c r="A3755" s="24" t="s">
        <v>23</v>
      </c>
      <c r="B3755" s="24" t="s">
        <v>3428</v>
      </c>
      <c r="C3755" s="27" t="s">
        <v>3429</v>
      </c>
      <c r="D3755" s="60"/>
      <c r="E3755" s="41" t="str">
        <f>HYPERLINK("https://www.google.ru/search?q=1381688-001&amp;newwindow=1&amp;tbm=isch","Еще фото")</f>
        <v>Еще фото</v>
      </c>
      <c r="F3755" s="13" t="s">
        <v>103</v>
      </c>
      <c r="G3755" s="24" t="s">
        <v>2945</v>
      </c>
      <c r="H3755" s="24" t="s">
        <v>27</v>
      </c>
      <c r="I3755" s="24" t="s">
        <v>2940</v>
      </c>
      <c r="J3755" s="14" t="s">
        <v>29</v>
      </c>
      <c r="K3755" s="15" t="s">
        <v>30</v>
      </c>
      <c r="L3755" s="62"/>
      <c r="M3755" s="14"/>
      <c r="N3755" s="14" t="s">
        <v>33</v>
      </c>
      <c r="O3755" s="14"/>
      <c r="P3755" s="15" t="s">
        <v>542</v>
      </c>
      <c r="Q3755" s="16">
        <v>12199</v>
      </c>
      <c r="R3755" s="17">
        <v>40</v>
      </c>
      <c r="S3755" s="18">
        <v>8417.31</v>
      </c>
      <c r="T3755" s="19" t="s">
        <v>36</v>
      </c>
      <c r="U3755" s="20" t="s">
        <v>88</v>
      </c>
      <c r="V3755" s="21" t="s">
        <v>89</v>
      </c>
      <c r="W3755" s="22">
        <v>10</v>
      </c>
      <c r="X3755" s="23"/>
    </row>
    <row r="3756" spans="1:24" s="1" customFormat="1" ht="32" customHeight="1" x14ac:dyDescent="0.3">
      <c r="A3756" s="24" t="s">
        <v>23</v>
      </c>
      <c r="B3756" s="24" t="s">
        <v>3428</v>
      </c>
      <c r="C3756" s="27" t="s">
        <v>3429</v>
      </c>
      <c r="D3756" s="61"/>
      <c r="E3756" s="41" t="str">
        <f>HYPERLINK("https://www.google.ru/search?q=1381688-001&amp;newwindow=1&amp;tbm=isch","Еще фото")</f>
        <v>Еще фото</v>
      </c>
      <c r="F3756" s="13" t="s">
        <v>103</v>
      </c>
      <c r="G3756" s="24" t="s">
        <v>2945</v>
      </c>
      <c r="H3756" s="24" t="s">
        <v>27</v>
      </c>
      <c r="I3756" s="24" t="s">
        <v>2940</v>
      </c>
      <c r="J3756" s="14" t="s">
        <v>29</v>
      </c>
      <c r="K3756" s="15" t="s">
        <v>30</v>
      </c>
      <c r="L3756" s="58"/>
      <c r="M3756" s="14"/>
      <c r="N3756" s="14" t="s">
        <v>33</v>
      </c>
      <c r="O3756" s="14"/>
      <c r="P3756" s="15" t="s">
        <v>542</v>
      </c>
      <c r="Q3756" s="16">
        <v>12199</v>
      </c>
      <c r="R3756" s="17">
        <v>40</v>
      </c>
      <c r="S3756" s="18">
        <v>8417.31</v>
      </c>
      <c r="T3756" s="19" t="s">
        <v>36</v>
      </c>
      <c r="U3756" s="20" t="s">
        <v>90</v>
      </c>
      <c r="V3756" s="21" t="s">
        <v>91</v>
      </c>
      <c r="W3756" s="22">
        <v>10</v>
      </c>
      <c r="X3756" s="23"/>
    </row>
    <row r="3757" spans="1:24" s="1" customFormat="1" ht="108" customHeight="1" x14ac:dyDescent="0.3">
      <c r="A3757" s="11" t="s">
        <v>23</v>
      </c>
      <c r="B3757" s="11" t="s">
        <v>3431</v>
      </c>
      <c r="C3757" s="12" t="s">
        <v>3432</v>
      </c>
      <c r="D3757" s="25"/>
      <c r="E3757" s="41" t="str">
        <f>HYPERLINK("https://www.google.ru/search?q=1381880-003&amp;newwindow=1&amp;tbm=isch","Еще фото")</f>
        <v>Еще фото</v>
      </c>
      <c r="F3757" s="13"/>
      <c r="G3757" s="11" t="s">
        <v>2966</v>
      </c>
      <c r="H3757" s="11" t="s">
        <v>27</v>
      </c>
      <c r="I3757" s="14" t="s">
        <v>2940</v>
      </c>
      <c r="J3757" s="14" t="s">
        <v>43</v>
      </c>
      <c r="K3757" s="15" t="s">
        <v>30</v>
      </c>
      <c r="L3757" s="14" t="s">
        <v>3433</v>
      </c>
      <c r="M3757" s="14" t="s">
        <v>32</v>
      </c>
      <c r="N3757" s="14" t="s">
        <v>33</v>
      </c>
      <c r="O3757" s="14"/>
      <c r="P3757" s="15" t="s">
        <v>248</v>
      </c>
      <c r="Q3757" s="16">
        <v>17699</v>
      </c>
      <c r="R3757" s="17">
        <v>40</v>
      </c>
      <c r="S3757" s="18">
        <v>12212.31</v>
      </c>
      <c r="T3757" s="19" t="s">
        <v>36</v>
      </c>
      <c r="U3757" s="20" t="s">
        <v>39</v>
      </c>
      <c r="V3757" s="21" t="s">
        <v>40</v>
      </c>
      <c r="W3757" s="22">
        <v>1</v>
      </c>
      <c r="X3757" s="23"/>
    </row>
    <row r="3758" spans="1:24" s="1" customFormat="1" ht="21" customHeight="1" x14ac:dyDescent="0.3">
      <c r="A3758" s="11" t="s">
        <v>23</v>
      </c>
      <c r="B3758" s="11" t="s">
        <v>3434</v>
      </c>
      <c r="C3758" s="26" t="s">
        <v>3435</v>
      </c>
      <c r="D3758" s="59"/>
      <c r="E3758" s="41" t="str">
        <f>HYPERLINK("https://www.google.ru/search?q=1382797-024&amp;newwindow=1&amp;tbm=isch","Еще фото")</f>
        <v>Еще фото</v>
      </c>
      <c r="F3758" s="13" t="s">
        <v>103</v>
      </c>
      <c r="G3758" s="11" t="s">
        <v>2945</v>
      </c>
      <c r="H3758" s="11" t="s">
        <v>27</v>
      </c>
      <c r="I3758" s="14" t="s">
        <v>2940</v>
      </c>
      <c r="J3758" s="14" t="s">
        <v>29</v>
      </c>
      <c r="K3758" s="15" t="s">
        <v>30</v>
      </c>
      <c r="L3758" s="57" t="s">
        <v>3436</v>
      </c>
      <c r="M3758" s="14"/>
      <c r="N3758" s="14" t="s">
        <v>62</v>
      </c>
      <c r="O3758" s="14"/>
      <c r="P3758" s="15" t="s">
        <v>47</v>
      </c>
      <c r="Q3758" s="16">
        <v>4699</v>
      </c>
      <c r="R3758" s="17">
        <v>40</v>
      </c>
      <c r="S3758" s="18">
        <v>3242.31</v>
      </c>
      <c r="T3758" s="19" t="s">
        <v>36</v>
      </c>
      <c r="U3758" s="20" t="s">
        <v>37</v>
      </c>
      <c r="V3758" s="21" t="s">
        <v>38</v>
      </c>
      <c r="W3758" s="22">
        <v>4</v>
      </c>
      <c r="X3758" s="23"/>
    </row>
    <row r="3759" spans="1:24" s="1" customFormat="1" ht="21" customHeight="1" x14ac:dyDescent="0.3">
      <c r="A3759" s="24" t="s">
        <v>23</v>
      </c>
      <c r="B3759" s="24" t="s">
        <v>3434</v>
      </c>
      <c r="C3759" s="27" t="s">
        <v>3435</v>
      </c>
      <c r="D3759" s="60"/>
      <c r="E3759" s="41" t="str">
        <f>HYPERLINK("https://www.google.ru/search?q=1382797-024&amp;newwindow=1&amp;tbm=isch","Еще фото")</f>
        <v>Еще фото</v>
      </c>
      <c r="F3759" s="13" t="s">
        <v>103</v>
      </c>
      <c r="G3759" s="24" t="s">
        <v>2945</v>
      </c>
      <c r="H3759" s="24" t="s">
        <v>27</v>
      </c>
      <c r="I3759" s="24" t="s">
        <v>2940</v>
      </c>
      <c r="J3759" s="14" t="s">
        <v>29</v>
      </c>
      <c r="K3759" s="15" t="s">
        <v>30</v>
      </c>
      <c r="L3759" s="62"/>
      <c r="M3759" s="14"/>
      <c r="N3759" s="14" t="s">
        <v>62</v>
      </c>
      <c r="O3759" s="14"/>
      <c r="P3759" s="15" t="s">
        <v>47</v>
      </c>
      <c r="Q3759" s="16">
        <v>4699</v>
      </c>
      <c r="R3759" s="17">
        <v>40</v>
      </c>
      <c r="S3759" s="18">
        <v>3242.31</v>
      </c>
      <c r="T3759" s="19" t="s">
        <v>36</v>
      </c>
      <c r="U3759" s="20" t="s">
        <v>39</v>
      </c>
      <c r="V3759" s="21" t="s">
        <v>40</v>
      </c>
      <c r="W3759" s="22">
        <v>9</v>
      </c>
      <c r="X3759" s="23"/>
    </row>
    <row r="3760" spans="1:24" s="1" customFormat="1" ht="21" customHeight="1" x14ac:dyDescent="0.3">
      <c r="A3760" s="24" t="s">
        <v>23</v>
      </c>
      <c r="B3760" s="24" t="s">
        <v>3434</v>
      </c>
      <c r="C3760" s="27" t="s">
        <v>3435</v>
      </c>
      <c r="D3760" s="60"/>
      <c r="E3760" s="41" t="str">
        <f>HYPERLINK("https://www.google.ru/search?q=1382797-024&amp;newwindow=1&amp;tbm=isch","Еще фото")</f>
        <v>Еще фото</v>
      </c>
      <c r="F3760" s="13" t="s">
        <v>103</v>
      </c>
      <c r="G3760" s="24" t="s">
        <v>2945</v>
      </c>
      <c r="H3760" s="24" t="s">
        <v>27</v>
      </c>
      <c r="I3760" s="24" t="s">
        <v>2940</v>
      </c>
      <c r="J3760" s="14" t="s">
        <v>29</v>
      </c>
      <c r="K3760" s="15" t="s">
        <v>30</v>
      </c>
      <c r="L3760" s="62"/>
      <c r="M3760" s="14"/>
      <c r="N3760" s="14" t="s">
        <v>62</v>
      </c>
      <c r="O3760" s="14"/>
      <c r="P3760" s="15" t="s">
        <v>47</v>
      </c>
      <c r="Q3760" s="16">
        <v>4699</v>
      </c>
      <c r="R3760" s="17">
        <v>40</v>
      </c>
      <c r="S3760" s="18">
        <v>3242.31</v>
      </c>
      <c r="T3760" s="19" t="s">
        <v>36</v>
      </c>
      <c r="U3760" s="20" t="s">
        <v>86</v>
      </c>
      <c r="V3760" s="21" t="s">
        <v>87</v>
      </c>
      <c r="W3760" s="22">
        <v>24</v>
      </c>
      <c r="X3760" s="23"/>
    </row>
    <row r="3761" spans="1:24" s="1" customFormat="1" ht="21" customHeight="1" x14ac:dyDescent="0.3">
      <c r="A3761" s="24" t="s">
        <v>23</v>
      </c>
      <c r="B3761" s="24" t="s">
        <v>3434</v>
      </c>
      <c r="C3761" s="27" t="s">
        <v>3435</v>
      </c>
      <c r="D3761" s="60"/>
      <c r="E3761" s="41" t="str">
        <f>HYPERLINK("https://www.google.ru/search?q=1382797-024&amp;newwindow=1&amp;tbm=isch","Еще фото")</f>
        <v>Еще фото</v>
      </c>
      <c r="F3761" s="13" t="s">
        <v>103</v>
      </c>
      <c r="G3761" s="24" t="s">
        <v>2945</v>
      </c>
      <c r="H3761" s="24" t="s">
        <v>27</v>
      </c>
      <c r="I3761" s="24" t="s">
        <v>2940</v>
      </c>
      <c r="J3761" s="14" t="s">
        <v>29</v>
      </c>
      <c r="K3761" s="15" t="s">
        <v>30</v>
      </c>
      <c r="L3761" s="62"/>
      <c r="M3761" s="14"/>
      <c r="N3761" s="14" t="s">
        <v>62</v>
      </c>
      <c r="O3761" s="14"/>
      <c r="P3761" s="15" t="s">
        <v>47</v>
      </c>
      <c r="Q3761" s="16">
        <v>4699</v>
      </c>
      <c r="R3761" s="17">
        <v>40</v>
      </c>
      <c r="S3761" s="18">
        <v>3242.31</v>
      </c>
      <c r="T3761" s="19" t="s">
        <v>36</v>
      </c>
      <c r="U3761" s="20" t="s">
        <v>88</v>
      </c>
      <c r="V3761" s="21" t="s">
        <v>89</v>
      </c>
      <c r="W3761" s="22">
        <v>16</v>
      </c>
      <c r="X3761" s="23"/>
    </row>
    <row r="3762" spans="1:24" s="1" customFormat="1" ht="32" customHeight="1" x14ac:dyDescent="0.3">
      <c r="A3762" s="24" t="s">
        <v>23</v>
      </c>
      <c r="B3762" s="24" t="s">
        <v>3434</v>
      </c>
      <c r="C3762" s="27" t="s">
        <v>3435</v>
      </c>
      <c r="D3762" s="61"/>
      <c r="E3762" s="41" t="str">
        <f>HYPERLINK("https://www.google.ru/search?q=1382797-024&amp;newwindow=1&amp;tbm=isch","Еще фото")</f>
        <v>Еще фото</v>
      </c>
      <c r="F3762" s="13" t="s">
        <v>103</v>
      </c>
      <c r="G3762" s="24" t="s">
        <v>2945</v>
      </c>
      <c r="H3762" s="24" t="s">
        <v>27</v>
      </c>
      <c r="I3762" s="24" t="s">
        <v>2940</v>
      </c>
      <c r="J3762" s="14" t="s">
        <v>29</v>
      </c>
      <c r="K3762" s="15" t="s">
        <v>30</v>
      </c>
      <c r="L3762" s="58"/>
      <c r="M3762" s="14"/>
      <c r="N3762" s="14" t="s">
        <v>62</v>
      </c>
      <c r="O3762" s="14"/>
      <c r="P3762" s="15" t="s">
        <v>47</v>
      </c>
      <c r="Q3762" s="16">
        <v>4699</v>
      </c>
      <c r="R3762" s="17">
        <v>40</v>
      </c>
      <c r="S3762" s="18">
        <v>3242.31</v>
      </c>
      <c r="T3762" s="19" t="s">
        <v>36</v>
      </c>
      <c r="U3762" s="20" t="s">
        <v>90</v>
      </c>
      <c r="V3762" s="21" t="s">
        <v>91</v>
      </c>
      <c r="W3762" s="22">
        <v>3</v>
      </c>
      <c r="X3762" s="23"/>
    </row>
    <row r="3763" spans="1:24" s="1" customFormat="1" ht="21" customHeight="1" x14ac:dyDescent="0.3">
      <c r="A3763" s="11" t="s">
        <v>23</v>
      </c>
      <c r="B3763" s="11" t="s">
        <v>3434</v>
      </c>
      <c r="C3763" s="26" t="s">
        <v>3437</v>
      </c>
      <c r="D3763" s="59"/>
      <c r="E3763" s="41" t="str">
        <f>HYPERLINK("https://www.google.ru/search?q=1382797-690&amp;newwindow=1&amp;tbm=isch","Еще фото")</f>
        <v>Еще фото</v>
      </c>
      <c r="F3763" s="13" t="s">
        <v>103</v>
      </c>
      <c r="G3763" s="11" t="s">
        <v>2945</v>
      </c>
      <c r="H3763" s="11" t="s">
        <v>27</v>
      </c>
      <c r="I3763" s="14" t="s">
        <v>2940</v>
      </c>
      <c r="J3763" s="14" t="s">
        <v>29</v>
      </c>
      <c r="K3763" s="15" t="s">
        <v>30</v>
      </c>
      <c r="L3763" s="57" t="s">
        <v>3436</v>
      </c>
      <c r="M3763" s="14"/>
      <c r="N3763" s="14" t="s">
        <v>198</v>
      </c>
      <c r="O3763" s="14"/>
      <c r="P3763" s="15" t="s">
        <v>47</v>
      </c>
      <c r="Q3763" s="16">
        <v>4699</v>
      </c>
      <c r="R3763" s="17">
        <v>40</v>
      </c>
      <c r="S3763" s="18">
        <v>3242.31</v>
      </c>
      <c r="T3763" s="19" t="s">
        <v>36</v>
      </c>
      <c r="U3763" s="20" t="s">
        <v>37</v>
      </c>
      <c r="V3763" s="21" t="s">
        <v>38</v>
      </c>
      <c r="W3763" s="22">
        <v>12</v>
      </c>
      <c r="X3763" s="23"/>
    </row>
    <row r="3764" spans="1:24" s="1" customFormat="1" ht="21" customHeight="1" x14ac:dyDescent="0.3">
      <c r="A3764" s="24" t="s">
        <v>23</v>
      </c>
      <c r="B3764" s="24" t="s">
        <v>3434</v>
      </c>
      <c r="C3764" s="27" t="s">
        <v>3437</v>
      </c>
      <c r="D3764" s="60"/>
      <c r="E3764" s="41" t="str">
        <f>HYPERLINK("https://www.google.ru/search?q=1382797-690&amp;newwindow=1&amp;tbm=isch","Еще фото")</f>
        <v>Еще фото</v>
      </c>
      <c r="F3764" s="13" t="s">
        <v>103</v>
      </c>
      <c r="G3764" s="24" t="s">
        <v>2945</v>
      </c>
      <c r="H3764" s="24" t="s">
        <v>27</v>
      </c>
      <c r="I3764" s="24" t="s">
        <v>2940</v>
      </c>
      <c r="J3764" s="14" t="s">
        <v>29</v>
      </c>
      <c r="K3764" s="15" t="s">
        <v>30</v>
      </c>
      <c r="L3764" s="62"/>
      <c r="M3764" s="14"/>
      <c r="N3764" s="14" t="s">
        <v>198</v>
      </c>
      <c r="O3764" s="14"/>
      <c r="P3764" s="15" t="s">
        <v>47</v>
      </c>
      <c r="Q3764" s="16">
        <v>4699</v>
      </c>
      <c r="R3764" s="17">
        <v>40</v>
      </c>
      <c r="S3764" s="18">
        <v>3242.31</v>
      </c>
      <c r="T3764" s="19" t="s">
        <v>36</v>
      </c>
      <c r="U3764" s="20" t="s">
        <v>39</v>
      </c>
      <c r="V3764" s="21" t="s">
        <v>40</v>
      </c>
      <c r="W3764" s="22">
        <v>15</v>
      </c>
      <c r="X3764" s="23"/>
    </row>
    <row r="3765" spans="1:24" s="1" customFormat="1" ht="21" customHeight="1" x14ac:dyDescent="0.3">
      <c r="A3765" s="24" t="s">
        <v>23</v>
      </c>
      <c r="B3765" s="24" t="s">
        <v>3434</v>
      </c>
      <c r="C3765" s="27" t="s">
        <v>3437</v>
      </c>
      <c r="D3765" s="60"/>
      <c r="E3765" s="41" t="str">
        <f>HYPERLINK("https://www.google.ru/search?q=1382797-690&amp;newwindow=1&amp;tbm=isch","Еще фото")</f>
        <v>Еще фото</v>
      </c>
      <c r="F3765" s="13" t="s">
        <v>103</v>
      </c>
      <c r="G3765" s="24" t="s">
        <v>2945</v>
      </c>
      <c r="H3765" s="24" t="s">
        <v>27</v>
      </c>
      <c r="I3765" s="24" t="s">
        <v>2940</v>
      </c>
      <c r="J3765" s="14" t="s">
        <v>29</v>
      </c>
      <c r="K3765" s="15" t="s">
        <v>30</v>
      </c>
      <c r="L3765" s="62"/>
      <c r="M3765" s="14"/>
      <c r="N3765" s="14" t="s">
        <v>198</v>
      </c>
      <c r="O3765" s="14"/>
      <c r="P3765" s="15" t="s">
        <v>47</v>
      </c>
      <c r="Q3765" s="16">
        <v>4699</v>
      </c>
      <c r="R3765" s="17">
        <v>40</v>
      </c>
      <c r="S3765" s="18">
        <v>3242.31</v>
      </c>
      <c r="T3765" s="19" t="s">
        <v>36</v>
      </c>
      <c r="U3765" s="20" t="s">
        <v>86</v>
      </c>
      <c r="V3765" s="21" t="s">
        <v>87</v>
      </c>
      <c r="W3765" s="22">
        <v>25</v>
      </c>
      <c r="X3765" s="23"/>
    </row>
    <row r="3766" spans="1:24" s="1" customFormat="1" ht="21" customHeight="1" x14ac:dyDescent="0.3">
      <c r="A3766" s="24" t="s">
        <v>23</v>
      </c>
      <c r="B3766" s="24" t="s">
        <v>3434</v>
      </c>
      <c r="C3766" s="27" t="s">
        <v>3437</v>
      </c>
      <c r="D3766" s="60"/>
      <c r="E3766" s="41" t="str">
        <f>HYPERLINK("https://www.google.ru/search?q=1382797-690&amp;newwindow=1&amp;tbm=isch","Еще фото")</f>
        <v>Еще фото</v>
      </c>
      <c r="F3766" s="13" t="s">
        <v>103</v>
      </c>
      <c r="G3766" s="24" t="s">
        <v>2945</v>
      </c>
      <c r="H3766" s="24" t="s">
        <v>27</v>
      </c>
      <c r="I3766" s="24" t="s">
        <v>2940</v>
      </c>
      <c r="J3766" s="14" t="s">
        <v>29</v>
      </c>
      <c r="K3766" s="15" t="s">
        <v>30</v>
      </c>
      <c r="L3766" s="62"/>
      <c r="M3766" s="14"/>
      <c r="N3766" s="14" t="s">
        <v>198</v>
      </c>
      <c r="O3766" s="14"/>
      <c r="P3766" s="15" t="s">
        <v>47</v>
      </c>
      <c r="Q3766" s="16">
        <v>4699</v>
      </c>
      <c r="R3766" s="17">
        <v>40</v>
      </c>
      <c r="S3766" s="18">
        <v>3242.31</v>
      </c>
      <c r="T3766" s="19" t="s">
        <v>36</v>
      </c>
      <c r="U3766" s="20" t="s">
        <v>88</v>
      </c>
      <c r="V3766" s="21" t="s">
        <v>89</v>
      </c>
      <c r="W3766" s="22">
        <v>13</v>
      </c>
      <c r="X3766" s="23"/>
    </row>
    <row r="3767" spans="1:24" s="1" customFormat="1" ht="32" customHeight="1" x14ac:dyDescent="0.3">
      <c r="A3767" s="24" t="s">
        <v>23</v>
      </c>
      <c r="B3767" s="24" t="s">
        <v>3434</v>
      </c>
      <c r="C3767" s="27" t="s">
        <v>3437</v>
      </c>
      <c r="D3767" s="61"/>
      <c r="E3767" s="41" t="str">
        <f>HYPERLINK("https://www.google.ru/search?q=1382797-690&amp;newwindow=1&amp;tbm=isch","Еще фото")</f>
        <v>Еще фото</v>
      </c>
      <c r="F3767" s="13" t="s">
        <v>103</v>
      </c>
      <c r="G3767" s="24" t="s">
        <v>2945</v>
      </c>
      <c r="H3767" s="24" t="s">
        <v>27</v>
      </c>
      <c r="I3767" s="24" t="s">
        <v>2940</v>
      </c>
      <c r="J3767" s="14" t="s">
        <v>29</v>
      </c>
      <c r="K3767" s="15" t="s">
        <v>30</v>
      </c>
      <c r="L3767" s="58"/>
      <c r="M3767" s="14"/>
      <c r="N3767" s="14" t="s">
        <v>198</v>
      </c>
      <c r="O3767" s="14"/>
      <c r="P3767" s="15" t="s">
        <v>47</v>
      </c>
      <c r="Q3767" s="16">
        <v>4699</v>
      </c>
      <c r="R3767" s="17">
        <v>40</v>
      </c>
      <c r="S3767" s="18">
        <v>3242.31</v>
      </c>
      <c r="T3767" s="19" t="s">
        <v>36</v>
      </c>
      <c r="U3767" s="20" t="s">
        <v>90</v>
      </c>
      <c r="V3767" s="21" t="s">
        <v>91</v>
      </c>
      <c r="W3767" s="22">
        <v>7</v>
      </c>
      <c r="X3767" s="23"/>
    </row>
    <row r="3768" spans="1:24" s="1" customFormat="1" ht="52.05" customHeight="1" x14ac:dyDescent="0.3">
      <c r="A3768" s="11" t="s">
        <v>23</v>
      </c>
      <c r="B3768" s="11" t="s">
        <v>3156</v>
      </c>
      <c r="C3768" s="12" t="s">
        <v>3438</v>
      </c>
      <c r="D3768" s="55"/>
      <c r="E3768" s="41" t="str">
        <f>HYPERLINK("https://www.google.ru/search?q=1383244-279&amp;newwindow=1&amp;tbm=isch","Еще фото")</f>
        <v>Еще фото</v>
      </c>
      <c r="F3768" s="13"/>
      <c r="G3768" s="11" t="s">
        <v>2945</v>
      </c>
      <c r="H3768" s="11" t="s">
        <v>27</v>
      </c>
      <c r="I3768" s="14" t="s">
        <v>2940</v>
      </c>
      <c r="J3768" s="14" t="s">
        <v>29</v>
      </c>
      <c r="K3768" s="15" t="s">
        <v>30</v>
      </c>
      <c r="L3768" s="57" t="s">
        <v>3158</v>
      </c>
      <c r="M3768" s="14"/>
      <c r="N3768" s="14" t="s">
        <v>229</v>
      </c>
      <c r="O3768" s="14"/>
      <c r="P3768" s="15" t="s">
        <v>1008</v>
      </c>
      <c r="Q3768" s="16">
        <v>9199</v>
      </c>
      <c r="R3768" s="17">
        <v>40</v>
      </c>
      <c r="S3768" s="18">
        <v>6347.3099999999995</v>
      </c>
      <c r="T3768" s="19" t="s">
        <v>36</v>
      </c>
      <c r="U3768" s="20" t="s">
        <v>37</v>
      </c>
      <c r="V3768" s="21" t="s">
        <v>38</v>
      </c>
      <c r="W3768" s="22">
        <v>2</v>
      </c>
      <c r="X3768" s="23"/>
    </row>
    <row r="3769" spans="1:24" s="1" customFormat="1" ht="61.05" customHeight="1" x14ac:dyDescent="0.3">
      <c r="A3769" s="24" t="s">
        <v>23</v>
      </c>
      <c r="B3769" s="24" t="s">
        <v>3156</v>
      </c>
      <c r="C3769" s="12" t="s">
        <v>3438</v>
      </c>
      <c r="D3769" s="56"/>
      <c r="E3769" s="41" t="str">
        <f>HYPERLINK("https://www.google.ru/search?q=1383244-279&amp;newwindow=1&amp;tbm=isch","Еще фото")</f>
        <v>Еще фото</v>
      </c>
      <c r="F3769" s="13"/>
      <c r="G3769" s="24" t="s">
        <v>2945</v>
      </c>
      <c r="H3769" s="24" t="s">
        <v>27</v>
      </c>
      <c r="I3769" s="24" t="s">
        <v>2940</v>
      </c>
      <c r="J3769" s="14" t="s">
        <v>29</v>
      </c>
      <c r="K3769" s="15" t="s">
        <v>30</v>
      </c>
      <c r="L3769" s="58"/>
      <c r="M3769" s="14"/>
      <c r="N3769" s="14" t="s">
        <v>229</v>
      </c>
      <c r="O3769" s="14"/>
      <c r="P3769" s="15" t="s">
        <v>1008</v>
      </c>
      <c r="Q3769" s="16">
        <v>9199</v>
      </c>
      <c r="R3769" s="17">
        <v>40</v>
      </c>
      <c r="S3769" s="18">
        <v>6347.3099999999995</v>
      </c>
      <c r="T3769" s="19" t="s">
        <v>36</v>
      </c>
      <c r="U3769" s="20" t="s">
        <v>39</v>
      </c>
      <c r="V3769" s="21" t="s">
        <v>40</v>
      </c>
      <c r="W3769" s="22">
        <v>3</v>
      </c>
      <c r="X3769" s="23"/>
    </row>
    <row r="3770" spans="1:24" s="1" customFormat="1" ht="52.05" customHeight="1" x14ac:dyDescent="0.3">
      <c r="A3770" s="11" t="s">
        <v>23</v>
      </c>
      <c r="B3770" s="11" t="s">
        <v>3439</v>
      </c>
      <c r="C3770" s="12" t="s">
        <v>3440</v>
      </c>
      <c r="D3770" s="55"/>
      <c r="E3770" s="41" t="str">
        <f>HYPERLINK("https://www.google.ru/search?q=1383358-246&amp;newwindow=1&amp;tbm=isch","Еще фото")</f>
        <v>Еще фото</v>
      </c>
      <c r="F3770" s="13"/>
      <c r="G3770" s="11" t="s">
        <v>2966</v>
      </c>
      <c r="H3770" s="11" t="s">
        <v>27</v>
      </c>
      <c r="I3770" s="14" t="s">
        <v>2940</v>
      </c>
      <c r="J3770" s="14" t="s">
        <v>29</v>
      </c>
      <c r="K3770" s="15" t="s">
        <v>59</v>
      </c>
      <c r="L3770" s="57" t="s">
        <v>3441</v>
      </c>
      <c r="M3770" s="14" t="s">
        <v>32</v>
      </c>
      <c r="N3770" s="14" t="s">
        <v>332</v>
      </c>
      <c r="O3770" s="14"/>
      <c r="P3770" s="15" t="s">
        <v>248</v>
      </c>
      <c r="Q3770" s="16">
        <v>16099</v>
      </c>
      <c r="R3770" s="17">
        <v>40</v>
      </c>
      <c r="S3770" s="18">
        <v>11108.31</v>
      </c>
      <c r="T3770" s="19" t="s">
        <v>36</v>
      </c>
      <c r="U3770" s="20" t="s">
        <v>63</v>
      </c>
      <c r="V3770" s="21" t="s">
        <v>64</v>
      </c>
      <c r="W3770" s="22">
        <v>5</v>
      </c>
      <c r="X3770" s="23"/>
    </row>
    <row r="3771" spans="1:24" s="1" customFormat="1" ht="61.05" customHeight="1" x14ac:dyDescent="0.3">
      <c r="A3771" s="24" t="s">
        <v>23</v>
      </c>
      <c r="B3771" s="24" t="s">
        <v>3439</v>
      </c>
      <c r="C3771" s="12" t="s">
        <v>3440</v>
      </c>
      <c r="D3771" s="56"/>
      <c r="E3771" s="41" t="str">
        <f>HYPERLINK("https://www.google.ru/search?q=1383358-246&amp;newwindow=1&amp;tbm=isch","Еще фото")</f>
        <v>Еще фото</v>
      </c>
      <c r="F3771" s="13"/>
      <c r="G3771" s="24" t="s">
        <v>2966</v>
      </c>
      <c r="H3771" s="24" t="s">
        <v>27</v>
      </c>
      <c r="I3771" s="24" t="s">
        <v>2940</v>
      </c>
      <c r="J3771" s="14" t="s">
        <v>29</v>
      </c>
      <c r="K3771" s="15" t="s">
        <v>59</v>
      </c>
      <c r="L3771" s="58"/>
      <c r="M3771" s="14" t="s">
        <v>32</v>
      </c>
      <c r="N3771" s="14" t="s">
        <v>332</v>
      </c>
      <c r="O3771" s="14"/>
      <c r="P3771" s="15" t="s">
        <v>248</v>
      </c>
      <c r="Q3771" s="16">
        <v>16099</v>
      </c>
      <c r="R3771" s="17">
        <v>40</v>
      </c>
      <c r="S3771" s="18">
        <v>11108.31</v>
      </c>
      <c r="T3771" s="19" t="s">
        <v>36</v>
      </c>
      <c r="U3771" s="20" t="s">
        <v>37</v>
      </c>
      <c r="V3771" s="21" t="s">
        <v>106</v>
      </c>
      <c r="W3771" s="22">
        <v>2</v>
      </c>
      <c r="X3771" s="23"/>
    </row>
    <row r="3772" spans="1:24" s="1" customFormat="1" ht="108" customHeight="1" x14ac:dyDescent="0.3">
      <c r="A3772" s="11" t="s">
        <v>23</v>
      </c>
      <c r="B3772" s="11" t="s">
        <v>3442</v>
      </c>
      <c r="C3772" s="12" t="s">
        <v>3443</v>
      </c>
      <c r="D3772" s="25"/>
      <c r="E3772" s="41" t="str">
        <f>HYPERLINK("https://www.google.ru/search?q=1383598-273&amp;newwindow=1&amp;tbm=isch","Еще фото")</f>
        <v>Еще фото</v>
      </c>
      <c r="F3772" s="13"/>
      <c r="G3772" s="11" t="s">
        <v>2939</v>
      </c>
      <c r="H3772" s="11" t="s">
        <v>27</v>
      </c>
      <c r="I3772" s="14" t="s">
        <v>2940</v>
      </c>
      <c r="J3772" s="14" t="s">
        <v>29</v>
      </c>
      <c r="K3772" s="15" t="s">
        <v>30</v>
      </c>
      <c r="L3772" s="14" t="s">
        <v>3444</v>
      </c>
      <c r="M3772" s="14"/>
      <c r="N3772" s="14" t="s">
        <v>229</v>
      </c>
      <c r="O3772" s="14"/>
      <c r="P3772" s="15" t="s">
        <v>302</v>
      </c>
      <c r="Q3772" s="16">
        <v>17999</v>
      </c>
      <c r="R3772" s="17">
        <v>40</v>
      </c>
      <c r="S3772" s="18">
        <v>12419.31</v>
      </c>
      <c r="T3772" s="19" t="s">
        <v>36</v>
      </c>
      <c r="U3772" s="20" t="s">
        <v>39</v>
      </c>
      <c r="V3772" s="21" t="s">
        <v>40</v>
      </c>
      <c r="W3772" s="22">
        <v>1</v>
      </c>
      <c r="X3772" s="23"/>
    </row>
    <row r="3773" spans="1:24" s="1" customFormat="1" ht="35" customHeight="1" x14ac:dyDescent="0.3">
      <c r="A3773" s="11" t="s">
        <v>23</v>
      </c>
      <c r="B3773" s="11" t="s">
        <v>3181</v>
      </c>
      <c r="C3773" s="12" t="s">
        <v>3445</v>
      </c>
      <c r="D3773" s="59"/>
      <c r="E3773" s="41" t="str">
        <f>HYPERLINK("https://www.google.ru/search?q=1384225-601&amp;newwindow=1&amp;tbm=isch","Еще фото")</f>
        <v>Еще фото</v>
      </c>
      <c r="F3773" s="13"/>
      <c r="G3773" s="11" t="s">
        <v>2945</v>
      </c>
      <c r="H3773" s="11" t="s">
        <v>27</v>
      </c>
      <c r="I3773" s="14" t="s">
        <v>2940</v>
      </c>
      <c r="J3773" s="14" t="s">
        <v>29</v>
      </c>
      <c r="K3773" s="15" t="s">
        <v>59</v>
      </c>
      <c r="L3773" s="57" t="s">
        <v>3183</v>
      </c>
      <c r="M3773" s="14"/>
      <c r="N3773" s="14" t="s">
        <v>69</v>
      </c>
      <c r="O3773" s="14"/>
      <c r="P3773" s="15" t="s">
        <v>47</v>
      </c>
      <c r="Q3773" s="16">
        <v>4399</v>
      </c>
      <c r="R3773" s="17">
        <v>40</v>
      </c>
      <c r="S3773" s="18">
        <v>3035.31</v>
      </c>
      <c r="T3773" s="19" t="s">
        <v>36</v>
      </c>
      <c r="U3773" s="20" t="s">
        <v>37</v>
      </c>
      <c r="V3773" s="21" t="s">
        <v>106</v>
      </c>
      <c r="W3773" s="22">
        <v>5</v>
      </c>
      <c r="X3773" s="23"/>
    </row>
    <row r="3774" spans="1:24" s="1" customFormat="1" ht="35" customHeight="1" x14ac:dyDescent="0.3">
      <c r="A3774" s="24" t="s">
        <v>23</v>
      </c>
      <c r="B3774" s="24" t="s">
        <v>3181</v>
      </c>
      <c r="C3774" s="12" t="s">
        <v>3445</v>
      </c>
      <c r="D3774" s="60"/>
      <c r="E3774" s="41" t="str">
        <f>HYPERLINK("https://www.google.ru/search?q=1384225-601&amp;newwindow=1&amp;tbm=isch","Еще фото")</f>
        <v>Еще фото</v>
      </c>
      <c r="F3774" s="13"/>
      <c r="G3774" s="24" t="s">
        <v>2945</v>
      </c>
      <c r="H3774" s="24" t="s">
        <v>27</v>
      </c>
      <c r="I3774" s="24" t="s">
        <v>2940</v>
      </c>
      <c r="J3774" s="14" t="s">
        <v>29</v>
      </c>
      <c r="K3774" s="15" t="s">
        <v>59</v>
      </c>
      <c r="L3774" s="62"/>
      <c r="M3774" s="14"/>
      <c r="N3774" s="14" t="s">
        <v>69</v>
      </c>
      <c r="O3774" s="14"/>
      <c r="P3774" s="15" t="s">
        <v>47</v>
      </c>
      <c r="Q3774" s="16">
        <v>4399</v>
      </c>
      <c r="R3774" s="17">
        <v>40</v>
      </c>
      <c r="S3774" s="18">
        <v>3035.31</v>
      </c>
      <c r="T3774" s="19" t="s">
        <v>36</v>
      </c>
      <c r="U3774" s="20" t="s">
        <v>39</v>
      </c>
      <c r="V3774" s="21" t="s">
        <v>85</v>
      </c>
      <c r="W3774" s="22">
        <v>13</v>
      </c>
      <c r="X3774" s="23"/>
    </row>
    <row r="3775" spans="1:24" s="1" customFormat="1" ht="37.049999999999997" customHeight="1" x14ac:dyDescent="0.3">
      <c r="A3775" s="24" t="s">
        <v>23</v>
      </c>
      <c r="B3775" s="24" t="s">
        <v>3181</v>
      </c>
      <c r="C3775" s="12" t="s">
        <v>3445</v>
      </c>
      <c r="D3775" s="61"/>
      <c r="E3775" s="41" t="str">
        <f>HYPERLINK("https://www.google.ru/search?q=1384225-601&amp;newwindow=1&amp;tbm=isch","Еще фото")</f>
        <v>Еще фото</v>
      </c>
      <c r="F3775" s="13"/>
      <c r="G3775" s="24" t="s">
        <v>2945</v>
      </c>
      <c r="H3775" s="24" t="s">
        <v>27</v>
      </c>
      <c r="I3775" s="24" t="s">
        <v>2940</v>
      </c>
      <c r="J3775" s="14" t="s">
        <v>29</v>
      </c>
      <c r="K3775" s="15" t="s">
        <v>59</v>
      </c>
      <c r="L3775" s="58"/>
      <c r="M3775" s="14"/>
      <c r="N3775" s="14" t="s">
        <v>69</v>
      </c>
      <c r="O3775" s="14"/>
      <c r="P3775" s="15" t="s">
        <v>47</v>
      </c>
      <c r="Q3775" s="16">
        <v>4399</v>
      </c>
      <c r="R3775" s="17">
        <v>40</v>
      </c>
      <c r="S3775" s="18">
        <v>3035.31</v>
      </c>
      <c r="T3775" s="19" t="s">
        <v>36</v>
      </c>
      <c r="U3775" s="20" t="s">
        <v>86</v>
      </c>
      <c r="V3775" s="21" t="s">
        <v>38</v>
      </c>
      <c r="W3775" s="22">
        <v>6</v>
      </c>
      <c r="X3775" s="23"/>
    </row>
    <row r="3776" spans="1:24" s="1" customFormat="1" ht="52.05" customHeight="1" x14ac:dyDescent="0.3">
      <c r="A3776" s="11" t="s">
        <v>23</v>
      </c>
      <c r="B3776" s="11" t="s">
        <v>3446</v>
      </c>
      <c r="C3776" s="12" t="s">
        <v>3447</v>
      </c>
      <c r="D3776" s="55"/>
      <c r="E3776" s="41" t="str">
        <f>HYPERLINK("https://www.google.ru/search?q=1386463-011&amp;newwindow=1&amp;tbm=isch","Еще фото")</f>
        <v>Еще фото</v>
      </c>
      <c r="F3776" s="13"/>
      <c r="G3776" s="11" t="s">
        <v>2945</v>
      </c>
      <c r="H3776" s="11" t="s">
        <v>27</v>
      </c>
      <c r="I3776" s="14" t="s">
        <v>2940</v>
      </c>
      <c r="J3776" s="14" t="s">
        <v>29</v>
      </c>
      <c r="K3776" s="15" t="s">
        <v>59</v>
      </c>
      <c r="L3776" s="57" t="s">
        <v>3448</v>
      </c>
      <c r="M3776" s="14"/>
      <c r="N3776" s="14" t="s">
        <v>62</v>
      </c>
      <c r="O3776" s="14"/>
      <c r="P3776" s="15" t="s">
        <v>120</v>
      </c>
      <c r="Q3776" s="16">
        <v>6099</v>
      </c>
      <c r="R3776" s="17">
        <v>40</v>
      </c>
      <c r="S3776" s="18">
        <v>4208.3099999999995</v>
      </c>
      <c r="T3776" s="19" t="s">
        <v>36</v>
      </c>
      <c r="U3776" s="20" t="s">
        <v>63</v>
      </c>
      <c r="V3776" s="21" t="s">
        <v>64</v>
      </c>
      <c r="W3776" s="22">
        <v>1</v>
      </c>
      <c r="X3776" s="23"/>
    </row>
    <row r="3777" spans="1:24" s="1" customFormat="1" ht="61.05" customHeight="1" x14ac:dyDescent="0.3">
      <c r="A3777" s="24" t="s">
        <v>23</v>
      </c>
      <c r="B3777" s="24" t="s">
        <v>3446</v>
      </c>
      <c r="C3777" s="12" t="s">
        <v>3447</v>
      </c>
      <c r="D3777" s="56"/>
      <c r="E3777" s="41" t="str">
        <f>HYPERLINK("https://www.google.ru/search?q=1386463-011&amp;newwindow=1&amp;tbm=isch","Еще фото")</f>
        <v>Еще фото</v>
      </c>
      <c r="F3777" s="13"/>
      <c r="G3777" s="24" t="s">
        <v>2945</v>
      </c>
      <c r="H3777" s="24" t="s">
        <v>27</v>
      </c>
      <c r="I3777" s="24" t="s">
        <v>2940</v>
      </c>
      <c r="J3777" s="14" t="s">
        <v>29</v>
      </c>
      <c r="K3777" s="15" t="s">
        <v>59</v>
      </c>
      <c r="L3777" s="58"/>
      <c r="M3777" s="14"/>
      <c r="N3777" s="14" t="s">
        <v>62</v>
      </c>
      <c r="O3777" s="14"/>
      <c r="P3777" s="15" t="s">
        <v>120</v>
      </c>
      <c r="Q3777" s="16">
        <v>6099</v>
      </c>
      <c r="R3777" s="17">
        <v>40</v>
      </c>
      <c r="S3777" s="18">
        <v>4208.3099999999995</v>
      </c>
      <c r="T3777" s="19" t="s">
        <v>36</v>
      </c>
      <c r="U3777" s="20" t="s">
        <v>39</v>
      </c>
      <c r="V3777" s="21" t="s">
        <v>85</v>
      </c>
      <c r="W3777" s="22">
        <v>2</v>
      </c>
      <c r="X3777" s="23"/>
    </row>
    <row r="3778" spans="1:24" s="1" customFormat="1" ht="52.05" customHeight="1" x14ac:dyDescent="0.3">
      <c r="A3778" s="11" t="s">
        <v>23</v>
      </c>
      <c r="B3778" s="11" t="s">
        <v>3449</v>
      </c>
      <c r="C3778" s="12" t="s">
        <v>3450</v>
      </c>
      <c r="D3778" s="55"/>
      <c r="E3778" s="41" t="str">
        <f>HYPERLINK("https://www.google.ru/search?q=1386900-709&amp;newwindow=1&amp;tbm=isch","Еще фото")</f>
        <v>Еще фото</v>
      </c>
      <c r="F3778" s="13"/>
      <c r="G3778" s="11" t="s">
        <v>3060</v>
      </c>
      <c r="H3778" s="11" t="s">
        <v>27</v>
      </c>
      <c r="I3778" s="14" t="s">
        <v>2940</v>
      </c>
      <c r="J3778" s="14" t="s">
        <v>29</v>
      </c>
      <c r="K3778" s="15" t="s">
        <v>30</v>
      </c>
      <c r="L3778" s="57" t="s">
        <v>3451</v>
      </c>
      <c r="M3778" s="14"/>
      <c r="N3778" s="14" t="s">
        <v>62</v>
      </c>
      <c r="O3778" s="14"/>
      <c r="P3778" s="15" t="s">
        <v>302</v>
      </c>
      <c r="Q3778" s="16">
        <v>16299</v>
      </c>
      <c r="R3778" s="17">
        <v>40</v>
      </c>
      <c r="S3778" s="18">
        <v>11246.31</v>
      </c>
      <c r="T3778" s="19" t="s">
        <v>36</v>
      </c>
      <c r="U3778" s="20" t="s">
        <v>37</v>
      </c>
      <c r="V3778" s="21" t="s">
        <v>38</v>
      </c>
      <c r="W3778" s="22">
        <v>1</v>
      </c>
      <c r="X3778" s="23"/>
    </row>
    <row r="3779" spans="1:24" s="1" customFormat="1" ht="61.05" customHeight="1" x14ac:dyDescent="0.3">
      <c r="A3779" s="24" t="s">
        <v>23</v>
      </c>
      <c r="B3779" s="24" t="s">
        <v>3449</v>
      </c>
      <c r="C3779" s="12" t="s">
        <v>3450</v>
      </c>
      <c r="D3779" s="56"/>
      <c r="E3779" s="41" t="str">
        <f>HYPERLINK("https://www.google.ru/search?q=1386900-709&amp;newwindow=1&amp;tbm=isch","Еще фото")</f>
        <v>Еще фото</v>
      </c>
      <c r="F3779" s="13"/>
      <c r="G3779" s="24" t="s">
        <v>3060</v>
      </c>
      <c r="H3779" s="24" t="s">
        <v>27</v>
      </c>
      <c r="I3779" s="24" t="s">
        <v>2940</v>
      </c>
      <c r="J3779" s="14" t="s">
        <v>29</v>
      </c>
      <c r="K3779" s="15" t="s">
        <v>30</v>
      </c>
      <c r="L3779" s="58"/>
      <c r="M3779" s="14"/>
      <c r="N3779" s="14" t="s">
        <v>62</v>
      </c>
      <c r="O3779" s="14"/>
      <c r="P3779" s="15" t="s">
        <v>302</v>
      </c>
      <c r="Q3779" s="16">
        <v>16299</v>
      </c>
      <c r="R3779" s="17">
        <v>40</v>
      </c>
      <c r="S3779" s="18">
        <v>11246.31</v>
      </c>
      <c r="T3779" s="19" t="s">
        <v>36</v>
      </c>
      <c r="U3779" s="20" t="s">
        <v>39</v>
      </c>
      <c r="V3779" s="21" t="s">
        <v>40</v>
      </c>
      <c r="W3779" s="22">
        <v>2</v>
      </c>
      <c r="X3779" s="23"/>
    </row>
    <row r="3780" spans="1:24" s="1" customFormat="1" ht="108" customHeight="1" x14ac:dyDescent="0.3">
      <c r="A3780" s="11" t="s">
        <v>23</v>
      </c>
      <c r="B3780" s="11" t="s">
        <v>3452</v>
      </c>
      <c r="C3780" s="12" t="s">
        <v>3453</v>
      </c>
      <c r="D3780" s="25"/>
      <c r="E3780" s="41" t="str">
        <f>HYPERLINK("https://www.google.ru/search?q=1387025-015&amp;newwindow=1&amp;tbm=isch","Еще фото")</f>
        <v>Еще фото</v>
      </c>
      <c r="F3780" s="13"/>
      <c r="G3780" s="11" t="s">
        <v>855</v>
      </c>
      <c r="H3780" s="11" t="s">
        <v>27</v>
      </c>
      <c r="I3780" s="14" t="s">
        <v>2940</v>
      </c>
      <c r="J3780" s="14" t="s">
        <v>29</v>
      </c>
      <c r="K3780" s="15" t="s">
        <v>59</v>
      </c>
      <c r="L3780" s="14" t="s">
        <v>3454</v>
      </c>
      <c r="M3780" s="14"/>
      <c r="N3780" s="14" t="s">
        <v>62</v>
      </c>
      <c r="O3780" s="14"/>
      <c r="P3780" s="15" t="s">
        <v>47</v>
      </c>
      <c r="Q3780" s="16">
        <v>8999</v>
      </c>
      <c r="R3780" s="17">
        <v>40</v>
      </c>
      <c r="S3780" s="18">
        <v>6209.3099999999995</v>
      </c>
      <c r="T3780" s="19" t="s">
        <v>36</v>
      </c>
      <c r="U3780" s="20" t="s">
        <v>39</v>
      </c>
      <c r="V3780" s="21" t="s">
        <v>85</v>
      </c>
      <c r="W3780" s="22">
        <v>1</v>
      </c>
      <c r="X3780" s="23"/>
    </row>
    <row r="3781" spans="1:24" s="1" customFormat="1" ht="52.05" customHeight="1" x14ac:dyDescent="0.3">
      <c r="A3781" s="11" t="s">
        <v>23</v>
      </c>
      <c r="B3781" s="11" t="s">
        <v>3455</v>
      </c>
      <c r="C3781" s="12" t="s">
        <v>3456</v>
      </c>
      <c r="D3781" s="55"/>
      <c r="E3781" s="41" t="str">
        <f>HYPERLINK("https://www.google.ru/search?q=1387119-015&amp;newwindow=1&amp;tbm=isch","Еще фото")</f>
        <v>Еще фото</v>
      </c>
      <c r="F3781" s="13"/>
      <c r="G3781" s="11" t="s">
        <v>2966</v>
      </c>
      <c r="H3781" s="11" t="s">
        <v>27</v>
      </c>
      <c r="I3781" s="14" t="s">
        <v>2940</v>
      </c>
      <c r="J3781" s="14" t="s">
        <v>211</v>
      </c>
      <c r="K3781" s="15" t="s">
        <v>30</v>
      </c>
      <c r="L3781" s="57" t="s">
        <v>3457</v>
      </c>
      <c r="M3781" s="14" t="s">
        <v>3458</v>
      </c>
      <c r="N3781" s="14" t="s">
        <v>62</v>
      </c>
      <c r="O3781" s="14"/>
      <c r="P3781" s="15" t="s">
        <v>53</v>
      </c>
      <c r="Q3781" s="16">
        <v>10099</v>
      </c>
      <c r="R3781" s="17">
        <v>40</v>
      </c>
      <c r="S3781" s="18">
        <v>6968.3099999999995</v>
      </c>
      <c r="T3781" s="19" t="s">
        <v>36</v>
      </c>
      <c r="U3781" s="20" t="s">
        <v>39</v>
      </c>
      <c r="V3781" s="21" t="s">
        <v>40</v>
      </c>
      <c r="W3781" s="22">
        <v>1</v>
      </c>
      <c r="X3781" s="23"/>
    </row>
    <row r="3782" spans="1:24" s="1" customFormat="1" ht="61.05" customHeight="1" x14ac:dyDescent="0.3">
      <c r="A3782" s="24" t="s">
        <v>23</v>
      </c>
      <c r="B3782" s="24" t="s">
        <v>3455</v>
      </c>
      <c r="C3782" s="12" t="s">
        <v>3456</v>
      </c>
      <c r="D3782" s="56"/>
      <c r="E3782" s="41" t="str">
        <f>HYPERLINK("https://www.google.ru/search?q=1387119-015&amp;newwindow=1&amp;tbm=isch","Еще фото")</f>
        <v>Еще фото</v>
      </c>
      <c r="F3782" s="13"/>
      <c r="G3782" s="24" t="s">
        <v>2966</v>
      </c>
      <c r="H3782" s="24" t="s">
        <v>27</v>
      </c>
      <c r="I3782" s="24" t="s">
        <v>2940</v>
      </c>
      <c r="J3782" s="14" t="s">
        <v>211</v>
      </c>
      <c r="K3782" s="15" t="s">
        <v>30</v>
      </c>
      <c r="L3782" s="58"/>
      <c r="M3782" s="14" t="s">
        <v>3458</v>
      </c>
      <c r="N3782" s="14" t="s">
        <v>62</v>
      </c>
      <c r="O3782" s="14"/>
      <c r="P3782" s="15" t="s">
        <v>53</v>
      </c>
      <c r="Q3782" s="16">
        <v>10099</v>
      </c>
      <c r="R3782" s="17">
        <v>40</v>
      </c>
      <c r="S3782" s="18">
        <v>6968.3099999999995</v>
      </c>
      <c r="T3782" s="19" t="s">
        <v>36</v>
      </c>
      <c r="U3782" s="20" t="s">
        <v>88</v>
      </c>
      <c r="V3782" s="21" t="s">
        <v>89</v>
      </c>
      <c r="W3782" s="22">
        <v>1</v>
      </c>
      <c r="X3782" s="23"/>
    </row>
    <row r="3783" spans="1:24" s="1" customFormat="1" ht="21" customHeight="1" x14ac:dyDescent="0.3">
      <c r="A3783" s="11" t="s">
        <v>23</v>
      </c>
      <c r="B3783" s="11" t="s">
        <v>3459</v>
      </c>
      <c r="C3783" s="26" t="s">
        <v>3460</v>
      </c>
      <c r="D3783" s="59"/>
      <c r="E3783" s="41" t="str">
        <f>HYPERLINK("https://www.google.ru/search?q=1387124-001&amp;newwindow=1&amp;tbm=isch","Еще фото")</f>
        <v>Еще фото</v>
      </c>
      <c r="F3783" s="13" t="s">
        <v>103</v>
      </c>
      <c r="G3783" s="11" t="s">
        <v>2945</v>
      </c>
      <c r="H3783" s="11" t="s">
        <v>27</v>
      </c>
      <c r="I3783" s="14" t="s">
        <v>2940</v>
      </c>
      <c r="J3783" s="14" t="s">
        <v>211</v>
      </c>
      <c r="K3783" s="15" t="s">
        <v>30</v>
      </c>
      <c r="L3783" s="57" t="s">
        <v>3461</v>
      </c>
      <c r="M3783" s="14"/>
      <c r="N3783" s="14" t="s">
        <v>33</v>
      </c>
      <c r="O3783" s="14"/>
      <c r="P3783" s="15" t="s">
        <v>3462</v>
      </c>
      <c r="Q3783" s="16">
        <v>8599</v>
      </c>
      <c r="R3783" s="17">
        <v>40</v>
      </c>
      <c r="S3783" s="18">
        <v>5933.3099999999995</v>
      </c>
      <c r="T3783" s="19" t="s">
        <v>36</v>
      </c>
      <c r="U3783" s="20" t="s">
        <v>37</v>
      </c>
      <c r="V3783" s="21" t="s">
        <v>38</v>
      </c>
      <c r="W3783" s="22">
        <v>16</v>
      </c>
      <c r="X3783" s="23"/>
    </row>
    <row r="3784" spans="1:24" s="1" customFormat="1" ht="21" customHeight="1" x14ac:dyDescent="0.3">
      <c r="A3784" s="24" t="s">
        <v>23</v>
      </c>
      <c r="B3784" s="24" t="s">
        <v>3459</v>
      </c>
      <c r="C3784" s="27" t="s">
        <v>3460</v>
      </c>
      <c r="D3784" s="60"/>
      <c r="E3784" s="41" t="str">
        <f>HYPERLINK("https://www.google.ru/search?q=1387124-001&amp;newwindow=1&amp;tbm=isch","Еще фото")</f>
        <v>Еще фото</v>
      </c>
      <c r="F3784" s="13" t="s">
        <v>103</v>
      </c>
      <c r="G3784" s="24" t="s">
        <v>2945</v>
      </c>
      <c r="H3784" s="24" t="s">
        <v>27</v>
      </c>
      <c r="I3784" s="24" t="s">
        <v>2940</v>
      </c>
      <c r="J3784" s="14" t="s">
        <v>211</v>
      </c>
      <c r="K3784" s="15" t="s">
        <v>30</v>
      </c>
      <c r="L3784" s="62"/>
      <c r="M3784" s="14"/>
      <c r="N3784" s="14" t="s">
        <v>33</v>
      </c>
      <c r="O3784" s="14"/>
      <c r="P3784" s="15" t="s">
        <v>3462</v>
      </c>
      <c r="Q3784" s="16">
        <v>8599</v>
      </c>
      <c r="R3784" s="17">
        <v>40</v>
      </c>
      <c r="S3784" s="18">
        <v>5933.3099999999995</v>
      </c>
      <c r="T3784" s="19" t="s">
        <v>36</v>
      </c>
      <c r="U3784" s="20" t="s">
        <v>39</v>
      </c>
      <c r="V3784" s="21" t="s">
        <v>40</v>
      </c>
      <c r="W3784" s="22">
        <v>27</v>
      </c>
      <c r="X3784" s="23"/>
    </row>
    <row r="3785" spans="1:24" s="1" customFormat="1" ht="21" customHeight="1" x14ac:dyDescent="0.3">
      <c r="A3785" s="24" t="s">
        <v>23</v>
      </c>
      <c r="B3785" s="24" t="s">
        <v>3459</v>
      </c>
      <c r="C3785" s="27" t="s">
        <v>3460</v>
      </c>
      <c r="D3785" s="60"/>
      <c r="E3785" s="41" t="str">
        <f>HYPERLINK("https://www.google.ru/search?q=1387124-001&amp;newwindow=1&amp;tbm=isch","Еще фото")</f>
        <v>Еще фото</v>
      </c>
      <c r="F3785" s="13" t="s">
        <v>103</v>
      </c>
      <c r="G3785" s="24" t="s">
        <v>2945</v>
      </c>
      <c r="H3785" s="24" t="s">
        <v>27</v>
      </c>
      <c r="I3785" s="24" t="s">
        <v>2940</v>
      </c>
      <c r="J3785" s="14" t="s">
        <v>211</v>
      </c>
      <c r="K3785" s="15" t="s">
        <v>30</v>
      </c>
      <c r="L3785" s="62"/>
      <c r="M3785" s="14"/>
      <c r="N3785" s="14" t="s">
        <v>33</v>
      </c>
      <c r="O3785" s="14"/>
      <c r="P3785" s="15" t="s">
        <v>3462</v>
      </c>
      <c r="Q3785" s="16">
        <v>8599</v>
      </c>
      <c r="R3785" s="17">
        <v>40</v>
      </c>
      <c r="S3785" s="18">
        <v>5933.3099999999995</v>
      </c>
      <c r="T3785" s="19" t="s">
        <v>36</v>
      </c>
      <c r="U3785" s="20" t="s">
        <v>86</v>
      </c>
      <c r="V3785" s="21" t="s">
        <v>87</v>
      </c>
      <c r="W3785" s="22">
        <v>27</v>
      </c>
      <c r="X3785" s="23"/>
    </row>
    <row r="3786" spans="1:24" s="1" customFormat="1" ht="21" customHeight="1" x14ac:dyDescent="0.3">
      <c r="A3786" s="24" t="s">
        <v>23</v>
      </c>
      <c r="B3786" s="24" t="s">
        <v>3459</v>
      </c>
      <c r="C3786" s="27" t="s">
        <v>3460</v>
      </c>
      <c r="D3786" s="60"/>
      <c r="E3786" s="41" t="str">
        <f>HYPERLINK("https://www.google.ru/search?q=1387124-001&amp;newwindow=1&amp;tbm=isch","Еще фото")</f>
        <v>Еще фото</v>
      </c>
      <c r="F3786" s="13" t="s">
        <v>103</v>
      </c>
      <c r="G3786" s="24" t="s">
        <v>2945</v>
      </c>
      <c r="H3786" s="24" t="s">
        <v>27</v>
      </c>
      <c r="I3786" s="24" t="s">
        <v>2940</v>
      </c>
      <c r="J3786" s="14" t="s">
        <v>211</v>
      </c>
      <c r="K3786" s="15" t="s">
        <v>30</v>
      </c>
      <c r="L3786" s="62"/>
      <c r="M3786" s="14"/>
      <c r="N3786" s="14" t="s">
        <v>33</v>
      </c>
      <c r="O3786" s="14"/>
      <c r="P3786" s="15" t="s">
        <v>3462</v>
      </c>
      <c r="Q3786" s="16">
        <v>8599</v>
      </c>
      <c r="R3786" s="17">
        <v>40</v>
      </c>
      <c r="S3786" s="18">
        <v>5933.3099999999995</v>
      </c>
      <c r="T3786" s="19" t="s">
        <v>36</v>
      </c>
      <c r="U3786" s="20" t="s">
        <v>88</v>
      </c>
      <c r="V3786" s="21" t="s">
        <v>89</v>
      </c>
      <c r="W3786" s="22">
        <v>14</v>
      </c>
      <c r="X3786" s="23"/>
    </row>
    <row r="3787" spans="1:24" s="1" customFormat="1" ht="32" customHeight="1" x14ac:dyDescent="0.3">
      <c r="A3787" s="24" t="s">
        <v>23</v>
      </c>
      <c r="B3787" s="24" t="s">
        <v>3459</v>
      </c>
      <c r="C3787" s="27" t="s">
        <v>3460</v>
      </c>
      <c r="D3787" s="61"/>
      <c r="E3787" s="41" t="str">
        <f>HYPERLINK("https://www.google.ru/search?q=1387124-001&amp;newwindow=1&amp;tbm=isch","Еще фото")</f>
        <v>Еще фото</v>
      </c>
      <c r="F3787" s="13" t="s">
        <v>103</v>
      </c>
      <c r="G3787" s="24" t="s">
        <v>2945</v>
      </c>
      <c r="H3787" s="24" t="s">
        <v>27</v>
      </c>
      <c r="I3787" s="24" t="s">
        <v>2940</v>
      </c>
      <c r="J3787" s="14" t="s">
        <v>211</v>
      </c>
      <c r="K3787" s="15" t="s">
        <v>30</v>
      </c>
      <c r="L3787" s="58"/>
      <c r="M3787" s="14"/>
      <c r="N3787" s="14" t="s">
        <v>33</v>
      </c>
      <c r="O3787" s="14"/>
      <c r="P3787" s="15" t="s">
        <v>3462</v>
      </c>
      <c r="Q3787" s="16">
        <v>8599</v>
      </c>
      <c r="R3787" s="17">
        <v>40</v>
      </c>
      <c r="S3787" s="18">
        <v>5933.3099999999995</v>
      </c>
      <c r="T3787" s="19" t="s">
        <v>36</v>
      </c>
      <c r="U3787" s="20" t="s">
        <v>90</v>
      </c>
      <c r="V3787" s="21" t="s">
        <v>91</v>
      </c>
      <c r="W3787" s="22">
        <v>10</v>
      </c>
      <c r="X3787" s="23"/>
    </row>
    <row r="3788" spans="1:24" s="1" customFormat="1" ht="108" customHeight="1" x14ac:dyDescent="0.3">
      <c r="A3788" s="11" t="s">
        <v>23</v>
      </c>
      <c r="B3788" s="11" t="s">
        <v>3463</v>
      </c>
      <c r="C3788" s="12" t="s">
        <v>3464</v>
      </c>
      <c r="D3788" s="25"/>
      <c r="E3788" s="41" t="str">
        <f>HYPERLINK("https://www.google.ru/search?q=1387694-002&amp;newwindow=1&amp;tbm=isch","Еще фото")</f>
        <v>Еще фото</v>
      </c>
      <c r="F3788" s="13" t="s">
        <v>103</v>
      </c>
      <c r="G3788" s="11" t="s">
        <v>2939</v>
      </c>
      <c r="H3788" s="11" t="s">
        <v>27</v>
      </c>
      <c r="I3788" s="14" t="s">
        <v>2940</v>
      </c>
      <c r="J3788" s="14" t="s">
        <v>29</v>
      </c>
      <c r="K3788" s="15" t="s">
        <v>59</v>
      </c>
      <c r="L3788" s="14" t="s">
        <v>3465</v>
      </c>
      <c r="M3788" s="14"/>
      <c r="N3788" s="14" t="s">
        <v>33</v>
      </c>
      <c r="O3788" s="14"/>
      <c r="P3788" s="15" t="s">
        <v>47</v>
      </c>
      <c r="Q3788" s="16">
        <v>10099</v>
      </c>
      <c r="R3788" s="17">
        <v>40</v>
      </c>
      <c r="S3788" s="18">
        <v>6968.3099999999995</v>
      </c>
      <c r="T3788" s="19" t="s">
        <v>36</v>
      </c>
      <c r="U3788" s="20" t="s">
        <v>39</v>
      </c>
      <c r="V3788" s="21" t="s">
        <v>85</v>
      </c>
      <c r="W3788" s="22">
        <v>2</v>
      </c>
      <c r="X3788" s="23"/>
    </row>
    <row r="3789" spans="1:24" s="1" customFormat="1" ht="21" customHeight="1" x14ac:dyDescent="0.3">
      <c r="A3789" s="11" t="s">
        <v>23</v>
      </c>
      <c r="B3789" s="11" t="s">
        <v>3084</v>
      </c>
      <c r="C3789" s="26" t="s">
        <v>3466</v>
      </c>
      <c r="D3789" s="59"/>
      <c r="E3789" s="41" t="str">
        <f>HYPERLINK("https://www.google.ru/search?q=1389352-011&amp;newwindow=1&amp;tbm=isch","Еще фото")</f>
        <v>Еще фото</v>
      </c>
      <c r="F3789" s="13"/>
      <c r="G3789" s="11" t="s">
        <v>2939</v>
      </c>
      <c r="H3789" s="11" t="s">
        <v>27</v>
      </c>
      <c r="I3789" s="14" t="s">
        <v>2940</v>
      </c>
      <c r="J3789" s="14" t="s">
        <v>43</v>
      </c>
      <c r="K3789" s="15" t="s">
        <v>30</v>
      </c>
      <c r="L3789" s="57" t="s">
        <v>3086</v>
      </c>
      <c r="M3789" s="14"/>
      <c r="N3789" s="14" t="s">
        <v>62</v>
      </c>
      <c r="O3789" s="14"/>
      <c r="P3789" s="15" t="s">
        <v>542</v>
      </c>
      <c r="Q3789" s="16">
        <v>12499</v>
      </c>
      <c r="R3789" s="17">
        <v>40</v>
      </c>
      <c r="S3789" s="18">
        <v>8624.31</v>
      </c>
      <c r="T3789" s="19" t="s">
        <v>36</v>
      </c>
      <c r="U3789" s="20" t="s">
        <v>37</v>
      </c>
      <c r="V3789" s="21" t="s">
        <v>38</v>
      </c>
      <c r="W3789" s="22">
        <v>9</v>
      </c>
      <c r="X3789" s="23"/>
    </row>
    <row r="3790" spans="1:24" s="1" customFormat="1" ht="21" customHeight="1" x14ac:dyDescent="0.3">
      <c r="A3790" s="24" t="s">
        <v>23</v>
      </c>
      <c r="B3790" s="24" t="s">
        <v>3084</v>
      </c>
      <c r="C3790" s="27" t="s">
        <v>3466</v>
      </c>
      <c r="D3790" s="60"/>
      <c r="E3790" s="41" t="str">
        <f>HYPERLINK("https://www.google.ru/search?q=1389352-011&amp;newwindow=1&amp;tbm=isch","Еще фото")</f>
        <v>Еще фото</v>
      </c>
      <c r="F3790" s="13"/>
      <c r="G3790" s="24" t="s">
        <v>2939</v>
      </c>
      <c r="H3790" s="24" t="s">
        <v>27</v>
      </c>
      <c r="I3790" s="24" t="s">
        <v>2940</v>
      </c>
      <c r="J3790" s="14" t="s">
        <v>43</v>
      </c>
      <c r="K3790" s="15" t="s">
        <v>30</v>
      </c>
      <c r="L3790" s="62"/>
      <c r="M3790" s="14"/>
      <c r="N3790" s="14" t="s">
        <v>62</v>
      </c>
      <c r="O3790" s="14"/>
      <c r="P3790" s="15" t="s">
        <v>542</v>
      </c>
      <c r="Q3790" s="16">
        <v>12499</v>
      </c>
      <c r="R3790" s="17">
        <v>40</v>
      </c>
      <c r="S3790" s="18">
        <v>8624.31</v>
      </c>
      <c r="T3790" s="19" t="s">
        <v>36</v>
      </c>
      <c r="U3790" s="20" t="s">
        <v>39</v>
      </c>
      <c r="V3790" s="21" t="s">
        <v>40</v>
      </c>
      <c r="W3790" s="22">
        <v>20</v>
      </c>
      <c r="X3790" s="23"/>
    </row>
    <row r="3791" spans="1:24" s="1" customFormat="1" ht="21" customHeight="1" x14ac:dyDescent="0.3">
      <c r="A3791" s="24" t="s">
        <v>23</v>
      </c>
      <c r="B3791" s="24" t="s">
        <v>3084</v>
      </c>
      <c r="C3791" s="27" t="s">
        <v>3466</v>
      </c>
      <c r="D3791" s="60"/>
      <c r="E3791" s="41" t="str">
        <f>HYPERLINK("https://www.google.ru/search?q=1389352-011&amp;newwindow=1&amp;tbm=isch","Еще фото")</f>
        <v>Еще фото</v>
      </c>
      <c r="F3791" s="13"/>
      <c r="G3791" s="24" t="s">
        <v>2939</v>
      </c>
      <c r="H3791" s="24" t="s">
        <v>27</v>
      </c>
      <c r="I3791" s="24" t="s">
        <v>2940</v>
      </c>
      <c r="J3791" s="14" t="s">
        <v>43</v>
      </c>
      <c r="K3791" s="15" t="s">
        <v>30</v>
      </c>
      <c r="L3791" s="62"/>
      <c r="M3791" s="14"/>
      <c r="N3791" s="14" t="s">
        <v>62</v>
      </c>
      <c r="O3791" s="14"/>
      <c r="P3791" s="15" t="s">
        <v>542</v>
      </c>
      <c r="Q3791" s="16">
        <v>12499</v>
      </c>
      <c r="R3791" s="17">
        <v>40</v>
      </c>
      <c r="S3791" s="18">
        <v>8624.31</v>
      </c>
      <c r="T3791" s="19" t="s">
        <v>36</v>
      </c>
      <c r="U3791" s="20" t="s">
        <v>86</v>
      </c>
      <c r="V3791" s="21" t="s">
        <v>87</v>
      </c>
      <c r="W3791" s="22">
        <v>16</v>
      </c>
      <c r="X3791" s="23"/>
    </row>
    <row r="3792" spans="1:24" s="1" customFormat="1" ht="21" customHeight="1" x14ac:dyDescent="0.3">
      <c r="A3792" s="24" t="s">
        <v>23</v>
      </c>
      <c r="B3792" s="24" t="s">
        <v>3084</v>
      </c>
      <c r="C3792" s="27" t="s">
        <v>3466</v>
      </c>
      <c r="D3792" s="60"/>
      <c r="E3792" s="41" t="str">
        <f>HYPERLINK("https://www.google.ru/search?q=1389352-011&amp;newwindow=1&amp;tbm=isch","Еще фото")</f>
        <v>Еще фото</v>
      </c>
      <c r="F3792" s="13"/>
      <c r="G3792" s="24" t="s">
        <v>2939</v>
      </c>
      <c r="H3792" s="24" t="s">
        <v>27</v>
      </c>
      <c r="I3792" s="24" t="s">
        <v>2940</v>
      </c>
      <c r="J3792" s="14" t="s">
        <v>43</v>
      </c>
      <c r="K3792" s="15" t="s">
        <v>30</v>
      </c>
      <c r="L3792" s="62"/>
      <c r="M3792" s="14"/>
      <c r="N3792" s="14" t="s">
        <v>62</v>
      </c>
      <c r="O3792" s="14"/>
      <c r="P3792" s="15" t="s">
        <v>542</v>
      </c>
      <c r="Q3792" s="16">
        <v>12499</v>
      </c>
      <c r="R3792" s="17">
        <v>40</v>
      </c>
      <c r="S3792" s="18">
        <v>8624.31</v>
      </c>
      <c r="T3792" s="19" t="s">
        <v>36</v>
      </c>
      <c r="U3792" s="20" t="s">
        <v>88</v>
      </c>
      <c r="V3792" s="21" t="s">
        <v>89</v>
      </c>
      <c r="W3792" s="22">
        <v>10</v>
      </c>
      <c r="X3792" s="23"/>
    </row>
    <row r="3793" spans="1:24" s="1" customFormat="1" ht="32" customHeight="1" x14ac:dyDescent="0.3">
      <c r="A3793" s="24" t="s">
        <v>23</v>
      </c>
      <c r="B3793" s="24" t="s">
        <v>3084</v>
      </c>
      <c r="C3793" s="27" t="s">
        <v>3466</v>
      </c>
      <c r="D3793" s="61"/>
      <c r="E3793" s="41" t="str">
        <f>HYPERLINK("https://www.google.ru/search?q=1389352-011&amp;newwindow=1&amp;tbm=isch","Еще фото")</f>
        <v>Еще фото</v>
      </c>
      <c r="F3793" s="13"/>
      <c r="G3793" s="24" t="s">
        <v>2939</v>
      </c>
      <c r="H3793" s="24" t="s">
        <v>27</v>
      </c>
      <c r="I3793" s="24" t="s">
        <v>2940</v>
      </c>
      <c r="J3793" s="14" t="s">
        <v>43</v>
      </c>
      <c r="K3793" s="15" t="s">
        <v>30</v>
      </c>
      <c r="L3793" s="58"/>
      <c r="M3793" s="14"/>
      <c r="N3793" s="14" t="s">
        <v>62</v>
      </c>
      <c r="O3793" s="14"/>
      <c r="P3793" s="15" t="s">
        <v>542</v>
      </c>
      <c r="Q3793" s="16">
        <v>12499</v>
      </c>
      <c r="R3793" s="17">
        <v>40</v>
      </c>
      <c r="S3793" s="18">
        <v>8624.31</v>
      </c>
      <c r="T3793" s="19" t="s">
        <v>36</v>
      </c>
      <c r="U3793" s="20" t="s">
        <v>90</v>
      </c>
      <c r="V3793" s="21" t="s">
        <v>91</v>
      </c>
      <c r="W3793" s="22">
        <v>6</v>
      </c>
      <c r="X3793" s="23"/>
    </row>
    <row r="3794" spans="1:24" s="1" customFormat="1" ht="35" customHeight="1" x14ac:dyDescent="0.3">
      <c r="A3794" s="11" t="s">
        <v>23</v>
      </c>
      <c r="B3794" s="11" t="s">
        <v>3084</v>
      </c>
      <c r="C3794" s="12" t="s">
        <v>3467</v>
      </c>
      <c r="D3794" s="59"/>
      <c r="E3794" s="41" t="str">
        <f>HYPERLINK("https://www.google.ru/search?q=1389352-110&amp;newwindow=1&amp;tbm=isch","Еще фото")</f>
        <v>Еще фото</v>
      </c>
      <c r="F3794" s="13" t="s">
        <v>103</v>
      </c>
      <c r="G3794" s="11" t="s">
        <v>2939</v>
      </c>
      <c r="H3794" s="11" t="s">
        <v>27</v>
      </c>
      <c r="I3794" s="14" t="s">
        <v>2940</v>
      </c>
      <c r="J3794" s="14" t="s">
        <v>29</v>
      </c>
      <c r="K3794" s="15" t="s">
        <v>30</v>
      </c>
      <c r="L3794" s="57" t="s">
        <v>3086</v>
      </c>
      <c r="M3794" s="14"/>
      <c r="N3794" s="14" t="s">
        <v>84</v>
      </c>
      <c r="O3794" s="14"/>
      <c r="P3794" s="15" t="s">
        <v>542</v>
      </c>
      <c r="Q3794" s="16">
        <v>12499</v>
      </c>
      <c r="R3794" s="17">
        <v>40</v>
      </c>
      <c r="S3794" s="18">
        <v>8624.31</v>
      </c>
      <c r="T3794" s="19" t="s">
        <v>36</v>
      </c>
      <c r="U3794" s="20" t="s">
        <v>37</v>
      </c>
      <c r="V3794" s="21" t="s">
        <v>38</v>
      </c>
      <c r="W3794" s="22">
        <v>2</v>
      </c>
      <c r="X3794" s="23"/>
    </row>
    <row r="3795" spans="1:24" s="1" customFormat="1" ht="35" customHeight="1" x14ac:dyDescent="0.3">
      <c r="A3795" s="24" t="s">
        <v>23</v>
      </c>
      <c r="B3795" s="24" t="s">
        <v>3084</v>
      </c>
      <c r="C3795" s="12" t="s">
        <v>3467</v>
      </c>
      <c r="D3795" s="60"/>
      <c r="E3795" s="41" t="str">
        <f>HYPERLINK("https://www.google.ru/search?q=1389352-110&amp;newwindow=1&amp;tbm=isch","Еще фото")</f>
        <v>Еще фото</v>
      </c>
      <c r="F3795" s="13" t="s">
        <v>103</v>
      </c>
      <c r="G3795" s="24" t="s">
        <v>2939</v>
      </c>
      <c r="H3795" s="24" t="s">
        <v>27</v>
      </c>
      <c r="I3795" s="24" t="s">
        <v>2940</v>
      </c>
      <c r="J3795" s="14" t="s">
        <v>29</v>
      </c>
      <c r="K3795" s="15" t="s">
        <v>30</v>
      </c>
      <c r="L3795" s="62"/>
      <c r="M3795" s="14"/>
      <c r="N3795" s="14" t="s">
        <v>84</v>
      </c>
      <c r="O3795" s="14"/>
      <c r="P3795" s="15" t="s">
        <v>542</v>
      </c>
      <c r="Q3795" s="16">
        <v>12499</v>
      </c>
      <c r="R3795" s="17">
        <v>40</v>
      </c>
      <c r="S3795" s="18">
        <v>8624.31</v>
      </c>
      <c r="T3795" s="19" t="s">
        <v>36</v>
      </c>
      <c r="U3795" s="20" t="s">
        <v>39</v>
      </c>
      <c r="V3795" s="21" t="s">
        <v>40</v>
      </c>
      <c r="W3795" s="22">
        <v>10</v>
      </c>
      <c r="X3795" s="23"/>
    </row>
    <row r="3796" spans="1:24" s="1" customFormat="1" ht="37.049999999999997" customHeight="1" x14ac:dyDescent="0.3">
      <c r="A3796" s="24" t="s">
        <v>23</v>
      </c>
      <c r="B3796" s="24" t="s">
        <v>3084</v>
      </c>
      <c r="C3796" s="12" t="s">
        <v>3467</v>
      </c>
      <c r="D3796" s="61"/>
      <c r="E3796" s="41" t="str">
        <f>HYPERLINK("https://www.google.ru/search?q=1389352-110&amp;newwindow=1&amp;tbm=isch","Еще фото")</f>
        <v>Еще фото</v>
      </c>
      <c r="F3796" s="13" t="s">
        <v>103</v>
      </c>
      <c r="G3796" s="24" t="s">
        <v>2939</v>
      </c>
      <c r="H3796" s="24" t="s">
        <v>27</v>
      </c>
      <c r="I3796" s="24" t="s">
        <v>2940</v>
      </c>
      <c r="J3796" s="14" t="s">
        <v>29</v>
      </c>
      <c r="K3796" s="15" t="s">
        <v>30</v>
      </c>
      <c r="L3796" s="58"/>
      <c r="M3796" s="14"/>
      <c r="N3796" s="14" t="s">
        <v>84</v>
      </c>
      <c r="O3796" s="14"/>
      <c r="P3796" s="15" t="s">
        <v>542</v>
      </c>
      <c r="Q3796" s="16">
        <v>12499</v>
      </c>
      <c r="R3796" s="17">
        <v>40</v>
      </c>
      <c r="S3796" s="18">
        <v>8624.31</v>
      </c>
      <c r="T3796" s="19" t="s">
        <v>36</v>
      </c>
      <c r="U3796" s="20" t="s">
        <v>86</v>
      </c>
      <c r="V3796" s="21" t="s">
        <v>87</v>
      </c>
      <c r="W3796" s="22">
        <v>11</v>
      </c>
      <c r="X3796" s="23"/>
    </row>
    <row r="3797" spans="1:24" s="1" customFormat="1" ht="108" customHeight="1" x14ac:dyDescent="0.3">
      <c r="A3797" s="11" t="s">
        <v>23</v>
      </c>
      <c r="B3797" s="11" t="s">
        <v>3468</v>
      </c>
      <c r="C3797" s="12" t="s">
        <v>3469</v>
      </c>
      <c r="D3797" s="25"/>
      <c r="E3797" s="41" t="str">
        <f>HYPERLINK("https://www.google.ru/search?q=1389354-390&amp;newwindow=1&amp;tbm=isch","Еще фото")</f>
        <v>Еще фото</v>
      </c>
      <c r="F3797" s="13" t="s">
        <v>152</v>
      </c>
      <c r="G3797" s="11" t="s">
        <v>2966</v>
      </c>
      <c r="H3797" s="11" t="s">
        <v>27</v>
      </c>
      <c r="I3797" s="14" t="s">
        <v>2940</v>
      </c>
      <c r="J3797" s="14" t="s">
        <v>29</v>
      </c>
      <c r="K3797" s="15" t="s">
        <v>30</v>
      </c>
      <c r="L3797" s="14" t="s">
        <v>3470</v>
      </c>
      <c r="M3797" s="14"/>
      <c r="N3797" s="14" t="s">
        <v>127</v>
      </c>
      <c r="O3797" s="14"/>
      <c r="P3797" s="15" t="s">
        <v>213</v>
      </c>
      <c r="Q3797" s="16">
        <v>12599</v>
      </c>
      <c r="R3797" s="17">
        <v>40</v>
      </c>
      <c r="S3797" s="18">
        <v>8693.31</v>
      </c>
      <c r="T3797" s="19" t="s">
        <v>36</v>
      </c>
      <c r="U3797" s="20" t="s">
        <v>86</v>
      </c>
      <c r="V3797" s="21" t="s">
        <v>87</v>
      </c>
      <c r="W3797" s="22">
        <v>1</v>
      </c>
      <c r="X3797" s="23"/>
    </row>
    <row r="3798" spans="1:24" s="1" customFormat="1" ht="21" customHeight="1" x14ac:dyDescent="0.3">
      <c r="A3798" s="11" t="s">
        <v>23</v>
      </c>
      <c r="B3798" s="11" t="s">
        <v>3009</v>
      </c>
      <c r="C3798" s="26" t="s">
        <v>3471</v>
      </c>
      <c r="D3798" s="59"/>
      <c r="E3798" s="41" t="str">
        <f>HYPERLINK("https://www.google.ru/search?q=1389356-001&amp;newwindow=1&amp;tbm=isch","Еще фото")</f>
        <v>Еще фото</v>
      </c>
      <c r="F3798" s="13" t="s">
        <v>103</v>
      </c>
      <c r="G3798" s="11" t="s">
        <v>2939</v>
      </c>
      <c r="H3798" s="11" t="s">
        <v>27</v>
      </c>
      <c r="I3798" s="14" t="s">
        <v>2940</v>
      </c>
      <c r="J3798" s="14" t="s">
        <v>29</v>
      </c>
      <c r="K3798" s="15" t="s">
        <v>30</v>
      </c>
      <c r="L3798" s="57" t="s">
        <v>3011</v>
      </c>
      <c r="M3798" s="14"/>
      <c r="N3798" s="14" t="s">
        <v>33</v>
      </c>
      <c r="O3798" s="14"/>
      <c r="P3798" s="15" t="s">
        <v>120</v>
      </c>
      <c r="Q3798" s="16">
        <v>8199</v>
      </c>
      <c r="R3798" s="17">
        <v>40</v>
      </c>
      <c r="S3798" s="18">
        <v>5657.3099999999995</v>
      </c>
      <c r="T3798" s="19" t="s">
        <v>36</v>
      </c>
      <c r="U3798" s="20" t="s">
        <v>37</v>
      </c>
      <c r="V3798" s="21" t="s">
        <v>38</v>
      </c>
      <c r="W3798" s="22">
        <v>13</v>
      </c>
      <c r="X3798" s="23"/>
    </row>
    <row r="3799" spans="1:24" s="1" customFormat="1" ht="21" customHeight="1" x14ac:dyDescent="0.3">
      <c r="A3799" s="24" t="s">
        <v>23</v>
      </c>
      <c r="B3799" s="24" t="s">
        <v>3009</v>
      </c>
      <c r="C3799" s="27" t="s">
        <v>3471</v>
      </c>
      <c r="D3799" s="60"/>
      <c r="E3799" s="41" t="str">
        <f>HYPERLINK("https://www.google.ru/search?q=1389356-001&amp;newwindow=1&amp;tbm=isch","Еще фото")</f>
        <v>Еще фото</v>
      </c>
      <c r="F3799" s="13" t="s">
        <v>103</v>
      </c>
      <c r="G3799" s="24" t="s">
        <v>2939</v>
      </c>
      <c r="H3799" s="24" t="s">
        <v>27</v>
      </c>
      <c r="I3799" s="24" t="s">
        <v>2940</v>
      </c>
      <c r="J3799" s="14" t="s">
        <v>29</v>
      </c>
      <c r="K3799" s="15" t="s">
        <v>30</v>
      </c>
      <c r="L3799" s="62"/>
      <c r="M3799" s="14"/>
      <c r="N3799" s="14" t="s">
        <v>33</v>
      </c>
      <c r="O3799" s="14"/>
      <c r="P3799" s="15" t="s">
        <v>120</v>
      </c>
      <c r="Q3799" s="16">
        <v>8199</v>
      </c>
      <c r="R3799" s="17">
        <v>40</v>
      </c>
      <c r="S3799" s="18">
        <v>5657.3099999999995</v>
      </c>
      <c r="T3799" s="19" t="s">
        <v>36</v>
      </c>
      <c r="U3799" s="20" t="s">
        <v>39</v>
      </c>
      <c r="V3799" s="21" t="s">
        <v>40</v>
      </c>
      <c r="W3799" s="22">
        <v>23</v>
      </c>
      <c r="X3799" s="23"/>
    </row>
    <row r="3800" spans="1:24" s="1" customFormat="1" ht="21" customHeight="1" x14ac:dyDescent="0.3">
      <c r="A3800" s="24" t="s">
        <v>23</v>
      </c>
      <c r="B3800" s="24" t="s">
        <v>3009</v>
      </c>
      <c r="C3800" s="27" t="s">
        <v>3471</v>
      </c>
      <c r="D3800" s="60"/>
      <c r="E3800" s="41" t="str">
        <f>HYPERLINK("https://www.google.ru/search?q=1389356-001&amp;newwindow=1&amp;tbm=isch","Еще фото")</f>
        <v>Еще фото</v>
      </c>
      <c r="F3800" s="13" t="s">
        <v>103</v>
      </c>
      <c r="G3800" s="24" t="s">
        <v>2939</v>
      </c>
      <c r="H3800" s="24" t="s">
        <v>27</v>
      </c>
      <c r="I3800" s="24" t="s">
        <v>2940</v>
      </c>
      <c r="J3800" s="14" t="s">
        <v>29</v>
      </c>
      <c r="K3800" s="15" t="s">
        <v>30</v>
      </c>
      <c r="L3800" s="62"/>
      <c r="M3800" s="14"/>
      <c r="N3800" s="14" t="s">
        <v>33</v>
      </c>
      <c r="O3800" s="14"/>
      <c r="P3800" s="15" t="s">
        <v>120</v>
      </c>
      <c r="Q3800" s="16">
        <v>8199</v>
      </c>
      <c r="R3800" s="17">
        <v>40</v>
      </c>
      <c r="S3800" s="18">
        <v>5657.3099999999995</v>
      </c>
      <c r="T3800" s="19" t="s">
        <v>36</v>
      </c>
      <c r="U3800" s="20" t="s">
        <v>86</v>
      </c>
      <c r="V3800" s="21" t="s">
        <v>87</v>
      </c>
      <c r="W3800" s="22">
        <v>25</v>
      </c>
      <c r="X3800" s="23"/>
    </row>
    <row r="3801" spans="1:24" s="1" customFormat="1" ht="21" customHeight="1" x14ac:dyDescent="0.3">
      <c r="A3801" s="24" t="s">
        <v>23</v>
      </c>
      <c r="B3801" s="24" t="s">
        <v>3009</v>
      </c>
      <c r="C3801" s="27" t="s">
        <v>3471</v>
      </c>
      <c r="D3801" s="60"/>
      <c r="E3801" s="41" t="str">
        <f>HYPERLINK("https://www.google.ru/search?q=1389356-001&amp;newwindow=1&amp;tbm=isch","Еще фото")</f>
        <v>Еще фото</v>
      </c>
      <c r="F3801" s="13" t="s">
        <v>103</v>
      </c>
      <c r="G3801" s="24" t="s">
        <v>2939</v>
      </c>
      <c r="H3801" s="24" t="s">
        <v>27</v>
      </c>
      <c r="I3801" s="24" t="s">
        <v>2940</v>
      </c>
      <c r="J3801" s="14" t="s">
        <v>29</v>
      </c>
      <c r="K3801" s="15" t="s">
        <v>30</v>
      </c>
      <c r="L3801" s="62"/>
      <c r="M3801" s="14"/>
      <c r="N3801" s="14" t="s">
        <v>33</v>
      </c>
      <c r="O3801" s="14"/>
      <c r="P3801" s="15" t="s">
        <v>120</v>
      </c>
      <c r="Q3801" s="16">
        <v>8199</v>
      </c>
      <c r="R3801" s="17">
        <v>40</v>
      </c>
      <c r="S3801" s="18">
        <v>5657.3099999999995</v>
      </c>
      <c r="T3801" s="19" t="s">
        <v>36</v>
      </c>
      <c r="U3801" s="20" t="s">
        <v>88</v>
      </c>
      <c r="V3801" s="21" t="s">
        <v>89</v>
      </c>
      <c r="W3801" s="22">
        <v>14</v>
      </c>
      <c r="X3801" s="23"/>
    </row>
    <row r="3802" spans="1:24" s="1" customFormat="1" ht="32" customHeight="1" x14ac:dyDescent="0.3">
      <c r="A3802" s="24" t="s">
        <v>23</v>
      </c>
      <c r="B3802" s="24" t="s">
        <v>3009</v>
      </c>
      <c r="C3802" s="27" t="s">
        <v>3471</v>
      </c>
      <c r="D3802" s="61"/>
      <c r="E3802" s="41" t="str">
        <f>HYPERLINK("https://www.google.ru/search?q=1389356-001&amp;newwindow=1&amp;tbm=isch","Еще фото")</f>
        <v>Еще фото</v>
      </c>
      <c r="F3802" s="13" t="s">
        <v>103</v>
      </c>
      <c r="G3802" s="24" t="s">
        <v>2939</v>
      </c>
      <c r="H3802" s="24" t="s">
        <v>27</v>
      </c>
      <c r="I3802" s="24" t="s">
        <v>2940</v>
      </c>
      <c r="J3802" s="14" t="s">
        <v>29</v>
      </c>
      <c r="K3802" s="15" t="s">
        <v>30</v>
      </c>
      <c r="L3802" s="58"/>
      <c r="M3802" s="14"/>
      <c r="N3802" s="14" t="s">
        <v>33</v>
      </c>
      <c r="O3802" s="14"/>
      <c r="P3802" s="15" t="s">
        <v>120</v>
      </c>
      <c r="Q3802" s="16">
        <v>8199</v>
      </c>
      <c r="R3802" s="17">
        <v>40</v>
      </c>
      <c r="S3802" s="18">
        <v>5657.3099999999995</v>
      </c>
      <c r="T3802" s="19" t="s">
        <v>36</v>
      </c>
      <c r="U3802" s="20" t="s">
        <v>90</v>
      </c>
      <c r="V3802" s="21" t="s">
        <v>91</v>
      </c>
      <c r="W3802" s="22">
        <v>6</v>
      </c>
      <c r="X3802" s="23"/>
    </row>
    <row r="3803" spans="1:24" s="1" customFormat="1" ht="21" customHeight="1" x14ac:dyDescent="0.3">
      <c r="A3803" s="11" t="s">
        <v>23</v>
      </c>
      <c r="B3803" s="11" t="s">
        <v>3009</v>
      </c>
      <c r="C3803" s="26" t="s">
        <v>3472</v>
      </c>
      <c r="D3803" s="59"/>
      <c r="E3803" s="41" t="str">
        <f>HYPERLINK("https://www.google.ru/search?q=1389356-391&amp;newwindow=1&amp;tbm=isch","Еще фото")</f>
        <v>Еще фото</v>
      </c>
      <c r="F3803" s="13" t="s">
        <v>103</v>
      </c>
      <c r="G3803" s="11" t="s">
        <v>2939</v>
      </c>
      <c r="H3803" s="11" t="s">
        <v>27</v>
      </c>
      <c r="I3803" s="14" t="s">
        <v>2940</v>
      </c>
      <c r="J3803" s="14" t="s">
        <v>43</v>
      </c>
      <c r="K3803" s="15" t="s">
        <v>30</v>
      </c>
      <c r="L3803" s="57" t="s">
        <v>3011</v>
      </c>
      <c r="M3803" s="14"/>
      <c r="N3803" s="14" t="s">
        <v>127</v>
      </c>
      <c r="O3803" s="14"/>
      <c r="P3803" s="15" t="s">
        <v>120</v>
      </c>
      <c r="Q3803" s="16">
        <v>8199</v>
      </c>
      <c r="R3803" s="17">
        <v>40</v>
      </c>
      <c r="S3803" s="18">
        <v>5657.3099999999995</v>
      </c>
      <c r="T3803" s="19" t="s">
        <v>36</v>
      </c>
      <c r="U3803" s="20" t="s">
        <v>37</v>
      </c>
      <c r="V3803" s="21" t="s">
        <v>38</v>
      </c>
      <c r="W3803" s="22">
        <v>16</v>
      </c>
      <c r="X3803" s="23"/>
    </row>
    <row r="3804" spans="1:24" s="1" customFormat="1" ht="21" customHeight="1" x14ac:dyDescent="0.3">
      <c r="A3804" s="24" t="s">
        <v>23</v>
      </c>
      <c r="B3804" s="24" t="s">
        <v>3009</v>
      </c>
      <c r="C3804" s="27" t="s">
        <v>3472</v>
      </c>
      <c r="D3804" s="60"/>
      <c r="E3804" s="41" t="str">
        <f>HYPERLINK("https://www.google.ru/search?q=1389356-391&amp;newwindow=1&amp;tbm=isch","Еще фото")</f>
        <v>Еще фото</v>
      </c>
      <c r="F3804" s="13" t="s">
        <v>103</v>
      </c>
      <c r="G3804" s="24" t="s">
        <v>2939</v>
      </c>
      <c r="H3804" s="24" t="s">
        <v>27</v>
      </c>
      <c r="I3804" s="24" t="s">
        <v>2940</v>
      </c>
      <c r="J3804" s="14" t="s">
        <v>43</v>
      </c>
      <c r="K3804" s="15" t="s">
        <v>30</v>
      </c>
      <c r="L3804" s="62"/>
      <c r="M3804" s="14"/>
      <c r="N3804" s="14" t="s">
        <v>127</v>
      </c>
      <c r="O3804" s="14"/>
      <c r="P3804" s="15" t="s">
        <v>120</v>
      </c>
      <c r="Q3804" s="16">
        <v>8199</v>
      </c>
      <c r="R3804" s="17">
        <v>40</v>
      </c>
      <c r="S3804" s="18">
        <v>5657.3099999999995</v>
      </c>
      <c r="T3804" s="19" t="s">
        <v>36</v>
      </c>
      <c r="U3804" s="20" t="s">
        <v>39</v>
      </c>
      <c r="V3804" s="21" t="s">
        <v>40</v>
      </c>
      <c r="W3804" s="22">
        <v>25</v>
      </c>
      <c r="X3804" s="23"/>
    </row>
    <row r="3805" spans="1:24" s="1" customFormat="1" ht="21" customHeight="1" x14ac:dyDescent="0.3">
      <c r="A3805" s="24" t="s">
        <v>23</v>
      </c>
      <c r="B3805" s="24" t="s">
        <v>3009</v>
      </c>
      <c r="C3805" s="27" t="s">
        <v>3472</v>
      </c>
      <c r="D3805" s="60"/>
      <c r="E3805" s="41" t="str">
        <f>HYPERLINK("https://www.google.ru/search?q=1389356-391&amp;newwindow=1&amp;tbm=isch","Еще фото")</f>
        <v>Еще фото</v>
      </c>
      <c r="F3805" s="13" t="s">
        <v>103</v>
      </c>
      <c r="G3805" s="24" t="s">
        <v>2939</v>
      </c>
      <c r="H3805" s="24" t="s">
        <v>27</v>
      </c>
      <c r="I3805" s="24" t="s">
        <v>2940</v>
      </c>
      <c r="J3805" s="14" t="s">
        <v>43</v>
      </c>
      <c r="K3805" s="15" t="s">
        <v>30</v>
      </c>
      <c r="L3805" s="62"/>
      <c r="M3805" s="14"/>
      <c r="N3805" s="14" t="s">
        <v>127</v>
      </c>
      <c r="O3805" s="14"/>
      <c r="P3805" s="15" t="s">
        <v>120</v>
      </c>
      <c r="Q3805" s="16">
        <v>8199</v>
      </c>
      <c r="R3805" s="17">
        <v>40</v>
      </c>
      <c r="S3805" s="18">
        <v>5657.3099999999995</v>
      </c>
      <c r="T3805" s="19" t="s">
        <v>36</v>
      </c>
      <c r="U3805" s="20" t="s">
        <v>86</v>
      </c>
      <c r="V3805" s="21" t="s">
        <v>87</v>
      </c>
      <c r="W3805" s="22">
        <v>27</v>
      </c>
      <c r="X3805" s="23"/>
    </row>
    <row r="3806" spans="1:24" s="1" customFormat="1" ht="21" customHeight="1" x14ac:dyDescent="0.3">
      <c r="A3806" s="24" t="s">
        <v>23</v>
      </c>
      <c r="B3806" s="24" t="s">
        <v>3009</v>
      </c>
      <c r="C3806" s="27" t="s">
        <v>3472</v>
      </c>
      <c r="D3806" s="60"/>
      <c r="E3806" s="41" t="str">
        <f>HYPERLINK("https://www.google.ru/search?q=1389356-391&amp;newwindow=1&amp;tbm=isch","Еще фото")</f>
        <v>Еще фото</v>
      </c>
      <c r="F3806" s="13" t="s">
        <v>103</v>
      </c>
      <c r="G3806" s="24" t="s">
        <v>2939</v>
      </c>
      <c r="H3806" s="24" t="s">
        <v>27</v>
      </c>
      <c r="I3806" s="24" t="s">
        <v>2940</v>
      </c>
      <c r="J3806" s="14" t="s">
        <v>43</v>
      </c>
      <c r="K3806" s="15" t="s">
        <v>30</v>
      </c>
      <c r="L3806" s="62"/>
      <c r="M3806" s="14"/>
      <c r="N3806" s="14" t="s">
        <v>127</v>
      </c>
      <c r="O3806" s="14"/>
      <c r="P3806" s="15" t="s">
        <v>120</v>
      </c>
      <c r="Q3806" s="16">
        <v>8199</v>
      </c>
      <c r="R3806" s="17">
        <v>40</v>
      </c>
      <c r="S3806" s="18">
        <v>5657.3099999999995</v>
      </c>
      <c r="T3806" s="19" t="s">
        <v>36</v>
      </c>
      <c r="U3806" s="20" t="s">
        <v>88</v>
      </c>
      <c r="V3806" s="21" t="s">
        <v>89</v>
      </c>
      <c r="W3806" s="22">
        <v>14</v>
      </c>
      <c r="X3806" s="23"/>
    </row>
    <row r="3807" spans="1:24" s="1" customFormat="1" ht="32" customHeight="1" x14ac:dyDescent="0.3">
      <c r="A3807" s="24" t="s">
        <v>23</v>
      </c>
      <c r="B3807" s="24" t="s">
        <v>3009</v>
      </c>
      <c r="C3807" s="27" t="s">
        <v>3472</v>
      </c>
      <c r="D3807" s="61"/>
      <c r="E3807" s="41" t="str">
        <f>HYPERLINK("https://www.google.ru/search?q=1389356-391&amp;newwindow=1&amp;tbm=isch","Еще фото")</f>
        <v>Еще фото</v>
      </c>
      <c r="F3807" s="13" t="s">
        <v>103</v>
      </c>
      <c r="G3807" s="24" t="s">
        <v>2939</v>
      </c>
      <c r="H3807" s="24" t="s">
        <v>27</v>
      </c>
      <c r="I3807" s="24" t="s">
        <v>2940</v>
      </c>
      <c r="J3807" s="14" t="s">
        <v>43</v>
      </c>
      <c r="K3807" s="15" t="s">
        <v>30</v>
      </c>
      <c r="L3807" s="58"/>
      <c r="M3807" s="14"/>
      <c r="N3807" s="14" t="s">
        <v>127</v>
      </c>
      <c r="O3807" s="14"/>
      <c r="P3807" s="15" t="s">
        <v>120</v>
      </c>
      <c r="Q3807" s="16">
        <v>8199</v>
      </c>
      <c r="R3807" s="17">
        <v>40</v>
      </c>
      <c r="S3807" s="18">
        <v>5657.3099999999995</v>
      </c>
      <c r="T3807" s="19" t="s">
        <v>36</v>
      </c>
      <c r="U3807" s="20" t="s">
        <v>90</v>
      </c>
      <c r="V3807" s="21" t="s">
        <v>91</v>
      </c>
      <c r="W3807" s="22">
        <v>9</v>
      </c>
      <c r="X3807" s="23"/>
    </row>
    <row r="3808" spans="1:24" s="1" customFormat="1" ht="35" customHeight="1" x14ac:dyDescent="0.3">
      <c r="A3808" s="11" t="s">
        <v>23</v>
      </c>
      <c r="B3808" s="11" t="s">
        <v>3066</v>
      </c>
      <c r="C3808" s="12" t="s">
        <v>3473</v>
      </c>
      <c r="D3808" s="59"/>
      <c r="E3808" s="41" t="str">
        <f>HYPERLINK("https://www.google.ru/search?q=1389357-001&amp;newwindow=1&amp;tbm=isch","Еще фото")</f>
        <v>Еще фото</v>
      </c>
      <c r="F3808" s="13"/>
      <c r="G3808" s="11" t="s">
        <v>2945</v>
      </c>
      <c r="H3808" s="11" t="s">
        <v>27</v>
      </c>
      <c r="I3808" s="14" t="s">
        <v>2940</v>
      </c>
      <c r="J3808" s="14" t="s">
        <v>29</v>
      </c>
      <c r="K3808" s="15" t="s">
        <v>30</v>
      </c>
      <c r="L3808" s="57" t="s">
        <v>3068</v>
      </c>
      <c r="M3808" s="14"/>
      <c r="N3808" s="14" t="s">
        <v>33</v>
      </c>
      <c r="O3808" s="14"/>
      <c r="P3808" s="15" t="s">
        <v>120</v>
      </c>
      <c r="Q3808" s="16">
        <v>9999</v>
      </c>
      <c r="R3808" s="17">
        <v>40</v>
      </c>
      <c r="S3808" s="18">
        <v>6899.3099999999995</v>
      </c>
      <c r="T3808" s="19" t="s">
        <v>36</v>
      </c>
      <c r="U3808" s="20" t="s">
        <v>39</v>
      </c>
      <c r="V3808" s="21" t="s">
        <v>40</v>
      </c>
      <c r="W3808" s="22">
        <v>23</v>
      </c>
      <c r="X3808" s="23"/>
    </row>
    <row r="3809" spans="1:24" s="1" customFormat="1" ht="35" customHeight="1" x14ac:dyDescent="0.3">
      <c r="A3809" s="24" t="s">
        <v>23</v>
      </c>
      <c r="B3809" s="24" t="s">
        <v>3066</v>
      </c>
      <c r="C3809" s="12" t="s">
        <v>3473</v>
      </c>
      <c r="D3809" s="60"/>
      <c r="E3809" s="41" t="str">
        <f>HYPERLINK("https://www.google.ru/search?q=1389357-001&amp;newwindow=1&amp;tbm=isch","Еще фото")</f>
        <v>Еще фото</v>
      </c>
      <c r="F3809" s="13"/>
      <c r="G3809" s="24" t="s">
        <v>2945</v>
      </c>
      <c r="H3809" s="24" t="s">
        <v>27</v>
      </c>
      <c r="I3809" s="24" t="s">
        <v>2940</v>
      </c>
      <c r="J3809" s="14" t="s">
        <v>29</v>
      </c>
      <c r="K3809" s="15" t="s">
        <v>30</v>
      </c>
      <c r="L3809" s="62"/>
      <c r="M3809" s="14"/>
      <c r="N3809" s="14" t="s">
        <v>33</v>
      </c>
      <c r="O3809" s="14"/>
      <c r="P3809" s="15" t="s">
        <v>120</v>
      </c>
      <c r="Q3809" s="16">
        <v>9999</v>
      </c>
      <c r="R3809" s="17">
        <v>40</v>
      </c>
      <c r="S3809" s="18">
        <v>6899.3099999999995</v>
      </c>
      <c r="T3809" s="19" t="s">
        <v>36</v>
      </c>
      <c r="U3809" s="20" t="s">
        <v>86</v>
      </c>
      <c r="V3809" s="21" t="s">
        <v>87</v>
      </c>
      <c r="W3809" s="22">
        <v>21</v>
      </c>
      <c r="X3809" s="23"/>
    </row>
    <row r="3810" spans="1:24" s="1" customFormat="1" ht="37.049999999999997" customHeight="1" x14ac:dyDescent="0.3">
      <c r="A3810" s="24" t="s">
        <v>23</v>
      </c>
      <c r="B3810" s="24" t="s">
        <v>3066</v>
      </c>
      <c r="C3810" s="12" t="s">
        <v>3473</v>
      </c>
      <c r="D3810" s="61"/>
      <c r="E3810" s="41" t="str">
        <f>HYPERLINK("https://www.google.ru/search?q=1389357-001&amp;newwindow=1&amp;tbm=isch","Еще фото")</f>
        <v>Еще фото</v>
      </c>
      <c r="F3810" s="13"/>
      <c r="G3810" s="24" t="s">
        <v>2945</v>
      </c>
      <c r="H3810" s="24" t="s">
        <v>27</v>
      </c>
      <c r="I3810" s="24" t="s">
        <v>2940</v>
      </c>
      <c r="J3810" s="14" t="s">
        <v>29</v>
      </c>
      <c r="K3810" s="15" t="s">
        <v>30</v>
      </c>
      <c r="L3810" s="58"/>
      <c r="M3810" s="14"/>
      <c r="N3810" s="14" t="s">
        <v>33</v>
      </c>
      <c r="O3810" s="14"/>
      <c r="P3810" s="15" t="s">
        <v>120</v>
      </c>
      <c r="Q3810" s="16">
        <v>9999</v>
      </c>
      <c r="R3810" s="17">
        <v>40</v>
      </c>
      <c r="S3810" s="18">
        <v>6899.3099999999995</v>
      </c>
      <c r="T3810" s="19" t="s">
        <v>36</v>
      </c>
      <c r="U3810" s="20" t="s">
        <v>88</v>
      </c>
      <c r="V3810" s="21" t="s">
        <v>89</v>
      </c>
      <c r="W3810" s="22">
        <v>10</v>
      </c>
      <c r="X3810" s="23"/>
    </row>
    <row r="3811" spans="1:24" s="1" customFormat="1" ht="108" customHeight="1" x14ac:dyDescent="0.3">
      <c r="A3811" s="11" t="s">
        <v>23</v>
      </c>
      <c r="B3811" s="11" t="s">
        <v>3474</v>
      </c>
      <c r="C3811" s="12" t="s">
        <v>3475</v>
      </c>
      <c r="D3811" s="25"/>
      <c r="E3811" s="41" t="str">
        <f>HYPERLINK("https://www.google.ru/search?q=1389631-520&amp;newwindow=1&amp;tbm=isch","Еще фото")</f>
        <v>Еще фото</v>
      </c>
      <c r="F3811" s="13" t="s">
        <v>103</v>
      </c>
      <c r="G3811" s="11" t="s">
        <v>2966</v>
      </c>
      <c r="H3811" s="11" t="s">
        <v>27</v>
      </c>
      <c r="I3811" s="14" t="s">
        <v>2940</v>
      </c>
      <c r="J3811" s="14" t="s">
        <v>43</v>
      </c>
      <c r="K3811" s="15" t="s">
        <v>59</v>
      </c>
      <c r="L3811" s="14" t="s">
        <v>3476</v>
      </c>
      <c r="M3811" s="14"/>
      <c r="N3811" s="14" t="s">
        <v>79</v>
      </c>
      <c r="O3811" s="14"/>
      <c r="P3811" s="15" t="s">
        <v>53</v>
      </c>
      <c r="Q3811" s="16">
        <v>6499</v>
      </c>
      <c r="R3811" s="17">
        <v>40</v>
      </c>
      <c r="S3811" s="18">
        <v>4484.3099999999995</v>
      </c>
      <c r="T3811" s="19" t="s">
        <v>36</v>
      </c>
      <c r="U3811" s="20" t="s">
        <v>86</v>
      </c>
      <c r="V3811" s="21" t="s">
        <v>38</v>
      </c>
      <c r="W3811" s="22">
        <v>7</v>
      </c>
      <c r="X3811" s="23"/>
    </row>
    <row r="3812" spans="1:24" s="1" customFormat="1" ht="108" customHeight="1" x14ac:dyDescent="0.3">
      <c r="A3812" s="11" t="s">
        <v>23</v>
      </c>
      <c r="B3812" s="11" t="s">
        <v>3477</v>
      </c>
      <c r="C3812" s="12" t="s">
        <v>3478</v>
      </c>
      <c r="D3812" s="25"/>
      <c r="E3812" s="41" t="str">
        <f>HYPERLINK("https://www.google.ru/search?q=1389708-299&amp;newwindow=1&amp;tbm=isch","Еще фото")</f>
        <v>Еще фото</v>
      </c>
      <c r="F3812" s="13" t="s">
        <v>152</v>
      </c>
      <c r="G3812" s="11" t="s">
        <v>2939</v>
      </c>
      <c r="H3812" s="11" t="s">
        <v>27</v>
      </c>
      <c r="I3812" s="14" t="s">
        <v>2940</v>
      </c>
      <c r="J3812" s="14" t="s">
        <v>43</v>
      </c>
      <c r="K3812" s="15" t="s">
        <v>59</v>
      </c>
      <c r="L3812" s="14" t="s">
        <v>3479</v>
      </c>
      <c r="M3812" s="14"/>
      <c r="N3812" s="14" t="s">
        <v>229</v>
      </c>
      <c r="O3812" s="14"/>
      <c r="P3812" s="15" t="s">
        <v>3399</v>
      </c>
      <c r="Q3812" s="16">
        <v>13299</v>
      </c>
      <c r="R3812" s="17">
        <v>40</v>
      </c>
      <c r="S3812" s="18">
        <v>9176.31</v>
      </c>
      <c r="T3812" s="19" t="s">
        <v>36</v>
      </c>
      <c r="U3812" s="20" t="s">
        <v>39</v>
      </c>
      <c r="V3812" s="21" t="s">
        <v>85</v>
      </c>
      <c r="W3812" s="22">
        <v>2</v>
      </c>
      <c r="X3812" s="23"/>
    </row>
    <row r="3813" spans="1:24" s="1" customFormat="1" ht="35" customHeight="1" x14ac:dyDescent="0.3">
      <c r="A3813" s="11" t="s">
        <v>23</v>
      </c>
      <c r="B3813" s="11" t="s">
        <v>3480</v>
      </c>
      <c r="C3813" s="12" t="s">
        <v>3481</v>
      </c>
      <c r="D3813" s="59"/>
      <c r="E3813" s="41" t="str">
        <f>HYPERLINK("https://www.google.ru/search?q=1389916-100&amp;newwindow=1&amp;tbm=isch","Еще фото")</f>
        <v>Еще фото</v>
      </c>
      <c r="F3813" s="13"/>
      <c r="G3813" s="11" t="s">
        <v>2939</v>
      </c>
      <c r="H3813" s="11" t="s">
        <v>27</v>
      </c>
      <c r="I3813" s="14" t="s">
        <v>2940</v>
      </c>
      <c r="J3813" s="14" t="s">
        <v>43</v>
      </c>
      <c r="K3813" s="15" t="s">
        <v>30</v>
      </c>
      <c r="L3813" s="57" t="s">
        <v>3482</v>
      </c>
      <c r="M3813" s="14"/>
      <c r="N3813" s="14" t="s">
        <v>84</v>
      </c>
      <c r="O3813" s="14"/>
      <c r="P3813" s="15" t="s">
        <v>3399</v>
      </c>
      <c r="Q3813" s="16">
        <v>13299</v>
      </c>
      <c r="R3813" s="17">
        <v>40</v>
      </c>
      <c r="S3813" s="18">
        <v>9176.31</v>
      </c>
      <c r="T3813" s="19" t="s">
        <v>36</v>
      </c>
      <c r="U3813" s="20" t="s">
        <v>37</v>
      </c>
      <c r="V3813" s="21" t="s">
        <v>38</v>
      </c>
      <c r="W3813" s="22">
        <v>1</v>
      </c>
      <c r="X3813" s="23"/>
    </row>
    <row r="3814" spans="1:24" s="1" customFormat="1" ht="35" customHeight="1" x14ac:dyDescent="0.3">
      <c r="A3814" s="24" t="s">
        <v>23</v>
      </c>
      <c r="B3814" s="24" t="s">
        <v>3480</v>
      </c>
      <c r="C3814" s="12" t="s">
        <v>3481</v>
      </c>
      <c r="D3814" s="60"/>
      <c r="E3814" s="41" t="str">
        <f>HYPERLINK("https://www.google.ru/search?q=1389916-100&amp;newwindow=1&amp;tbm=isch","Еще фото")</f>
        <v>Еще фото</v>
      </c>
      <c r="F3814" s="13"/>
      <c r="G3814" s="24" t="s">
        <v>2939</v>
      </c>
      <c r="H3814" s="24" t="s">
        <v>27</v>
      </c>
      <c r="I3814" s="24" t="s">
        <v>2940</v>
      </c>
      <c r="J3814" s="14" t="s">
        <v>43</v>
      </c>
      <c r="K3814" s="15" t="s">
        <v>30</v>
      </c>
      <c r="L3814" s="62"/>
      <c r="M3814" s="14"/>
      <c r="N3814" s="14" t="s">
        <v>84</v>
      </c>
      <c r="O3814" s="14"/>
      <c r="P3814" s="15" t="s">
        <v>3399</v>
      </c>
      <c r="Q3814" s="16">
        <v>13299</v>
      </c>
      <c r="R3814" s="17">
        <v>40</v>
      </c>
      <c r="S3814" s="18">
        <v>9176.31</v>
      </c>
      <c r="T3814" s="19" t="s">
        <v>36</v>
      </c>
      <c r="U3814" s="20" t="s">
        <v>39</v>
      </c>
      <c r="V3814" s="21" t="s">
        <v>40</v>
      </c>
      <c r="W3814" s="22">
        <v>3</v>
      </c>
      <c r="X3814" s="23"/>
    </row>
    <row r="3815" spans="1:24" s="1" customFormat="1" ht="37.049999999999997" customHeight="1" x14ac:dyDescent="0.3">
      <c r="A3815" s="24" t="s">
        <v>23</v>
      </c>
      <c r="B3815" s="24" t="s">
        <v>3480</v>
      </c>
      <c r="C3815" s="12" t="s">
        <v>3481</v>
      </c>
      <c r="D3815" s="61"/>
      <c r="E3815" s="41" t="str">
        <f>HYPERLINK("https://www.google.ru/search?q=1389916-100&amp;newwindow=1&amp;tbm=isch","Еще фото")</f>
        <v>Еще фото</v>
      </c>
      <c r="F3815" s="13"/>
      <c r="G3815" s="24" t="s">
        <v>2939</v>
      </c>
      <c r="H3815" s="24" t="s">
        <v>27</v>
      </c>
      <c r="I3815" s="24" t="s">
        <v>2940</v>
      </c>
      <c r="J3815" s="14" t="s">
        <v>43</v>
      </c>
      <c r="K3815" s="15" t="s">
        <v>30</v>
      </c>
      <c r="L3815" s="58"/>
      <c r="M3815" s="14"/>
      <c r="N3815" s="14" t="s">
        <v>84</v>
      </c>
      <c r="O3815" s="14"/>
      <c r="P3815" s="15" t="s">
        <v>3399</v>
      </c>
      <c r="Q3815" s="16">
        <v>13299</v>
      </c>
      <c r="R3815" s="17">
        <v>40</v>
      </c>
      <c r="S3815" s="18">
        <v>9176.31</v>
      </c>
      <c r="T3815" s="19" t="s">
        <v>36</v>
      </c>
      <c r="U3815" s="20" t="s">
        <v>86</v>
      </c>
      <c r="V3815" s="21" t="s">
        <v>87</v>
      </c>
      <c r="W3815" s="22">
        <v>1</v>
      </c>
      <c r="X3815" s="23"/>
    </row>
    <row r="3816" spans="1:24" s="1" customFormat="1" ht="52.05" customHeight="1" x14ac:dyDescent="0.3">
      <c r="A3816" s="11" t="s">
        <v>23</v>
      </c>
      <c r="B3816" s="11" t="s">
        <v>3483</v>
      </c>
      <c r="C3816" s="12" t="s">
        <v>3484</v>
      </c>
      <c r="D3816" s="55"/>
      <c r="E3816" s="41" t="str">
        <f>HYPERLINK("https://www.google.ru/search?q=1389947-989&amp;newwindow=1&amp;tbm=isch","Еще фото")</f>
        <v>Еще фото</v>
      </c>
      <c r="F3816" s="13"/>
      <c r="G3816" s="11" t="s">
        <v>2949</v>
      </c>
      <c r="H3816" s="11" t="s">
        <v>27</v>
      </c>
      <c r="I3816" s="14" t="s">
        <v>2940</v>
      </c>
      <c r="J3816" s="14" t="s">
        <v>43</v>
      </c>
      <c r="K3816" s="15" t="s">
        <v>30</v>
      </c>
      <c r="L3816" s="57" t="s">
        <v>3485</v>
      </c>
      <c r="M3816" s="14"/>
      <c r="N3816" s="14" t="s">
        <v>198</v>
      </c>
      <c r="O3816" s="14"/>
      <c r="P3816" s="15" t="s">
        <v>2951</v>
      </c>
      <c r="Q3816" s="16">
        <v>8399</v>
      </c>
      <c r="R3816" s="17">
        <v>40</v>
      </c>
      <c r="S3816" s="18">
        <v>5795.3099999999995</v>
      </c>
      <c r="T3816" s="19" t="s">
        <v>36</v>
      </c>
      <c r="U3816" s="20" t="s">
        <v>37</v>
      </c>
      <c r="V3816" s="21" t="s">
        <v>38</v>
      </c>
      <c r="W3816" s="22">
        <v>1</v>
      </c>
      <c r="X3816" s="23"/>
    </row>
    <row r="3817" spans="1:24" s="1" customFormat="1" ht="61.05" customHeight="1" x14ac:dyDescent="0.3">
      <c r="A3817" s="24" t="s">
        <v>23</v>
      </c>
      <c r="B3817" s="24" t="s">
        <v>3483</v>
      </c>
      <c r="C3817" s="12" t="s">
        <v>3484</v>
      </c>
      <c r="D3817" s="56"/>
      <c r="E3817" s="41" t="str">
        <f>HYPERLINK("https://www.google.ru/search?q=1389947-989&amp;newwindow=1&amp;tbm=isch","Еще фото")</f>
        <v>Еще фото</v>
      </c>
      <c r="F3817" s="13"/>
      <c r="G3817" s="24" t="s">
        <v>2949</v>
      </c>
      <c r="H3817" s="24" t="s">
        <v>27</v>
      </c>
      <c r="I3817" s="24" t="s">
        <v>2940</v>
      </c>
      <c r="J3817" s="14" t="s">
        <v>43</v>
      </c>
      <c r="K3817" s="15" t="s">
        <v>30</v>
      </c>
      <c r="L3817" s="58"/>
      <c r="M3817" s="14"/>
      <c r="N3817" s="14" t="s">
        <v>198</v>
      </c>
      <c r="O3817" s="14"/>
      <c r="P3817" s="15" t="s">
        <v>2951</v>
      </c>
      <c r="Q3817" s="16">
        <v>8399</v>
      </c>
      <c r="R3817" s="17">
        <v>40</v>
      </c>
      <c r="S3817" s="18">
        <v>5795.3099999999995</v>
      </c>
      <c r="T3817" s="19" t="s">
        <v>36</v>
      </c>
      <c r="U3817" s="20" t="s">
        <v>39</v>
      </c>
      <c r="V3817" s="21" t="s">
        <v>40</v>
      </c>
      <c r="W3817" s="22">
        <v>2</v>
      </c>
      <c r="X3817" s="23"/>
    </row>
    <row r="3818" spans="1:24" s="1" customFormat="1" ht="52.05" customHeight="1" x14ac:dyDescent="0.3">
      <c r="A3818" s="11" t="s">
        <v>23</v>
      </c>
      <c r="B3818" s="11" t="s">
        <v>3486</v>
      </c>
      <c r="C3818" s="12" t="s">
        <v>3487</v>
      </c>
      <c r="D3818" s="55"/>
      <c r="E3818" s="41" t="str">
        <f>HYPERLINK("https://www.google.ru/search?q=1390139-025&amp;newwindow=1&amp;tbm=isch","Еще фото")</f>
        <v>Еще фото</v>
      </c>
      <c r="F3818" s="13"/>
      <c r="G3818" s="11" t="s">
        <v>2939</v>
      </c>
      <c r="H3818" s="11" t="s">
        <v>27</v>
      </c>
      <c r="I3818" s="14" t="s">
        <v>2940</v>
      </c>
      <c r="J3818" s="14" t="s">
        <v>43</v>
      </c>
      <c r="K3818" s="15" t="s">
        <v>30</v>
      </c>
      <c r="L3818" s="57" t="s">
        <v>3488</v>
      </c>
      <c r="M3818" s="14"/>
      <c r="N3818" s="14" t="s">
        <v>62</v>
      </c>
      <c r="O3818" s="14"/>
      <c r="P3818" s="15" t="s">
        <v>120</v>
      </c>
      <c r="Q3818" s="16">
        <v>8699</v>
      </c>
      <c r="R3818" s="17">
        <v>40</v>
      </c>
      <c r="S3818" s="18">
        <v>6002.3099999999995</v>
      </c>
      <c r="T3818" s="19" t="s">
        <v>36</v>
      </c>
      <c r="U3818" s="20" t="s">
        <v>37</v>
      </c>
      <c r="V3818" s="21" t="s">
        <v>38</v>
      </c>
      <c r="W3818" s="22">
        <v>1</v>
      </c>
      <c r="X3818" s="23"/>
    </row>
    <row r="3819" spans="1:24" s="1" customFormat="1" ht="61.05" customHeight="1" x14ac:dyDescent="0.3">
      <c r="A3819" s="24" t="s">
        <v>23</v>
      </c>
      <c r="B3819" s="24" t="s">
        <v>3486</v>
      </c>
      <c r="C3819" s="12" t="s">
        <v>3487</v>
      </c>
      <c r="D3819" s="56"/>
      <c r="E3819" s="41" t="str">
        <f>HYPERLINK("https://www.google.ru/search?q=1390139-025&amp;newwindow=1&amp;tbm=isch","Еще фото")</f>
        <v>Еще фото</v>
      </c>
      <c r="F3819" s="13"/>
      <c r="G3819" s="24" t="s">
        <v>2939</v>
      </c>
      <c r="H3819" s="24" t="s">
        <v>27</v>
      </c>
      <c r="I3819" s="24" t="s">
        <v>2940</v>
      </c>
      <c r="J3819" s="14" t="s">
        <v>43</v>
      </c>
      <c r="K3819" s="15" t="s">
        <v>30</v>
      </c>
      <c r="L3819" s="58"/>
      <c r="M3819" s="14"/>
      <c r="N3819" s="14" t="s">
        <v>62</v>
      </c>
      <c r="O3819" s="14"/>
      <c r="P3819" s="15" t="s">
        <v>120</v>
      </c>
      <c r="Q3819" s="16">
        <v>8699</v>
      </c>
      <c r="R3819" s="17">
        <v>40</v>
      </c>
      <c r="S3819" s="18">
        <v>6002.3099999999995</v>
      </c>
      <c r="T3819" s="19" t="s">
        <v>36</v>
      </c>
      <c r="U3819" s="20" t="s">
        <v>39</v>
      </c>
      <c r="V3819" s="21" t="s">
        <v>40</v>
      </c>
      <c r="W3819" s="22">
        <v>2</v>
      </c>
      <c r="X3819" s="23"/>
    </row>
    <row r="3820" spans="1:24" s="1" customFormat="1" ht="52.05" customHeight="1" x14ac:dyDescent="0.3">
      <c r="A3820" s="11" t="s">
        <v>23</v>
      </c>
      <c r="B3820" s="11" t="s">
        <v>3489</v>
      </c>
      <c r="C3820" s="12" t="s">
        <v>3490</v>
      </c>
      <c r="D3820" s="55"/>
      <c r="E3820" s="41" t="str">
        <f>HYPERLINK("https://www.google.ru/search?q=1390140-410&amp;newwindow=1&amp;tbm=isch","Еще фото")</f>
        <v>Еще фото</v>
      </c>
      <c r="F3820" s="13"/>
      <c r="G3820" s="11" t="s">
        <v>2945</v>
      </c>
      <c r="H3820" s="11" t="s">
        <v>27</v>
      </c>
      <c r="I3820" s="14" t="s">
        <v>2940</v>
      </c>
      <c r="J3820" s="14" t="s">
        <v>43</v>
      </c>
      <c r="K3820" s="15" t="s">
        <v>30</v>
      </c>
      <c r="L3820" s="57" t="s">
        <v>3491</v>
      </c>
      <c r="M3820" s="14"/>
      <c r="N3820" s="14" t="s">
        <v>115</v>
      </c>
      <c r="O3820" s="14"/>
      <c r="P3820" s="15" t="s">
        <v>120</v>
      </c>
      <c r="Q3820" s="16">
        <v>7199</v>
      </c>
      <c r="R3820" s="17">
        <v>40</v>
      </c>
      <c r="S3820" s="18">
        <v>4967.3099999999995</v>
      </c>
      <c r="T3820" s="19" t="s">
        <v>36</v>
      </c>
      <c r="U3820" s="20" t="s">
        <v>37</v>
      </c>
      <c r="V3820" s="21" t="s">
        <v>38</v>
      </c>
      <c r="W3820" s="22">
        <v>7</v>
      </c>
      <c r="X3820" s="23"/>
    </row>
    <row r="3821" spans="1:24" s="1" customFormat="1" ht="61.05" customHeight="1" x14ac:dyDescent="0.3">
      <c r="A3821" s="24" t="s">
        <v>23</v>
      </c>
      <c r="B3821" s="24" t="s">
        <v>3489</v>
      </c>
      <c r="C3821" s="12" t="s">
        <v>3490</v>
      </c>
      <c r="D3821" s="56"/>
      <c r="E3821" s="41" t="str">
        <f>HYPERLINK("https://www.google.ru/search?q=1390140-410&amp;newwindow=1&amp;tbm=isch","Еще фото")</f>
        <v>Еще фото</v>
      </c>
      <c r="F3821" s="13"/>
      <c r="G3821" s="24" t="s">
        <v>2945</v>
      </c>
      <c r="H3821" s="24" t="s">
        <v>27</v>
      </c>
      <c r="I3821" s="24" t="s">
        <v>2940</v>
      </c>
      <c r="J3821" s="14" t="s">
        <v>43</v>
      </c>
      <c r="K3821" s="15" t="s">
        <v>30</v>
      </c>
      <c r="L3821" s="58"/>
      <c r="M3821" s="14"/>
      <c r="N3821" s="14" t="s">
        <v>115</v>
      </c>
      <c r="O3821" s="14"/>
      <c r="P3821" s="15" t="s">
        <v>120</v>
      </c>
      <c r="Q3821" s="16">
        <v>7199</v>
      </c>
      <c r="R3821" s="17">
        <v>40</v>
      </c>
      <c r="S3821" s="18">
        <v>4967.3099999999995</v>
      </c>
      <c r="T3821" s="19" t="s">
        <v>36</v>
      </c>
      <c r="U3821" s="20" t="s">
        <v>86</v>
      </c>
      <c r="V3821" s="21" t="s">
        <v>87</v>
      </c>
      <c r="W3821" s="22">
        <v>6</v>
      </c>
      <c r="X3821" s="23"/>
    </row>
    <row r="3822" spans="1:24" s="1" customFormat="1" ht="108" customHeight="1" x14ac:dyDescent="0.3">
      <c r="A3822" s="11" t="s">
        <v>23</v>
      </c>
      <c r="B3822" s="11" t="s">
        <v>3492</v>
      </c>
      <c r="C3822" s="12" t="s">
        <v>3493</v>
      </c>
      <c r="D3822" s="25"/>
      <c r="E3822" s="41" t="str">
        <f>HYPERLINK("https://www.google.ru/search?q=1390149-001&amp;newwindow=1&amp;tbm=isch","Еще фото")</f>
        <v>Еще фото</v>
      </c>
      <c r="F3822" s="13" t="s">
        <v>103</v>
      </c>
      <c r="G3822" s="11" t="s">
        <v>2966</v>
      </c>
      <c r="H3822" s="11" t="s">
        <v>27</v>
      </c>
      <c r="I3822" s="14" t="s">
        <v>2940</v>
      </c>
      <c r="J3822" s="14" t="s">
        <v>43</v>
      </c>
      <c r="K3822" s="15" t="s">
        <v>30</v>
      </c>
      <c r="L3822" s="14" t="s">
        <v>3494</v>
      </c>
      <c r="M3822" s="14" t="s">
        <v>32</v>
      </c>
      <c r="N3822" s="14" t="s">
        <v>33</v>
      </c>
      <c r="O3822" s="14"/>
      <c r="P3822" s="15" t="s">
        <v>47</v>
      </c>
      <c r="Q3822" s="16">
        <v>6599</v>
      </c>
      <c r="R3822" s="17">
        <v>40</v>
      </c>
      <c r="S3822" s="18">
        <v>4553.3099999999995</v>
      </c>
      <c r="T3822" s="19" t="s">
        <v>36</v>
      </c>
      <c r="U3822" s="20" t="s">
        <v>90</v>
      </c>
      <c r="V3822" s="21" t="s">
        <v>91</v>
      </c>
      <c r="W3822" s="22">
        <v>1</v>
      </c>
      <c r="X3822" s="23"/>
    </row>
    <row r="3823" spans="1:24" s="1" customFormat="1" ht="52.05" customHeight="1" x14ac:dyDescent="0.3">
      <c r="A3823" s="11" t="s">
        <v>23</v>
      </c>
      <c r="B3823" s="11" t="s">
        <v>3492</v>
      </c>
      <c r="C3823" s="12" t="s">
        <v>3495</v>
      </c>
      <c r="D3823" s="55"/>
      <c r="E3823" s="41" t="str">
        <f>HYPERLINK("https://www.google.ru/search?q=1390149-390&amp;newwindow=1&amp;tbm=isch","Еще фото")</f>
        <v>Еще фото</v>
      </c>
      <c r="F3823" s="13" t="s">
        <v>103</v>
      </c>
      <c r="G3823" s="11" t="s">
        <v>2966</v>
      </c>
      <c r="H3823" s="11" t="s">
        <v>27</v>
      </c>
      <c r="I3823" s="14" t="s">
        <v>2940</v>
      </c>
      <c r="J3823" s="14" t="s">
        <v>43</v>
      </c>
      <c r="K3823" s="15" t="s">
        <v>30</v>
      </c>
      <c r="L3823" s="57" t="s">
        <v>3494</v>
      </c>
      <c r="M3823" s="14" t="s">
        <v>32</v>
      </c>
      <c r="N3823" s="14" t="s">
        <v>127</v>
      </c>
      <c r="O3823" s="14"/>
      <c r="P3823" s="15" t="s">
        <v>47</v>
      </c>
      <c r="Q3823" s="16">
        <v>6599</v>
      </c>
      <c r="R3823" s="17">
        <v>40</v>
      </c>
      <c r="S3823" s="18">
        <v>4553.3099999999995</v>
      </c>
      <c r="T3823" s="19" t="s">
        <v>36</v>
      </c>
      <c r="U3823" s="20" t="s">
        <v>37</v>
      </c>
      <c r="V3823" s="21" t="s">
        <v>38</v>
      </c>
      <c r="W3823" s="22">
        <v>11</v>
      </c>
      <c r="X3823" s="23"/>
    </row>
    <row r="3824" spans="1:24" s="1" customFormat="1" ht="61.05" customHeight="1" x14ac:dyDescent="0.3">
      <c r="A3824" s="24" t="s">
        <v>23</v>
      </c>
      <c r="B3824" s="24" t="s">
        <v>3492</v>
      </c>
      <c r="C3824" s="12" t="s">
        <v>3495</v>
      </c>
      <c r="D3824" s="56"/>
      <c r="E3824" s="41" t="str">
        <f>HYPERLINK("https://www.google.ru/search?q=1390149-390&amp;newwindow=1&amp;tbm=isch","Еще фото")</f>
        <v>Еще фото</v>
      </c>
      <c r="F3824" s="13" t="s">
        <v>103</v>
      </c>
      <c r="G3824" s="24" t="s">
        <v>2966</v>
      </c>
      <c r="H3824" s="24" t="s">
        <v>27</v>
      </c>
      <c r="I3824" s="24" t="s">
        <v>2940</v>
      </c>
      <c r="J3824" s="14" t="s">
        <v>43</v>
      </c>
      <c r="K3824" s="15" t="s">
        <v>30</v>
      </c>
      <c r="L3824" s="58"/>
      <c r="M3824" s="14" t="s">
        <v>32</v>
      </c>
      <c r="N3824" s="14" t="s">
        <v>127</v>
      </c>
      <c r="O3824" s="14"/>
      <c r="P3824" s="15" t="s">
        <v>47</v>
      </c>
      <c r="Q3824" s="16">
        <v>6599</v>
      </c>
      <c r="R3824" s="17">
        <v>40</v>
      </c>
      <c r="S3824" s="18">
        <v>4553.3099999999995</v>
      </c>
      <c r="T3824" s="19" t="s">
        <v>36</v>
      </c>
      <c r="U3824" s="20" t="s">
        <v>39</v>
      </c>
      <c r="V3824" s="21" t="s">
        <v>40</v>
      </c>
      <c r="W3824" s="22">
        <v>16</v>
      </c>
      <c r="X3824" s="23"/>
    </row>
    <row r="3825" spans="1:24" s="1" customFormat="1" ht="21" customHeight="1" x14ac:dyDescent="0.3">
      <c r="A3825" s="11" t="s">
        <v>23</v>
      </c>
      <c r="B3825" s="11" t="s">
        <v>3492</v>
      </c>
      <c r="C3825" s="26" t="s">
        <v>3496</v>
      </c>
      <c r="D3825" s="59"/>
      <c r="E3825" s="41" t="str">
        <f>HYPERLINK("https://www.google.ru/search?q=1390149-410&amp;newwindow=1&amp;tbm=isch","Еще фото")</f>
        <v>Еще фото</v>
      </c>
      <c r="F3825" s="13" t="s">
        <v>103</v>
      </c>
      <c r="G3825" s="11" t="s">
        <v>2966</v>
      </c>
      <c r="H3825" s="11" t="s">
        <v>27</v>
      </c>
      <c r="I3825" s="14" t="s">
        <v>2940</v>
      </c>
      <c r="J3825" s="14" t="s">
        <v>43</v>
      </c>
      <c r="K3825" s="15" t="s">
        <v>30</v>
      </c>
      <c r="L3825" s="57" t="s">
        <v>3494</v>
      </c>
      <c r="M3825" s="14" t="s">
        <v>32</v>
      </c>
      <c r="N3825" s="14" t="s">
        <v>115</v>
      </c>
      <c r="O3825" s="14"/>
      <c r="P3825" s="15" t="s">
        <v>47</v>
      </c>
      <c r="Q3825" s="16">
        <v>6999</v>
      </c>
      <c r="R3825" s="17">
        <v>40</v>
      </c>
      <c r="S3825" s="18">
        <v>4829.3099999999995</v>
      </c>
      <c r="T3825" s="19" t="s">
        <v>36</v>
      </c>
      <c r="U3825" s="20" t="s">
        <v>63</v>
      </c>
      <c r="V3825" s="21" t="s">
        <v>85</v>
      </c>
      <c r="W3825" s="22">
        <v>3</v>
      </c>
      <c r="X3825" s="23"/>
    </row>
    <row r="3826" spans="1:24" s="1" customFormat="1" ht="21" customHeight="1" x14ac:dyDescent="0.3">
      <c r="A3826" s="24" t="s">
        <v>23</v>
      </c>
      <c r="B3826" s="24" t="s">
        <v>3492</v>
      </c>
      <c r="C3826" s="27" t="s">
        <v>3496</v>
      </c>
      <c r="D3826" s="60"/>
      <c r="E3826" s="41" t="str">
        <f>HYPERLINK("https://www.google.ru/search?q=1390149-410&amp;newwindow=1&amp;tbm=isch","Еще фото")</f>
        <v>Еще фото</v>
      </c>
      <c r="F3826" s="13" t="s">
        <v>103</v>
      </c>
      <c r="G3826" s="24" t="s">
        <v>2966</v>
      </c>
      <c r="H3826" s="24" t="s">
        <v>27</v>
      </c>
      <c r="I3826" s="24" t="s">
        <v>2940</v>
      </c>
      <c r="J3826" s="14" t="s">
        <v>43</v>
      </c>
      <c r="K3826" s="15" t="s">
        <v>30</v>
      </c>
      <c r="L3826" s="62"/>
      <c r="M3826" s="14" t="s">
        <v>32</v>
      </c>
      <c r="N3826" s="14" t="s">
        <v>115</v>
      </c>
      <c r="O3826" s="14"/>
      <c r="P3826" s="15" t="s">
        <v>47</v>
      </c>
      <c r="Q3826" s="16">
        <v>6999</v>
      </c>
      <c r="R3826" s="17">
        <v>40</v>
      </c>
      <c r="S3826" s="18">
        <v>4829.3099999999995</v>
      </c>
      <c r="T3826" s="19" t="s">
        <v>36</v>
      </c>
      <c r="U3826" s="20" t="s">
        <v>37</v>
      </c>
      <c r="V3826" s="21" t="s">
        <v>38</v>
      </c>
      <c r="W3826" s="22">
        <v>11</v>
      </c>
      <c r="X3826" s="23"/>
    </row>
    <row r="3827" spans="1:24" s="1" customFormat="1" ht="21" customHeight="1" x14ac:dyDescent="0.3">
      <c r="A3827" s="24" t="s">
        <v>23</v>
      </c>
      <c r="B3827" s="24" t="s">
        <v>3492</v>
      </c>
      <c r="C3827" s="27" t="s">
        <v>3496</v>
      </c>
      <c r="D3827" s="60"/>
      <c r="E3827" s="41" t="str">
        <f>HYPERLINK("https://www.google.ru/search?q=1390149-410&amp;newwindow=1&amp;tbm=isch","Еще фото")</f>
        <v>Еще фото</v>
      </c>
      <c r="F3827" s="13" t="s">
        <v>103</v>
      </c>
      <c r="G3827" s="24" t="s">
        <v>2966</v>
      </c>
      <c r="H3827" s="24" t="s">
        <v>27</v>
      </c>
      <c r="I3827" s="24" t="s">
        <v>2940</v>
      </c>
      <c r="J3827" s="14" t="s">
        <v>43</v>
      </c>
      <c r="K3827" s="15" t="s">
        <v>30</v>
      </c>
      <c r="L3827" s="62"/>
      <c r="M3827" s="14" t="s">
        <v>32</v>
      </c>
      <c r="N3827" s="14" t="s">
        <v>115</v>
      </c>
      <c r="O3827" s="14"/>
      <c r="P3827" s="15" t="s">
        <v>47</v>
      </c>
      <c r="Q3827" s="16">
        <v>6999</v>
      </c>
      <c r="R3827" s="17">
        <v>40</v>
      </c>
      <c r="S3827" s="18">
        <v>4829.3099999999995</v>
      </c>
      <c r="T3827" s="19" t="s">
        <v>36</v>
      </c>
      <c r="U3827" s="20" t="s">
        <v>39</v>
      </c>
      <c r="V3827" s="21" t="s">
        <v>40</v>
      </c>
      <c r="W3827" s="22">
        <v>13</v>
      </c>
      <c r="X3827" s="23"/>
    </row>
    <row r="3828" spans="1:24" s="1" customFormat="1" ht="21" customHeight="1" x14ac:dyDescent="0.3">
      <c r="A3828" s="24" t="s">
        <v>23</v>
      </c>
      <c r="B3828" s="24" t="s">
        <v>3492</v>
      </c>
      <c r="C3828" s="27" t="s">
        <v>3496</v>
      </c>
      <c r="D3828" s="60"/>
      <c r="E3828" s="41" t="str">
        <f>HYPERLINK("https://www.google.ru/search?q=1390149-410&amp;newwindow=1&amp;tbm=isch","Еще фото")</f>
        <v>Еще фото</v>
      </c>
      <c r="F3828" s="13" t="s">
        <v>103</v>
      </c>
      <c r="G3828" s="24" t="s">
        <v>2966</v>
      </c>
      <c r="H3828" s="24" t="s">
        <v>27</v>
      </c>
      <c r="I3828" s="24" t="s">
        <v>2940</v>
      </c>
      <c r="J3828" s="14" t="s">
        <v>43</v>
      </c>
      <c r="K3828" s="15" t="s">
        <v>30</v>
      </c>
      <c r="L3828" s="62"/>
      <c r="M3828" s="14" t="s">
        <v>32</v>
      </c>
      <c r="N3828" s="14" t="s">
        <v>115</v>
      </c>
      <c r="O3828" s="14"/>
      <c r="P3828" s="15" t="s">
        <v>47</v>
      </c>
      <c r="Q3828" s="16">
        <v>6999</v>
      </c>
      <c r="R3828" s="17">
        <v>40</v>
      </c>
      <c r="S3828" s="18">
        <v>4829.3099999999995</v>
      </c>
      <c r="T3828" s="19" t="s">
        <v>36</v>
      </c>
      <c r="U3828" s="20" t="s">
        <v>86</v>
      </c>
      <c r="V3828" s="21" t="s">
        <v>87</v>
      </c>
      <c r="W3828" s="22">
        <v>6</v>
      </c>
      <c r="X3828" s="23"/>
    </row>
    <row r="3829" spans="1:24" s="1" customFormat="1" ht="32" customHeight="1" x14ac:dyDescent="0.3">
      <c r="A3829" s="24" t="s">
        <v>23</v>
      </c>
      <c r="B3829" s="24" t="s">
        <v>3492</v>
      </c>
      <c r="C3829" s="27" t="s">
        <v>3496</v>
      </c>
      <c r="D3829" s="61"/>
      <c r="E3829" s="41" t="str">
        <f>HYPERLINK("https://www.google.ru/search?q=1390149-410&amp;newwindow=1&amp;tbm=isch","Еще фото")</f>
        <v>Еще фото</v>
      </c>
      <c r="F3829" s="13" t="s">
        <v>103</v>
      </c>
      <c r="G3829" s="24" t="s">
        <v>2966</v>
      </c>
      <c r="H3829" s="24" t="s">
        <v>27</v>
      </c>
      <c r="I3829" s="24" t="s">
        <v>2940</v>
      </c>
      <c r="J3829" s="14" t="s">
        <v>43</v>
      </c>
      <c r="K3829" s="15" t="s">
        <v>30</v>
      </c>
      <c r="L3829" s="58"/>
      <c r="M3829" s="14" t="s">
        <v>32</v>
      </c>
      <c r="N3829" s="14" t="s">
        <v>115</v>
      </c>
      <c r="O3829" s="14"/>
      <c r="P3829" s="15" t="s">
        <v>47</v>
      </c>
      <c r="Q3829" s="16">
        <v>6999</v>
      </c>
      <c r="R3829" s="17">
        <v>40</v>
      </c>
      <c r="S3829" s="18">
        <v>4829.3099999999995</v>
      </c>
      <c r="T3829" s="19" t="s">
        <v>36</v>
      </c>
      <c r="U3829" s="20" t="s">
        <v>90</v>
      </c>
      <c r="V3829" s="21" t="s">
        <v>91</v>
      </c>
      <c r="W3829" s="22">
        <v>2</v>
      </c>
      <c r="X3829" s="23"/>
    </row>
    <row r="3830" spans="1:24" s="1" customFormat="1" ht="26" customHeight="1" x14ac:dyDescent="0.3">
      <c r="A3830" s="11" t="s">
        <v>23</v>
      </c>
      <c r="B3830" s="11" t="s">
        <v>3088</v>
      </c>
      <c r="C3830" s="12" t="s">
        <v>3497</v>
      </c>
      <c r="D3830" s="59"/>
      <c r="E3830" s="41" t="str">
        <f>HYPERLINK("https://www.google.ru/search?q=1390154-001&amp;newwindow=1&amp;tbm=isch","Еще фото")</f>
        <v>Еще фото</v>
      </c>
      <c r="F3830" s="13"/>
      <c r="G3830" s="11" t="s">
        <v>2966</v>
      </c>
      <c r="H3830" s="11" t="s">
        <v>27</v>
      </c>
      <c r="I3830" s="14" t="s">
        <v>2940</v>
      </c>
      <c r="J3830" s="14" t="s">
        <v>43</v>
      </c>
      <c r="K3830" s="15" t="s">
        <v>50</v>
      </c>
      <c r="L3830" s="57" t="s">
        <v>3090</v>
      </c>
      <c r="M3830" s="14"/>
      <c r="N3830" s="14" t="s">
        <v>33</v>
      </c>
      <c r="O3830" s="14"/>
      <c r="P3830" s="15" t="s">
        <v>47</v>
      </c>
      <c r="Q3830" s="16">
        <v>6399</v>
      </c>
      <c r="R3830" s="17">
        <v>40</v>
      </c>
      <c r="S3830" s="18">
        <v>4415.3099999999995</v>
      </c>
      <c r="T3830" s="19" t="s">
        <v>36</v>
      </c>
      <c r="U3830" s="20" t="s">
        <v>99</v>
      </c>
      <c r="V3830" s="21" t="s">
        <v>100</v>
      </c>
      <c r="W3830" s="22">
        <v>6</v>
      </c>
      <c r="X3830" s="23"/>
    </row>
    <row r="3831" spans="1:24" s="1" customFormat="1" ht="26" customHeight="1" x14ac:dyDescent="0.3">
      <c r="A3831" s="24" t="s">
        <v>23</v>
      </c>
      <c r="B3831" s="24" t="s">
        <v>3088</v>
      </c>
      <c r="C3831" s="12" t="s">
        <v>3497</v>
      </c>
      <c r="D3831" s="60"/>
      <c r="E3831" s="41" t="str">
        <f>HYPERLINK("https://www.google.ru/search?q=1390154-001&amp;newwindow=1&amp;tbm=isch","Еще фото")</f>
        <v>Еще фото</v>
      </c>
      <c r="F3831" s="13"/>
      <c r="G3831" s="24" t="s">
        <v>2966</v>
      </c>
      <c r="H3831" s="24" t="s">
        <v>27</v>
      </c>
      <c r="I3831" s="24" t="s">
        <v>2940</v>
      </c>
      <c r="J3831" s="14" t="s">
        <v>43</v>
      </c>
      <c r="K3831" s="15" t="s">
        <v>50</v>
      </c>
      <c r="L3831" s="62"/>
      <c r="M3831" s="14"/>
      <c r="N3831" s="14" t="s">
        <v>33</v>
      </c>
      <c r="O3831" s="14"/>
      <c r="P3831" s="15" t="s">
        <v>47</v>
      </c>
      <c r="Q3831" s="16">
        <v>6399</v>
      </c>
      <c r="R3831" s="17">
        <v>40</v>
      </c>
      <c r="S3831" s="18">
        <v>4415.3099999999995</v>
      </c>
      <c r="T3831" s="19" t="s">
        <v>36</v>
      </c>
      <c r="U3831" s="20" t="s">
        <v>54</v>
      </c>
      <c r="V3831" s="21" t="s">
        <v>55</v>
      </c>
      <c r="W3831" s="22">
        <v>10</v>
      </c>
      <c r="X3831" s="23"/>
    </row>
    <row r="3832" spans="1:24" s="1" customFormat="1" ht="26" customHeight="1" x14ac:dyDescent="0.3">
      <c r="A3832" s="24" t="s">
        <v>23</v>
      </c>
      <c r="B3832" s="24" t="s">
        <v>3088</v>
      </c>
      <c r="C3832" s="12" t="s">
        <v>3497</v>
      </c>
      <c r="D3832" s="60"/>
      <c r="E3832" s="41" t="str">
        <f>HYPERLINK("https://www.google.ru/search?q=1390154-001&amp;newwindow=1&amp;tbm=isch","Еще фото")</f>
        <v>Еще фото</v>
      </c>
      <c r="F3832" s="13"/>
      <c r="G3832" s="24" t="s">
        <v>2966</v>
      </c>
      <c r="H3832" s="24" t="s">
        <v>27</v>
      </c>
      <c r="I3832" s="24" t="s">
        <v>2940</v>
      </c>
      <c r="J3832" s="14" t="s">
        <v>43</v>
      </c>
      <c r="K3832" s="15" t="s">
        <v>50</v>
      </c>
      <c r="L3832" s="62"/>
      <c r="M3832" s="14"/>
      <c r="N3832" s="14" t="s">
        <v>33</v>
      </c>
      <c r="O3832" s="14"/>
      <c r="P3832" s="15" t="s">
        <v>47</v>
      </c>
      <c r="Q3832" s="16">
        <v>6399</v>
      </c>
      <c r="R3832" s="17">
        <v>40</v>
      </c>
      <c r="S3832" s="18">
        <v>4415.3099999999995</v>
      </c>
      <c r="T3832" s="19" t="s">
        <v>36</v>
      </c>
      <c r="U3832" s="20" t="s">
        <v>234</v>
      </c>
      <c r="V3832" s="21" t="s">
        <v>235</v>
      </c>
      <c r="W3832" s="22">
        <v>6</v>
      </c>
      <c r="X3832" s="23"/>
    </row>
    <row r="3833" spans="1:24" s="1" customFormat="1" ht="26" customHeight="1" x14ac:dyDescent="0.3">
      <c r="A3833" s="24" t="s">
        <v>23</v>
      </c>
      <c r="B3833" s="24" t="s">
        <v>3088</v>
      </c>
      <c r="C3833" s="12" t="s">
        <v>3497</v>
      </c>
      <c r="D3833" s="61"/>
      <c r="E3833" s="41" t="str">
        <f>HYPERLINK("https://www.google.ru/search?q=1390154-001&amp;newwindow=1&amp;tbm=isch","Еще фото")</f>
        <v>Еще фото</v>
      </c>
      <c r="F3833" s="13"/>
      <c r="G3833" s="24" t="s">
        <v>2966</v>
      </c>
      <c r="H3833" s="24" t="s">
        <v>27</v>
      </c>
      <c r="I3833" s="24" t="s">
        <v>2940</v>
      </c>
      <c r="J3833" s="14" t="s">
        <v>43</v>
      </c>
      <c r="K3833" s="15" t="s">
        <v>50</v>
      </c>
      <c r="L3833" s="58"/>
      <c r="M3833" s="14"/>
      <c r="N3833" s="14" t="s">
        <v>33</v>
      </c>
      <c r="O3833" s="14"/>
      <c r="P3833" s="15" t="s">
        <v>47</v>
      </c>
      <c r="Q3833" s="16">
        <v>6399</v>
      </c>
      <c r="R3833" s="17">
        <v>40</v>
      </c>
      <c r="S3833" s="18">
        <v>4415.3099999999995</v>
      </c>
      <c r="T3833" s="19" t="s">
        <v>36</v>
      </c>
      <c r="U3833" s="20" t="s">
        <v>71</v>
      </c>
      <c r="V3833" s="21" t="s">
        <v>72</v>
      </c>
      <c r="W3833" s="22">
        <v>4</v>
      </c>
      <c r="X3833" s="23"/>
    </row>
    <row r="3834" spans="1:24" s="1" customFormat="1" ht="21" customHeight="1" x14ac:dyDescent="0.3">
      <c r="A3834" s="11" t="s">
        <v>23</v>
      </c>
      <c r="B3834" s="11" t="s">
        <v>3088</v>
      </c>
      <c r="C3834" s="26" t="s">
        <v>3498</v>
      </c>
      <c r="D3834" s="59"/>
      <c r="E3834" s="41" t="str">
        <f>HYPERLINK("https://www.google.ru/search?q=1390154-410&amp;newwindow=1&amp;tbm=isch","Еще фото")</f>
        <v>Еще фото</v>
      </c>
      <c r="F3834" s="13"/>
      <c r="G3834" s="11" t="s">
        <v>2966</v>
      </c>
      <c r="H3834" s="11" t="s">
        <v>27</v>
      </c>
      <c r="I3834" s="14" t="s">
        <v>2940</v>
      </c>
      <c r="J3834" s="14" t="s">
        <v>43</v>
      </c>
      <c r="K3834" s="15" t="s">
        <v>50</v>
      </c>
      <c r="L3834" s="57" t="s">
        <v>3090</v>
      </c>
      <c r="M3834" s="14"/>
      <c r="N3834" s="14" t="s">
        <v>115</v>
      </c>
      <c r="O3834" s="14"/>
      <c r="P3834" s="15" t="s">
        <v>47</v>
      </c>
      <c r="Q3834" s="16">
        <v>6399</v>
      </c>
      <c r="R3834" s="17">
        <v>40</v>
      </c>
      <c r="S3834" s="18">
        <v>4415.3099999999995</v>
      </c>
      <c r="T3834" s="19" t="s">
        <v>36</v>
      </c>
      <c r="U3834" s="20" t="s">
        <v>99</v>
      </c>
      <c r="V3834" s="21" t="s">
        <v>100</v>
      </c>
      <c r="W3834" s="22">
        <v>5</v>
      </c>
      <c r="X3834" s="23"/>
    </row>
    <row r="3835" spans="1:24" s="1" customFormat="1" ht="21" customHeight="1" x14ac:dyDescent="0.3">
      <c r="A3835" s="24" t="s">
        <v>23</v>
      </c>
      <c r="B3835" s="24" t="s">
        <v>3088</v>
      </c>
      <c r="C3835" s="27" t="s">
        <v>3498</v>
      </c>
      <c r="D3835" s="60"/>
      <c r="E3835" s="41" t="str">
        <f>HYPERLINK("https://www.google.ru/search?q=1390154-410&amp;newwindow=1&amp;tbm=isch","Еще фото")</f>
        <v>Еще фото</v>
      </c>
      <c r="F3835" s="13"/>
      <c r="G3835" s="24" t="s">
        <v>2966</v>
      </c>
      <c r="H3835" s="24" t="s">
        <v>27</v>
      </c>
      <c r="I3835" s="24" t="s">
        <v>2940</v>
      </c>
      <c r="J3835" s="14" t="s">
        <v>43</v>
      </c>
      <c r="K3835" s="15" t="s">
        <v>50</v>
      </c>
      <c r="L3835" s="62"/>
      <c r="M3835" s="14"/>
      <c r="N3835" s="14" t="s">
        <v>115</v>
      </c>
      <c r="O3835" s="14"/>
      <c r="P3835" s="15" t="s">
        <v>47</v>
      </c>
      <c r="Q3835" s="16">
        <v>6399</v>
      </c>
      <c r="R3835" s="17">
        <v>40</v>
      </c>
      <c r="S3835" s="18">
        <v>4415.3099999999995</v>
      </c>
      <c r="T3835" s="19" t="s">
        <v>36</v>
      </c>
      <c r="U3835" s="20" t="s">
        <v>54</v>
      </c>
      <c r="V3835" s="21" t="s">
        <v>55</v>
      </c>
      <c r="W3835" s="22">
        <v>10</v>
      </c>
      <c r="X3835" s="23"/>
    </row>
    <row r="3836" spans="1:24" s="1" customFormat="1" ht="21" customHeight="1" x14ac:dyDescent="0.3">
      <c r="A3836" s="24" t="s">
        <v>23</v>
      </c>
      <c r="B3836" s="24" t="s">
        <v>3088</v>
      </c>
      <c r="C3836" s="27" t="s">
        <v>3498</v>
      </c>
      <c r="D3836" s="60"/>
      <c r="E3836" s="41" t="str">
        <f>HYPERLINK("https://www.google.ru/search?q=1390154-410&amp;newwindow=1&amp;tbm=isch","Еще фото")</f>
        <v>Еще фото</v>
      </c>
      <c r="F3836" s="13"/>
      <c r="G3836" s="24" t="s">
        <v>2966</v>
      </c>
      <c r="H3836" s="24" t="s">
        <v>27</v>
      </c>
      <c r="I3836" s="24" t="s">
        <v>2940</v>
      </c>
      <c r="J3836" s="14" t="s">
        <v>43</v>
      </c>
      <c r="K3836" s="15" t="s">
        <v>50</v>
      </c>
      <c r="L3836" s="62"/>
      <c r="M3836" s="14"/>
      <c r="N3836" s="14" t="s">
        <v>115</v>
      </c>
      <c r="O3836" s="14"/>
      <c r="P3836" s="15" t="s">
        <v>47</v>
      </c>
      <c r="Q3836" s="16">
        <v>6399</v>
      </c>
      <c r="R3836" s="17">
        <v>40</v>
      </c>
      <c r="S3836" s="18">
        <v>4415.3099999999995</v>
      </c>
      <c r="T3836" s="19" t="s">
        <v>36</v>
      </c>
      <c r="U3836" s="20" t="s">
        <v>234</v>
      </c>
      <c r="V3836" s="21" t="s">
        <v>235</v>
      </c>
      <c r="W3836" s="22">
        <v>1</v>
      </c>
      <c r="X3836" s="23"/>
    </row>
    <row r="3837" spans="1:24" s="1" customFormat="1" ht="21" customHeight="1" x14ac:dyDescent="0.3">
      <c r="A3837" s="24" t="s">
        <v>23</v>
      </c>
      <c r="B3837" s="24" t="s">
        <v>3088</v>
      </c>
      <c r="C3837" s="27" t="s">
        <v>3498</v>
      </c>
      <c r="D3837" s="60"/>
      <c r="E3837" s="41" t="str">
        <f>HYPERLINK("https://www.google.ru/search?q=1390154-410&amp;newwindow=1&amp;tbm=isch","Еще фото")</f>
        <v>Еще фото</v>
      </c>
      <c r="F3837" s="13"/>
      <c r="G3837" s="24" t="s">
        <v>2966</v>
      </c>
      <c r="H3837" s="24" t="s">
        <v>27</v>
      </c>
      <c r="I3837" s="24" t="s">
        <v>2940</v>
      </c>
      <c r="J3837" s="14" t="s">
        <v>43</v>
      </c>
      <c r="K3837" s="15" t="s">
        <v>50</v>
      </c>
      <c r="L3837" s="62"/>
      <c r="M3837" s="14"/>
      <c r="N3837" s="14" t="s">
        <v>115</v>
      </c>
      <c r="O3837" s="14"/>
      <c r="P3837" s="15" t="s">
        <v>47</v>
      </c>
      <c r="Q3837" s="16">
        <v>6399</v>
      </c>
      <c r="R3837" s="17">
        <v>40</v>
      </c>
      <c r="S3837" s="18">
        <v>4415.3099999999995</v>
      </c>
      <c r="T3837" s="19" t="s">
        <v>36</v>
      </c>
      <c r="U3837" s="20" t="s">
        <v>71</v>
      </c>
      <c r="V3837" s="21" t="s">
        <v>72</v>
      </c>
      <c r="W3837" s="22">
        <v>8</v>
      </c>
      <c r="X3837" s="23"/>
    </row>
    <row r="3838" spans="1:24" s="1" customFormat="1" ht="32" customHeight="1" x14ac:dyDescent="0.3">
      <c r="A3838" s="24" t="s">
        <v>23</v>
      </c>
      <c r="B3838" s="24" t="s">
        <v>3088</v>
      </c>
      <c r="C3838" s="27" t="s">
        <v>3498</v>
      </c>
      <c r="D3838" s="61"/>
      <c r="E3838" s="41" t="str">
        <f>HYPERLINK("https://www.google.ru/search?q=1390154-410&amp;newwindow=1&amp;tbm=isch","Еще фото")</f>
        <v>Еще фото</v>
      </c>
      <c r="F3838" s="13"/>
      <c r="G3838" s="24" t="s">
        <v>2966</v>
      </c>
      <c r="H3838" s="24" t="s">
        <v>27</v>
      </c>
      <c r="I3838" s="24" t="s">
        <v>2940</v>
      </c>
      <c r="J3838" s="14" t="s">
        <v>43</v>
      </c>
      <c r="K3838" s="15" t="s">
        <v>50</v>
      </c>
      <c r="L3838" s="58"/>
      <c r="M3838" s="14"/>
      <c r="N3838" s="14" t="s">
        <v>115</v>
      </c>
      <c r="O3838" s="14"/>
      <c r="P3838" s="15" t="s">
        <v>47</v>
      </c>
      <c r="Q3838" s="16">
        <v>6399</v>
      </c>
      <c r="R3838" s="17">
        <v>40</v>
      </c>
      <c r="S3838" s="18">
        <v>4415.3099999999995</v>
      </c>
      <c r="T3838" s="19" t="s">
        <v>36</v>
      </c>
      <c r="U3838" s="20" t="s">
        <v>73</v>
      </c>
      <c r="V3838" s="21" t="s">
        <v>74</v>
      </c>
      <c r="W3838" s="22">
        <v>1</v>
      </c>
      <c r="X3838" s="23"/>
    </row>
    <row r="3839" spans="1:24" s="1" customFormat="1" ht="21" customHeight="1" x14ac:dyDescent="0.3">
      <c r="A3839" s="11" t="s">
        <v>23</v>
      </c>
      <c r="B3839" s="11" t="s">
        <v>3033</v>
      </c>
      <c r="C3839" s="26" t="s">
        <v>3499</v>
      </c>
      <c r="D3839" s="59"/>
      <c r="E3839" s="41" t="str">
        <f>HYPERLINK("https://www.google.ru/search?q=1390298-001&amp;newwindow=1&amp;tbm=isch","Еще фото")</f>
        <v>Еще фото</v>
      </c>
      <c r="F3839" s="13" t="s">
        <v>103</v>
      </c>
      <c r="G3839" s="11" t="s">
        <v>2939</v>
      </c>
      <c r="H3839" s="11" t="s">
        <v>27</v>
      </c>
      <c r="I3839" s="14" t="s">
        <v>2940</v>
      </c>
      <c r="J3839" s="14" t="s">
        <v>43</v>
      </c>
      <c r="K3839" s="15" t="s">
        <v>30</v>
      </c>
      <c r="L3839" s="57" t="s">
        <v>3035</v>
      </c>
      <c r="M3839" s="14"/>
      <c r="N3839" s="14" t="s">
        <v>33</v>
      </c>
      <c r="O3839" s="14"/>
      <c r="P3839" s="15" t="s">
        <v>120</v>
      </c>
      <c r="Q3839" s="16">
        <v>9699</v>
      </c>
      <c r="R3839" s="17">
        <v>40</v>
      </c>
      <c r="S3839" s="18">
        <v>6692.3099999999995</v>
      </c>
      <c r="T3839" s="19" t="s">
        <v>36</v>
      </c>
      <c r="U3839" s="20" t="s">
        <v>37</v>
      </c>
      <c r="V3839" s="21" t="s">
        <v>38</v>
      </c>
      <c r="W3839" s="22">
        <v>19</v>
      </c>
      <c r="X3839" s="23"/>
    </row>
    <row r="3840" spans="1:24" s="1" customFormat="1" ht="21" customHeight="1" x14ac:dyDescent="0.3">
      <c r="A3840" s="24" t="s">
        <v>23</v>
      </c>
      <c r="B3840" s="24" t="s">
        <v>3033</v>
      </c>
      <c r="C3840" s="27" t="s">
        <v>3499</v>
      </c>
      <c r="D3840" s="60"/>
      <c r="E3840" s="41" t="str">
        <f>HYPERLINK("https://www.google.ru/search?q=1390298-001&amp;newwindow=1&amp;tbm=isch","Еще фото")</f>
        <v>Еще фото</v>
      </c>
      <c r="F3840" s="13" t="s">
        <v>103</v>
      </c>
      <c r="G3840" s="24" t="s">
        <v>2939</v>
      </c>
      <c r="H3840" s="24" t="s">
        <v>27</v>
      </c>
      <c r="I3840" s="24" t="s">
        <v>2940</v>
      </c>
      <c r="J3840" s="14" t="s">
        <v>43</v>
      </c>
      <c r="K3840" s="15" t="s">
        <v>30</v>
      </c>
      <c r="L3840" s="62"/>
      <c r="M3840" s="14"/>
      <c r="N3840" s="14" t="s">
        <v>33</v>
      </c>
      <c r="O3840" s="14"/>
      <c r="P3840" s="15" t="s">
        <v>120</v>
      </c>
      <c r="Q3840" s="16">
        <v>9699</v>
      </c>
      <c r="R3840" s="17">
        <v>40</v>
      </c>
      <c r="S3840" s="18">
        <v>6692.3099999999995</v>
      </c>
      <c r="T3840" s="19" t="s">
        <v>36</v>
      </c>
      <c r="U3840" s="20" t="s">
        <v>39</v>
      </c>
      <c r="V3840" s="21" t="s">
        <v>40</v>
      </c>
      <c r="W3840" s="22">
        <v>26</v>
      </c>
      <c r="X3840" s="23"/>
    </row>
    <row r="3841" spans="1:24" s="1" customFormat="1" ht="21" customHeight="1" x14ac:dyDescent="0.3">
      <c r="A3841" s="24" t="s">
        <v>23</v>
      </c>
      <c r="B3841" s="24" t="s">
        <v>3033</v>
      </c>
      <c r="C3841" s="27" t="s">
        <v>3499</v>
      </c>
      <c r="D3841" s="60"/>
      <c r="E3841" s="41" t="str">
        <f>HYPERLINK("https://www.google.ru/search?q=1390298-001&amp;newwindow=1&amp;tbm=isch","Еще фото")</f>
        <v>Еще фото</v>
      </c>
      <c r="F3841" s="13" t="s">
        <v>103</v>
      </c>
      <c r="G3841" s="24" t="s">
        <v>2939</v>
      </c>
      <c r="H3841" s="24" t="s">
        <v>27</v>
      </c>
      <c r="I3841" s="24" t="s">
        <v>2940</v>
      </c>
      <c r="J3841" s="14" t="s">
        <v>43</v>
      </c>
      <c r="K3841" s="15" t="s">
        <v>30</v>
      </c>
      <c r="L3841" s="62"/>
      <c r="M3841" s="14"/>
      <c r="N3841" s="14" t="s">
        <v>33</v>
      </c>
      <c r="O3841" s="14"/>
      <c r="P3841" s="15" t="s">
        <v>120</v>
      </c>
      <c r="Q3841" s="16">
        <v>9699</v>
      </c>
      <c r="R3841" s="17">
        <v>40</v>
      </c>
      <c r="S3841" s="18">
        <v>6692.3099999999995</v>
      </c>
      <c r="T3841" s="19" t="s">
        <v>36</v>
      </c>
      <c r="U3841" s="20" t="s">
        <v>86</v>
      </c>
      <c r="V3841" s="21" t="s">
        <v>87</v>
      </c>
      <c r="W3841" s="22">
        <v>24</v>
      </c>
      <c r="X3841" s="23"/>
    </row>
    <row r="3842" spans="1:24" s="1" customFormat="1" ht="21" customHeight="1" x14ac:dyDescent="0.3">
      <c r="A3842" s="24" t="s">
        <v>23</v>
      </c>
      <c r="B3842" s="24" t="s">
        <v>3033</v>
      </c>
      <c r="C3842" s="27" t="s">
        <v>3499</v>
      </c>
      <c r="D3842" s="60"/>
      <c r="E3842" s="41" t="str">
        <f>HYPERLINK("https://www.google.ru/search?q=1390298-001&amp;newwindow=1&amp;tbm=isch","Еще фото")</f>
        <v>Еще фото</v>
      </c>
      <c r="F3842" s="13" t="s">
        <v>103</v>
      </c>
      <c r="G3842" s="24" t="s">
        <v>2939</v>
      </c>
      <c r="H3842" s="24" t="s">
        <v>27</v>
      </c>
      <c r="I3842" s="24" t="s">
        <v>2940</v>
      </c>
      <c r="J3842" s="14" t="s">
        <v>43</v>
      </c>
      <c r="K3842" s="15" t="s">
        <v>30</v>
      </c>
      <c r="L3842" s="62"/>
      <c r="M3842" s="14"/>
      <c r="N3842" s="14" t="s">
        <v>33</v>
      </c>
      <c r="O3842" s="14"/>
      <c r="P3842" s="15" t="s">
        <v>120</v>
      </c>
      <c r="Q3842" s="16">
        <v>9699</v>
      </c>
      <c r="R3842" s="17">
        <v>40</v>
      </c>
      <c r="S3842" s="18">
        <v>6692.3099999999995</v>
      </c>
      <c r="T3842" s="19" t="s">
        <v>36</v>
      </c>
      <c r="U3842" s="20" t="s">
        <v>88</v>
      </c>
      <c r="V3842" s="21" t="s">
        <v>89</v>
      </c>
      <c r="W3842" s="22">
        <v>11</v>
      </c>
      <c r="X3842" s="23"/>
    </row>
    <row r="3843" spans="1:24" s="1" customFormat="1" ht="32" customHeight="1" x14ac:dyDescent="0.3">
      <c r="A3843" s="24" t="s">
        <v>23</v>
      </c>
      <c r="B3843" s="24" t="s">
        <v>3033</v>
      </c>
      <c r="C3843" s="27" t="s">
        <v>3499</v>
      </c>
      <c r="D3843" s="61"/>
      <c r="E3843" s="41" t="str">
        <f>HYPERLINK("https://www.google.ru/search?q=1390298-001&amp;newwindow=1&amp;tbm=isch","Еще фото")</f>
        <v>Еще фото</v>
      </c>
      <c r="F3843" s="13" t="s">
        <v>103</v>
      </c>
      <c r="G3843" s="24" t="s">
        <v>2939</v>
      </c>
      <c r="H3843" s="24" t="s">
        <v>27</v>
      </c>
      <c r="I3843" s="24" t="s">
        <v>2940</v>
      </c>
      <c r="J3843" s="14" t="s">
        <v>43</v>
      </c>
      <c r="K3843" s="15" t="s">
        <v>30</v>
      </c>
      <c r="L3843" s="58"/>
      <c r="M3843" s="14"/>
      <c r="N3843" s="14" t="s">
        <v>33</v>
      </c>
      <c r="O3843" s="14"/>
      <c r="P3843" s="15" t="s">
        <v>120</v>
      </c>
      <c r="Q3843" s="16">
        <v>9699</v>
      </c>
      <c r="R3843" s="17">
        <v>40</v>
      </c>
      <c r="S3843" s="18">
        <v>6692.3099999999995</v>
      </c>
      <c r="T3843" s="19" t="s">
        <v>36</v>
      </c>
      <c r="U3843" s="20" t="s">
        <v>90</v>
      </c>
      <c r="V3843" s="21" t="s">
        <v>91</v>
      </c>
      <c r="W3843" s="22">
        <v>8</v>
      </c>
      <c r="X3843" s="23"/>
    </row>
    <row r="3844" spans="1:24" s="1" customFormat="1" ht="108" customHeight="1" x14ac:dyDescent="0.3">
      <c r="A3844" s="11" t="s">
        <v>23</v>
      </c>
      <c r="B3844" s="11" t="s">
        <v>3500</v>
      </c>
      <c r="C3844" s="12" t="s">
        <v>3501</v>
      </c>
      <c r="D3844" s="25"/>
      <c r="E3844" s="41" t="str">
        <f>HYPERLINK("https://www.google.ru/search?q=6003001-001&amp;newwindow=1&amp;tbm=isch","Еще фото")</f>
        <v>Еще фото</v>
      </c>
      <c r="F3844" s="13" t="s">
        <v>103</v>
      </c>
      <c r="G3844" s="11" t="s">
        <v>2966</v>
      </c>
      <c r="H3844" s="11" t="s">
        <v>27</v>
      </c>
      <c r="I3844" s="14" t="s">
        <v>2940</v>
      </c>
      <c r="J3844" s="14" t="s">
        <v>43</v>
      </c>
      <c r="K3844" s="15" t="s">
        <v>30</v>
      </c>
      <c r="L3844" s="14" t="s">
        <v>3502</v>
      </c>
      <c r="M3844" s="14" t="s">
        <v>32</v>
      </c>
      <c r="N3844" s="14" t="s">
        <v>33</v>
      </c>
      <c r="O3844" s="14"/>
      <c r="P3844" s="15" t="s">
        <v>53</v>
      </c>
      <c r="Q3844" s="16">
        <v>8999</v>
      </c>
      <c r="R3844" s="17">
        <v>40</v>
      </c>
      <c r="S3844" s="18">
        <v>6209.3099999999995</v>
      </c>
      <c r="T3844" s="19" t="s">
        <v>36</v>
      </c>
      <c r="U3844" s="20" t="s">
        <v>63</v>
      </c>
      <c r="V3844" s="21" t="s">
        <v>85</v>
      </c>
      <c r="W3844" s="22">
        <v>1</v>
      </c>
      <c r="X3844" s="23"/>
    </row>
    <row r="3845" spans="1:24" s="1" customFormat="1" ht="26" customHeight="1" x14ac:dyDescent="0.3">
      <c r="A3845" s="11" t="s">
        <v>23</v>
      </c>
      <c r="B3845" s="11" t="s">
        <v>3500</v>
      </c>
      <c r="C3845" s="12" t="s">
        <v>3503</v>
      </c>
      <c r="D3845" s="59"/>
      <c r="E3845" s="41" t="str">
        <f>HYPERLINK("https://www.google.ru/search?q=6003001-025&amp;newwindow=1&amp;tbm=isch","Еще фото")</f>
        <v>Еще фото</v>
      </c>
      <c r="F3845" s="13" t="s">
        <v>103</v>
      </c>
      <c r="G3845" s="11" t="s">
        <v>2966</v>
      </c>
      <c r="H3845" s="11" t="s">
        <v>27</v>
      </c>
      <c r="I3845" s="14" t="s">
        <v>2940</v>
      </c>
      <c r="J3845" s="14" t="s">
        <v>43</v>
      </c>
      <c r="K3845" s="15" t="s">
        <v>30</v>
      </c>
      <c r="L3845" s="57" t="s">
        <v>3502</v>
      </c>
      <c r="M3845" s="14" t="s">
        <v>32</v>
      </c>
      <c r="N3845" s="14" t="s">
        <v>62</v>
      </c>
      <c r="O3845" s="14"/>
      <c r="P3845" s="15" t="s">
        <v>53</v>
      </c>
      <c r="Q3845" s="16">
        <v>9999</v>
      </c>
      <c r="R3845" s="17">
        <v>40</v>
      </c>
      <c r="S3845" s="18">
        <v>6899.3099999999995</v>
      </c>
      <c r="T3845" s="19" t="s">
        <v>36</v>
      </c>
      <c r="U3845" s="20" t="s">
        <v>37</v>
      </c>
      <c r="V3845" s="21" t="s">
        <v>38</v>
      </c>
      <c r="W3845" s="22">
        <v>16</v>
      </c>
      <c r="X3845" s="23"/>
    </row>
    <row r="3846" spans="1:24" s="1" customFormat="1" ht="26" customHeight="1" x14ac:dyDescent="0.3">
      <c r="A3846" s="24" t="s">
        <v>23</v>
      </c>
      <c r="B3846" s="24" t="s">
        <v>3500</v>
      </c>
      <c r="C3846" s="12" t="s">
        <v>3503</v>
      </c>
      <c r="D3846" s="60"/>
      <c r="E3846" s="41" t="str">
        <f>HYPERLINK("https://www.google.ru/search?q=6003001-025&amp;newwindow=1&amp;tbm=isch","Еще фото")</f>
        <v>Еще фото</v>
      </c>
      <c r="F3846" s="13" t="s">
        <v>103</v>
      </c>
      <c r="G3846" s="24" t="s">
        <v>2966</v>
      </c>
      <c r="H3846" s="24" t="s">
        <v>27</v>
      </c>
      <c r="I3846" s="24" t="s">
        <v>2940</v>
      </c>
      <c r="J3846" s="14" t="s">
        <v>43</v>
      </c>
      <c r="K3846" s="15" t="s">
        <v>30</v>
      </c>
      <c r="L3846" s="62"/>
      <c r="M3846" s="14" t="s">
        <v>32</v>
      </c>
      <c r="N3846" s="14" t="s">
        <v>62</v>
      </c>
      <c r="O3846" s="14"/>
      <c r="P3846" s="15" t="s">
        <v>53</v>
      </c>
      <c r="Q3846" s="16">
        <v>9999</v>
      </c>
      <c r="R3846" s="17">
        <v>40</v>
      </c>
      <c r="S3846" s="18">
        <v>6899.3099999999995</v>
      </c>
      <c r="T3846" s="19" t="s">
        <v>36</v>
      </c>
      <c r="U3846" s="20" t="s">
        <v>39</v>
      </c>
      <c r="V3846" s="21" t="s">
        <v>40</v>
      </c>
      <c r="W3846" s="22">
        <v>16</v>
      </c>
      <c r="X3846" s="23"/>
    </row>
    <row r="3847" spans="1:24" s="1" customFormat="1" ht="26" customHeight="1" x14ac:dyDescent="0.3">
      <c r="A3847" s="24" t="s">
        <v>23</v>
      </c>
      <c r="B3847" s="24" t="s">
        <v>3500</v>
      </c>
      <c r="C3847" s="12" t="s">
        <v>3503</v>
      </c>
      <c r="D3847" s="60"/>
      <c r="E3847" s="41" t="str">
        <f>HYPERLINK("https://www.google.ru/search?q=6003001-025&amp;newwindow=1&amp;tbm=isch","Еще фото")</f>
        <v>Еще фото</v>
      </c>
      <c r="F3847" s="13" t="s">
        <v>103</v>
      </c>
      <c r="G3847" s="24" t="s">
        <v>2966</v>
      </c>
      <c r="H3847" s="24" t="s">
        <v>27</v>
      </c>
      <c r="I3847" s="24" t="s">
        <v>2940</v>
      </c>
      <c r="J3847" s="14" t="s">
        <v>43</v>
      </c>
      <c r="K3847" s="15" t="s">
        <v>30</v>
      </c>
      <c r="L3847" s="62"/>
      <c r="M3847" s="14" t="s">
        <v>32</v>
      </c>
      <c r="N3847" s="14" t="s">
        <v>62</v>
      </c>
      <c r="O3847" s="14"/>
      <c r="P3847" s="15" t="s">
        <v>53</v>
      </c>
      <c r="Q3847" s="16">
        <v>9999</v>
      </c>
      <c r="R3847" s="17">
        <v>40</v>
      </c>
      <c r="S3847" s="18">
        <v>6899.3099999999995</v>
      </c>
      <c r="T3847" s="19" t="s">
        <v>36</v>
      </c>
      <c r="U3847" s="20" t="s">
        <v>86</v>
      </c>
      <c r="V3847" s="21" t="s">
        <v>87</v>
      </c>
      <c r="W3847" s="22">
        <v>7</v>
      </c>
      <c r="X3847" s="23"/>
    </row>
    <row r="3848" spans="1:24" s="1" customFormat="1" ht="26" customHeight="1" x14ac:dyDescent="0.3">
      <c r="A3848" s="24" t="s">
        <v>23</v>
      </c>
      <c r="B3848" s="24" t="s">
        <v>3500</v>
      </c>
      <c r="C3848" s="12" t="s">
        <v>3503</v>
      </c>
      <c r="D3848" s="61"/>
      <c r="E3848" s="41" t="str">
        <f>HYPERLINK("https://www.google.ru/search?q=6003001-025&amp;newwindow=1&amp;tbm=isch","Еще фото")</f>
        <v>Еще фото</v>
      </c>
      <c r="F3848" s="13" t="s">
        <v>103</v>
      </c>
      <c r="G3848" s="24" t="s">
        <v>2966</v>
      </c>
      <c r="H3848" s="24" t="s">
        <v>27</v>
      </c>
      <c r="I3848" s="24" t="s">
        <v>2940</v>
      </c>
      <c r="J3848" s="14" t="s">
        <v>43</v>
      </c>
      <c r="K3848" s="15" t="s">
        <v>30</v>
      </c>
      <c r="L3848" s="58"/>
      <c r="M3848" s="14" t="s">
        <v>32</v>
      </c>
      <c r="N3848" s="14" t="s">
        <v>62</v>
      </c>
      <c r="O3848" s="14"/>
      <c r="P3848" s="15" t="s">
        <v>53</v>
      </c>
      <c r="Q3848" s="16">
        <v>9999</v>
      </c>
      <c r="R3848" s="17">
        <v>40</v>
      </c>
      <c r="S3848" s="18">
        <v>6899.3099999999995</v>
      </c>
      <c r="T3848" s="19" t="s">
        <v>36</v>
      </c>
      <c r="U3848" s="20" t="s">
        <v>90</v>
      </c>
      <c r="V3848" s="21" t="s">
        <v>91</v>
      </c>
      <c r="W3848" s="22">
        <v>5</v>
      </c>
      <c r="X3848" s="23"/>
    </row>
    <row r="3849" spans="1:24" s="1" customFormat="1" ht="17" customHeight="1" x14ac:dyDescent="0.3">
      <c r="A3849" s="11" t="s">
        <v>23</v>
      </c>
      <c r="B3849" s="11" t="s">
        <v>3500</v>
      </c>
      <c r="C3849" s="12" t="s">
        <v>3504</v>
      </c>
      <c r="D3849" s="59"/>
      <c r="E3849" s="41" t="str">
        <f t="shared" ref="E3849:E3854" si="153">HYPERLINK("https://www.google.ru/search?q=6003001-289&amp;newwindow=1&amp;tbm=isch","Еще фото")</f>
        <v>Еще фото</v>
      </c>
      <c r="F3849" s="13"/>
      <c r="G3849" s="11" t="s">
        <v>2966</v>
      </c>
      <c r="H3849" s="11" t="s">
        <v>27</v>
      </c>
      <c r="I3849" s="14" t="s">
        <v>2940</v>
      </c>
      <c r="J3849" s="14" t="s">
        <v>43</v>
      </c>
      <c r="K3849" s="15" t="s">
        <v>30</v>
      </c>
      <c r="L3849" s="57" t="s">
        <v>3502</v>
      </c>
      <c r="M3849" s="14" t="s">
        <v>32</v>
      </c>
      <c r="N3849" s="14" t="s">
        <v>229</v>
      </c>
      <c r="O3849" s="14"/>
      <c r="P3849" s="15" t="s">
        <v>53</v>
      </c>
      <c r="Q3849" s="16">
        <v>9999</v>
      </c>
      <c r="R3849" s="17">
        <v>40</v>
      </c>
      <c r="S3849" s="18">
        <v>6899.3099999999995</v>
      </c>
      <c r="T3849" s="19" t="s">
        <v>36</v>
      </c>
      <c r="U3849" s="20" t="s">
        <v>63</v>
      </c>
      <c r="V3849" s="21" t="s">
        <v>85</v>
      </c>
      <c r="W3849" s="22">
        <v>6</v>
      </c>
      <c r="X3849" s="23"/>
    </row>
    <row r="3850" spans="1:24" s="1" customFormat="1" ht="17" customHeight="1" x14ac:dyDescent="0.3">
      <c r="A3850" s="24" t="s">
        <v>23</v>
      </c>
      <c r="B3850" s="24" t="s">
        <v>3500</v>
      </c>
      <c r="C3850" s="12" t="s">
        <v>3504</v>
      </c>
      <c r="D3850" s="60"/>
      <c r="E3850" s="41" t="str">
        <f t="shared" si="153"/>
        <v>Еще фото</v>
      </c>
      <c r="F3850" s="13"/>
      <c r="G3850" s="24" t="s">
        <v>2966</v>
      </c>
      <c r="H3850" s="24" t="s">
        <v>27</v>
      </c>
      <c r="I3850" s="24" t="s">
        <v>2940</v>
      </c>
      <c r="J3850" s="14" t="s">
        <v>43</v>
      </c>
      <c r="K3850" s="15" t="s">
        <v>30</v>
      </c>
      <c r="L3850" s="62"/>
      <c r="M3850" s="14" t="s">
        <v>32</v>
      </c>
      <c r="N3850" s="14" t="s">
        <v>229</v>
      </c>
      <c r="O3850" s="14"/>
      <c r="P3850" s="15" t="s">
        <v>53</v>
      </c>
      <c r="Q3850" s="16">
        <v>9999</v>
      </c>
      <c r="R3850" s="17">
        <v>40</v>
      </c>
      <c r="S3850" s="18">
        <v>6899.3099999999995</v>
      </c>
      <c r="T3850" s="19" t="s">
        <v>36</v>
      </c>
      <c r="U3850" s="20" t="s">
        <v>37</v>
      </c>
      <c r="V3850" s="21" t="s">
        <v>38</v>
      </c>
      <c r="W3850" s="22">
        <v>11</v>
      </c>
      <c r="X3850" s="23"/>
    </row>
    <row r="3851" spans="1:24" s="1" customFormat="1" ht="17" customHeight="1" x14ac:dyDescent="0.3">
      <c r="A3851" s="24" t="s">
        <v>23</v>
      </c>
      <c r="B3851" s="24" t="s">
        <v>3500</v>
      </c>
      <c r="C3851" s="12" t="s">
        <v>3504</v>
      </c>
      <c r="D3851" s="60"/>
      <c r="E3851" s="41" t="str">
        <f t="shared" si="153"/>
        <v>Еще фото</v>
      </c>
      <c r="F3851" s="13"/>
      <c r="G3851" s="24" t="s">
        <v>2966</v>
      </c>
      <c r="H3851" s="24" t="s">
        <v>27</v>
      </c>
      <c r="I3851" s="24" t="s">
        <v>2940</v>
      </c>
      <c r="J3851" s="14" t="s">
        <v>43</v>
      </c>
      <c r="K3851" s="15" t="s">
        <v>30</v>
      </c>
      <c r="L3851" s="62"/>
      <c r="M3851" s="14" t="s">
        <v>32</v>
      </c>
      <c r="N3851" s="14" t="s">
        <v>229</v>
      </c>
      <c r="O3851" s="14"/>
      <c r="P3851" s="15" t="s">
        <v>53</v>
      </c>
      <c r="Q3851" s="16">
        <v>9999</v>
      </c>
      <c r="R3851" s="17">
        <v>40</v>
      </c>
      <c r="S3851" s="18">
        <v>6899.3099999999995</v>
      </c>
      <c r="T3851" s="19" t="s">
        <v>36</v>
      </c>
      <c r="U3851" s="20" t="s">
        <v>39</v>
      </c>
      <c r="V3851" s="21" t="s">
        <v>40</v>
      </c>
      <c r="W3851" s="22">
        <v>29</v>
      </c>
      <c r="X3851" s="23"/>
    </row>
    <row r="3852" spans="1:24" s="1" customFormat="1" ht="17" customHeight="1" x14ac:dyDescent="0.3">
      <c r="A3852" s="24" t="s">
        <v>23</v>
      </c>
      <c r="B3852" s="24" t="s">
        <v>3500</v>
      </c>
      <c r="C3852" s="12" t="s">
        <v>3504</v>
      </c>
      <c r="D3852" s="60"/>
      <c r="E3852" s="41" t="str">
        <f t="shared" si="153"/>
        <v>Еще фото</v>
      </c>
      <c r="F3852" s="13"/>
      <c r="G3852" s="24" t="s">
        <v>2966</v>
      </c>
      <c r="H3852" s="24" t="s">
        <v>27</v>
      </c>
      <c r="I3852" s="24" t="s">
        <v>2940</v>
      </c>
      <c r="J3852" s="14" t="s">
        <v>43</v>
      </c>
      <c r="K3852" s="15" t="s">
        <v>30</v>
      </c>
      <c r="L3852" s="62"/>
      <c r="M3852" s="14" t="s">
        <v>32</v>
      </c>
      <c r="N3852" s="14" t="s">
        <v>229</v>
      </c>
      <c r="O3852" s="14"/>
      <c r="P3852" s="15" t="s">
        <v>53</v>
      </c>
      <c r="Q3852" s="16">
        <v>9999</v>
      </c>
      <c r="R3852" s="17">
        <v>40</v>
      </c>
      <c r="S3852" s="18">
        <v>6899.3099999999995</v>
      </c>
      <c r="T3852" s="19" t="s">
        <v>36</v>
      </c>
      <c r="U3852" s="20" t="s">
        <v>86</v>
      </c>
      <c r="V3852" s="21" t="s">
        <v>87</v>
      </c>
      <c r="W3852" s="22">
        <v>31</v>
      </c>
      <c r="X3852" s="23"/>
    </row>
    <row r="3853" spans="1:24" s="1" customFormat="1" ht="17" customHeight="1" x14ac:dyDescent="0.3">
      <c r="A3853" s="24" t="s">
        <v>23</v>
      </c>
      <c r="B3853" s="24" t="s">
        <v>3500</v>
      </c>
      <c r="C3853" s="12" t="s">
        <v>3504</v>
      </c>
      <c r="D3853" s="60"/>
      <c r="E3853" s="41" t="str">
        <f t="shared" si="153"/>
        <v>Еще фото</v>
      </c>
      <c r="F3853" s="13"/>
      <c r="G3853" s="24" t="s">
        <v>2966</v>
      </c>
      <c r="H3853" s="24" t="s">
        <v>27</v>
      </c>
      <c r="I3853" s="24" t="s">
        <v>2940</v>
      </c>
      <c r="J3853" s="14" t="s">
        <v>43</v>
      </c>
      <c r="K3853" s="15" t="s">
        <v>30</v>
      </c>
      <c r="L3853" s="62"/>
      <c r="M3853" s="14" t="s">
        <v>32</v>
      </c>
      <c r="N3853" s="14" t="s">
        <v>229</v>
      </c>
      <c r="O3853" s="14"/>
      <c r="P3853" s="15" t="s">
        <v>53</v>
      </c>
      <c r="Q3853" s="16">
        <v>9999</v>
      </c>
      <c r="R3853" s="17">
        <v>40</v>
      </c>
      <c r="S3853" s="18">
        <v>6899.3099999999995</v>
      </c>
      <c r="T3853" s="19" t="s">
        <v>36</v>
      </c>
      <c r="U3853" s="20" t="s">
        <v>88</v>
      </c>
      <c r="V3853" s="21" t="s">
        <v>89</v>
      </c>
      <c r="W3853" s="22">
        <v>13</v>
      </c>
      <c r="X3853" s="23"/>
    </row>
    <row r="3854" spans="1:24" s="1" customFormat="1" ht="22.05" customHeight="1" x14ac:dyDescent="0.3">
      <c r="A3854" s="24" t="s">
        <v>23</v>
      </c>
      <c r="B3854" s="24" t="s">
        <v>3500</v>
      </c>
      <c r="C3854" s="12" t="s">
        <v>3504</v>
      </c>
      <c r="D3854" s="61"/>
      <c r="E3854" s="41" t="str">
        <f t="shared" si="153"/>
        <v>Еще фото</v>
      </c>
      <c r="F3854" s="13"/>
      <c r="G3854" s="24" t="s">
        <v>2966</v>
      </c>
      <c r="H3854" s="24" t="s">
        <v>27</v>
      </c>
      <c r="I3854" s="24" t="s">
        <v>2940</v>
      </c>
      <c r="J3854" s="14" t="s">
        <v>43</v>
      </c>
      <c r="K3854" s="15" t="s">
        <v>30</v>
      </c>
      <c r="L3854" s="58"/>
      <c r="M3854" s="14" t="s">
        <v>32</v>
      </c>
      <c r="N3854" s="14" t="s">
        <v>229</v>
      </c>
      <c r="O3854" s="14"/>
      <c r="P3854" s="15" t="s">
        <v>53</v>
      </c>
      <c r="Q3854" s="16">
        <v>9999</v>
      </c>
      <c r="R3854" s="17">
        <v>40</v>
      </c>
      <c r="S3854" s="18">
        <v>6899.3099999999995</v>
      </c>
      <c r="T3854" s="19" t="s">
        <v>36</v>
      </c>
      <c r="U3854" s="20" t="s">
        <v>90</v>
      </c>
      <c r="V3854" s="21" t="s">
        <v>91</v>
      </c>
      <c r="W3854" s="22">
        <v>8</v>
      </c>
      <c r="X3854" s="23"/>
    </row>
    <row r="3855" spans="1:24" s="1" customFormat="1" ht="17" customHeight="1" x14ac:dyDescent="0.3">
      <c r="A3855" s="11" t="s">
        <v>23</v>
      </c>
      <c r="B3855" s="11" t="s">
        <v>3505</v>
      </c>
      <c r="C3855" s="12" t="s">
        <v>3506</v>
      </c>
      <c r="D3855" s="59"/>
      <c r="E3855" s="41" t="str">
        <f t="shared" ref="E3855:E3860" si="154">HYPERLINK("https://www.google.ru/search?q=6003001-338&amp;newwindow=1&amp;tbm=isch","Еще фото")</f>
        <v>Еще фото</v>
      </c>
      <c r="F3855" s="13" t="s">
        <v>103</v>
      </c>
      <c r="G3855" s="11" t="s">
        <v>2966</v>
      </c>
      <c r="H3855" s="11" t="s">
        <v>27</v>
      </c>
      <c r="I3855" s="14" t="s">
        <v>2940</v>
      </c>
      <c r="J3855" s="14" t="s">
        <v>43</v>
      </c>
      <c r="K3855" s="15" t="s">
        <v>30</v>
      </c>
      <c r="L3855" s="57" t="s">
        <v>3502</v>
      </c>
      <c r="M3855" s="14"/>
      <c r="N3855" s="14" t="s">
        <v>127</v>
      </c>
      <c r="O3855" s="14"/>
      <c r="P3855" s="15" t="s">
        <v>53</v>
      </c>
      <c r="Q3855" s="16">
        <v>8999</v>
      </c>
      <c r="R3855" s="17">
        <v>40</v>
      </c>
      <c r="S3855" s="18">
        <v>6209.3099999999995</v>
      </c>
      <c r="T3855" s="19" t="s">
        <v>36</v>
      </c>
      <c r="U3855" s="20" t="s">
        <v>37</v>
      </c>
      <c r="V3855" s="21" t="s">
        <v>38</v>
      </c>
      <c r="W3855" s="22">
        <v>11</v>
      </c>
      <c r="X3855" s="23"/>
    </row>
    <row r="3856" spans="1:24" s="1" customFormat="1" ht="17" customHeight="1" x14ac:dyDescent="0.3">
      <c r="A3856" s="24" t="s">
        <v>23</v>
      </c>
      <c r="B3856" s="24" t="s">
        <v>3505</v>
      </c>
      <c r="C3856" s="12" t="s">
        <v>3506</v>
      </c>
      <c r="D3856" s="60"/>
      <c r="E3856" s="41" t="str">
        <f t="shared" si="154"/>
        <v>Еще фото</v>
      </c>
      <c r="F3856" s="13" t="s">
        <v>103</v>
      </c>
      <c r="G3856" s="24" t="s">
        <v>2966</v>
      </c>
      <c r="H3856" s="24" t="s">
        <v>27</v>
      </c>
      <c r="I3856" s="24" t="s">
        <v>2940</v>
      </c>
      <c r="J3856" s="14" t="s">
        <v>43</v>
      </c>
      <c r="K3856" s="15" t="s">
        <v>30</v>
      </c>
      <c r="L3856" s="62"/>
      <c r="M3856" s="14"/>
      <c r="N3856" s="14" t="s">
        <v>127</v>
      </c>
      <c r="O3856" s="14"/>
      <c r="P3856" s="15" t="s">
        <v>53</v>
      </c>
      <c r="Q3856" s="16">
        <v>8999</v>
      </c>
      <c r="R3856" s="17">
        <v>40</v>
      </c>
      <c r="S3856" s="18">
        <v>6209.3099999999995</v>
      </c>
      <c r="T3856" s="19" t="s">
        <v>36</v>
      </c>
      <c r="U3856" s="20" t="s">
        <v>39</v>
      </c>
      <c r="V3856" s="21" t="s">
        <v>40</v>
      </c>
      <c r="W3856" s="22">
        <v>22</v>
      </c>
      <c r="X3856" s="23"/>
    </row>
    <row r="3857" spans="1:24" s="1" customFormat="1" ht="17" customHeight="1" x14ac:dyDescent="0.3">
      <c r="A3857" s="24" t="s">
        <v>23</v>
      </c>
      <c r="B3857" s="24" t="s">
        <v>3505</v>
      </c>
      <c r="C3857" s="12" t="s">
        <v>3506</v>
      </c>
      <c r="D3857" s="60"/>
      <c r="E3857" s="41" t="str">
        <f t="shared" si="154"/>
        <v>Еще фото</v>
      </c>
      <c r="F3857" s="13" t="s">
        <v>103</v>
      </c>
      <c r="G3857" s="24" t="s">
        <v>2966</v>
      </c>
      <c r="H3857" s="24" t="s">
        <v>27</v>
      </c>
      <c r="I3857" s="24" t="s">
        <v>2940</v>
      </c>
      <c r="J3857" s="14" t="s">
        <v>43</v>
      </c>
      <c r="K3857" s="15" t="s">
        <v>30</v>
      </c>
      <c r="L3857" s="62"/>
      <c r="M3857" s="14"/>
      <c r="N3857" s="14" t="s">
        <v>127</v>
      </c>
      <c r="O3857" s="14"/>
      <c r="P3857" s="15" t="s">
        <v>53</v>
      </c>
      <c r="Q3857" s="16">
        <v>8999</v>
      </c>
      <c r="R3857" s="17">
        <v>40</v>
      </c>
      <c r="S3857" s="18">
        <v>6209.3099999999995</v>
      </c>
      <c r="T3857" s="19" t="s">
        <v>36</v>
      </c>
      <c r="U3857" s="20" t="s">
        <v>86</v>
      </c>
      <c r="V3857" s="21" t="s">
        <v>87</v>
      </c>
      <c r="W3857" s="22">
        <v>21</v>
      </c>
      <c r="X3857" s="23"/>
    </row>
    <row r="3858" spans="1:24" s="1" customFormat="1" ht="17" customHeight="1" x14ac:dyDescent="0.3">
      <c r="A3858" s="24" t="s">
        <v>23</v>
      </c>
      <c r="B3858" s="24" t="s">
        <v>3505</v>
      </c>
      <c r="C3858" s="12" t="s">
        <v>3506</v>
      </c>
      <c r="D3858" s="60"/>
      <c r="E3858" s="41" t="str">
        <f t="shared" si="154"/>
        <v>Еще фото</v>
      </c>
      <c r="F3858" s="13" t="s">
        <v>103</v>
      </c>
      <c r="G3858" s="24" t="s">
        <v>2966</v>
      </c>
      <c r="H3858" s="24" t="s">
        <v>27</v>
      </c>
      <c r="I3858" s="24" t="s">
        <v>2940</v>
      </c>
      <c r="J3858" s="14" t="s">
        <v>43</v>
      </c>
      <c r="K3858" s="15" t="s">
        <v>30</v>
      </c>
      <c r="L3858" s="62"/>
      <c r="M3858" s="14"/>
      <c r="N3858" s="14" t="s">
        <v>127</v>
      </c>
      <c r="O3858" s="14"/>
      <c r="P3858" s="15" t="s">
        <v>53</v>
      </c>
      <c r="Q3858" s="16">
        <v>8999</v>
      </c>
      <c r="R3858" s="17">
        <v>40</v>
      </c>
      <c r="S3858" s="18">
        <v>6209.3099999999995</v>
      </c>
      <c r="T3858" s="19" t="s">
        <v>36</v>
      </c>
      <c r="U3858" s="20" t="s">
        <v>88</v>
      </c>
      <c r="V3858" s="21" t="s">
        <v>89</v>
      </c>
      <c r="W3858" s="22">
        <v>7</v>
      </c>
      <c r="X3858" s="23"/>
    </row>
    <row r="3859" spans="1:24" s="1" customFormat="1" ht="17" customHeight="1" x14ac:dyDescent="0.3">
      <c r="A3859" s="24" t="s">
        <v>23</v>
      </c>
      <c r="B3859" s="24" t="s">
        <v>3505</v>
      </c>
      <c r="C3859" s="12" t="s">
        <v>3506</v>
      </c>
      <c r="D3859" s="60"/>
      <c r="E3859" s="41" t="str">
        <f t="shared" si="154"/>
        <v>Еще фото</v>
      </c>
      <c r="F3859" s="13" t="s">
        <v>103</v>
      </c>
      <c r="G3859" s="24" t="s">
        <v>2966</v>
      </c>
      <c r="H3859" s="24" t="s">
        <v>27</v>
      </c>
      <c r="I3859" s="24" t="s">
        <v>2940</v>
      </c>
      <c r="J3859" s="14" t="s">
        <v>43</v>
      </c>
      <c r="K3859" s="15" t="s">
        <v>30</v>
      </c>
      <c r="L3859" s="62"/>
      <c r="M3859" s="14"/>
      <c r="N3859" s="14" t="s">
        <v>127</v>
      </c>
      <c r="O3859" s="14"/>
      <c r="P3859" s="15" t="s">
        <v>53</v>
      </c>
      <c r="Q3859" s="16">
        <v>8999</v>
      </c>
      <c r="R3859" s="17">
        <v>40</v>
      </c>
      <c r="S3859" s="18">
        <v>6209.3099999999995</v>
      </c>
      <c r="T3859" s="19" t="s">
        <v>36</v>
      </c>
      <c r="U3859" s="20" t="s">
        <v>90</v>
      </c>
      <c r="V3859" s="21" t="s">
        <v>91</v>
      </c>
      <c r="W3859" s="22">
        <v>5</v>
      </c>
      <c r="X3859" s="23"/>
    </row>
    <row r="3860" spans="1:24" s="1" customFormat="1" ht="22.05" customHeight="1" x14ac:dyDescent="0.3">
      <c r="A3860" s="24" t="s">
        <v>23</v>
      </c>
      <c r="B3860" s="24" t="s">
        <v>3505</v>
      </c>
      <c r="C3860" s="12" t="s">
        <v>3506</v>
      </c>
      <c r="D3860" s="61"/>
      <c r="E3860" s="41" t="str">
        <f t="shared" si="154"/>
        <v>Еще фото</v>
      </c>
      <c r="F3860" s="13" t="s">
        <v>103</v>
      </c>
      <c r="G3860" s="24" t="s">
        <v>2966</v>
      </c>
      <c r="H3860" s="24" t="s">
        <v>27</v>
      </c>
      <c r="I3860" s="24" t="s">
        <v>2940</v>
      </c>
      <c r="J3860" s="14" t="s">
        <v>43</v>
      </c>
      <c r="K3860" s="15" t="s">
        <v>30</v>
      </c>
      <c r="L3860" s="58"/>
      <c r="M3860" s="14"/>
      <c r="N3860" s="14" t="s">
        <v>127</v>
      </c>
      <c r="O3860" s="14"/>
      <c r="P3860" s="15" t="s">
        <v>53</v>
      </c>
      <c r="Q3860" s="16">
        <v>8999</v>
      </c>
      <c r="R3860" s="17">
        <v>40</v>
      </c>
      <c r="S3860" s="18">
        <v>6209.3099999999995</v>
      </c>
      <c r="T3860" s="19" t="s">
        <v>36</v>
      </c>
      <c r="U3860" s="20" t="s">
        <v>408</v>
      </c>
      <c r="V3860" s="21" t="s">
        <v>409</v>
      </c>
      <c r="W3860" s="22">
        <v>4</v>
      </c>
      <c r="X3860" s="23"/>
    </row>
    <row r="3861" spans="1:24" s="1" customFormat="1" ht="21" customHeight="1" x14ac:dyDescent="0.3">
      <c r="A3861" s="11" t="s">
        <v>23</v>
      </c>
      <c r="B3861" s="11" t="s">
        <v>3507</v>
      </c>
      <c r="C3861" s="26" t="s">
        <v>3508</v>
      </c>
      <c r="D3861" s="59"/>
      <c r="E3861" s="41" t="str">
        <f>HYPERLINK("https://www.google.ru/search?q=6003087-299&amp;newwindow=1&amp;tbm=isch","Еще фото")</f>
        <v>Еще фото</v>
      </c>
      <c r="F3861" s="13" t="s">
        <v>103</v>
      </c>
      <c r="G3861" s="11" t="s">
        <v>2966</v>
      </c>
      <c r="H3861" s="11" t="s">
        <v>27</v>
      </c>
      <c r="I3861" s="14" t="s">
        <v>2940</v>
      </c>
      <c r="J3861" s="14" t="s">
        <v>43</v>
      </c>
      <c r="K3861" s="15" t="s">
        <v>30</v>
      </c>
      <c r="L3861" s="57" t="s">
        <v>3509</v>
      </c>
      <c r="M3861" s="14"/>
      <c r="N3861" s="14" t="s">
        <v>229</v>
      </c>
      <c r="O3861" s="14"/>
      <c r="P3861" s="15" t="s">
        <v>47</v>
      </c>
      <c r="Q3861" s="16">
        <v>11299</v>
      </c>
      <c r="R3861" s="17">
        <v>40</v>
      </c>
      <c r="S3861" s="18">
        <v>7796.3099999999986</v>
      </c>
      <c r="T3861" s="19" t="s">
        <v>36</v>
      </c>
      <c r="U3861" s="20" t="s">
        <v>37</v>
      </c>
      <c r="V3861" s="21" t="s">
        <v>38</v>
      </c>
      <c r="W3861" s="22">
        <v>14</v>
      </c>
      <c r="X3861" s="23"/>
    </row>
    <row r="3862" spans="1:24" s="1" customFormat="1" ht="21" customHeight="1" x14ac:dyDescent="0.3">
      <c r="A3862" s="24" t="s">
        <v>23</v>
      </c>
      <c r="B3862" s="24" t="s">
        <v>3507</v>
      </c>
      <c r="C3862" s="27" t="s">
        <v>3508</v>
      </c>
      <c r="D3862" s="60"/>
      <c r="E3862" s="41" t="str">
        <f>HYPERLINK("https://www.google.ru/search?q=6003087-299&amp;newwindow=1&amp;tbm=isch","Еще фото")</f>
        <v>Еще фото</v>
      </c>
      <c r="F3862" s="13" t="s">
        <v>103</v>
      </c>
      <c r="G3862" s="24" t="s">
        <v>2966</v>
      </c>
      <c r="H3862" s="24" t="s">
        <v>27</v>
      </c>
      <c r="I3862" s="24" t="s">
        <v>2940</v>
      </c>
      <c r="J3862" s="14" t="s">
        <v>43</v>
      </c>
      <c r="K3862" s="15" t="s">
        <v>30</v>
      </c>
      <c r="L3862" s="62"/>
      <c r="M3862" s="14"/>
      <c r="N3862" s="14" t="s">
        <v>229</v>
      </c>
      <c r="O3862" s="14"/>
      <c r="P3862" s="15" t="s">
        <v>47</v>
      </c>
      <c r="Q3862" s="16">
        <v>11299</v>
      </c>
      <c r="R3862" s="17">
        <v>40</v>
      </c>
      <c r="S3862" s="18">
        <v>7796.3099999999986</v>
      </c>
      <c r="T3862" s="19" t="s">
        <v>36</v>
      </c>
      <c r="U3862" s="20" t="s">
        <v>39</v>
      </c>
      <c r="V3862" s="21" t="s">
        <v>40</v>
      </c>
      <c r="W3862" s="22">
        <v>22</v>
      </c>
      <c r="X3862" s="23"/>
    </row>
    <row r="3863" spans="1:24" s="1" customFormat="1" ht="21" customHeight="1" x14ac:dyDescent="0.3">
      <c r="A3863" s="24" t="s">
        <v>23</v>
      </c>
      <c r="B3863" s="24" t="s">
        <v>3507</v>
      </c>
      <c r="C3863" s="27" t="s">
        <v>3508</v>
      </c>
      <c r="D3863" s="60"/>
      <c r="E3863" s="41" t="str">
        <f>HYPERLINK("https://www.google.ru/search?q=6003087-299&amp;newwindow=1&amp;tbm=isch","Еще фото")</f>
        <v>Еще фото</v>
      </c>
      <c r="F3863" s="13" t="s">
        <v>103</v>
      </c>
      <c r="G3863" s="24" t="s">
        <v>2966</v>
      </c>
      <c r="H3863" s="24" t="s">
        <v>27</v>
      </c>
      <c r="I3863" s="24" t="s">
        <v>2940</v>
      </c>
      <c r="J3863" s="14" t="s">
        <v>43</v>
      </c>
      <c r="K3863" s="15" t="s">
        <v>30</v>
      </c>
      <c r="L3863" s="62"/>
      <c r="M3863" s="14"/>
      <c r="N3863" s="14" t="s">
        <v>229</v>
      </c>
      <c r="O3863" s="14"/>
      <c r="P3863" s="15" t="s">
        <v>47</v>
      </c>
      <c r="Q3863" s="16">
        <v>11299</v>
      </c>
      <c r="R3863" s="17">
        <v>40</v>
      </c>
      <c r="S3863" s="18">
        <v>7796.3099999999986</v>
      </c>
      <c r="T3863" s="19" t="s">
        <v>36</v>
      </c>
      <c r="U3863" s="20" t="s">
        <v>86</v>
      </c>
      <c r="V3863" s="21" t="s">
        <v>87</v>
      </c>
      <c r="W3863" s="22">
        <v>20</v>
      </c>
      <c r="X3863" s="23"/>
    </row>
    <row r="3864" spans="1:24" s="1" customFormat="1" ht="21" customHeight="1" x14ac:dyDescent="0.3">
      <c r="A3864" s="24" t="s">
        <v>23</v>
      </c>
      <c r="B3864" s="24" t="s">
        <v>3507</v>
      </c>
      <c r="C3864" s="27" t="s">
        <v>3508</v>
      </c>
      <c r="D3864" s="60"/>
      <c r="E3864" s="41" t="str">
        <f>HYPERLINK("https://www.google.ru/search?q=6003087-299&amp;newwindow=1&amp;tbm=isch","Еще фото")</f>
        <v>Еще фото</v>
      </c>
      <c r="F3864" s="13" t="s">
        <v>103</v>
      </c>
      <c r="G3864" s="24" t="s">
        <v>2966</v>
      </c>
      <c r="H3864" s="24" t="s">
        <v>27</v>
      </c>
      <c r="I3864" s="24" t="s">
        <v>2940</v>
      </c>
      <c r="J3864" s="14" t="s">
        <v>43</v>
      </c>
      <c r="K3864" s="15" t="s">
        <v>30</v>
      </c>
      <c r="L3864" s="62"/>
      <c r="M3864" s="14"/>
      <c r="N3864" s="14" t="s">
        <v>229</v>
      </c>
      <c r="O3864" s="14"/>
      <c r="P3864" s="15" t="s">
        <v>47</v>
      </c>
      <c r="Q3864" s="16">
        <v>11299</v>
      </c>
      <c r="R3864" s="17">
        <v>40</v>
      </c>
      <c r="S3864" s="18">
        <v>7796.3099999999986</v>
      </c>
      <c r="T3864" s="19" t="s">
        <v>36</v>
      </c>
      <c r="U3864" s="20" t="s">
        <v>88</v>
      </c>
      <c r="V3864" s="21" t="s">
        <v>89</v>
      </c>
      <c r="W3864" s="22">
        <v>8</v>
      </c>
      <c r="X3864" s="23"/>
    </row>
    <row r="3865" spans="1:24" s="1" customFormat="1" ht="32" customHeight="1" x14ac:dyDescent="0.3">
      <c r="A3865" s="24" t="s">
        <v>23</v>
      </c>
      <c r="B3865" s="24" t="s">
        <v>3507</v>
      </c>
      <c r="C3865" s="27" t="s">
        <v>3508</v>
      </c>
      <c r="D3865" s="61"/>
      <c r="E3865" s="41" t="str">
        <f>HYPERLINK("https://www.google.ru/search?q=6003087-299&amp;newwindow=1&amp;tbm=isch","Еще фото")</f>
        <v>Еще фото</v>
      </c>
      <c r="F3865" s="13" t="s">
        <v>103</v>
      </c>
      <c r="G3865" s="24" t="s">
        <v>2966</v>
      </c>
      <c r="H3865" s="24" t="s">
        <v>27</v>
      </c>
      <c r="I3865" s="24" t="s">
        <v>2940</v>
      </c>
      <c r="J3865" s="14" t="s">
        <v>43</v>
      </c>
      <c r="K3865" s="15" t="s">
        <v>30</v>
      </c>
      <c r="L3865" s="58"/>
      <c r="M3865" s="14"/>
      <c r="N3865" s="14" t="s">
        <v>229</v>
      </c>
      <c r="O3865" s="14"/>
      <c r="P3865" s="15" t="s">
        <v>47</v>
      </c>
      <c r="Q3865" s="16">
        <v>11299</v>
      </c>
      <c r="R3865" s="17">
        <v>40</v>
      </c>
      <c r="S3865" s="18">
        <v>7796.3099999999986</v>
      </c>
      <c r="T3865" s="19" t="s">
        <v>36</v>
      </c>
      <c r="U3865" s="20" t="s">
        <v>90</v>
      </c>
      <c r="V3865" s="21" t="s">
        <v>91</v>
      </c>
      <c r="W3865" s="22">
        <v>9</v>
      </c>
      <c r="X3865" s="23"/>
    </row>
    <row r="3866" spans="1:24" s="1" customFormat="1" ht="52.05" customHeight="1" x14ac:dyDescent="0.3">
      <c r="A3866" s="11" t="s">
        <v>23</v>
      </c>
      <c r="B3866" s="11" t="s">
        <v>3097</v>
      </c>
      <c r="C3866" s="12" t="s">
        <v>3510</v>
      </c>
      <c r="D3866" s="55"/>
      <c r="E3866" s="41" t="str">
        <f>HYPERLINK("https://www.google.ru/search?q=6003978-320&amp;newwindow=1&amp;tbm=isch","Еще фото")</f>
        <v>Еще фото</v>
      </c>
      <c r="F3866" s="13" t="s">
        <v>103</v>
      </c>
      <c r="G3866" s="11" t="s">
        <v>2966</v>
      </c>
      <c r="H3866" s="11" t="s">
        <v>27</v>
      </c>
      <c r="I3866" s="14" t="s">
        <v>2940</v>
      </c>
      <c r="J3866" s="14" t="s">
        <v>43</v>
      </c>
      <c r="K3866" s="15" t="s">
        <v>30</v>
      </c>
      <c r="L3866" s="57" t="s">
        <v>3163</v>
      </c>
      <c r="M3866" s="14" t="s">
        <v>32</v>
      </c>
      <c r="N3866" s="14" t="s">
        <v>127</v>
      </c>
      <c r="O3866" s="14"/>
      <c r="P3866" s="15" t="s">
        <v>248</v>
      </c>
      <c r="Q3866" s="16">
        <v>12499</v>
      </c>
      <c r="R3866" s="17">
        <v>40</v>
      </c>
      <c r="S3866" s="18">
        <v>8624.31</v>
      </c>
      <c r="T3866" s="19" t="s">
        <v>36</v>
      </c>
      <c r="U3866" s="20" t="s">
        <v>39</v>
      </c>
      <c r="V3866" s="21" t="s">
        <v>40</v>
      </c>
      <c r="W3866" s="22">
        <v>1</v>
      </c>
      <c r="X3866" s="23"/>
    </row>
    <row r="3867" spans="1:24" s="1" customFormat="1" ht="61.05" customHeight="1" x14ac:dyDescent="0.3">
      <c r="A3867" s="24" t="s">
        <v>23</v>
      </c>
      <c r="B3867" s="24" t="s">
        <v>3097</v>
      </c>
      <c r="C3867" s="12" t="s">
        <v>3510</v>
      </c>
      <c r="D3867" s="56"/>
      <c r="E3867" s="41" t="str">
        <f>HYPERLINK("https://www.google.ru/search?q=6003978-320&amp;newwindow=1&amp;tbm=isch","Еще фото")</f>
        <v>Еще фото</v>
      </c>
      <c r="F3867" s="13" t="s">
        <v>103</v>
      </c>
      <c r="G3867" s="24" t="s">
        <v>2966</v>
      </c>
      <c r="H3867" s="24" t="s">
        <v>27</v>
      </c>
      <c r="I3867" s="24" t="s">
        <v>2940</v>
      </c>
      <c r="J3867" s="14" t="s">
        <v>43</v>
      </c>
      <c r="K3867" s="15" t="s">
        <v>30</v>
      </c>
      <c r="L3867" s="58"/>
      <c r="M3867" s="14" t="s">
        <v>32</v>
      </c>
      <c r="N3867" s="14" t="s">
        <v>127</v>
      </c>
      <c r="O3867" s="14"/>
      <c r="P3867" s="15" t="s">
        <v>248</v>
      </c>
      <c r="Q3867" s="16">
        <v>12499</v>
      </c>
      <c r="R3867" s="17">
        <v>40</v>
      </c>
      <c r="S3867" s="18">
        <v>8624.31</v>
      </c>
      <c r="T3867" s="19" t="s">
        <v>36</v>
      </c>
      <c r="U3867" s="20" t="s">
        <v>86</v>
      </c>
      <c r="V3867" s="21" t="s">
        <v>87</v>
      </c>
      <c r="W3867" s="22">
        <v>8</v>
      </c>
      <c r="X3867" s="23"/>
    </row>
    <row r="3868" spans="1:24" s="1" customFormat="1" ht="21" customHeight="1" x14ac:dyDescent="0.3">
      <c r="A3868" s="11" t="s">
        <v>23</v>
      </c>
      <c r="B3868" s="11" t="s">
        <v>3511</v>
      </c>
      <c r="C3868" s="26" t="s">
        <v>3512</v>
      </c>
      <c r="D3868" s="59"/>
      <c r="E3868" s="41" t="str">
        <f>HYPERLINK("https://www.google.ru/search?q=6004043-001&amp;newwindow=1&amp;tbm=isch","Еще фото")</f>
        <v>Еще фото</v>
      </c>
      <c r="F3868" s="13" t="s">
        <v>103</v>
      </c>
      <c r="G3868" s="11" t="s">
        <v>2945</v>
      </c>
      <c r="H3868" s="11" t="s">
        <v>27</v>
      </c>
      <c r="I3868" s="14" t="s">
        <v>2940</v>
      </c>
      <c r="J3868" s="14" t="s">
        <v>311</v>
      </c>
      <c r="K3868" s="15" t="s">
        <v>30</v>
      </c>
      <c r="L3868" s="57" t="s">
        <v>3513</v>
      </c>
      <c r="M3868" s="14"/>
      <c r="N3868" s="14" t="s">
        <v>33</v>
      </c>
      <c r="O3868" s="14"/>
      <c r="P3868" s="15" t="s">
        <v>213</v>
      </c>
      <c r="Q3868" s="16">
        <v>6199</v>
      </c>
      <c r="R3868" s="17">
        <v>40</v>
      </c>
      <c r="S3868" s="18">
        <v>4277.3099999999995</v>
      </c>
      <c r="T3868" s="19" t="s">
        <v>36</v>
      </c>
      <c r="U3868" s="20" t="s">
        <v>37</v>
      </c>
      <c r="V3868" s="21" t="s">
        <v>38</v>
      </c>
      <c r="W3868" s="22">
        <v>16</v>
      </c>
      <c r="X3868" s="23"/>
    </row>
    <row r="3869" spans="1:24" s="1" customFormat="1" ht="21" customHeight="1" x14ac:dyDescent="0.3">
      <c r="A3869" s="24" t="s">
        <v>23</v>
      </c>
      <c r="B3869" s="24" t="s">
        <v>3511</v>
      </c>
      <c r="C3869" s="27" t="s">
        <v>3512</v>
      </c>
      <c r="D3869" s="60"/>
      <c r="E3869" s="41" t="str">
        <f>HYPERLINK("https://www.google.ru/search?q=6004043-001&amp;newwindow=1&amp;tbm=isch","Еще фото")</f>
        <v>Еще фото</v>
      </c>
      <c r="F3869" s="13" t="s">
        <v>103</v>
      </c>
      <c r="G3869" s="24" t="s">
        <v>2945</v>
      </c>
      <c r="H3869" s="24" t="s">
        <v>27</v>
      </c>
      <c r="I3869" s="24" t="s">
        <v>2940</v>
      </c>
      <c r="J3869" s="14" t="s">
        <v>311</v>
      </c>
      <c r="K3869" s="15" t="s">
        <v>30</v>
      </c>
      <c r="L3869" s="62"/>
      <c r="M3869" s="14"/>
      <c r="N3869" s="14" t="s">
        <v>33</v>
      </c>
      <c r="O3869" s="14"/>
      <c r="P3869" s="15" t="s">
        <v>213</v>
      </c>
      <c r="Q3869" s="16">
        <v>6199</v>
      </c>
      <c r="R3869" s="17">
        <v>40</v>
      </c>
      <c r="S3869" s="18">
        <v>4277.3099999999995</v>
      </c>
      <c r="T3869" s="19" t="s">
        <v>36</v>
      </c>
      <c r="U3869" s="20" t="s">
        <v>39</v>
      </c>
      <c r="V3869" s="21" t="s">
        <v>40</v>
      </c>
      <c r="W3869" s="22">
        <v>22</v>
      </c>
      <c r="X3869" s="23"/>
    </row>
    <row r="3870" spans="1:24" s="1" customFormat="1" ht="21" customHeight="1" x14ac:dyDescent="0.3">
      <c r="A3870" s="24" t="s">
        <v>23</v>
      </c>
      <c r="B3870" s="24" t="s">
        <v>3511</v>
      </c>
      <c r="C3870" s="27" t="s">
        <v>3512</v>
      </c>
      <c r="D3870" s="60"/>
      <c r="E3870" s="41" t="str">
        <f>HYPERLINK("https://www.google.ru/search?q=6004043-001&amp;newwindow=1&amp;tbm=isch","Еще фото")</f>
        <v>Еще фото</v>
      </c>
      <c r="F3870" s="13" t="s">
        <v>103</v>
      </c>
      <c r="G3870" s="24" t="s">
        <v>2945</v>
      </c>
      <c r="H3870" s="24" t="s">
        <v>27</v>
      </c>
      <c r="I3870" s="24" t="s">
        <v>2940</v>
      </c>
      <c r="J3870" s="14" t="s">
        <v>311</v>
      </c>
      <c r="K3870" s="15" t="s">
        <v>30</v>
      </c>
      <c r="L3870" s="62"/>
      <c r="M3870" s="14"/>
      <c r="N3870" s="14" t="s">
        <v>33</v>
      </c>
      <c r="O3870" s="14"/>
      <c r="P3870" s="15" t="s">
        <v>213</v>
      </c>
      <c r="Q3870" s="16">
        <v>6199</v>
      </c>
      <c r="R3870" s="17">
        <v>40</v>
      </c>
      <c r="S3870" s="18">
        <v>4277.3099999999995</v>
      </c>
      <c r="T3870" s="19" t="s">
        <v>36</v>
      </c>
      <c r="U3870" s="20" t="s">
        <v>86</v>
      </c>
      <c r="V3870" s="21" t="s">
        <v>87</v>
      </c>
      <c r="W3870" s="22">
        <v>24</v>
      </c>
      <c r="X3870" s="23"/>
    </row>
    <row r="3871" spans="1:24" s="1" customFormat="1" ht="21" customHeight="1" x14ac:dyDescent="0.3">
      <c r="A3871" s="24" t="s">
        <v>23</v>
      </c>
      <c r="B3871" s="24" t="s">
        <v>3511</v>
      </c>
      <c r="C3871" s="27" t="s">
        <v>3512</v>
      </c>
      <c r="D3871" s="60"/>
      <c r="E3871" s="41" t="str">
        <f>HYPERLINK("https://www.google.ru/search?q=6004043-001&amp;newwindow=1&amp;tbm=isch","Еще фото")</f>
        <v>Еще фото</v>
      </c>
      <c r="F3871" s="13" t="s">
        <v>103</v>
      </c>
      <c r="G3871" s="24" t="s">
        <v>2945</v>
      </c>
      <c r="H3871" s="24" t="s">
        <v>27</v>
      </c>
      <c r="I3871" s="24" t="s">
        <v>2940</v>
      </c>
      <c r="J3871" s="14" t="s">
        <v>311</v>
      </c>
      <c r="K3871" s="15" t="s">
        <v>30</v>
      </c>
      <c r="L3871" s="62"/>
      <c r="M3871" s="14"/>
      <c r="N3871" s="14" t="s">
        <v>33</v>
      </c>
      <c r="O3871" s="14"/>
      <c r="P3871" s="15" t="s">
        <v>213</v>
      </c>
      <c r="Q3871" s="16">
        <v>6199</v>
      </c>
      <c r="R3871" s="17">
        <v>40</v>
      </c>
      <c r="S3871" s="18">
        <v>4277.3099999999995</v>
      </c>
      <c r="T3871" s="19" t="s">
        <v>36</v>
      </c>
      <c r="U3871" s="20" t="s">
        <v>88</v>
      </c>
      <c r="V3871" s="21" t="s">
        <v>89</v>
      </c>
      <c r="W3871" s="22">
        <v>15</v>
      </c>
      <c r="X3871" s="23"/>
    </row>
    <row r="3872" spans="1:24" s="1" customFormat="1" ht="32" customHeight="1" x14ac:dyDescent="0.3">
      <c r="A3872" s="24" t="s">
        <v>23</v>
      </c>
      <c r="B3872" s="24" t="s">
        <v>3511</v>
      </c>
      <c r="C3872" s="27" t="s">
        <v>3512</v>
      </c>
      <c r="D3872" s="61"/>
      <c r="E3872" s="41" t="str">
        <f>HYPERLINK("https://www.google.ru/search?q=6004043-001&amp;newwindow=1&amp;tbm=isch","Еще фото")</f>
        <v>Еще фото</v>
      </c>
      <c r="F3872" s="13" t="s">
        <v>103</v>
      </c>
      <c r="G3872" s="24" t="s">
        <v>2945</v>
      </c>
      <c r="H3872" s="24" t="s">
        <v>27</v>
      </c>
      <c r="I3872" s="24" t="s">
        <v>2940</v>
      </c>
      <c r="J3872" s="14" t="s">
        <v>311</v>
      </c>
      <c r="K3872" s="15" t="s">
        <v>30</v>
      </c>
      <c r="L3872" s="58"/>
      <c r="M3872" s="14"/>
      <c r="N3872" s="14" t="s">
        <v>33</v>
      </c>
      <c r="O3872" s="14"/>
      <c r="P3872" s="15" t="s">
        <v>213</v>
      </c>
      <c r="Q3872" s="16">
        <v>6199</v>
      </c>
      <c r="R3872" s="17">
        <v>40</v>
      </c>
      <c r="S3872" s="18">
        <v>4277.3099999999995</v>
      </c>
      <c r="T3872" s="19" t="s">
        <v>36</v>
      </c>
      <c r="U3872" s="20" t="s">
        <v>90</v>
      </c>
      <c r="V3872" s="21" t="s">
        <v>91</v>
      </c>
      <c r="W3872" s="22">
        <v>10</v>
      </c>
      <c r="X3872" s="23"/>
    </row>
    <row r="3873" spans="1:24" s="1" customFormat="1" ht="26" customHeight="1" x14ac:dyDescent="0.3">
      <c r="A3873" s="11" t="s">
        <v>23</v>
      </c>
      <c r="B3873" s="11" t="s">
        <v>3514</v>
      </c>
      <c r="C3873" s="12" t="s">
        <v>3515</v>
      </c>
      <c r="D3873" s="59"/>
      <c r="E3873" s="41" t="str">
        <f>HYPERLINK("https://www.google.ru/search?q=6005900-001&amp;newwindow=1&amp;tbm=isch","Еще фото")</f>
        <v>Еще фото</v>
      </c>
      <c r="F3873" s="13" t="s">
        <v>103</v>
      </c>
      <c r="G3873" s="11" t="s">
        <v>2966</v>
      </c>
      <c r="H3873" s="11" t="s">
        <v>27</v>
      </c>
      <c r="I3873" s="14" t="s">
        <v>2940</v>
      </c>
      <c r="J3873" s="14" t="s">
        <v>29</v>
      </c>
      <c r="K3873" s="15" t="s">
        <v>30</v>
      </c>
      <c r="L3873" s="57" t="s">
        <v>3516</v>
      </c>
      <c r="M3873" s="14"/>
      <c r="N3873" s="14" t="s">
        <v>33</v>
      </c>
      <c r="O3873" s="14"/>
      <c r="P3873" s="15" t="s">
        <v>53</v>
      </c>
      <c r="Q3873" s="16">
        <v>10999</v>
      </c>
      <c r="R3873" s="17">
        <v>40</v>
      </c>
      <c r="S3873" s="18">
        <v>7589.3099999999986</v>
      </c>
      <c r="T3873" s="19" t="s">
        <v>36</v>
      </c>
      <c r="U3873" s="20" t="s">
        <v>37</v>
      </c>
      <c r="V3873" s="21" t="s">
        <v>38</v>
      </c>
      <c r="W3873" s="22">
        <v>15</v>
      </c>
      <c r="X3873" s="23"/>
    </row>
    <row r="3874" spans="1:24" s="1" customFormat="1" ht="26" customHeight="1" x14ac:dyDescent="0.3">
      <c r="A3874" s="24" t="s">
        <v>23</v>
      </c>
      <c r="B3874" s="24" t="s">
        <v>3514</v>
      </c>
      <c r="C3874" s="12" t="s">
        <v>3515</v>
      </c>
      <c r="D3874" s="60"/>
      <c r="E3874" s="41" t="str">
        <f>HYPERLINK("https://www.google.ru/search?q=6005900-001&amp;newwindow=1&amp;tbm=isch","Еще фото")</f>
        <v>Еще фото</v>
      </c>
      <c r="F3874" s="13" t="s">
        <v>103</v>
      </c>
      <c r="G3874" s="24" t="s">
        <v>2966</v>
      </c>
      <c r="H3874" s="24" t="s">
        <v>27</v>
      </c>
      <c r="I3874" s="24" t="s">
        <v>2940</v>
      </c>
      <c r="J3874" s="14" t="s">
        <v>29</v>
      </c>
      <c r="K3874" s="15" t="s">
        <v>30</v>
      </c>
      <c r="L3874" s="62"/>
      <c r="M3874" s="14"/>
      <c r="N3874" s="14" t="s">
        <v>33</v>
      </c>
      <c r="O3874" s="14"/>
      <c r="P3874" s="15" t="s">
        <v>53</v>
      </c>
      <c r="Q3874" s="16">
        <v>10999</v>
      </c>
      <c r="R3874" s="17">
        <v>40</v>
      </c>
      <c r="S3874" s="18">
        <v>7589.3099999999986</v>
      </c>
      <c r="T3874" s="19" t="s">
        <v>36</v>
      </c>
      <c r="U3874" s="20" t="s">
        <v>39</v>
      </c>
      <c r="V3874" s="21" t="s">
        <v>40</v>
      </c>
      <c r="W3874" s="22">
        <v>7</v>
      </c>
      <c r="X3874" s="23"/>
    </row>
    <row r="3875" spans="1:24" s="1" customFormat="1" ht="26" customHeight="1" x14ac:dyDescent="0.3">
      <c r="A3875" s="24" t="s">
        <v>23</v>
      </c>
      <c r="B3875" s="24" t="s">
        <v>3514</v>
      </c>
      <c r="C3875" s="12" t="s">
        <v>3515</v>
      </c>
      <c r="D3875" s="60"/>
      <c r="E3875" s="41" t="str">
        <f>HYPERLINK("https://www.google.ru/search?q=6005900-001&amp;newwindow=1&amp;tbm=isch","Еще фото")</f>
        <v>Еще фото</v>
      </c>
      <c r="F3875" s="13" t="s">
        <v>103</v>
      </c>
      <c r="G3875" s="24" t="s">
        <v>2966</v>
      </c>
      <c r="H3875" s="24" t="s">
        <v>27</v>
      </c>
      <c r="I3875" s="24" t="s">
        <v>2940</v>
      </c>
      <c r="J3875" s="14" t="s">
        <v>29</v>
      </c>
      <c r="K3875" s="15" t="s">
        <v>30</v>
      </c>
      <c r="L3875" s="62"/>
      <c r="M3875" s="14"/>
      <c r="N3875" s="14" t="s">
        <v>33</v>
      </c>
      <c r="O3875" s="14"/>
      <c r="P3875" s="15" t="s">
        <v>53</v>
      </c>
      <c r="Q3875" s="16">
        <v>10999</v>
      </c>
      <c r="R3875" s="17">
        <v>40</v>
      </c>
      <c r="S3875" s="18">
        <v>7589.3099999999986</v>
      </c>
      <c r="T3875" s="19" t="s">
        <v>36</v>
      </c>
      <c r="U3875" s="20" t="s">
        <v>86</v>
      </c>
      <c r="V3875" s="21" t="s">
        <v>87</v>
      </c>
      <c r="W3875" s="22">
        <v>9</v>
      </c>
      <c r="X3875" s="23"/>
    </row>
    <row r="3876" spans="1:24" s="1" customFormat="1" ht="26" customHeight="1" x14ac:dyDescent="0.3">
      <c r="A3876" s="24" t="s">
        <v>23</v>
      </c>
      <c r="B3876" s="24" t="s">
        <v>3514</v>
      </c>
      <c r="C3876" s="12" t="s">
        <v>3515</v>
      </c>
      <c r="D3876" s="61"/>
      <c r="E3876" s="41" t="str">
        <f>HYPERLINK("https://www.google.ru/search?q=6005900-001&amp;newwindow=1&amp;tbm=isch","Еще фото")</f>
        <v>Еще фото</v>
      </c>
      <c r="F3876" s="13" t="s">
        <v>103</v>
      </c>
      <c r="G3876" s="24" t="s">
        <v>2966</v>
      </c>
      <c r="H3876" s="24" t="s">
        <v>27</v>
      </c>
      <c r="I3876" s="24" t="s">
        <v>2940</v>
      </c>
      <c r="J3876" s="14" t="s">
        <v>29</v>
      </c>
      <c r="K3876" s="15" t="s">
        <v>30</v>
      </c>
      <c r="L3876" s="58"/>
      <c r="M3876" s="14"/>
      <c r="N3876" s="14" t="s">
        <v>33</v>
      </c>
      <c r="O3876" s="14"/>
      <c r="P3876" s="15" t="s">
        <v>53</v>
      </c>
      <c r="Q3876" s="16">
        <v>10999</v>
      </c>
      <c r="R3876" s="17">
        <v>40</v>
      </c>
      <c r="S3876" s="18">
        <v>7589.3099999999986</v>
      </c>
      <c r="T3876" s="19" t="s">
        <v>36</v>
      </c>
      <c r="U3876" s="20" t="s">
        <v>90</v>
      </c>
      <c r="V3876" s="21" t="s">
        <v>91</v>
      </c>
      <c r="W3876" s="22">
        <v>1</v>
      </c>
      <c r="X3876" s="23"/>
    </row>
    <row r="3877" spans="1:24" s="1" customFormat="1" ht="21" customHeight="1" x14ac:dyDescent="0.3">
      <c r="A3877" s="11" t="s">
        <v>23</v>
      </c>
      <c r="B3877" s="11" t="s">
        <v>3514</v>
      </c>
      <c r="C3877" s="26" t="s">
        <v>3517</v>
      </c>
      <c r="D3877" s="59"/>
      <c r="E3877" s="41" t="str">
        <f>HYPERLINK("https://www.google.ru/search?q=6005900-025&amp;newwindow=1&amp;tbm=isch","Еще фото")</f>
        <v>Еще фото</v>
      </c>
      <c r="F3877" s="13"/>
      <c r="G3877" s="11" t="s">
        <v>2966</v>
      </c>
      <c r="H3877" s="11" t="s">
        <v>27</v>
      </c>
      <c r="I3877" s="14" t="s">
        <v>2940</v>
      </c>
      <c r="J3877" s="14" t="s">
        <v>29</v>
      </c>
      <c r="K3877" s="15" t="s">
        <v>30</v>
      </c>
      <c r="L3877" s="57" t="s">
        <v>3516</v>
      </c>
      <c r="M3877" s="14"/>
      <c r="N3877" s="14" t="s">
        <v>62</v>
      </c>
      <c r="O3877" s="14"/>
      <c r="P3877" s="15" t="s">
        <v>53</v>
      </c>
      <c r="Q3877" s="16">
        <v>10499</v>
      </c>
      <c r="R3877" s="17">
        <v>40</v>
      </c>
      <c r="S3877" s="18">
        <v>7244.3099999999986</v>
      </c>
      <c r="T3877" s="19" t="s">
        <v>36</v>
      </c>
      <c r="U3877" s="20" t="s">
        <v>37</v>
      </c>
      <c r="V3877" s="21" t="s">
        <v>38</v>
      </c>
      <c r="W3877" s="22">
        <v>15</v>
      </c>
      <c r="X3877" s="23"/>
    </row>
    <row r="3878" spans="1:24" s="1" customFormat="1" ht="21" customHeight="1" x14ac:dyDescent="0.3">
      <c r="A3878" s="24" t="s">
        <v>23</v>
      </c>
      <c r="B3878" s="24" t="s">
        <v>3514</v>
      </c>
      <c r="C3878" s="27" t="s">
        <v>3517</v>
      </c>
      <c r="D3878" s="60"/>
      <c r="E3878" s="41" t="str">
        <f>HYPERLINK("https://www.google.ru/search?q=6005900-025&amp;newwindow=1&amp;tbm=isch","Еще фото")</f>
        <v>Еще фото</v>
      </c>
      <c r="F3878" s="13"/>
      <c r="G3878" s="24" t="s">
        <v>2966</v>
      </c>
      <c r="H3878" s="24" t="s">
        <v>27</v>
      </c>
      <c r="I3878" s="24" t="s">
        <v>2940</v>
      </c>
      <c r="J3878" s="14" t="s">
        <v>29</v>
      </c>
      <c r="K3878" s="15" t="s">
        <v>30</v>
      </c>
      <c r="L3878" s="62"/>
      <c r="M3878" s="14"/>
      <c r="N3878" s="14" t="s">
        <v>62</v>
      </c>
      <c r="O3878" s="14"/>
      <c r="P3878" s="15" t="s">
        <v>53</v>
      </c>
      <c r="Q3878" s="16">
        <v>10499</v>
      </c>
      <c r="R3878" s="17">
        <v>40</v>
      </c>
      <c r="S3878" s="18">
        <v>7244.3099999999986</v>
      </c>
      <c r="T3878" s="19" t="s">
        <v>36</v>
      </c>
      <c r="U3878" s="20" t="s">
        <v>39</v>
      </c>
      <c r="V3878" s="21" t="s">
        <v>40</v>
      </c>
      <c r="W3878" s="22">
        <v>27</v>
      </c>
      <c r="X3878" s="23"/>
    </row>
    <row r="3879" spans="1:24" s="1" customFormat="1" ht="21" customHeight="1" x14ac:dyDescent="0.3">
      <c r="A3879" s="24" t="s">
        <v>23</v>
      </c>
      <c r="B3879" s="24" t="s">
        <v>3514</v>
      </c>
      <c r="C3879" s="27" t="s">
        <v>3517</v>
      </c>
      <c r="D3879" s="60"/>
      <c r="E3879" s="41" t="str">
        <f>HYPERLINK("https://www.google.ru/search?q=6005900-025&amp;newwindow=1&amp;tbm=isch","Еще фото")</f>
        <v>Еще фото</v>
      </c>
      <c r="F3879" s="13"/>
      <c r="G3879" s="24" t="s">
        <v>2966</v>
      </c>
      <c r="H3879" s="24" t="s">
        <v>27</v>
      </c>
      <c r="I3879" s="24" t="s">
        <v>2940</v>
      </c>
      <c r="J3879" s="14" t="s">
        <v>29</v>
      </c>
      <c r="K3879" s="15" t="s">
        <v>30</v>
      </c>
      <c r="L3879" s="62"/>
      <c r="M3879" s="14"/>
      <c r="N3879" s="14" t="s">
        <v>62</v>
      </c>
      <c r="O3879" s="14"/>
      <c r="P3879" s="15" t="s">
        <v>53</v>
      </c>
      <c r="Q3879" s="16">
        <v>10499</v>
      </c>
      <c r="R3879" s="17">
        <v>40</v>
      </c>
      <c r="S3879" s="18">
        <v>7244.3099999999986</v>
      </c>
      <c r="T3879" s="19" t="s">
        <v>36</v>
      </c>
      <c r="U3879" s="20" t="s">
        <v>86</v>
      </c>
      <c r="V3879" s="21" t="s">
        <v>87</v>
      </c>
      <c r="W3879" s="22">
        <v>28</v>
      </c>
      <c r="X3879" s="23"/>
    </row>
    <row r="3880" spans="1:24" s="1" customFormat="1" ht="21" customHeight="1" x14ac:dyDescent="0.3">
      <c r="A3880" s="24" t="s">
        <v>23</v>
      </c>
      <c r="B3880" s="24" t="s">
        <v>3514</v>
      </c>
      <c r="C3880" s="27" t="s">
        <v>3517</v>
      </c>
      <c r="D3880" s="60"/>
      <c r="E3880" s="41" t="str">
        <f>HYPERLINK("https://www.google.ru/search?q=6005900-025&amp;newwindow=1&amp;tbm=isch","Еще фото")</f>
        <v>Еще фото</v>
      </c>
      <c r="F3880" s="13"/>
      <c r="G3880" s="24" t="s">
        <v>2966</v>
      </c>
      <c r="H3880" s="24" t="s">
        <v>27</v>
      </c>
      <c r="I3880" s="24" t="s">
        <v>2940</v>
      </c>
      <c r="J3880" s="14" t="s">
        <v>29</v>
      </c>
      <c r="K3880" s="15" t="s">
        <v>30</v>
      </c>
      <c r="L3880" s="62"/>
      <c r="M3880" s="14"/>
      <c r="N3880" s="14" t="s">
        <v>62</v>
      </c>
      <c r="O3880" s="14"/>
      <c r="P3880" s="15" t="s">
        <v>53</v>
      </c>
      <c r="Q3880" s="16">
        <v>10499</v>
      </c>
      <c r="R3880" s="17">
        <v>40</v>
      </c>
      <c r="S3880" s="18">
        <v>7244.3099999999986</v>
      </c>
      <c r="T3880" s="19" t="s">
        <v>36</v>
      </c>
      <c r="U3880" s="20" t="s">
        <v>88</v>
      </c>
      <c r="V3880" s="21" t="s">
        <v>89</v>
      </c>
      <c r="W3880" s="22">
        <v>15</v>
      </c>
      <c r="X3880" s="23"/>
    </row>
    <row r="3881" spans="1:24" s="1" customFormat="1" ht="32" customHeight="1" x14ac:dyDescent="0.3">
      <c r="A3881" s="24" t="s">
        <v>23</v>
      </c>
      <c r="B3881" s="24" t="s">
        <v>3514</v>
      </c>
      <c r="C3881" s="27" t="s">
        <v>3517</v>
      </c>
      <c r="D3881" s="61"/>
      <c r="E3881" s="41" t="str">
        <f>HYPERLINK("https://www.google.ru/search?q=6005900-025&amp;newwindow=1&amp;tbm=isch","Еще фото")</f>
        <v>Еще фото</v>
      </c>
      <c r="F3881" s="13"/>
      <c r="G3881" s="24" t="s">
        <v>2966</v>
      </c>
      <c r="H3881" s="24" t="s">
        <v>27</v>
      </c>
      <c r="I3881" s="24" t="s">
        <v>2940</v>
      </c>
      <c r="J3881" s="14" t="s">
        <v>29</v>
      </c>
      <c r="K3881" s="15" t="s">
        <v>30</v>
      </c>
      <c r="L3881" s="58"/>
      <c r="M3881" s="14"/>
      <c r="N3881" s="14" t="s">
        <v>62</v>
      </c>
      <c r="O3881" s="14"/>
      <c r="P3881" s="15" t="s">
        <v>53</v>
      </c>
      <c r="Q3881" s="16">
        <v>10499</v>
      </c>
      <c r="R3881" s="17">
        <v>40</v>
      </c>
      <c r="S3881" s="18">
        <v>7244.3099999999986</v>
      </c>
      <c r="T3881" s="19" t="s">
        <v>36</v>
      </c>
      <c r="U3881" s="20" t="s">
        <v>90</v>
      </c>
      <c r="V3881" s="21" t="s">
        <v>91</v>
      </c>
      <c r="W3881" s="22">
        <v>7</v>
      </c>
      <c r="X3881" s="23"/>
    </row>
    <row r="3882" spans="1:24" s="1" customFormat="1" ht="52.05" customHeight="1" x14ac:dyDescent="0.3">
      <c r="A3882" s="11" t="s">
        <v>23</v>
      </c>
      <c r="B3882" s="11" t="s">
        <v>3518</v>
      </c>
      <c r="C3882" s="12" t="s">
        <v>3519</v>
      </c>
      <c r="D3882" s="55"/>
      <c r="E3882" s="41" t="str">
        <f>HYPERLINK("https://www.google.ru/search?q=6007591-011&amp;newwindow=1&amp;tbm=isch","Еще фото")</f>
        <v>Еще фото</v>
      </c>
      <c r="F3882" s="13" t="s">
        <v>103</v>
      </c>
      <c r="G3882" s="11" t="s">
        <v>2939</v>
      </c>
      <c r="H3882" s="11" t="s">
        <v>27</v>
      </c>
      <c r="I3882" s="14" t="s">
        <v>2940</v>
      </c>
      <c r="J3882" s="14" t="s">
        <v>43</v>
      </c>
      <c r="K3882" s="15" t="s">
        <v>30</v>
      </c>
      <c r="L3882" s="57" t="s">
        <v>3520</v>
      </c>
      <c r="M3882" s="14"/>
      <c r="N3882" s="14" t="s">
        <v>62</v>
      </c>
      <c r="O3882" s="14"/>
      <c r="P3882" s="15" t="s">
        <v>120</v>
      </c>
      <c r="Q3882" s="16">
        <v>8899</v>
      </c>
      <c r="R3882" s="17">
        <v>40</v>
      </c>
      <c r="S3882" s="18">
        <v>6140.3099999999995</v>
      </c>
      <c r="T3882" s="19" t="s">
        <v>36</v>
      </c>
      <c r="U3882" s="20" t="s">
        <v>37</v>
      </c>
      <c r="V3882" s="21" t="s">
        <v>38</v>
      </c>
      <c r="W3882" s="22">
        <v>1</v>
      </c>
      <c r="X3882" s="23"/>
    </row>
    <row r="3883" spans="1:24" s="1" customFormat="1" ht="61.05" customHeight="1" x14ac:dyDescent="0.3">
      <c r="A3883" s="24" t="s">
        <v>23</v>
      </c>
      <c r="B3883" s="24" t="s">
        <v>3518</v>
      </c>
      <c r="C3883" s="12" t="s">
        <v>3519</v>
      </c>
      <c r="D3883" s="56"/>
      <c r="E3883" s="41" t="str">
        <f>HYPERLINK("https://www.google.ru/search?q=6007591-011&amp;newwindow=1&amp;tbm=isch","Еще фото")</f>
        <v>Еще фото</v>
      </c>
      <c r="F3883" s="13" t="s">
        <v>103</v>
      </c>
      <c r="G3883" s="24" t="s">
        <v>2939</v>
      </c>
      <c r="H3883" s="24" t="s">
        <v>27</v>
      </c>
      <c r="I3883" s="24" t="s">
        <v>2940</v>
      </c>
      <c r="J3883" s="14" t="s">
        <v>43</v>
      </c>
      <c r="K3883" s="15" t="s">
        <v>30</v>
      </c>
      <c r="L3883" s="58"/>
      <c r="M3883" s="14"/>
      <c r="N3883" s="14" t="s">
        <v>62</v>
      </c>
      <c r="O3883" s="14"/>
      <c r="P3883" s="15" t="s">
        <v>120</v>
      </c>
      <c r="Q3883" s="16">
        <v>8899</v>
      </c>
      <c r="R3883" s="17">
        <v>40</v>
      </c>
      <c r="S3883" s="18">
        <v>6140.3099999999995</v>
      </c>
      <c r="T3883" s="19" t="s">
        <v>36</v>
      </c>
      <c r="U3883" s="20" t="s">
        <v>86</v>
      </c>
      <c r="V3883" s="21" t="s">
        <v>87</v>
      </c>
      <c r="W3883" s="22">
        <v>6</v>
      </c>
      <c r="X3883" s="23"/>
    </row>
    <row r="3884" spans="1:24" s="1" customFormat="1" ht="108" customHeight="1" x14ac:dyDescent="0.3">
      <c r="A3884" s="11" t="s">
        <v>23</v>
      </c>
      <c r="B3884" s="11" t="s">
        <v>3518</v>
      </c>
      <c r="C3884" s="12" t="s">
        <v>3521</v>
      </c>
      <c r="D3884" s="25"/>
      <c r="E3884" s="41" t="str">
        <f>HYPERLINK("https://www.google.ru/search?q=6007591-418&amp;newwindow=1&amp;tbm=isch","Еще фото")</f>
        <v>Еще фото</v>
      </c>
      <c r="F3884" s="13"/>
      <c r="G3884" s="11" t="s">
        <v>2939</v>
      </c>
      <c r="H3884" s="11" t="s">
        <v>27</v>
      </c>
      <c r="I3884" s="14" t="s">
        <v>2940</v>
      </c>
      <c r="J3884" s="14" t="s">
        <v>43</v>
      </c>
      <c r="K3884" s="15" t="s">
        <v>30</v>
      </c>
      <c r="L3884" s="14" t="s">
        <v>3522</v>
      </c>
      <c r="M3884" s="14"/>
      <c r="N3884" s="14" t="s">
        <v>115</v>
      </c>
      <c r="O3884" s="14"/>
      <c r="P3884" s="15" t="s">
        <v>120</v>
      </c>
      <c r="Q3884" s="16">
        <v>8899</v>
      </c>
      <c r="R3884" s="17">
        <v>40</v>
      </c>
      <c r="S3884" s="18">
        <v>6140.3099999999995</v>
      </c>
      <c r="T3884" s="19" t="s">
        <v>36</v>
      </c>
      <c r="U3884" s="20" t="s">
        <v>39</v>
      </c>
      <c r="V3884" s="21" t="s">
        <v>40</v>
      </c>
      <c r="W3884" s="22">
        <v>3</v>
      </c>
      <c r="X3884" s="23"/>
    </row>
    <row r="3885" spans="1:24" s="1" customFormat="1" ht="52.05" customHeight="1" x14ac:dyDescent="0.3">
      <c r="A3885" s="11" t="s">
        <v>23</v>
      </c>
      <c r="B3885" s="11" t="s">
        <v>3217</v>
      </c>
      <c r="C3885" s="12" t="s">
        <v>3523</v>
      </c>
      <c r="D3885" s="55"/>
      <c r="E3885" s="41" t="str">
        <f>HYPERLINK("https://www.google.ru/search?q=6008900-418&amp;newwindow=1&amp;tbm=isch","Еще фото")</f>
        <v>Еще фото</v>
      </c>
      <c r="F3885" s="13"/>
      <c r="G3885" s="11" t="s">
        <v>2939</v>
      </c>
      <c r="H3885" s="11" t="s">
        <v>27</v>
      </c>
      <c r="I3885" s="14" t="s">
        <v>2940</v>
      </c>
      <c r="J3885" s="14" t="s">
        <v>43</v>
      </c>
      <c r="K3885" s="15" t="s">
        <v>30</v>
      </c>
      <c r="L3885" s="57" t="s">
        <v>3219</v>
      </c>
      <c r="M3885" s="14"/>
      <c r="N3885" s="14" t="s">
        <v>115</v>
      </c>
      <c r="O3885" s="14"/>
      <c r="P3885" s="15" t="s">
        <v>120</v>
      </c>
      <c r="Q3885" s="16">
        <v>16399</v>
      </c>
      <c r="R3885" s="17">
        <v>40</v>
      </c>
      <c r="S3885" s="18">
        <v>11315.31</v>
      </c>
      <c r="T3885" s="19" t="s">
        <v>36</v>
      </c>
      <c r="U3885" s="20" t="s">
        <v>37</v>
      </c>
      <c r="V3885" s="21" t="s">
        <v>38</v>
      </c>
      <c r="W3885" s="22">
        <v>1</v>
      </c>
      <c r="X3885" s="23"/>
    </row>
    <row r="3886" spans="1:24" s="1" customFormat="1" ht="61.05" customHeight="1" x14ac:dyDescent="0.3">
      <c r="A3886" s="24" t="s">
        <v>23</v>
      </c>
      <c r="B3886" s="24" t="s">
        <v>3217</v>
      </c>
      <c r="C3886" s="12" t="s">
        <v>3523</v>
      </c>
      <c r="D3886" s="56"/>
      <c r="E3886" s="41" t="str">
        <f>HYPERLINK("https://www.google.ru/search?q=6008900-418&amp;newwindow=1&amp;tbm=isch","Еще фото")</f>
        <v>Еще фото</v>
      </c>
      <c r="F3886" s="13"/>
      <c r="G3886" s="24" t="s">
        <v>2939</v>
      </c>
      <c r="H3886" s="24" t="s">
        <v>27</v>
      </c>
      <c r="I3886" s="24" t="s">
        <v>2940</v>
      </c>
      <c r="J3886" s="14" t="s">
        <v>43</v>
      </c>
      <c r="K3886" s="15" t="s">
        <v>30</v>
      </c>
      <c r="L3886" s="58"/>
      <c r="M3886" s="14"/>
      <c r="N3886" s="14" t="s">
        <v>115</v>
      </c>
      <c r="O3886" s="14"/>
      <c r="P3886" s="15" t="s">
        <v>120</v>
      </c>
      <c r="Q3886" s="16">
        <v>16399</v>
      </c>
      <c r="R3886" s="17">
        <v>40</v>
      </c>
      <c r="S3886" s="18">
        <v>11315.31</v>
      </c>
      <c r="T3886" s="19" t="s">
        <v>36</v>
      </c>
      <c r="U3886" s="20" t="s">
        <v>88</v>
      </c>
      <c r="V3886" s="21" t="s">
        <v>89</v>
      </c>
      <c r="W3886" s="22">
        <v>1</v>
      </c>
      <c r="X3886" s="23"/>
    </row>
    <row r="3887" spans="1:24" s="1" customFormat="1" ht="52.05" customHeight="1" x14ac:dyDescent="0.3">
      <c r="A3887" s="11" t="s">
        <v>23</v>
      </c>
      <c r="B3887" s="11" t="s">
        <v>3524</v>
      </c>
      <c r="C3887" s="12" t="s">
        <v>3525</v>
      </c>
      <c r="D3887" s="55"/>
      <c r="E3887" s="41" t="str">
        <f>HYPERLINK("https://www.google.ru/search?q=6009346-011&amp;newwindow=1&amp;tbm=isch","Еще фото")</f>
        <v>Еще фото</v>
      </c>
      <c r="F3887" s="13" t="s">
        <v>152</v>
      </c>
      <c r="G3887" s="11" t="s">
        <v>2939</v>
      </c>
      <c r="H3887" s="11" t="s">
        <v>27</v>
      </c>
      <c r="I3887" s="14" t="s">
        <v>2940</v>
      </c>
      <c r="J3887" s="14" t="s">
        <v>43</v>
      </c>
      <c r="K3887" s="15" t="s">
        <v>30</v>
      </c>
      <c r="L3887" s="57" t="s">
        <v>3526</v>
      </c>
      <c r="M3887" s="14"/>
      <c r="N3887" s="14" t="s">
        <v>62</v>
      </c>
      <c r="O3887" s="14"/>
      <c r="P3887" s="15" t="s">
        <v>120</v>
      </c>
      <c r="Q3887" s="16">
        <v>7499</v>
      </c>
      <c r="R3887" s="17">
        <v>40</v>
      </c>
      <c r="S3887" s="18">
        <v>5174.3099999999995</v>
      </c>
      <c r="T3887" s="19" t="s">
        <v>36</v>
      </c>
      <c r="U3887" s="20" t="s">
        <v>86</v>
      </c>
      <c r="V3887" s="21" t="s">
        <v>87</v>
      </c>
      <c r="W3887" s="22">
        <v>6</v>
      </c>
      <c r="X3887" s="23"/>
    </row>
    <row r="3888" spans="1:24" s="1" customFormat="1" ht="61.05" customHeight="1" x14ac:dyDescent="0.3">
      <c r="A3888" s="24" t="s">
        <v>23</v>
      </c>
      <c r="B3888" s="24" t="s">
        <v>3524</v>
      </c>
      <c r="C3888" s="12" t="s">
        <v>3525</v>
      </c>
      <c r="D3888" s="56"/>
      <c r="E3888" s="41" t="str">
        <f>HYPERLINK("https://www.google.ru/search?q=6009346-011&amp;newwindow=1&amp;tbm=isch","Еще фото")</f>
        <v>Еще фото</v>
      </c>
      <c r="F3888" s="13" t="s">
        <v>152</v>
      </c>
      <c r="G3888" s="24" t="s">
        <v>2939</v>
      </c>
      <c r="H3888" s="24" t="s">
        <v>27</v>
      </c>
      <c r="I3888" s="24" t="s">
        <v>2940</v>
      </c>
      <c r="J3888" s="14" t="s">
        <v>43</v>
      </c>
      <c r="K3888" s="15" t="s">
        <v>30</v>
      </c>
      <c r="L3888" s="58"/>
      <c r="M3888" s="14"/>
      <c r="N3888" s="14" t="s">
        <v>62</v>
      </c>
      <c r="O3888" s="14"/>
      <c r="P3888" s="15" t="s">
        <v>120</v>
      </c>
      <c r="Q3888" s="16">
        <v>7499</v>
      </c>
      <c r="R3888" s="17">
        <v>40</v>
      </c>
      <c r="S3888" s="18">
        <v>5174.3099999999995</v>
      </c>
      <c r="T3888" s="19" t="s">
        <v>36</v>
      </c>
      <c r="U3888" s="20" t="s">
        <v>90</v>
      </c>
      <c r="V3888" s="21" t="s">
        <v>91</v>
      </c>
      <c r="W3888" s="22">
        <v>3</v>
      </c>
      <c r="X3888" s="23"/>
    </row>
    <row r="3889" spans="1:24" s="1" customFormat="1" ht="21" customHeight="1" x14ac:dyDescent="0.3">
      <c r="A3889" s="11" t="s">
        <v>23</v>
      </c>
      <c r="B3889" s="11" t="s">
        <v>3527</v>
      </c>
      <c r="C3889" s="26" t="s">
        <v>3528</v>
      </c>
      <c r="D3889" s="59"/>
      <c r="E3889" s="41" t="str">
        <f>HYPERLINK("https://www.google.ru/search?q=6009347-001&amp;newwindow=1&amp;tbm=isch","Еще фото")</f>
        <v>Еще фото</v>
      </c>
      <c r="F3889" s="13" t="s">
        <v>103</v>
      </c>
      <c r="G3889" s="11" t="s">
        <v>2945</v>
      </c>
      <c r="H3889" s="11" t="s">
        <v>27</v>
      </c>
      <c r="I3889" s="14" t="s">
        <v>2940</v>
      </c>
      <c r="J3889" s="14" t="s">
        <v>43</v>
      </c>
      <c r="K3889" s="15" t="s">
        <v>30</v>
      </c>
      <c r="L3889" s="57" t="s">
        <v>3529</v>
      </c>
      <c r="M3889" s="14"/>
      <c r="N3889" s="14" t="s">
        <v>33</v>
      </c>
      <c r="O3889" s="14"/>
      <c r="P3889" s="15" t="s">
        <v>120</v>
      </c>
      <c r="Q3889" s="16">
        <v>4799</v>
      </c>
      <c r="R3889" s="17">
        <v>40</v>
      </c>
      <c r="S3889" s="18">
        <v>3311.31</v>
      </c>
      <c r="T3889" s="19" t="s">
        <v>36</v>
      </c>
      <c r="U3889" s="20" t="s">
        <v>37</v>
      </c>
      <c r="V3889" s="21" t="s">
        <v>38</v>
      </c>
      <c r="W3889" s="22">
        <v>4</v>
      </c>
      <c r="X3889" s="23"/>
    </row>
    <row r="3890" spans="1:24" s="1" customFormat="1" ht="21" customHeight="1" x14ac:dyDescent="0.3">
      <c r="A3890" s="24" t="s">
        <v>23</v>
      </c>
      <c r="B3890" s="24" t="s">
        <v>3527</v>
      </c>
      <c r="C3890" s="27" t="s">
        <v>3528</v>
      </c>
      <c r="D3890" s="60"/>
      <c r="E3890" s="41" t="str">
        <f>HYPERLINK("https://www.google.ru/search?q=6009347-001&amp;newwindow=1&amp;tbm=isch","Еще фото")</f>
        <v>Еще фото</v>
      </c>
      <c r="F3890" s="13" t="s">
        <v>103</v>
      </c>
      <c r="G3890" s="24" t="s">
        <v>2945</v>
      </c>
      <c r="H3890" s="24" t="s">
        <v>27</v>
      </c>
      <c r="I3890" s="24" t="s">
        <v>2940</v>
      </c>
      <c r="J3890" s="14" t="s">
        <v>43</v>
      </c>
      <c r="K3890" s="15" t="s">
        <v>30</v>
      </c>
      <c r="L3890" s="62"/>
      <c r="M3890" s="14"/>
      <c r="N3890" s="14" t="s">
        <v>33</v>
      </c>
      <c r="O3890" s="14"/>
      <c r="P3890" s="15" t="s">
        <v>120</v>
      </c>
      <c r="Q3890" s="16">
        <v>4799</v>
      </c>
      <c r="R3890" s="17">
        <v>40</v>
      </c>
      <c r="S3890" s="18">
        <v>3311.31</v>
      </c>
      <c r="T3890" s="19" t="s">
        <v>36</v>
      </c>
      <c r="U3890" s="20" t="s">
        <v>39</v>
      </c>
      <c r="V3890" s="21" t="s">
        <v>40</v>
      </c>
      <c r="W3890" s="22">
        <v>3</v>
      </c>
      <c r="X3890" s="23"/>
    </row>
    <row r="3891" spans="1:24" s="1" customFormat="1" ht="21" customHeight="1" x14ac:dyDescent="0.3">
      <c r="A3891" s="24" t="s">
        <v>23</v>
      </c>
      <c r="B3891" s="24" t="s">
        <v>3527</v>
      </c>
      <c r="C3891" s="27" t="s">
        <v>3528</v>
      </c>
      <c r="D3891" s="60"/>
      <c r="E3891" s="41" t="str">
        <f>HYPERLINK("https://www.google.ru/search?q=6009347-001&amp;newwindow=1&amp;tbm=isch","Еще фото")</f>
        <v>Еще фото</v>
      </c>
      <c r="F3891" s="13" t="s">
        <v>103</v>
      </c>
      <c r="G3891" s="24" t="s">
        <v>2945</v>
      </c>
      <c r="H3891" s="24" t="s">
        <v>27</v>
      </c>
      <c r="I3891" s="24" t="s">
        <v>2940</v>
      </c>
      <c r="J3891" s="14" t="s">
        <v>43</v>
      </c>
      <c r="K3891" s="15" t="s">
        <v>30</v>
      </c>
      <c r="L3891" s="62"/>
      <c r="M3891" s="14"/>
      <c r="N3891" s="14" t="s">
        <v>33</v>
      </c>
      <c r="O3891" s="14"/>
      <c r="P3891" s="15" t="s">
        <v>120</v>
      </c>
      <c r="Q3891" s="16">
        <v>4799</v>
      </c>
      <c r="R3891" s="17">
        <v>40</v>
      </c>
      <c r="S3891" s="18">
        <v>3311.31</v>
      </c>
      <c r="T3891" s="19" t="s">
        <v>36</v>
      </c>
      <c r="U3891" s="20" t="s">
        <v>86</v>
      </c>
      <c r="V3891" s="21" t="s">
        <v>87</v>
      </c>
      <c r="W3891" s="22">
        <v>14</v>
      </c>
      <c r="X3891" s="23"/>
    </row>
    <row r="3892" spans="1:24" s="1" customFormat="1" ht="21" customHeight="1" x14ac:dyDescent="0.3">
      <c r="A3892" s="24" t="s">
        <v>23</v>
      </c>
      <c r="B3892" s="24" t="s">
        <v>3527</v>
      </c>
      <c r="C3892" s="27" t="s">
        <v>3528</v>
      </c>
      <c r="D3892" s="60"/>
      <c r="E3892" s="41" t="str">
        <f>HYPERLINK("https://www.google.ru/search?q=6009347-001&amp;newwindow=1&amp;tbm=isch","Еще фото")</f>
        <v>Еще фото</v>
      </c>
      <c r="F3892" s="13" t="s">
        <v>103</v>
      </c>
      <c r="G3892" s="24" t="s">
        <v>2945</v>
      </c>
      <c r="H3892" s="24" t="s">
        <v>27</v>
      </c>
      <c r="I3892" s="24" t="s">
        <v>2940</v>
      </c>
      <c r="J3892" s="14" t="s">
        <v>43</v>
      </c>
      <c r="K3892" s="15" t="s">
        <v>30</v>
      </c>
      <c r="L3892" s="62"/>
      <c r="M3892" s="14"/>
      <c r="N3892" s="14" t="s">
        <v>33</v>
      </c>
      <c r="O3892" s="14"/>
      <c r="P3892" s="15" t="s">
        <v>120</v>
      </c>
      <c r="Q3892" s="16">
        <v>4799</v>
      </c>
      <c r="R3892" s="17">
        <v>40</v>
      </c>
      <c r="S3892" s="18">
        <v>3311.31</v>
      </c>
      <c r="T3892" s="19" t="s">
        <v>36</v>
      </c>
      <c r="U3892" s="20" t="s">
        <v>88</v>
      </c>
      <c r="V3892" s="21" t="s">
        <v>89</v>
      </c>
      <c r="W3892" s="22">
        <v>1</v>
      </c>
      <c r="X3892" s="23"/>
    </row>
    <row r="3893" spans="1:24" s="1" customFormat="1" ht="32" customHeight="1" x14ac:dyDescent="0.3">
      <c r="A3893" s="24" t="s">
        <v>23</v>
      </c>
      <c r="B3893" s="24" t="s">
        <v>3527</v>
      </c>
      <c r="C3893" s="27" t="s">
        <v>3528</v>
      </c>
      <c r="D3893" s="61"/>
      <c r="E3893" s="41" t="str">
        <f>HYPERLINK("https://www.google.ru/search?q=6009347-001&amp;newwindow=1&amp;tbm=isch","Еще фото")</f>
        <v>Еще фото</v>
      </c>
      <c r="F3893" s="13" t="s">
        <v>103</v>
      </c>
      <c r="G3893" s="24" t="s">
        <v>2945</v>
      </c>
      <c r="H3893" s="24" t="s">
        <v>27</v>
      </c>
      <c r="I3893" s="24" t="s">
        <v>2940</v>
      </c>
      <c r="J3893" s="14" t="s">
        <v>43</v>
      </c>
      <c r="K3893" s="15" t="s">
        <v>30</v>
      </c>
      <c r="L3893" s="58"/>
      <c r="M3893" s="14"/>
      <c r="N3893" s="14" t="s">
        <v>33</v>
      </c>
      <c r="O3893" s="14"/>
      <c r="P3893" s="15" t="s">
        <v>120</v>
      </c>
      <c r="Q3893" s="16">
        <v>4799</v>
      </c>
      <c r="R3893" s="17">
        <v>40</v>
      </c>
      <c r="S3893" s="18">
        <v>3311.31</v>
      </c>
      <c r="T3893" s="19" t="s">
        <v>36</v>
      </c>
      <c r="U3893" s="20" t="s">
        <v>90</v>
      </c>
      <c r="V3893" s="21" t="s">
        <v>91</v>
      </c>
      <c r="W3893" s="22">
        <v>4</v>
      </c>
      <c r="X3893" s="23"/>
    </row>
    <row r="3894" spans="1:24" s="1" customFormat="1" ht="21" customHeight="1" x14ac:dyDescent="0.3">
      <c r="A3894" s="11" t="s">
        <v>23</v>
      </c>
      <c r="B3894" s="11" t="s">
        <v>3527</v>
      </c>
      <c r="C3894" s="26" t="s">
        <v>3530</v>
      </c>
      <c r="D3894" s="59"/>
      <c r="E3894" s="41" t="str">
        <f>HYPERLINK("https://www.google.ru/search?q=6009347-299&amp;newwindow=1&amp;tbm=isch","Еще фото")</f>
        <v>Еще фото</v>
      </c>
      <c r="F3894" s="13" t="s">
        <v>103</v>
      </c>
      <c r="G3894" s="11" t="s">
        <v>2945</v>
      </c>
      <c r="H3894" s="11" t="s">
        <v>27</v>
      </c>
      <c r="I3894" s="14" t="s">
        <v>2940</v>
      </c>
      <c r="J3894" s="14" t="s">
        <v>43</v>
      </c>
      <c r="K3894" s="15" t="s">
        <v>30</v>
      </c>
      <c r="L3894" s="57" t="s">
        <v>3529</v>
      </c>
      <c r="M3894" s="14"/>
      <c r="N3894" s="14" t="s">
        <v>229</v>
      </c>
      <c r="O3894" s="14"/>
      <c r="P3894" s="15" t="s">
        <v>120</v>
      </c>
      <c r="Q3894" s="16">
        <v>4799</v>
      </c>
      <c r="R3894" s="17">
        <v>40</v>
      </c>
      <c r="S3894" s="18">
        <v>3311.31</v>
      </c>
      <c r="T3894" s="19" t="s">
        <v>36</v>
      </c>
      <c r="U3894" s="20" t="s">
        <v>37</v>
      </c>
      <c r="V3894" s="21" t="s">
        <v>38</v>
      </c>
      <c r="W3894" s="22">
        <v>14</v>
      </c>
      <c r="X3894" s="23"/>
    </row>
    <row r="3895" spans="1:24" s="1" customFormat="1" ht="21" customHeight="1" x14ac:dyDescent="0.3">
      <c r="A3895" s="24" t="s">
        <v>23</v>
      </c>
      <c r="B3895" s="24" t="s">
        <v>3527</v>
      </c>
      <c r="C3895" s="27" t="s">
        <v>3530</v>
      </c>
      <c r="D3895" s="60"/>
      <c r="E3895" s="41" t="str">
        <f>HYPERLINK("https://www.google.ru/search?q=6009347-299&amp;newwindow=1&amp;tbm=isch","Еще фото")</f>
        <v>Еще фото</v>
      </c>
      <c r="F3895" s="13" t="s">
        <v>103</v>
      </c>
      <c r="G3895" s="24" t="s">
        <v>2945</v>
      </c>
      <c r="H3895" s="24" t="s">
        <v>27</v>
      </c>
      <c r="I3895" s="24" t="s">
        <v>2940</v>
      </c>
      <c r="J3895" s="14" t="s">
        <v>43</v>
      </c>
      <c r="K3895" s="15" t="s">
        <v>30</v>
      </c>
      <c r="L3895" s="62"/>
      <c r="M3895" s="14"/>
      <c r="N3895" s="14" t="s">
        <v>229</v>
      </c>
      <c r="O3895" s="14"/>
      <c r="P3895" s="15" t="s">
        <v>120</v>
      </c>
      <c r="Q3895" s="16">
        <v>4799</v>
      </c>
      <c r="R3895" s="17">
        <v>40</v>
      </c>
      <c r="S3895" s="18">
        <v>3311.31</v>
      </c>
      <c r="T3895" s="19" t="s">
        <v>36</v>
      </c>
      <c r="U3895" s="20" t="s">
        <v>39</v>
      </c>
      <c r="V3895" s="21" t="s">
        <v>40</v>
      </c>
      <c r="W3895" s="22">
        <v>24</v>
      </c>
      <c r="X3895" s="23"/>
    </row>
    <row r="3896" spans="1:24" s="1" customFormat="1" ht="21" customHeight="1" x14ac:dyDescent="0.3">
      <c r="A3896" s="24" t="s">
        <v>23</v>
      </c>
      <c r="B3896" s="24" t="s">
        <v>3527</v>
      </c>
      <c r="C3896" s="27" t="s">
        <v>3530</v>
      </c>
      <c r="D3896" s="60"/>
      <c r="E3896" s="41" t="str">
        <f>HYPERLINK("https://www.google.ru/search?q=6009347-299&amp;newwindow=1&amp;tbm=isch","Еще фото")</f>
        <v>Еще фото</v>
      </c>
      <c r="F3896" s="13" t="s">
        <v>103</v>
      </c>
      <c r="G3896" s="24" t="s">
        <v>2945</v>
      </c>
      <c r="H3896" s="24" t="s">
        <v>27</v>
      </c>
      <c r="I3896" s="24" t="s">
        <v>2940</v>
      </c>
      <c r="J3896" s="14" t="s">
        <v>43</v>
      </c>
      <c r="K3896" s="15" t="s">
        <v>30</v>
      </c>
      <c r="L3896" s="62"/>
      <c r="M3896" s="14"/>
      <c r="N3896" s="14" t="s">
        <v>229</v>
      </c>
      <c r="O3896" s="14"/>
      <c r="P3896" s="15" t="s">
        <v>120</v>
      </c>
      <c r="Q3896" s="16">
        <v>4799</v>
      </c>
      <c r="R3896" s="17">
        <v>40</v>
      </c>
      <c r="S3896" s="18">
        <v>3311.31</v>
      </c>
      <c r="T3896" s="19" t="s">
        <v>36</v>
      </c>
      <c r="U3896" s="20" t="s">
        <v>86</v>
      </c>
      <c r="V3896" s="21" t="s">
        <v>87</v>
      </c>
      <c r="W3896" s="22">
        <v>22</v>
      </c>
      <c r="X3896" s="23"/>
    </row>
    <row r="3897" spans="1:24" s="1" customFormat="1" ht="21" customHeight="1" x14ac:dyDescent="0.3">
      <c r="A3897" s="24" t="s">
        <v>23</v>
      </c>
      <c r="B3897" s="24" t="s">
        <v>3527</v>
      </c>
      <c r="C3897" s="27" t="s">
        <v>3530</v>
      </c>
      <c r="D3897" s="60"/>
      <c r="E3897" s="41" t="str">
        <f>HYPERLINK("https://www.google.ru/search?q=6009347-299&amp;newwindow=1&amp;tbm=isch","Еще фото")</f>
        <v>Еще фото</v>
      </c>
      <c r="F3897" s="13" t="s">
        <v>103</v>
      </c>
      <c r="G3897" s="24" t="s">
        <v>2945</v>
      </c>
      <c r="H3897" s="24" t="s">
        <v>27</v>
      </c>
      <c r="I3897" s="24" t="s">
        <v>2940</v>
      </c>
      <c r="J3897" s="14" t="s">
        <v>43</v>
      </c>
      <c r="K3897" s="15" t="s">
        <v>30</v>
      </c>
      <c r="L3897" s="62"/>
      <c r="M3897" s="14"/>
      <c r="N3897" s="14" t="s">
        <v>229</v>
      </c>
      <c r="O3897" s="14"/>
      <c r="P3897" s="15" t="s">
        <v>120</v>
      </c>
      <c r="Q3897" s="16">
        <v>4799</v>
      </c>
      <c r="R3897" s="17">
        <v>40</v>
      </c>
      <c r="S3897" s="18">
        <v>3311.31</v>
      </c>
      <c r="T3897" s="19" t="s">
        <v>36</v>
      </c>
      <c r="U3897" s="20" t="s">
        <v>88</v>
      </c>
      <c r="V3897" s="21" t="s">
        <v>89</v>
      </c>
      <c r="W3897" s="22">
        <v>14</v>
      </c>
      <c r="X3897" s="23"/>
    </row>
    <row r="3898" spans="1:24" s="1" customFormat="1" ht="32" customHeight="1" x14ac:dyDescent="0.3">
      <c r="A3898" s="24" t="s">
        <v>23</v>
      </c>
      <c r="B3898" s="24" t="s">
        <v>3527</v>
      </c>
      <c r="C3898" s="27" t="s">
        <v>3530</v>
      </c>
      <c r="D3898" s="61"/>
      <c r="E3898" s="41" t="str">
        <f>HYPERLINK("https://www.google.ru/search?q=6009347-299&amp;newwindow=1&amp;tbm=isch","Еще фото")</f>
        <v>Еще фото</v>
      </c>
      <c r="F3898" s="13" t="s">
        <v>103</v>
      </c>
      <c r="G3898" s="24" t="s">
        <v>2945</v>
      </c>
      <c r="H3898" s="24" t="s">
        <v>27</v>
      </c>
      <c r="I3898" s="24" t="s">
        <v>2940</v>
      </c>
      <c r="J3898" s="14" t="s">
        <v>43</v>
      </c>
      <c r="K3898" s="15" t="s">
        <v>30</v>
      </c>
      <c r="L3898" s="58"/>
      <c r="M3898" s="14"/>
      <c r="N3898" s="14" t="s">
        <v>229</v>
      </c>
      <c r="O3898" s="14"/>
      <c r="P3898" s="15" t="s">
        <v>120</v>
      </c>
      <c r="Q3898" s="16">
        <v>4799</v>
      </c>
      <c r="R3898" s="17">
        <v>40</v>
      </c>
      <c r="S3898" s="18">
        <v>3311.31</v>
      </c>
      <c r="T3898" s="19" t="s">
        <v>36</v>
      </c>
      <c r="U3898" s="20" t="s">
        <v>90</v>
      </c>
      <c r="V3898" s="21" t="s">
        <v>91</v>
      </c>
      <c r="W3898" s="22">
        <v>6</v>
      </c>
      <c r="X3898" s="23"/>
    </row>
    <row r="3899" spans="1:24" s="1" customFormat="1" ht="21" customHeight="1" x14ac:dyDescent="0.3">
      <c r="A3899" s="11" t="s">
        <v>23</v>
      </c>
      <c r="B3899" s="11" t="s">
        <v>3531</v>
      </c>
      <c r="C3899" s="26" t="s">
        <v>3532</v>
      </c>
      <c r="D3899" s="59"/>
      <c r="E3899" s="41" t="str">
        <f>HYPERLINK("https://www.google.ru/search?q=6009353-410&amp;newwindow=1&amp;tbm=isch","Еще фото")</f>
        <v>Еще фото</v>
      </c>
      <c r="F3899" s="13"/>
      <c r="G3899" s="11" t="s">
        <v>2939</v>
      </c>
      <c r="H3899" s="11" t="s">
        <v>27</v>
      </c>
      <c r="I3899" s="14" t="s">
        <v>2940</v>
      </c>
      <c r="J3899" s="14" t="s">
        <v>43</v>
      </c>
      <c r="K3899" s="15" t="s">
        <v>30</v>
      </c>
      <c r="L3899" s="57" t="s">
        <v>3533</v>
      </c>
      <c r="M3899" s="14"/>
      <c r="N3899" s="14" t="s">
        <v>115</v>
      </c>
      <c r="O3899" s="14"/>
      <c r="P3899" s="15" t="s">
        <v>120</v>
      </c>
      <c r="Q3899" s="16">
        <v>8499</v>
      </c>
      <c r="R3899" s="17">
        <v>40</v>
      </c>
      <c r="S3899" s="18">
        <v>5864.3099999999995</v>
      </c>
      <c r="T3899" s="19" t="s">
        <v>36</v>
      </c>
      <c r="U3899" s="20" t="s">
        <v>37</v>
      </c>
      <c r="V3899" s="21" t="s">
        <v>38</v>
      </c>
      <c r="W3899" s="22">
        <v>10</v>
      </c>
      <c r="X3899" s="23"/>
    </row>
    <row r="3900" spans="1:24" s="1" customFormat="1" ht="21" customHeight="1" x14ac:dyDescent="0.3">
      <c r="A3900" s="24" t="s">
        <v>23</v>
      </c>
      <c r="B3900" s="24" t="s">
        <v>3531</v>
      </c>
      <c r="C3900" s="27" t="s">
        <v>3532</v>
      </c>
      <c r="D3900" s="60"/>
      <c r="E3900" s="41" t="str">
        <f>HYPERLINK("https://www.google.ru/search?q=6009353-410&amp;newwindow=1&amp;tbm=isch","Еще фото")</f>
        <v>Еще фото</v>
      </c>
      <c r="F3900" s="13"/>
      <c r="G3900" s="24" t="s">
        <v>2939</v>
      </c>
      <c r="H3900" s="24" t="s">
        <v>27</v>
      </c>
      <c r="I3900" s="24" t="s">
        <v>2940</v>
      </c>
      <c r="J3900" s="14" t="s">
        <v>43</v>
      </c>
      <c r="K3900" s="15" t="s">
        <v>30</v>
      </c>
      <c r="L3900" s="62"/>
      <c r="M3900" s="14"/>
      <c r="N3900" s="14" t="s">
        <v>115</v>
      </c>
      <c r="O3900" s="14"/>
      <c r="P3900" s="15" t="s">
        <v>120</v>
      </c>
      <c r="Q3900" s="16">
        <v>8499</v>
      </c>
      <c r="R3900" s="17">
        <v>40</v>
      </c>
      <c r="S3900" s="18">
        <v>5864.3099999999995</v>
      </c>
      <c r="T3900" s="19" t="s">
        <v>36</v>
      </c>
      <c r="U3900" s="20" t="s">
        <v>39</v>
      </c>
      <c r="V3900" s="21" t="s">
        <v>40</v>
      </c>
      <c r="W3900" s="22">
        <v>14</v>
      </c>
      <c r="X3900" s="23"/>
    </row>
    <row r="3901" spans="1:24" s="1" customFormat="1" ht="21" customHeight="1" x14ac:dyDescent="0.3">
      <c r="A3901" s="24" t="s">
        <v>23</v>
      </c>
      <c r="B3901" s="24" t="s">
        <v>3531</v>
      </c>
      <c r="C3901" s="27" t="s">
        <v>3532</v>
      </c>
      <c r="D3901" s="60"/>
      <c r="E3901" s="41" t="str">
        <f>HYPERLINK("https://www.google.ru/search?q=6009353-410&amp;newwindow=1&amp;tbm=isch","Еще фото")</f>
        <v>Еще фото</v>
      </c>
      <c r="F3901" s="13"/>
      <c r="G3901" s="24" t="s">
        <v>2939</v>
      </c>
      <c r="H3901" s="24" t="s">
        <v>27</v>
      </c>
      <c r="I3901" s="24" t="s">
        <v>2940</v>
      </c>
      <c r="J3901" s="14" t="s">
        <v>43</v>
      </c>
      <c r="K3901" s="15" t="s">
        <v>30</v>
      </c>
      <c r="L3901" s="62"/>
      <c r="M3901" s="14"/>
      <c r="N3901" s="14" t="s">
        <v>115</v>
      </c>
      <c r="O3901" s="14"/>
      <c r="P3901" s="15" t="s">
        <v>120</v>
      </c>
      <c r="Q3901" s="16">
        <v>8499</v>
      </c>
      <c r="R3901" s="17">
        <v>40</v>
      </c>
      <c r="S3901" s="18">
        <v>5864.3099999999995</v>
      </c>
      <c r="T3901" s="19" t="s">
        <v>36</v>
      </c>
      <c r="U3901" s="20" t="s">
        <v>86</v>
      </c>
      <c r="V3901" s="21" t="s">
        <v>87</v>
      </c>
      <c r="W3901" s="22">
        <v>26</v>
      </c>
      <c r="X3901" s="23"/>
    </row>
    <row r="3902" spans="1:24" s="1" customFormat="1" ht="21" customHeight="1" x14ac:dyDescent="0.3">
      <c r="A3902" s="24" t="s">
        <v>23</v>
      </c>
      <c r="B3902" s="24" t="s">
        <v>3531</v>
      </c>
      <c r="C3902" s="27" t="s">
        <v>3532</v>
      </c>
      <c r="D3902" s="60"/>
      <c r="E3902" s="41" t="str">
        <f>HYPERLINK("https://www.google.ru/search?q=6009353-410&amp;newwindow=1&amp;tbm=isch","Еще фото")</f>
        <v>Еще фото</v>
      </c>
      <c r="F3902" s="13"/>
      <c r="G3902" s="24" t="s">
        <v>2939</v>
      </c>
      <c r="H3902" s="24" t="s">
        <v>27</v>
      </c>
      <c r="I3902" s="24" t="s">
        <v>2940</v>
      </c>
      <c r="J3902" s="14" t="s">
        <v>43</v>
      </c>
      <c r="K3902" s="15" t="s">
        <v>30</v>
      </c>
      <c r="L3902" s="62"/>
      <c r="M3902" s="14"/>
      <c r="N3902" s="14" t="s">
        <v>115</v>
      </c>
      <c r="O3902" s="14"/>
      <c r="P3902" s="15" t="s">
        <v>120</v>
      </c>
      <c r="Q3902" s="16">
        <v>8499</v>
      </c>
      <c r="R3902" s="17">
        <v>40</v>
      </c>
      <c r="S3902" s="18">
        <v>5864.3099999999995</v>
      </c>
      <c r="T3902" s="19" t="s">
        <v>36</v>
      </c>
      <c r="U3902" s="20" t="s">
        <v>88</v>
      </c>
      <c r="V3902" s="21" t="s">
        <v>89</v>
      </c>
      <c r="W3902" s="22">
        <v>13</v>
      </c>
      <c r="X3902" s="23"/>
    </row>
    <row r="3903" spans="1:24" s="1" customFormat="1" ht="32" customHeight="1" x14ac:dyDescent="0.3">
      <c r="A3903" s="24" t="s">
        <v>23</v>
      </c>
      <c r="B3903" s="24" t="s">
        <v>3531</v>
      </c>
      <c r="C3903" s="27" t="s">
        <v>3532</v>
      </c>
      <c r="D3903" s="61"/>
      <c r="E3903" s="41" t="str">
        <f>HYPERLINK("https://www.google.ru/search?q=6009353-410&amp;newwindow=1&amp;tbm=isch","Еще фото")</f>
        <v>Еще фото</v>
      </c>
      <c r="F3903" s="13"/>
      <c r="G3903" s="24" t="s">
        <v>2939</v>
      </c>
      <c r="H3903" s="24" t="s">
        <v>27</v>
      </c>
      <c r="I3903" s="24" t="s">
        <v>2940</v>
      </c>
      <c r="J3903" s="14" t="s">
        <v>43</v>
      </c>
      <c r="K3903" s="15" t="s">
        <v>30</v>
      </c>
      <c r="L3903" s="58"/>
      <c r="M3903" s="14"/>
      <c r="N3903" s="14" t="s">
        <v>115</v>
      </c>
      <c r="O3903" s="14"/>
      <c r="P3903" s="15" t="s">
        <v>120</v>
      </c>
      <c r="Q3903" s="16">
        <v>8499</v>
      </c>
      <c r="R3903" s="17">
        <v>40</v>
      </c>
      <c r="S3903" s="18">
        <v>5864.3099999999995</v>
      </c>
      <c r="T3903" s="19" t="s">
        <v>36</v>
      </c>
      <c r="U3903" s="20" t="s">
        <v>90</v>
      </c>
      <c r="V3903" s="21" t="s">
        <v>91</v>
      </c>
      <c r="W3903" s="22">
        <v>7</v>
      </c>
      <c r="X3903" s="23"/>
    </row>
    <row r="3904" spans="1:24" s="1" customFormat="1" ht="26" customHeight="1" x14ac:dyDescent="0.3">
      <c r="A3904" s="11" t="s">
        <v>23</v>
      </c>
      <c r="B3904" s="11" t="s">
        <v>3534</v>
      </c>
      <c r="C3904" s="12" t="s">
        <v>3535</v>
      </c>
      <c r="D3904" s="59"/>
      <c r="E3904" s="41" t="str">
        <f>HYPERLINK("https://www.google.ru/search?q=6009436-001&amp;newwindow=1&amp;tbm=isch","Еще фото")</f>
        <v>Еще фото</v>
      </c>
      <c r="F3904" s="13"/>
      <c r="G3904" s="11" t="s">
        <v>2961</v>
      </c>
      <c r="H3904" s="11" t="s">
        <v>27</v>
      </c>
      <c r="I3904" s="14" t="s">
        <v>2940</v>
      </c>
      <c r="J3904" s="14" t="s">
        <v>43</v>
      </c>
      <c r="K3904" s="15" t="s">
        <v>30</v>
      </c>
      <c r="L3904" s="57" t="s">
        <v>3536</v>
      </c>
      <c r="M3904" s="14"/>
      <c r="N3904" s="14" t="s">
        <v>1076</v>
      </c>
      <c r="O3904" s="14"/>
      <c r="P3904" s="15" t="s">
        <v>248</v>
      </c>
      <c r="Q3904" s="16">
        <v>13199</v>
      </c>
      <c r="R3904" s="17">
        <v>40</v>
      </c>
      <c r="S3904" s="18">
        <v>9107.31</v>
      </c>
      <c r="T3904" s="19" t="s">
        <v>36</v>
      </c>
      <c r="U3904" s="20" t="s">
        <v>37</v>
      </c>
      <c r="V3904" s="21" t="s">
        <v>38</v>
      </c>
      <c r="W3904" s="22">
        <v>9</v>
      </c>
      <c r="X3904" s="23"/>
    </row>
    <row r="3905" spans="1:24" s="1" customFormat="1" ht="26" customHeight="1" x14ac:dyDescent="0.3">
      <c r="A3905" s="24" t="s">
        <v>23</v>
      </c>
      <c r="B3905" s="24" t="s">
        <v>3534</v>
      </c>
      <c r="C3905" s="12" t="s">
        <v>3535</v>
      </c>
      <c r="D3905" s="60"/>
      <c r="E3905" s="41" t="str">
        <f>HYPERLINK("https://www.google.ru/search?q=6009436-001&amp;newwindow=1&amp;tbm=isch","Еще фото")</f>
        <v>Еще фото</v>
      </c>
      <c r="F3905" s="13"/>
      <c r="G3905" s="24" t="s">
        <v>2961</v>
      </c>
      <c r="H3905" s="24" t="s">
        <v>27</v>
      </c>
      <c r="I3905" s="24" t="s">
        <v>2940</v>
      </c>
      <c r="J3905" s="14" t="s">
        <v>43</v>
      </c>
      <c r="K3905" s="15" t="s">
        <v>30</v>
      </c>
      <c r="L3905" s="62"/>
      <c r="M3905" s="14"/>
      <c r="N3905" s="14" t="s">
        <v>1076</v>
      </c>
      <c r="O3905" s="14"/>
      <c r="P3905" s="15" t="s">
        <v>248</v>
      </c>
      <c r="Q3905" s="16">
        <v>13199</v>
      </c>
      <c r="R3905" s="17">
        <v>40</v>
      </c>
      <c r="S3905" s="18">
        <v>9107.31</v>
      </c>
      <c r="T3905" s="19" t="s">
        <v>36</v>
      </c>
      <c r="U3905" s="20" t="s">
        <v>39</v>
      </c>
      <c r="V3905" s="21" t="s">
        <v>40</v>
      </c>
      <c r="W3905" s="22">
        <v>21</v>
      </c>
      <c r="X3905" s="23"/>
    </row>
    <row r="3906" spans="1:24" s="1" customFormat="1" ht="26" customHeight="1" x14ac:dyDescent="0.3">
      <c r="A3906" s="24" t="s">
        <v>23</v>
      </c>
      <c r="B3906" s="24" t="s">
        <v>3534</v>
      </c>
      <c r="C3906" s="12" t="s">
        <v>3535</v>
      </c>
      <c r="D3906" s="60"/>
      <c r="E3906" s="41" t="str">
        <f>HYPERLINK("https://www.google.ru/search?q=6009436-001&amp;newwindow=1&amp;tbm=isch","Еще фото")</f>
        <v>Еще фото</v>
      </c>
      <c r="F3906" s="13"/>
      <c r="G3906" s="24" t="s">
        <v>2961</v>
      </c>
      <c r="H3906" s="24" t="s">
        <v>27</v>
      </c>
      <c r="I3906" s="24" t="s">
        <v>2940</v>
      </c>
      <c r="J3906" s="14" t="s">
        <v>43</v>
      </c>
      <c r="K3906" s="15" t="s">
        <v>30</v>
      </c>
      <c r="L3906" s="62"/>
      <c r="M3906" s="14"/>
      <c r="N3906" s="14" t="s">
        <v>1076</v>
      </c>
      <c r="O3906" s="14"/>
      <c r="P3906" s="15" t="s">
        <v>248</v>
      </c>
      <c r="Q3906" s="16">
        <v>13199</v>
      </c>
      <c r="R3906" s="17">
        <v>40</v>
      </c>
      <c r="S3906" s="18">
        <v>9107.31</v>
      </c>
      <c r="T3906" s="19" t="s">
        <v>36</v>
      </c>
      <c r="U3906" s="20" t="s">
        <v>86</v>
      </c>
      <c r="V3906" s="21" t="s">
        <v>87</v>
      </c>
      <c r="W3906" s="22">
        <v>13</v>
      </c>
      <c r="X3906" s="23"/>
    </row>
    <row r="3907" spans="1:24" s="1" customFormat="1" ht="26" customHeight="1" x14ac:dyDescent="0.3">
      <c r="A3907" s="24" t="s">
        <v>23</v>
      </c>
      <c r="B3907" s="24" t="s">
        <v>3534</v>
      </c>
      <c r="C3907" s="12" t="s">
        <v>3535</v>
      </c>
      <c r="D3907" s="61"/>
      <c r="E3907" s="41" t="str">
        <f>HYPERLINK("https://www.google.ru/search?q=6009436-001&amp;newwindow=1&amp;tbm=isch","Еще фото")</f>
        <v>Еще фото</v>
      </c>
      <c r="F3907" s="13"/>
      <c r="G3907" s="24" t="s">
        <v>2961</v>
      </c>
      <c r="H3907" s="24" t="s">
        <v>27</v>
      </c>
      <c r="I3907" s="24" t="s">
        <v>2940</v>
      </c>
      <c r="J3907" s="14" t="s">
        <v>43</v>
      </c>
      <c r="K3907" s="15" t="s">
        <v>30</v>
      </c>
      <c r="L3907" s="58"/>
      <c r="M3907" s="14"/>
      <c r="N3907" s="14" t="s">
        <v>1076</v>
      </c>
      <c r="O3907" s="14"/>
      <c r="P3907" s="15" t="s">
        <v>248</v>
      </c>
      <c r="Q3907" s="16">
        <v>13199</v>
      </c>
      <c r="R3907" s="17">
        <v>40</v>
      </c>
      <c r="S3907" s="18">
        <v>9107.31</v>
      </c>
      <c r="T3907" s="19" t="s">
        <v>36</v>
      </c>
      <c r="U3907" s="20" t="s">
        <v>90</v>
      </c>
      <c r="V3907" s="21" t="s">
        <v>91</v>
      </c>
      <c r="W3907" s="22">
        <v>5</v>
      </c>
      <c r="X3907" s="23"/>
    </row>
    <row r="3908" spans="1:24" s="1" customFormat="1" ht="26" customHeight="1" x14ac:dyDescent="0.3">
      <c r="A3908" s="11" t="s">
        <v>23</v>
      </c>
      <c r="B3908" s="11" t="s">
        <v>3537</v>
      </c>
      <c r="C3908" s="12" t="s">
        <v>3538</v>
      </c>
      <c r="D3908" s="59"/>
      <c r="E3908" s="41" t="str">
        <f>HYPERLINK("https://www.google.ru/search?q=6009553-016&amp;newwindow=1&amp;tbm=isch","Еще фото")</f>
        <v>Еще фото</v>
      </c>
      <c r="F3908" s="13"/>
      <c r="G3908" s="11" t="s">
        <v>2945</v>
      </c>
      <c r="H3908" s="11" t="s">
        <v>27</v>
      </c>
      <c r="I3908" s="14" t="s">
        <v>2940</v>
      </c>
      <c r="J3908" s="14" t="s">
        <v>674</v>
      </c>
      <c r="K3908" s="15" t="s">
        <v>30</v>
      </c>
      <c r="L3908" s="57" t="s">
        <v>3539</v>
      </c>
      <c r="M3908" s="14"/>
      <c r="N3908" s="14" t="s">
        <v>62</v>
      </c>
      <c r="O3908" s="14"/>
      <c r="P3908" s="15" t="s">
        <v>47</v>
      </c>
      <c r="Q3908" s="16">
        <v>7499</v>
      </c>
      <c r="R3908" s="17">
        <v>40</v>
      </c>
      <c r="S3908" s="18">
        <v>5174.3099999999995</v>
      </c>
      <c r="T3908" s="19" t="s">
        <v>36</v>
      </c>
      <c r="U3908" s="20" t="s">
        <v>37</v>
      </c>
      <c r="V3908" s="21" t="s">
        <v>38</v>
      </c>
      <c r="W3908" s="22">
        <v>6</v>
      </c>
      <c r="X3908" s="23"/>
    </row>
    <row r="3909" spans="1:24" s="1" customFormat="1" ht="26" customHeight="1" x14ac:dyDescent="0.3">
      <c r="A3909" s="24" t="s">
        <v>23</v>
      </c>
      <c r="B3909" s="24" t="s">
        <v>3537</v>
      </c>
      <c r="C3909" s="12" t="s">
        <v>3538</v>
      </c>
      <c r="D3909" s="60"/>
      <c r="E3909" s="41" t="str">
        <f>HYPERLINK("https://www.google.ru/search?q=6009553-016&amp;newwindow=1&amp;tbm=isch","Еще фото")</f>
        <v>Еще фото</v>
      </c>
      <c r="F3909" s="13"/>
      <c r="G3909" s="24" t="s">
        <v>2945</v>
      </c>
      <c r="H3909" s="24" t="s">
        <v>27</v>
      </c>
      <c r="I3909" s="24" t="s">
        <v>2940</v>
      </c>
      <c r="J3909" s="14" t="s">
        <v>674</v>
      </c>
      <c r="K3909" s="15" t="s">
        <v>30</v>
      </c>
      <c r="L3909" s="62"/>
      <c r="M3909" s="14"/>
      <c r="N3909" s="14" t="s">
        <v>62</v>
      </c>
      <c r="O3909" s="14"/>
      <c r="P3909" s="15" t="s">
        <v>47</v>
      </c>
      <c r="Q3909" s="16">
        <v>7499</v>
      </c>
      <c r="R3909" s="17">
        <v>40</v>
      </c>
      <c r="S3909" s="18">
        <v>5174.3099999999995</v>
      </c>
      <c r="T3909" s="19" t="s">
        <v>36</v>
      </c>
      <c r="U3909" s="20" t="s">
        <v>86</v>
      </c>
      <c r="V3909" s="21" t="s">
        <v>87</v>
      </c>
      <c r="W3909" s="22">
        <v>7</v>
      </c>
      <c r="X3909" s="23"/>
    </row>
    <row r="3910" spans="1:24" s="1" customFormat="1" ht="26" customHeight="1" x14ac:dyDescent="0.3">
      <c r="A3910" s="24" t="s">
        <v>23</v>
      </c>
      <c r="B3910" s="24" t="s">
        <v>3537</v>
      </c>
      <c r="C3910" s="12" t="s">
        <v>3538</v>
      </c>
      <c r="D3910" s="60"/>
      <c r="E3910" s="41" t="str">
        <f>HYPERLINK("https://www.google.ru/search?q=6009553-016&amp;newwindow=1&amp;tbm=isch","Еще фото")</f>
        <v>Еще фото</v>
      </c>
      <c r="F3910" s="13"/>
      <c r="G3910" s="24" t="s">
        <v>2945</v>
      </c>
      <c r="H3910" s="24" t="s">
        <v>27</v>
      </c>
      <c r="I3910" s="24" t="s">
        <v>2940</v>
      </c>
      <c r="J3910" s="14" t="s">
        <v>674</v>
      </c>
      <c r="K3910" s="15" t="s">
        <v>30</v>
      </c>
      <c r="L3910" s="62"/>
      <c r="M3910" s="14"/>
      <c r="N3910" s="14" t="s">
        <v>62</v>
      </c>
      <c r="O3910" s="14"/>
      <c r="P3910" s="15" t="s">
        <v>47</v>
      </c>
      <c r="Q3910" s="16">
        <v>7499</v>
      </c>
      <c r="R3910" s="17">
        <v>40</v>
      </c>
      <c r="S3910" s="18">
        <v>5174.3099999999995</v>
      </c>
      <c r="T3910" s="19" t="s">
        <v>36</v>
      </c>
      <c r="U3910" s="20" t="s">
        <v>88</v>
      </c>
      <c r="V3910" s="21" t="s">
        <v>89</v>
      </c>
      <c r="W3910" s="22">
        <v>3</v>
      </c>
      <c r="X3910" s="23"/>
    </row>
    <row r="3911" spans="1:24" s="1" customFormat="1" ht="26" customHeight="1" x14ac:dyDescent="0.3">
      <c r="A3911" s="24" t="s">
        <v>23</v>
      </c>
      <c r="B3911" s="24" t="s">
        <v>3537</v>
      </c>
      <c r="C3911" s="12" t="s">
        <v>3538</v>
      </c>
      <c r="D3911" s="61"/>
      <c r="E3911" s="41" t="str">
        <f>HYPERLINK("https://www.google.ru/search?q=6009553-016&amp;newwindow=1&amp;tbm=isch","Еще фото")</f>
        <v>Еще фото</v>
      </c>
      <c r="F3911" s="13"/>
      <c r="G3911" s="24" t="s">
        <v>2945</v>
      </c>
      <c r="H3911" s="24" t="s">
        <v>27</v>
      </c>
      <c r="I3911" s="24" t="s">
        <v>2940</v>
      </c>
      <c r="J3911" s="14" t="s">
        <v>674</v>
      </c>
      <c r="K3911" s="15" t="s">
        <v>30</v>
      </c>
      <c r="L3911" s="58"/>
      <c r="M3911" s="14"/>
      <c r="N3911" s="14" t="s">
        <v>62</v>
      </c>
      <c r="O3911" s="14"/>
      <c r="P3911" s="15" t="s">
        <v>47</v>
      </c>
      <c r="Q3911" s="16">
        <v>7499</v>
      </c>
      <c r="R3911" s="17">
        <v>40</v>
      </c>
      <c r="S3911" s="18">
        <v>5174.3099999999995</v>
      </c>
      <c r="T3911" s="19" t="s">
        <v>36</v>
      </c>
      <c r="U3911" s="20" t="s">
        <v>90</v>
      </c>
      <c r="V3911" s="21" t="s">
        <v>91</v>
      </c>
      <c r="W3911" s="22">
        <v>9</v>
      </c>
      <c r="X3911" s="23"/>
    </row>
    <row r="3912" spans="1:24" s="1" customFormat="1" ht="17" customHeight="1" x14ac:dyDescent="0.3">
      <c r="A3912" s="11" t="s">
        <v>23</v>
      </c>
      <c r="B3912" s="11" t="s">
        <v>3540</v>
      </c>
      <c r="C3912" s="12" t="s">
        <v>3541</v>
      </c>
      <c r="D3912" s="59"/>
      <c r="E3912" s="41" t="str">
        <f t="shared" ref="E3912:E3917" si="155">HYPERLINK("https://www.google.ru/search?q=6009679-001&amp;newwindow=1&amp;tbm=isch","Еще фото")</f>
        <v>Еще фото</v>
      </c>
      <c r="F3912" s="13" t="s">
        <v>103</v>
      </c>
      <c r="G3912" s="11" t="s">
        <v>855</v>
      </c>
      <c r="H3912" s="11" t="s">
        <v>27</v>
      </c>
      <c r="I3912" s="14" t="s">
        <v>2940</v>
      </c>
      <c r="J3912" s="14" t="s">
        <v>43</v>
      </c>
      <c r="K3912" s="15" t="s">
        <v>59</v>
      </c>
      <c r="L3912" s="57" t="s">
        <v>3542</v>
      </c>
      <c r="M3912" s="14"/>
      <c r="N3912" s="14" t="s">
        <v>33</v>
      </c>
      <c r="O3912" s="14"/>
      <c r="P3912" s="15" t="s">
        <v>248</v>
      </c>
      <c r="Q3912" s="16">
        <v>7899</v>
      </c>
      <c r="R3912" s="17">
        <v>40</v>
      </c>
      <c r="S3912" s="18">
        <v>5450.3099999999995</v>
      </c>
      <c r="T3912" s="19" t="s">
        <v>36</v>
      </c>
      <c r="U3912" s="20" t="s">
        <v>63</v>
      </c>
      <c r="V3912" s="21" t="s">
        <v>64</v>
      </c>
      <c r="W3912" s="22">
        <v>6</v>
      </c>
      <c r="X3912" s="23"/>
    </row>
    <row r="3913" spans="1:24" s="1" customFormat="1" ht="17" customHeight="1" x14ac:dyDescent="0.3">
      <c r="A3913" s="24" t="s">
        <v>23</v>
      </c>
      <c r="B3913" s="24" t="s">
        <v>3540</v>
      </c>
      <c r="C3913" s="12" t="s">
        <v>3541</v>
      </c>
      <c r="D3913" s="60"/>
      <c r="E3913" s="41" t="str">
        <f t="shared" si="155"/>
        <v>Еще фото</v>
      </c>
      <c r="F3913" s="13" t="s">
        <v>103</v>
      </c>
      <c r="G3913" s="24" t="s">
        <v>855</v>
      </c>
      <c r="H3913" s="24" t="s">
        <v>27</v>
      </c>
      <c r="I3913" s="24" t="s">
        <v>2940</v>
      </c>
      <c r="J3913" s="14" t="s">
        <v>43</v>
      </c>
      <c r="K3913" s="15" t="s">
        <v>59</v>
      </c>
      <c r="L3913" s="62"/>
      <c r="M3913" s="14"/>
      <c r="N3913" s="14" t="s">
        <v>33</v>
      </c>
      <c r="O3913" s="14"/>
      <c r="P3913" s="15" t="s">
        <v>248</v>
      </c>
      <c r="Q3913" s="16">
        <v>7899</v>
      </c>
      <c r="R3913" s="17">
        <v>40</v>
      </c>
      <c r="S3913" s="18">
        <v>5450.3099999999995</v>
      </c>
      <c r="T3913" s="19" t="s">
        <v>36</v>
      </c>
      <c r="U3913" s="20" t="s">
        <v>37</v>
      </c>
      <c r="V3913" s="21" t="s">
        <v>106</v>
      </c>
      <c r="W3913" s="22">
        <v>10</v>
      </c>
      <c r="X3913" s="23"/>
    </row>
    <row r="3914" spans="1:24" s="1" customFormat="1" ht="17" customHeight="1" x14ac:dyDescent="0.3">
      <c r="A3914" s="24" t="s">
        <v>23</v>
      </c>
      <c r="B3914" s="24" t="s">
        <v>3540</v>
      </c>
      <c r="C3914" s="12" t="s">
        <v>3541</v>
      </c>
      <c r="D3914" s="60"/>
      <c r="E3914" s="41" t="str">
        <f t="shared" si="155"/>
        <v>Еще фото</v>
      </c>
      <c r="F3914" s="13" t="s">
        <v>103</v>
      </c>
      <c r="G3914" s="24" t="s">
        <v>855</v>
      </c>
      <c r="H3914" s="24" t="s">
        <v>27</v>
      </c>
      <c r="I3914" s="24" t="s">
        <v>2940</v>
      </c>
      <c r="J3914" s="14" t="s">
        <v>43</v>
      </c>
      <c r="K3914" s="15" t="s">
        <v>59</v>
      </c>
      <c r="L3914" s="62"/>
      <c r="M3914" s="14"/>
      <c r="N3914" s="14" t="s">
        <v>33</v>
      </c>
      <c r="O3914" s="14"/>
      <c r="P3914" s="15" t="s">
        <v>248</v>
      </c>
      <c r="Q3914" s="16">
        <v>7899</v>
      </c>
      <c r="R3914" s="17">
        <v>40</v>
      </c>
      <c r="S3914" s="18">
        <v>5450.3099999999995</v>
      </c>
      <c r="T3914" s="19" t="s">
        <v>36</v>
      </c>
      <c r="U3914" s="20" t="s">
        <v>39</v>
      </c>
      <c r="V3914" s="21" t="s">
        <v>85</v>
      </c>
      <c r="W3914" s="22">
        <v>9</v>
      </c>
      <c r="X3914" s="23"/>
    </row>
    <row r="3915" spans="1:24" s="1" customFormat="1" ht="17" customHeight="1" x14ac:dyDescent="0.3">
      <c r="A3915" s="24" t="s">
        <v>23</v>
      </c>
      <c r="B3915" s="24" t="s">
        <v>3540</v>
      </c>
      <c r="C3915" s="12" t="s">
        <v>3541</v>
      </c>
      <c r="D3915" s="60"/>
      <c r="E3915" s="41" t="str">
        <f t="shared" si="155"/>
        <v>Еще фото</v>
      </c>
      <c r="F3915" s="13" t="s">
        <v>103</v>
      </c>
      <c r="G3915" s="24" t="s">
        <v>855</v>
      </c>
      <c r="H3915" s="24" t="s">
        <v>27</v>
      </c>
      <c r="I3915" s="24" t="s">
        <v>2940</v>
      </c>
      <c r="J3915" s="14" t="s">
        <v>43</v>
      </c>
      <c r="K3915" s="15" t="s">
        <v>59</v>
      </c>
      <c r="L3915" s="62"/>
      <c r="M3915" s="14"/>
      <c r="N3915" s="14" t="s">
        <v>33</v>
      </c>
      <c r="O3915" s="14"/>
      <c r="P3915" s="15" t="s">
        <v>248</v>
      </c>
      <c r="Q3915" s="16">
        <v>7899</v>
      </c>
      <c r="R3915" s="17">
        <v>40</v>
      </c>
      <c r="S3915" s="18">
        <v>5450.3099999999995</v>
      </c>
      <c r="T3915" s="19" t="s">
        <v>36</v>
      </c>
      <c r="U3915" s="20" t="s">
        <v>86</v>
      </c>
      <c r="V3915" s="21" t="s">
        <v>38</v>
      </c>
      <c r="W3915" s="22">
        <v>2</v>
      </c>
      <c r="X3915" s="23"/>
    </row>
    <row r="3916" spans="1:24" s="1" customFormat="1" ht="17" customHeight="1" x14ac:dyDescent="0.3">
      <c r="A3916" s="24" t="s">
        <v>23</v>
      </c>
      <c r="B3916" s="24" t="s">
        <v>3540</v>
      </c>
      <c r="C3916" s="12" t="s">
        <v>3541</v>
      </c>
      <c r="D3916" s="60"/>
      <c r="E3916" s="41" t="str">
        <f t="shared" si="155"/>
        <v>Еще фото</v>
      </c>
      <c r="F3916" s="13" t="s">
        <v>103</v>
      </c>
      <c r="G3916" s="24" t="s">
        <v>855</v>
      </c>
      <c r="H3916" s="24" t="s">
        <v>27</v>
      </c>
      <c r="I3916" s="24" t="s">
        <v>2940</v>
      </c>
      <c r="J3916" s="14" t="s">
        <v>43</v>
      </c>
      <c r="K3916" s="15" t="s">
        <v>59</v>
      </c>
      <c r="L3916" s="62"/>
      <c r="M3916" s="14"/>
      <c r="N3916" s="14" t="s">
        <v>33</v>
      </c>
      <c r="O3916" s="14"/>
      <c r="P3916" s="15" t="s">
        <v>248</v>
      </c>
      <c r="Q3916" s="16">
        <v>7899</v>
      </c>
      <c r="R3916" s="17">
        <v>40</v>
      </c>
      <c r="S3916" s="18">
        <v>5450.3099999999995</v>
      </c>
      <c r="T3916" s="19" t="s">
        <v>36</v>
      </c>
      <c r="U3916" s="20" t="s">
        <v>88</v>
      </c>
      <c r="V3916" s="21" t="s">
        <v>40</v>
      </c>
      <c r="W3916" s="22">
        <v>2</v>
      </c>
      <c r="X3916" s="23"/>
    </row>
    <row r="3917" spans="1:24" s="1" customFormat="1" ht="22.05" customHeight="1" x14ac:dyDescent="0.3">
      <c r="A3917" s="24" t="s">
        <v>23</v>
      </c>
      <c r="B3917" s="24" t="s">
        <v>3540</v>
      </c>
      <c r="C3917" s="12" t="s">
        <v>3541</v>
      </c>
      <c r="D3917" s="61"/>
      <c r="E3917" s="41" t="str">
        <f t="shared" si="155"/>
        <v>Еще фото</v>
      </c>
      <c r="F3917" s="13" t="s">
        <v>103</v>
      </c>
      <c r="G3917" s="24" t="s">
        <v>855</v>
      </c>
      <c r="H3917" s="24" t="s">
        <v>27</v>
      </c>
      <c r="I3917" s="24" t="s">
        <v>2940</v>
      </c>
      <c r="J3917" s="14" t="s">
        <v>43</v>
      </c>
      <c r="K3917" s="15" t="s">
        <v>59</v>
      </c>
      <c r="L3917" s="58"/>
      <c r="M3917" s="14"/>
      <c r="N3917" s="14" t="s">
        <v>33</v>
      </c>
      <c r="O3917" s="14"/>
      <c r="P3917" s="15" t="s">
        <v>248</v>
      </c>
      <c r="Q3917" s="16">
        <v>7899</v>
      </c>
      <c r="R3917" s="17">
        <v>40</v>
      </c>
      <c r="S3917" s="18">
        <v>5450.3099999999995</v>
      </c>
      <c r="T3917" s="19" t="s">
        <v>36</v>
      </c>
      <c r="U3917" s="20" t="s">
        <v>90</v>
      </c>
      <c r="V3917" s="21" t="s">
        <v>87</v>
      </c>
      <c r="W3917" s="22">
        <v>1</v>
      </c>
      <c r="X3917" s="23"/>
    </row>
    <row r="3918" spans="1:24" s="1" customFormat="1" ht="26" customHeight="1" x14ac:dyDescent="0.3">
      <c r="A3918" s="11" t="s">
        <v>23</v>
      </c>
      <c r="B3918" s="11" t="s">
        <v>3543</v>
      </c>
      <c r="C3918" s="12" t="s">
        <v>3544</v>
      </c>
      <c r="D3918" s="59"/>
      <c r="E3918" s="41" t="str">
        <f>HYPERLINK("https://www.google.ru/search?q=6009705-100&amp;newwindow=1&amp;tbm=isch","Еще фото")</f>
        <v>Еще фото</v>
      </c>
      <c r="F3918" s="13"/>
      <c r="G3918" s="11" t="s">
        <v>2939</v>
      </c>
      <c r="H3918" s="11" t="s">
        <v>27</v>
      </c>
      <c r="I3918" s="14" t="s">
        <v>2940</v>
      </c>
      <c r="J3918" s="14" t="s">
        <v>43</v>
      </c>
      <c r="K3918" s="15" t="s">
        <v>59</v>
      </c>
      <c r="L3918" s="57" t="s">
        <v>3545</v>
      </c>
      <c r="M3918" s="14"/>
      <c r="N3918" s="14" t="s">
        <v>84</v>
      </c>
      <c r="O3918" s="14"/>
      <c r="P3918" s="15" t="s">
        <v>697</v>
      </c>
      <c r="Q3918" s="16">
        <v>6699</v>
      </c>
      <c r="R3918" s="17">
        <v>40</v>
      </c>
      <c r="S3918" s="18">
        <v>4622.3099999999995</v>
      </c>
      <c r="T3918" s="19" t="s">
        <v>36</v>
      </c>
      <c r="U3918" s="20" t="s">
        <v>63</v>
      </c>
      <c r="V3918" s="21" t="s">
        <v>64</v>
      </c>
      <c r="W3918" s="22">
        <v>14</v>
      </c>
      <c r="X3918" s="23"/>
    </row>
    <row r="3919" spans="1:24" s="1" customFormat="1" ht="26" customHeight="1" x14ac:dyDescent="0.3">
      <c r="A3919" s="24" t="s">
        <v>23</v>
      </c>
      <c r="B3919" s="24" t="s">
        <v>3543</v>
      </c>
      <c r="C3919" s="12" t="s">
        <v>3544</v>
      </c>
      <c r="D3919" s="60"/>
      <c r="E3919" s="41" t="str">
        <f>HYPERLINK("https://www.google.ru/search?q=6009705-100&amp;newwindow=1&amp;tbm=isch","Еще фото")</f>
        <v>Еще фото</v>
      </c>
      <c r="F3919" s="13"/>
      <c r="G3919" s="24" t="s">
        <v>2939</v>
      </c>
      <c r="H3919" s="24" t="s">
        <v>27</v>
      </c>
      <c r="I3919" s="24" t="s">
        <v>2940</v>
      </c>
      <c r="J3919" s="14" t="s">
        <v>43</v>
      </c>
      <c r="K3919" s="15" t="s">
        <v>59</v>
      </c>
      <c r="L3919" s="62"/>
      <c r="M3919" s="14"/>
      <c r="N3919" s="14" t="s">
        <v>84</v>
      </c>
      <c r="O3919" s="14"/>
      <c r="P3919" s="15" t="s">
        <v>697</v>
      </c>
      <c r="Q3919" s="16">
        <v>6699</v>
      </c>
      <c r="R3919" s="17">
        <v>40</v>
      </c>
      <c r="S3919" s="18">
        <v>4622.3099999999995</v>
      </c>
      <c r="T3919" s="19" t="s">
        <v>36</v>
      </c>
      <c r="U3919" s="20" t="s">
        <v>37</v>
      </c>
      <c r="V3919" s="21" t="s">
        <v>106</v>
      </c>
      <c r="W3919" s="22">
        <v>19</v>
      </c>
      <c r="X3919" s="23"/>
    </row>
    <row r="3920" spans="1:24" s="1" customFormat="1" ht="26" customHeight="1" x14ac:dyDescent="0.3">
      <c r="A3920" s="24" t="s">
        <v>23</v>
      </c>
      <c r="B3920" s="24" t="s">
        <v>3543</v>
      </c>
      <c r="C3920" s="12" t="s">
        <v>3544</v>
      </c>
      <c r="D3920" s="60"/>
      <c r="E3920" s="41" t="str">
        <f>HYPERLINK("https://www.google.ru/search?q=6009705-100&amp;newwindow=1&amp;tbm=isch","Еще фото")</f>
        <v>Еще фото</v>
      </c>
      <c r="F3920" s="13"/>
      <c r="G3920" s="24" t="s">
        <v>2939</v>
      </c>
      <c r="H3920" s="24" t="s">
        <v>27</v>
      </c>
      <c r="I3920" s="24" t="s">
        <v>2940</v>
      </c>
      <c r="J3920" s="14" t="s">
        <v>43</v>
      </c>
      <c r="K3920" s="15" t="s">
        <v>59</v>
      </c>
      <c r="L3920" s="62"/>
      <c r="M3920" s="14"/>
      <c r="N3920" s="14" t="s">
        <v>84</v>
      </c>
      <c r="O3920" s="14"/>
      <c r="P3920" s="15" t="s">
        <v>697</v>
      </c>
      <c r="Q3920" s="16">
        <v>6699</v>
      </c>
      <c r="R3920" s="17">
        <v>40</v>
      </c>
      <c r="S3920" s="18">
        <v>4622.3099999999995</v>
      </c>
      <c r="T3920" s="19" t="s">
        <v>36</v>
      </c>
      <c r="U3920" s="20" t="s">
        <v>39</v>
      </c>
      <c r="V3920" s="21" t="s">
        <v>85</v>
      </c>
      <c r="W3920" s="22">
        <v>21</v>
      </c>
      <c r="X3920" s="23"/>
    </row>
    <row r="3921" spans="1:24" s="1" customFormat="1" ht="26" customHeight="1" x14ac:dyDescent="0.3">
      <c r="A3921" s="24" t="s">
        <v>23</v>
      </c>
      <c r="B3921" s="24" t="s">
        <v>3543</v>
      </c>
      <c r="C3921" s="12" t="s">
        <v>3544</v>
      </c>
      <c r="D3921" s="61"/>
      <c r="E3921" s="41" t="str">
        <f>HYPERLINK("https://www.google.ru/search?q=6009705-100&amp;newwindow=1&amp;tbm=isch","Еще фото")</f>
        <v>Еще фото</v>
      </c>
      <c r="F3921" s="13"/>
      <c r="G3921" s="24" t="s">
        <v>2939</v>
      </c>
      <c r="H3921" s="24" t="s">
        <v>27</v>
      </c>
      <c r="I3921" s="24" t="s">
        <v>2940</v>
      </c>
      <c r="J3921" s="14" t="s">
        <v>43</v>
      </c>
      <c r="K3921" s="15" t="s">
        <v>59</v>
      </c>
      <c r="L3921" s="58"/>
      <c r="M3921" s="14"/>
      <c r="N3921" s="14" t="s">
        <v>84</v>
      </c>
      <c r="O3921" s="14"/>
      <c r="P3921" s="15" t="s">
        <v>697</v>
      </c>
      <c r="Q3921" s="16">
        <v>6699</v>
      </c>
      <c r="R3921" s="17">
        <v>40</v>
      </c>
      <c r="S3921" s="18">
        <v>4622.3099999999995</v>
      </c>
      <c r="T3921" s="19" t="s">
        <v>36</v>
      </c>
      <c r="U3921" s="20" t="s">
        <v>86</v>
      </c>
      <c r="V3921" s="21" t="s">
        <v>38</v>
      </c>
      <c r="W3921" s="22">
        <v>17</v>
      </c>
      <c r="X3921" s="23"/>
    </row>
    <row r="3922" spans="1:24" s="1" customFormat="1" ht="26" customHeight="1" x14ac:dyDescent="0.3">
      <c r="A3922" s="11" t="s">
        <v>23</v>
      </c>
      <c r="B3922" s="11" t="s">
        <v>3543</v>
      </c>
      <c r="C3922" s="12" t="s">
        <v>3546</v>
      </c>
      <c r="D3922" s="59"/>
      <c r="E3922" s="41" t="str">
        <f>HYPERLINK("https://www.google.ru/search?q=6009705-338&amp;newwindow=1&amp;tbm=isch","Еще фото")</f>
        <v>Еще фото</v>
      </c>
      <c r="F3922" s="13"/>
      <c r="G3922" s="11" t="s">
        <v>2939</v>
      </c>
      <c r="H3922" s="11" t="s">
        <v>27</v>
      </c>
      <c r="I3922" s="14" t="s">
        <v>2940</v>
      </c>
      <c r="J3922" s="14" t="s">
        <v>43</v>
      </c>
      <c r="K3922" s="15" t="s">
        <v>59</v>
      </c>
      <c r="L3922" s="57" t="s">
        <v>3545</v>
      </c>
      <c r="M3922" s="14"/>
      <c r="N3922" s="14" t="s">
        <v>127</v>
      </c>
      <c r="O3922" s="14"/>
      <c r="P3922" s="15" t="s">
        <v>697</v>
      </c>
      <c r="Q3922" s="16">
        <v>6699</v>
      </c>
      <c r="R3922" s="17">
        <v>40</v>
      </c>
      <c r="S3922" s="18">
        <v>4622.3099999999995</v>
      </c>
      <c r="T3922" s="19" t="s">
        <v>36</v>
      </c>
      <c r="U3922" s="20" t="s">
        <v>63</v>
      </c>
      <c r="V3922" s="21" t="s">
        <v>64</v>
      </c>
      <c r="W3922" s="22">
        <v>9</v>
      </c>
      <c r="X3922" s="23"/>
    </row>
    <row r="3923" spans="1:24" s="1" customFormat="1" ht="26" customHeight="1" x14ac:dyDescent="0.3">
      <c r="A3923" s="24" t="s">
        <v>23</v>
      </c>
      <c r="B3923" s="24" t="s">
        <v>3543</v>
      </c>
      <c r="C3923" s="12" t="s">
        <v>3546</v>
      </c>
      <c r="D3923" s="60"/>
      <c r="E3923" s="41" t="str">
        <f>HYPERLINK("https://www.google.ru/search?q=6009705-338&amp;newwindow=1&amp;tbm=isch","Еще фото")</f>
        <v>Еще фото</v>
      </c>
      <c r="F3923" s="13"/>
      <c r="G3923" s="24" t="s">
        <v>2939</v>
      </c>
      <c r="H3923" s="24" t="s">
        <v>27</v>
      </c>
      <c r="I3923" s="24" t="s">
        <v>2940</v>
      </c>
      <c r="J3923" s="14" t="s">
        <v>43</v>
      </c>
      <c r="K3923" s="15" t="s">
        <v>59</v>
      </c>
      <c r="L3923" s="62"/>
      <c r="M3923" s="14"/>
      <c r="N3923" s="14" t="s">
        <v>127</v>
      </c>
      <c r="O3923" s="14"/>
      <c r="P3923" s="15" t="s">
        <v>697</v>
      </c>
      <c r="Q3923" s="16">
        <v>6699</v>
      </c>
      <c r="R3923" s="17">
        <v>40</v>
      </c>
      <c r="S3923" s="18">
        <v>4622.3099999999995</v>
      </c>
      <c r="T3923" s="19" t="s">
        <v>36</v>
      </c>
      <c r="U3923" s="20" t="s">
        <v>37</v>
      </c>
      <c r="V3923" s="21" t="s">
        <v>106</v>
      </c>
      <c r="W3923" s="22">
        <v>17</v>
      </c>
      <c r="X3923" s="23"/>
    </row>
    <row r="3924" spans="1:24" s="1" customFormat="1" ht="26" customHeight="1" x14ac:dyDescent="0.3">
      <c r="A3924" s="24" t="s">
        <v>23</v>
      </c>
      <c r="B3924" s="24" t="s">
        <v>3543</v>
      </c>
      <c r="C3924" s="12" t="s">
        <v>3546</v>
      </c>
      <c r="D3924" s="60"/>
      <c r="E3924" s="41" t="str">
        <f>HYPERLINK("https://www.google.ru/search?q=6009705-338&amp;newwindow=1&amp;tbm=isch","Еще фото")</f>
        <v>Еще фото</v>
      </c>
      <c r="F3924" s="13"/>
      <c r="G3924" s="24" t="s">
        <v>2939</v>
      </c>
      <c r="H3924" s="24" t="s">
        <v>27</v>
      </c>
      <c r="I3924" s="24" t="s">
        <v>2940</v>
      </c>
      <c r="J3924" s="14" t="s">
        <v>43</v>
      </c>
      <c r="K3924" s="15" t="s">
        <v>59</v>
      </c>
      <c r="L3924" s="62"/>
      <c r="M3924" s="14"/>
      <c r="N3924" s="14" t="s">
        <v>127</v>
      </c>
      <c r="O3924" s="14"/>
      <c r="P3924" s="15" t="s">
        <v>697</v>
      </c>
      <c r="Q3924" s="16">
        <v>6699</v>
      </c>
      <c r="R3924" s="17">
        <v>40</v>
      </c>
      <c r="S3924" s="18">
        <v>4622.3099999999995</v>
      </c>
      <c r="T3924" s="19" t="s">
        <v>36</v>
      </c>
      <c r="U3924" s="20" t="s">
        <v>39</v>
      </c>
      <c r="V3924" s="21" t="s">
        <v>85</v>
      </c>
      <c r="W3924" s="22">
        <v>12</v>
      </c>
      <c r="X3924" s="23"/>
    </row>
    <row r="3925" spans="1:24" s="1" customFormat="1" ht="26" customHeight="1" x14ac:dyDescent="0.3">
      <c r="A3925" s="24" t="s">
        <v>23</v>
      </c>
      <c r="B3925" s="24" t="s">
        <v>3543</v>
      </c>
      <c r="C3925" s="12" t="s">
        <v>3546</v>
      </c>
      <c r="D3925" s="61"/>
      <c r="E3925" s="41" t="str">
        <f>HYPERLINK("https://www.google.ru/search?q=6009705-338&amp;newwindow=1&amp;tbm=isch","Еще фото")</f>
        <v>Еще фото</v>
      </c>
      <c r="F3925" s="13"/>
      <c r="G3925" s="24" t="s">
        <v>2939</v>
      </c>
      <c r="H3925" s="24" t="s">
        <v>27</v>
      </c>
      <c r="I3925" s="24" t="s">
        <v>2940</v>
      </c>
      <c r="J3925" s="14" t="s">
        <v>43</v>
      </c>
      <c r="K3925" s="15" t="s">
        <v>59</v>
      </c>
      <c r="L3925" s="58"/>
      <c r="M3925" s="14"/>
      <c r="N3925" s="14" t="s">
        <v>127</v>
      </c>
      <c r="O3925" s="14"/>
      <c r="P3925" s="15" t="s">
        <v>697</v>
      </c>
      <c r="Q3925" s="16">
        <v>6699</v>
      </c>
      <c r="R3925" s="17">
        <v>40</v>
      </c>
      <c r="S3925" s="18">
        <v>4622.3099999999995</v>
      </c>
      <c r="T3925" s="19" t="s">
        <v>36</v>
      </c>
      <c r="U3925" s="20" t="s">
        <v>86</v>
      </c>
      <c r="V3925" s="21" t="s">
        <v>38</v>
      </c>
      <c r="W3925" s="22">
        <v>15</v>
      </c>
      <c r="X3925" s="23"/>
    </row>
    <row r="3926" spans="1:24" s="1" customFormat="1" ht="21" customHeight="1" x14ac:dyDescent="0.3">
      <c r="A3926" s="11" t="s">
        <v>23</v>
      </c>
      <c r="B3926" s="11" t="s">
        <v>3547</v>
      </c>
      <c r="C3926" s="26" t="s">
        <v>3548</v>
      </c>
      <c r="D3926" s="59"/>
      <c r="E3926" s="41" t="str">
        <f>HYPERLINK("https://www.google.ru/search?q=6009748-001&amp;newwindow=1&amp;tbm=isch","Еще фото")</f>
        <v>Еще фото</v>
      </c>
      <c r="F3926" s="13"/>
      <c r="G3926" s="11" t="s">
        <v>2945</v>
      </c>
      <c r="H3926" s="11" t="s">
        <v>27</v>
      </c>
      <c r="I3926" s="14" t="s">
        <v>2940</v>
      </c>
      <c r="J3926" s="14" t="s">
        <v>211</v>
      </c>
      <c r="K3926" s="15" t="s">
        <v>30</v>
      </c>
      <c r="L3926" s="57" t="s">
        <v>3549</v>
      </c>
      <c r="M3926" s="14"/>
      <c r="N3926" s="14" t="s">
        <v>33</v>
      </c>
      <c r="O3926" s="14"/>
      <c r="P3926" s="15" t="s">
        <v>2662</v>
      </c>
      <c r="Q3926" s="16">
        <v>9799</v>
      </c>
      <c r="R3926" s="17">
        <v>40</v>
      </c>
      <c r="S3926" s="18">
        <v>6761.3099999999995</v>
      </c>
      <c r="T3926" s="19" t="s">
        <v>36</v>
      </c>
      <c r="U3926" s="20" t="s">
        <v>37</v>
      </c>
      <c r="V3926" s="21" t="s">
        <v>38</v>
      </c>
      <c r="W3926" s="22">
        <v>15</v>
      </c>
      <c r="X3926" s="23"/>
    </row>
    <row r="3927" spans="1:24" s="1" customFormat="1" ht="21" customHeight="1" x14ac:dyDescent="0.3">
      <c r="A3927" s="24" t="s">
        <v>23</v>
      </c>
      <c r="B3927" s="24" t="s">
        <v>3547</v>
      </c>
      <c r="C3927" s="27" t="s">
        <v>3548</v>
      </c>
      <c r="D3927" s="60"/>
      <c r="E3927" s="41" t="str">
        <f>HYPERLINK("https://www.google.ru/search?q=6009748-001&amp;newwindow=1&amp;tbm=isch","Еще фото")</f>
        <v>Еще фото</v>
      </c>
      <c r="F3927" s="13"/>
      <c r="G3927" s="24" t="s">
        <v>2945</v>
      </c>
      <c r="H3927" s="24" t="s">
        <v>27</v>
      </c>
      <c r="I3927" s="24" t="s">
        <v>2940</v>
      </c>
      <c r="J3927" s="14" t="s">
        <v>211</v>
      </c>
      <c r="K3927" s="15" t="s">
        <v>30</v>
      </c>
      <c r="L3927" s="62"/>
      <c r="M3927" s="14"/>
      <c r="N3927" s="14" t="s">
        <v>33</v>
      </c>
      <c r="O3927" s="14"/>
      <c r="P3927" s="15" t="s">
        <v>2662</v>
      </c>
      <c r="Q3927" s="16">
        <v>9799</v>
      </c>
      <c r="R3927" s="17">
        <v>40</v>
      </c>
      <c r="S3927" s="18">
        <v>6761.3099999999995</v>
      </c>
      <c r="T3927" s="19" t="s">
        <v>36</v>
      </c>
      <c r="U3927" s="20" t="s">
        <v>39</v>
      </c>
      <c r="V3927" s="21" t="s">
        <v>40</v>
      </c>
      <c r="W3927" s="22">
        <v>24</v>
      </c>
      <c r="X3927" s="23"/>
    </row>
    <row r="3928" spans="1:24" s="1" customFormat="1" ht="21" customHeight="1" x14ac:dyDescent="0.3">
      <c r="A3928" s="24" t="s">
        <v>23</v>
      </c>
      <c r="B3928" s="24" t="s">
        <v>3547</v>
      </c>
      <c r="C3928" s="27" t="s">
        <v>3548</v>
      </c>
      <c r="D3928" s="60"/>
      <c r="E3928" s="41" t="str">
        <f>HYPERLINK("https://www.google.ru/search?q=6009748-001&amp;newwindow=1&amp;tbm=isch","Еще фото")</f>
        <v>Еще фото</v>
      </c>
      <c r="F3928" s="13"/>
      <c r="G3928" s="24" t="s">
        <v>2945</v>
      </c>
      <c r="H3928" s="24" t="s">
        <v>27</v>
      </c>
      <c r="I3928" s="24" t="s">
        <v>2940</v>
      </c>
      <c r="J3928" s="14" t="s">
        <v>211</v>
      </c>
      <c r="K3928" s="15" t="s">
        <v>30</v>
      </c>
      <c r="L3928" s="62"/>
      <c r="M3928" s="14"/>
      <c r="N3928" s="14" t="s">
        <v>33</v>
      </c>
      <c r="O3928" s="14"/>
      <c r="P3928" s="15" t="s">
        <v>2662</v>
      </c>
      <c r="Q3928" s="16">
        <v>9799</v>
      </c>
      <c r="R3928" s="17">
        <v>40</v>
      </c>
      <c r="S3928" s="18">
        <v>6761.3099999999995</v>
      </c>
      <c r="T3928" s="19" t="s">
        <v>36</v>
      </c>
      <c r="U3928" s="20" t="s">
        <v>86</v>
      </c>
      <c r="V3928" s="21" t="s">
        <v>87</v>
      </c>
      <c r="W3928" s="22">
        <v>26</v>
      </c>
      <c r="X3928" s="23"/>
    </row>
    <row r="3929" spans="1:24" s="1" customFormat="1" ht="21" customHeight="1" x14ac:dyDescent="0.3">
      <c r="A3929" s="24" t="s">
        <v>23</v>
      </c>
      <c r="B3929" s="24" t="s">
        <v>3547</v>
      </c>
      <c r="C3929" s="27" t="s">
        <v>3548</v>
      </c>
      <c r="D3929" s="60"/>
      <c r="E3929" s="41" t="str">
        <f>HYPERLINK("https://www.google.ru/search?q=6009748-001&amp;newwindow=1&amp;tbm=isch","Еще фото")</f>
        <v>Еще фото</v>
      </c>
      <c r="F3929" s="13"/>
      <c r="G3929" s="24" t="s">
        <v>2945</v>
      </c>
      <c r="H3929" s="24" t="s">
        <v>27</v>
      </c>
      <c r="I3929" s="24" t="s">
        <v>2940</v>
      </c>
      <c r="J3929" s="14" t="s">
        <v>211</v>
      </c>
      <c r="K3929" s="15" t="s">
        <v>30</v>
      </c>
      <c r="L3929" s="62"/>
      <c r="M3929" s="14"/>
      <c r="N3929" s="14" t="s">
        <v>33</v>
      </c>
      <c r="O3929" s="14"/>
      <c r="P3929" s="15" t="s">
        <v>2662</v>
      </c>
      <c r="Q3929" s="16">
        <v>9799</v>
      </c>
      <c r="R3929" s="17">
        <v>40</v>
      </c>
      <c r="S3929" s="18">
        <v>6761.3099999999995</v>
      </c>
      <c r="T3929" s="19" t="s">
        <v>36</v>
      </c>
      <c r="U3929" s="20" t="s">
        <v>88</v>
      </c>
      <c r="V3929" s="21" t="s">
        <v>89</v>
      </c>
      <c r="W3929" s="22">
        <v>15</v>
      </c>
      <c r="X3929" s="23"/>
    </row>
    <row r="3930" spans="1:24" s="1" customFormat="1" ht="32" customHeight="1" x14ac:dyDescent="0.3">
      <c r="A3930" s="24" t="s">
        <v>23</v>
      </c>
      <c r="B3930" s="24" t="s">
        <v>3547</v>
      </c>
      <c r="C3930" s="27" t="s">
        <v>3548</v>
      </c>
      <c r="D3930" s="61"/>
      <c r="E3930" s="41" t="str">
        <f>HYPERLINK("https://www.google.ru/search?q=6009748-001&amp;newwindow=1&amp;tbm=isch","Еще фото")</f>
        <v>Еще фото</v>
      </c>
      <c r="F3930" s="13"/>
      <c r="G3930" s="24" t="s">
        <v>2945</v>
      </c>
      <c r="H3930" s="24" t="s">
        <v>27</v>
      </c>
      <c r="I3930" s="24" t="s">
        <v>2940</v>
      </c>
      <c r="J3930" s="14" t="s">
        <v>211</v>
      </c>
      <c r="K3930" s="15" t="s">
        <v>30</v>
      </c>
      <c r="L3930" s="58"/>
      <c r="M3930" s="14"/>
      <c r="N3930" s="14" t="s">
        <v>33</v>
      </c>
      <c r="O3930" s="14"/>
      <c r="P3930" s="15" t="s">
        <v>2662</v>
      </c>
      <c r="Q3930" s="16">
        <v>9799</v>
      </c>
      <c r="R3930" s="17">
        <v>40</v>
      </c>
      <c r="S3930" s="18">
        <v>6761.3099999999995</v>
      </c>
      <c r="T3930" s="19" t="s">
        <v>36</v>
      </c>
      <c r="U3930" s="20" t="s">
        <v>90</v>
      </c>
      <c r="V3930" s="21" t="s">
        <v>91</v>
      </c>
      <c r="W3930" s="22">
        <v>8</v>
      </c>
      <c r="X3930" s="23"/>
    </row>
    <row r="3931" spans="1:24" s="1" customFormat="1" ht="21" customHeight="1" x14ac:dyDescent="0.3">
      <c r="A3931" s="11" t="s">
        <v>23</v>
      </c>
      <c r="B3931" s="11" t="s">
        <v>3550</v>
      </c>
      <c r="C3931" s="26" t="s">
        <v>3551</v>
      </c>
      <c r="D3931" s="59"/>
      <c r="E3931" s="41" t="str">
        <f>HYPERLINK("https://www.google.ru/search?q=6010129-001&amp;newwindow=1&amp;tbm=isch","Еще фото")</f>
        <v>Еще фото</v>
      </c>
      <c r="F3931" s="13"/>
      <c r="G3931" s="11" t="s">
        <v>2945</v>
      </c>
      <c r="H3931" s="11" t="s">
        <v>27</v>
      </c>
      <c r="I3931" s="14" t="s">
        <v>2940</v>
      </c>
      <c r="J3931" s="14" t="s">
        <v>211</v>
      </c>
      <c r="K3931" s="15" t="s">
        <v>30</v>
      </c>
      <c r="L3931" s="57" t="s">
        <v>3552</v>
      </c>
      <c r="M3931" s="14"/>
      <c r="N3931" s="14" t="s">
        <v>33</v>
      </c>
      <c r="O3931" s="14"/>
      <c r="P3931" s="15" t="s">
        <v>1008</v>
      </c>
      <c r="Q3931" s="16">
        <v>7599</v>
      </c>
      <c r="R3931" s="17">
        <v>40</v>
      </c>
      <c r="S3931" s="18">
        <v>5243.3099999999995</v>
      </c>
      <c r="T3931" s="19" t="s">
        <v>36</v>
      </c>
      <c r="U3931" s="20" t="s">
        <v>37</v>
      </c>
      <c r="V3931" s="21" t="s">
        <v>38</v>
      </c>
      <c r="W3931" s="22">
        <v>14</v>
      </c>
      <c r="X3931" s="23"/>
    </row>
    <row r="3932" spans="1:24" s="1" customFormat="1" ht="21" customHeight="1" x14ac:dyDescent="0.3">
      <c r="A3932" s="24" t="s">
        <v>23</v>
      </c>
      <c r="B3932" s="24" t="s">
        <v>3550</v>
      </c>
      <c r="C3932" s="27" t="s">
        <v>3551</v>
      </c>
      <c r="D3932" s="60"/>
      <c r="E3932" s="41" t="str">
        <f>HYPERLINK("https://www.google.ru/search?q=6010129-001&amp;newwindow=1&amp;tbm=isch","Еще фото")</f>
        <v>Еще фото</v>
      </c>
      <c r="F3932" s="13"/>
      <c r="G3932" s="24" t="s">
        <v>2945</v>
      </c>
      <c r="H3932" s="24" t="s">
        <v>27</v>
      </c>
      <c r="I3932" s="24" t="s">
        <v>2940</v>
      </c>
      <c r="J3932" s="14" t="s">
        <v>211</v>
      </c>
      <c r="K3932" s="15" t="s">
        <v>30</v>
      </c>
      <c r="L3932" s="62"/>
      <c r="M3932" s="14"/>
      <c r="N3932" s="14" t="s">
        <v>33</v>
      </c>
      <c r="O3932" s="14"/>
      <c r="P3932" s="15" t="s">
        <v>1008</v>
      </c>
      <c r="Q3932" s="16">
        <v>7599</v>
      </c>
      <c r="R3932" s="17">
        <v>40</v>
      </c>
      <c r="S3932" s="18">
        <v>5243.3099999999995</v>
      </c>
      <c r="T3932" s="19" t="s">
        <v>36</v>
      </c>
      <c r="U3932" s="20" t="s">
        <v>39</v>
      </c>
      <c r="V3932" s="21" t="s">
        <v>40</v>
      </c>
      <c r="W3932" s="22">
        <v>6</v>
      </c>
      <c r="X3932" s="23"/>
    </row>
    <row r="3933" spans="1:24" s="1" customFormat="1" ht="21" customHeight="1" x14ac:dyDescent="0.3">
      <c r="A3933" s="24" t="s">
        <v>23</v>
      </c>
      <c r="B3933" s="24" t="s">
        <v>3550</v>
      </c>
      <c r="C3933" s="27" t="s">
        <v>3551</v>
      </c>
      <c r="D3933" s="60"/>
      <c r="E3933" s="41" t="str">
        <f>HYPERLINK("https://www.google.ru/search?q=6010129-001&amp;newwindow=1&amp;tbm=isch","Еще фото")</f>
        <v>Еще фото</v>
      </c>
      <c r="F3933" s="13"/>
      <c r="G3933" s="24" t="s">
        <v>2945</v>
      </c>
      <c r="H3933" s="24" t="s">
        <v>27</v>
      </c>
      <c r="I3933" s="24" t="s">
        <v>2940</v>
      </c>
      <c r="J3933" s="14" t="s">
        <v>211</v>
      </c>
      <c r="K3933" s="15" t="s">
        <v>30</v>
      </c>
      <c r="L3933" s="62"/>
      <c r="M3933" s="14"/>
      <c r="N3933" s="14" t="s">
        <v>33</v>
      </c>
      <c r="O3933" s="14"/>
      <c r="P3933" s="15" t="s">
        <v>1008</v>
      </c>
      <c r="Q3933" s="16">
        <v>7599</v>
      </c>
      <c r="R3933" s="17">
        <v>40</v>
      </c>
      <c r="S3933" s="18">
        <v>5243.3099999999995</v>
      </c>
      <c r="T3933" s="19" t="s">
        <v>36</v>
      </c>
      <c r="U3933" s="20" t="s">
        <v>86</v>
      </c>
      <c r="V3933" s="21" t="s">
        <v>87</v>
      </c>
      <c r="W3933" s="22">
        <v>17</v>
      </c>
      <c r="X3933" s="23"/>
    </row>
    <row r="3934" spans="1:24" s="1" customFormat="1" ht="21" customHeight="1" x14ac:dyDescent="0.3">
      <c r="A3934" s="24" t="s">
        <v>23</v>
      </c>
      <c r="B3934" s="24" t="s">
        <v>3550</v>
      </c>
      <c r="C3934" s="27" t="s">
        <v>3551</v>
      </c>
      <c r="D3934" s="60"/>
      <c r="E3934" s="41" t="str">
        <f>HYPERLINK("https://www.google.ru/search?q=6010129-001&amp;newwindow=1&amp;tbm=isch","Еще фото")</f>
        <v>Еще фото</v>
      </c>
      <c r="F3934" s="13"/>
      <c r="G3934" s="24" t="s">
        <v>2945</v>
      </c>
      <c r="H3934" s="24" t="s">
        <v>27</v>
      </c>
      <c r="I3934" s="24" t="s">
        <v>2940</v>
      </c>
      <c r="J3934" s="14" t="s">
        <v>211</v>
      </c>
      <c r="K3934" s="15" t="s">
        <v>30</v>
      </c>
      <c r="L3934" s="62"/>
      <c r="M3934" s="14"/>
      <c r="N3934" s="14" t="s">
        <v>33</v>
      </c>
      <c r="O3934" s="14"/>
      <c r="P3934" s="15" t="s">
        <v>1008</v>
      </c>
      <c r="Q3934" s="16">
        <v>7599</v>
      </c>
      <c r="R3934" s="17">
        <v>40</v>
      </c>
      <c r="S3934" s="18">
        <v>5243.3099999999995</v>
      </c>
      <c r="T3934" s="19" t="s">
        <v>36</v>
      </c>
      <c r="U3934" s="20" t="s">
        <v>88</v>
      </c>
      <c r="V3934" s="21" t="s">
        <v>89</v>
      </c>
      <c r="W3934" s="22">
        <v>5</v>
      </c>
      <c r="X3934" s="23"/>
    </row>
    <row r="3935" spans="1:24" s="1" customFormat="1" ht="32" customHeight="1" x14ac:dyDescent="0.3">
      <c r="A3935" s="24" t="s">
        <v>23</v>
      </c>
      <c r="B3935" s="24" t="s">
        <v>3550</v>
      </c>
      <c r="C3935" s="27" t="s">
        <v>3551</v>
      </c>
      <c r="D3935" s="61"/>
      <c r="E3935" s="41" t="str">
        <f>HYPERLINK("https://www.google.ru/search?q=6010129-001&amp;newwindow=1&amp;tbm=isch","Еще фото")</f>
        <v>Еще фото</v>
      </c>
      <c r="F3935" s="13"/>
      <c r="G3935" s="24" t="s">
        <v>2945</v>
      </c>
      <c r="H3935" s="24" t="s">
        <v>27</v>
      </c>
      <c r="I3935" s="24" t="s">
        <v>2940</v>
      </c>
      <c r="J3935" s="14" t="s">
        <v>211</v>
      </c>
      <c r="K3935" s="15" t="s">
        <v>30</v>
      </c>
      <c r="L3935" s="58"/>
      <c r="M3935" s="14"/>
      <c r="N3935" s="14" t="s">
        <v>33</v>
      </c>
      <c r="O3935" s="14"/>
      <c r="P3935" s="15" t="s">
        <v>1008</v>
      </c>
      <c r="Q3935" s="16">
        <v>7599</v>
      </c>
      <c r="R3935" s="17">
        <v>40</v>
      </c>
      <c r="S3935" s="18">
        <v>5243.3099999999995</v>
      </c>
      <c r="T3935" s="19" t="s">
        <v>36</v>
      </c>
      <c r="U3935" s="20" t="s">
        <v>90</v>
      </c>
      <c r="V3935" s="21" t="s">
        <v>91</v>
      </c>
      <c r="W3935" s="22">
        <v>6</v>
      </c>
      <c r="X3935" s="23"/>
    </row>
    <row r="3936" spans="1:24" s="1" customFormat="1" ht="26" customHeight="1" x14ac:dyDescent="0.3">
      <c r="A3936" s="11" t="s">
        <v>23</v>
      </c>
      <c r="B3936" s="11" t="s">
        <v>3553</v>
      </c>
      <c r="C3936" s="12" t="s">
        <v>3554</v>
      </c>
      <c r="D3936" s="59"/>
      <c r="E3936" s="41" t="str">
        <f>HYPERLINK("https://www.google.ru/search?q=6010350-110&amp;newwindow=1&amp;tbm=isch","Еще фото")</f>
        <v>Еще фото</v>
      </c>
      <c r="F3936" s="13" t="s">
        <v>103</v>
      </c>
      <c r="G3936" s="11" t="s">
        <v>2966</v>
      </c>
      <c r="H3936" s="11" t="s">
        <v>27</v>
      </c>
      <c r="I3936" s="14" t="s">
        <v>2940</v>
      </c>
      <c r="J3936" s="14" t="s">
        <v>43</v>
      </c>
      <c r="K3936" s="15" t="s">
        <v>59</v>
      </c>
      <c r="L3936" s="57" t="s">
        <v>3555</v>
      </c>
      <c r="M3936" s="14"/>
      <c r="N3936" s="14" t="s">
        <v>229</v>
      </c>
      <c r="O3936" s="14"/>
      <c r="P3936" s="15" t="s">
        <v>708</v>
      </c>
      <c r="Q3936" s="16">
        <v>12599</v>
      </c>
      <c r="R3936" s="17">
        <v>40</v>
      </c>
      <c r="S3936" s="18">
        <v>8693.31</v>
      </c>
      <c r="T3936" s="19" t="s">
        <v>36</v>
      </c>
      <c r="U3936" s="20" t="s">
        <v>63</v>
      </c>
      <c r="V3936" s="21" t="s">
        <v>64</v>
      </c>
      <c r="W3936" s="22">
        <v>11</v>
      </c>
      <c r="X3936" s="23"/>
    </row>
    <row r="3937" spans="1:24" s="1" customFormat="1" ht="26" customHeight="1" x14ac:dyDescent="0.3">
      <c r="A3937" s="24" t="s">
        <v>23</v>
      </c>
      <c r="B3937" s="24" t="s">
        <v>3553</v>
      </c>
      <c r="C3937" s="12" t="s">
        <v>3554</v>
      </c>
      <c r="D3937" s="60"/>
      <c r="E3937" s="41" t="str">
        <f>HYPERLINK("https://www.google.ru/search?q=6010350-110&amp;newwindow=1&amp;tbm=isch","Еще фото")</f>
        <v>Еще фото</v>
      </c>
      <c r="F3937" s="13" t="s">
        <v>103</v>
      </c>
      <c r="G3937" s="24" t="s">
        <v>2966</v>
      </c>
      <c r="H3937" s="24" t="s">
        <v>27</v>
      </c>
      <c r="I3937" s="24" t="s">
        <v>2940</v>
      </c>
      <c r="J3937" s="14" t="s">
        <v>43</v>
      </c>
      <c r="K3937" s="15" t="s">
        <v>59</v>
      </c>
      <c r="L3937" s="62"/>
      <c r="M3937" s="14"/>
      <c r="N3937" s="14" t="s">
        <v>229</v>
      </c>
      <c r="O3937" s="14"/>
      <c r="P3937" s="15" t="s">
        <v>708</v>
      </c>
      <c r="Q3937" s="16">
        <v>12599</v>
      </c>
      <c r="R3937" s="17">
        <v>40</v>
      </c>
      <c r="S3937" s="18">
        <v>8693.31</v>
      </c>
      <c r="T3937" s="19" t="s">
        <v>36</v>
      </c>
      <c r="U3937" s="20" t="s">
        <v>37</v>
      </c>
      <c r="V3937" s="21" t="s">
        <v>106</v>
      </c>
      <c r="W3937" s="22">
        <v>12</v>
      </c>
      <c r="X3937" s="23"/>
    </row>
    <row r="3938" spans="1:24" s="1" customFormat="1" ht="26" customHeight="1" x14ac:dyDescent="0.3">
      <c r="A3938" s="24" t="s">
        <v>23</v>
      </c>
      <c r="B3938" s="24" t="s">
        <v>3553</v>
      </c>
      <c r="C3938" s="12" t="s">
        <v>3554</v>
      </c>
      <c r="D3938" s="60"/>
      <c r="E3938" s="41" t="str">
        <f>HYPERLINK("https://www.google.ru/search?q=6010350-110&amp;newwindow=1&amp;tbm=isch","Еще фото")</f>
        <v>Еще фото</v>
      </c>
      <c r="F3938" s="13" t="s">
        <v>103</v>
      </c>
      <c r="G3938" s="24" t="s">
        <v>2966</v>
      </c>
      <c r="H3938" s="24" t="s">
        <v>27</v>
      </c>
      <c r="I3938" s="24" t="s">
        <v>2940</v>
      </c>
      <c r="J3938" s="14" t="s">
        <v>43</v>
      </c>
      <c r="K3938" s="15" t="s">
        <v>59</v>
      </c>
      <c r="L3938" s="62"/>
      <c r="M3938" s="14"/>
      <c r="N3938" s="14" t="s">
        <v>229</v>
      </c>
      <c r="O3938" s="14"/>
      <c r="P3938" s="15" t="s">
        <v>708</v>
      </c>
      <c r="Q3938" s="16">
        <v>12599</v>
      </c>
      <c r="R3938" s="17">
        <v>40</v>
      </c>
      <c r="S3938" s="18">
        <v>8693.31</v>
      </c>
      <c r="T3938" s="19" t="s">
        <v>36</v>
      </c>
      <c r="U3938" s="20" t="s">
        <v>39</v>
      </c>
      <c r="V3938" s="21" t="s">
        <v>85</v>
      </c>
      <c r="W3938" s="22">
        <v>12</v>
      </c>
      <c r="X3938" s="23"/>
    </row>
    <row r="3939" spans="1:24" s="1" customFormat="1" ht="26" customHeight="1" x14ac:dyDescent="0.3">
      <c r="A3939" s="24" t="s">
        <v>23</v>
      </c>
      <c r="B3939" s="24" t="s">
        <v>3553</v>
      </c>
      <c r="C3939" s="12" t="s">
        <v>3554</v>
      </c>
      <c r="D3939" s="61"/>
      <c r="E3939" s="41" t="str">
        <f>HYPERLINK("https://www.google.ru/search?q=6010350-110&amp;newwindow=1&amp;tbm=isch","Еще фото")</f>
        <v>Еще фото</v>
      </c>
      <c r="F3939" s="13" t="s">
        <v>103</v>
      </c>
      <c r="G3939" s="24" t="s">
        <v>2966</v>
      </c>
      <c r="H3939" s="24" t="s">
        <v>27</v>
      </c>
      <c r="I3939" s="24" t="s">
        <v>2940</v>
      </c>
      <c r="J3939" s="14" t="s">
        <v>43</v>
      </c>
      <c r="K3939" s="15" t="s">
        <v>59</v>
      </c>
      <c r="L3939" s="58"/>
      <c r="M3939" s="14"/>
      <c r="N3939" s="14" t="s">
        <v>229</v>
      </c>
      <c r="O3939" s="14"/>
      <c r="P3939" s="15" t="s">
        <v>708</v>
      </c>
      <c r="Q3939" s="16">
        <v>12599</v>
      </c>
      <c r="R3939" s="17">
        <v>40</v>
      </c>
      <c r="S3939" s="18">
        <v>8693.31</v>
      </c>
      <c r="T3939" s="19" t="s">
        <v>36</v>
      </c>
      <c r="U3939" s="20" t="s">
        <v>86</v>
      </c>
      <c r="V3939" s="21" t="s">
        <v>38</v>
      </c>
      <c r="W3939" s="22">
        <v>15</v>
      </c>
      <c r="X3939" s="23"/>
    </row>
    <row r="3940" spans="1:24" s="1" customFormat="1" ht="26" customHeight="1" x14ac:dyDescent="0.3">
      <c r="A3940" s="11" t="s">
        <v>23</v>
      </c>
      <c r="B3940" s="11" t="s">
        <v>3553</v>
      </c>
      <c r="C3940" s="12" t="s">
        <v>3556</v>
      </c>
      <c r="D3940" s="59"/>
      <c r="E3940" s="41" t="str">
        <f>HYPERLINK("https://www.google.ru/search?q=6010350-230&amp;newwindow=1&amp;tbm=isch","Еще фото")</f>
        <v>Еще фото</v>
      </c>
      <c r="F3940" s="13" t="s">
        <v>103</v>
      </c>
      <c r="G3940" s="11" t="s">
        <v>2966</v>
      </c>
      <c r="H3940" s="11" t="s">
        <v>27</v>
      </c>
      <c r="I3940" s="14" t="s">
        <v>2940</v>
      </c>
      <c r="J3940" s="14" t="s">
        <v>43</v>
      </c>
      <c r="K3940" s="15" t="s">
        <v>59</v>
      </c>
      <c r="L3940" s="57" t="s">
        <v>3555</v>
      </c>
      <c r="M3940" s="14"/>
      <c r="N3940" s="14" t="s">
        <v>332</v>
      </c>
      <c r="O3940" s="14"/>
      <c r="P3940" s="15" t="s">
        <v>708</v>
      </c>
      <c r="Q3940" s="16">
        <v>12599</v>
      </c>
      <c r="R3940" s="17">
        <v>40</v>
      </c>
      <c r="S3940" s="18">
        <v>8693.31</v>
      </c>
      <c r="T3940" s="19" t="s">
        <v>36</v>
      </c>
      <c r="U3940" s="20" t="s">
        <v>63</v>
      </c>
      <c r="V3940" s="21" t="s">
        <v>64</v>
      </c>
      <c r="W3940" s="22">
        <v>9</v>
      </c>
      <c r="X3940" s="23"/>
    </row>
    <row r="3941" spans="1:24" s="1" customFormat="1" ht="26" customHeight="1" x14ac:dyDescent="0.3">
      <c r="A3941" s="24" t="s">
        <v>23</v>
      </c>
      <c r="B3941" s="24" t="s">
        <v>3553</v>
      </c>
      <c r="C3941" s="12" t="s">
        <v>3556</v>
      </c>
      <c r="D3941" s="60"/>
      <c r="E3941" s="41" t="str">
        <f>HYPERLINK("https://www.google.ru/search?q=6010350-230&amp;newwindow=1&amp;tbm=isch","Еще фото")</f>
        <v>Еще фото</v>
      </c>
      <c r="F3941" s="13" t="s">
        <v>103</v>
      </c>
      <c r="G3941" s="24" t="s">
        <v>2966</v>
      </c>
      <c r="H3941" s="24" t="s">
        <v>27</v>
      </c>
      <c r="I3941" s="24" t="s">
        <v>2940</v>
      </c>
      <c r="J3941" s="14" t="s">
        <v>43</v>
      </c>
      <c r="K3941" s="15" t="s">
        <v>59</v>
      </c>
      <c r="L3941" s="62"/>
      <c r="M3941" s="14"/>
      <c r="N3941" s="14" t="s">
        <v>332</v>
      </c>
      <c r="O3941" s="14"/>
      <c r="P3941" s="15" t="s">
        <v>708</v>
      </c>
      <c r="Q3941" s="16">
        <v>12599</v>
      </c>
      <c r="R3941" s="17">
        <v>40</v>
      </c>
      <c r="S3941" s="18">
        <v>8693.31</v>
      </c>
      <c r="T3941" s="19" t="s">
        <v>36</v>
      </c>
      <c r="U3941" s="20" t="s">
        <v>37</v>
      </c>
      <c r="V3941" s="21" t="s">
        <v>106</v>
      </c>
      <c r="W3941" s="22">
        <v>11</v>
      </c>
      <c r="X3941" s="23"/>
    </row>
    <row r="3942" spans="1:24" s="1" customFormat="1" ht="26" customHeight="1" x14ac:dyDescent="0.3">
      <c r="A3942" s="24" t="s">
        <v>23</v>
      </c>
      <c r="B3942" s="24" t="s">
        <v>3553</v>
      </c>
      <c r="C3942" s="12" t="s">
        <v>3556</v>
      </c>
      <c r="D3942" s="60"/>
      <c r="E3942" s="41" t="str">
        <f>HYPERLINK("https://www.google.ru/search?q=6010350-230&amp;newwindow=1&amp;tbm=isch","Еще фото")</f>
        <v>Еще фото</v>
      </c>
      <c r="F3942" s="13" t="s">
        <v>103</v>
      </c>
      <c r="G3942" s="24" t="s">
        <v>2966</v>
      </c>
      <c r="H3942" s="24" t="s">
        <v>27</v>
      </c>
      <c r="I3942" s="24" t="s">
        <v>2940</v>
      </c>
      <c r="J3942" s="14" t="s">
        <v>43</v>
      </c>
      <c r="K3942" s="15" t="s">
        <v>59</v>
      </c>
      <c r="L3942" s="62"/>
      <c r="M3942" s="14"/>
      <c r="N3942" s="14" t="s">
        <v>332</v>
      </c>
      <c r="O3942" s="14"/>
      <c r="P3942" s="15" t="s">
        <v>708</v>
      </c>
      <c r="Q3942" s="16">
        <v>12599</v>
      </c>
      <c r="R3942" s="17">
        <v>40</v>
      </c>
      <c r="S3942" s="18">
        <v>8693.31</v>
      </c>
      <c r="T3942" s="19" t="s">
        <v>36</v>
      </c>
      <c r="U3942" s="20" t="s">
        <v>39</v>
      </c>
      <c r="V3942" s="21" t="s">
        <v>85</v>
      </c>
      <c r="W3942" s="22">
        <v>12</v>
      </c>
      <c r="X3942" s="23"/>
    </row>
    <row r="3943" spans="1:24" s="1" customFormat="1" ht="26" customHeight="1" x14ac:dyDescent="0.3">
      <c r="A3943" s="24" t="s">
        <v>23</v>
      </c>
      <c r="B3943" s="24" t="s">
        <v>3553</v>
      </c>
      <c r="C3943" s="12" t="s">
        <v>3556</v>
      </c>
      <c r="D3943" s="61"/>
      <c r="E3943" s="41" t="str">
        <f>HYPERLINK("https://www.google.ru/search?q=6010350-230&amp;newwindow=1&amp;tbm=isch","Еще фото")</f>
        <v>Еще фото</v>
      </c>
      <c r="F3943" s="13" t="s">
        <v>103</v>
      </c>
      <c r="G3943" s="24" t="s">
        <v>2966</v>
      </c>
      <c r="H3943" s="24" t="s">
        <v>27</v>
      </c>
      <c r="I3943" s="24" t="s">
        <v>2940</v>
      </c>
      <c r="J3943" s="14" t="s">
        <v>43</v>
      </c>
      <c r="K3943" s="15" t="s">
        <v>59</v>
      </c>
      <c r="L3943" s="58"/>
      <c r="M3943" s="14"/>
      <c r="N3943" s="14" t="s">
        <v>332</v>
      </c>
      <c r="O3943" s="14"/>
      <c r="P3943" s="15" t="s">
        <v>708</v>
      </c>
      <c r="Q3943" s="16">
        <v>12599</v>
      </c>
      <c r="R3943" s="17">
        <v>40</v>
      </c>
      <c r="S3943" s="18">
        <v>8693.31</v>
      </c>
      <c r="T3943" s="19" t="s">
        <v>36</v>
      </c>
      <c r="U3943" s="20" t="s">
        <v>86</v>
      </c>
      <c r="V3943" s="21" t="s">
        <v>38</v>
      </c>
      <c r="W3943" s="22">
        <v>10</v>
      </c>
      <c r="X3943" s="23"/>
    </row>
    <row r="3944" spans="1:24" s="1" customFormat="1" ht="21" customHeight="1" x14ac:dyDescent="0.3">
      <c r="A3944" s="11" t="s">
        <v>23</v>
      </c>
      <c r="B3944" s="11" t="s">
        <v>3557</v>
      </c>
      <c r="C3944" s="26" t="s">
        <v>3558</v>
      </c>
      <c r="D3944" s="59"/>
      <c r="E3944" s="41" t="str">
        <f>HYPERLINK("https://www.google.ru/search?q=6010887-001&amp;newwindow=1&amp;tbm=isch","Еще фото")</f>
        <v>Еще фото</v>
      </c>
      <c r="F3944" s="13" t="s">
        <v>103</v>
      </c>
      <c r="G3944" s="11" t="s">
        <v>2945</v>
      </c>
      <c r="H3944" s="11" t="s">
        <v>27</v>
      </c>
      <c r="I3944" s="14" t="s">
        <v>2940</v>
      </c>
      <c r="J3944" s="14" t="s">
        <v>29</v>
      </c>
      <c r="K3944" s="15" t="s">
        <v>30</v>
      </c>
      <c r="L3944" s="57" t="s">
        <v>3559</v>
      </c>
      <c r="M3944" s="14"/>
      <c r="N3944" s="14" t="s">
        <v>33</v>
      </c>
      <c r="O3944" s="14"/>
      <c r="P3944" s="15" t="s">
        <v>47</v>
      </c>
      <c r="Q3944" s="16">
        <v>6699</v>
      </c>
      <c r="R3944" s="17">
        <v>40</v>
      </c>
      <c r="S3944" s="18">
        <v>4622.3099999999995</v>
      </c>
      <c r="T3944" s="19" t="s">
        <v>36</v>
      </c>
      <c r="U3944" s="20" t="s">
        <v>37</v>
      </c>
      <c r="V3944" s="21" t="s">
        <v>38</v>
      </c>
      <c r="W3944" s="22">
        <v>17</v>
      </c>
      <c r="X3944" s="23"/>
    </row>
    <row r="3945" spans="1:24" s="1" customFormat="1" ht="21" customHeight="1" x14ac:dyDescent="0.3">
      <c r="A3945" s="24" t="s">
        <v>23</v>
      </c>
      <c r="B3945" s="24" t="s">
        <v>3557</v>
      </c>
      <c r="C3945" s="27" t="s">
        <v>3558</v>
      </c>
      <c r="D3945" s="60"/>
      <c r="E3945" s="41" t="str">
        <f>HYPERLINK("https://www.google.ru/search?q=6010887-001&amp;newwindow=1&amp;tbm=isch","Еще фото")</f>
        <v>Еще фото</v>
      </c>
      <c r="F3945" s="13" t="s">
        <v>103</v>
      </c>
      <c r="G3945" s="24" t="s">
        <v>2945</v>
      </c>
      <c r="H3945" s="24" t="s">
        <v>27</v>
      </c>
      <c r="I3945" s="24" t="s">
        <v>2940</v>
      </c>
      <c r="J3945" s="14" t="s">
        <v>29</v>
      </c>
      <c r="K3945" s="15" t="s">
        <v>30</v>
      </c>
      <c r="L3945" s="62"/>
      <c r="M3945" s="14"/>
      <c r="N3945" s="14" t="s">
        <v>33</v>
      </c>
      <c r="O3945" s="14"/>
      <c r="P3945" s="15" t="s">
        <v>47</v>
      </c>
      <c r="Q3945" s="16">
        <v>6699</v>
      </c>
      <c r="R3945" s="17">
        <v>40</v>
      </c>
      <c r="S3945" s="18">
        <v>4622.3099999999995</v>
      </c>
      <c r="T3945" s="19" t="s">
        <v>36</v>
      </c>
      <c r="U3945" s="20" t="s">
        <v>39</v>
      </c>
      <c r="V3945" s="21" t="s">
        <v>40</v>
      </c>
      <c r="W3945" s="22">
        <v>28</v>
      </c>
      <c r="X3945" s="23"/>
    </row>
    <row r="3946" spans="1:24" s="1" customFormat="1" ht="21" customHeight="1" x14ac:dyDescent="0.3">
      <c r="A3946" s="24" t="s">
        <v>23</v>
      </c>
      <c r="B3946" s="24" t="s">
        <v>3557</v>
      </c>
      <c r="C3946" s="27" t="s">
        <v>3558</v>
      </c>
      <c r="D3946" s="60"/>
      <c r="E3946" s="41" t="str">
        <f>HYPERLINK("https://www.google.ru/search?q=6010887-001&amp;newwindow=1&amp;tbm=isch","Еще фото")</f>
        <v>Еще фото</v>
      </c>
      <c r="F3946" s="13" t="s">
        <v>103</v>
      </c>
      <c r="G3946" s="24" t="s">
        <v>2945</v>
      </c>
      <c r="H3946" s="24" t="s">
        <v>27</v>
      </c>
      <c r="I3946" s="24" t="s">
        <v>2940</v>
      </c>
      <c r="J3946" s="14" t="s">
        <v>29</v>
      </c>
      <c r="K3946" s="15" t="s">
        <v>30</v>
      </c>
      <c r="L3946" s="62"/>
      <c r="M3946" s="14"/>
      <c r="N3946" s="14" t="s">
        <v>33</v>
      </c>
      <c r="O3946" s="14"/>
      <c r="P3946" s="15" t="s">
        <v>47</v>
      </c>
      <c r="Q3946" s="16">
        <v>6699</v>
      </c>
      <c r="R3946" s="17">
        <v>40</v>
      </c>
      <c r="S3946" s="18">
        <v>4622.3099999999995</v>
      </c>
      <c r="T3946" s="19" t="s">
        <v>36</v>
      </c>
      <c r="U3946" s="20" t="s">
        <v>86</v>
      </c>
      <c r="V3946" s="21" t="s">
        <v>87</v>
      </c>
      <c r="W3946" s="22">
        <v>23</v>
      </c>
      <c r="X3946" s="23"/>
    </row>
    <row r="3947" spans="1:24" s="1" customFormat="1" ht="21" customHeight="1" x14ac:dyDescent="0.3">
      <c r="A3947" s="24" t="s">
        <v>23</v>
      </c>
      <c r="B3947" s="24" t="s">
        <v>3557</v>
      </c>
      <c r="C3947" s="27" t="s">
        <v>3558</v>
      </c>
      <c r="D3947" s="60"/>
      <c r="E3947" s="41" t="str">
        <f>HYPERLINK("https://www.google.ru/search?q=6010887-001&amp;newwindow=1&amp;tbm=isch","Еще фото")</f>
        <v>Еще фото</v>
      </c>
      <c r="F3947" s="13" t="s">
        <v>103</v>
      </c>
      <c r="G3947" s="24" t="s">
        <v>2945</v>
      </c>
      <c r="H3947" s="24" t="s">
        <v>27</v>
      </c>
      <c r="I3947" s="24" t="s">
        <v>2940</v>
      </c>
      <c r="J3947" s="14" t="s">
        <v>29</v>
      </c>
      <c r="K3947" s="15" t="s">
        <v>30</v>
      </c>
      <c r="L3947" s="62"/>
      <c r="M3947" s="14"/>
      <c r="N3947" s="14" t="s">
        <v>33</v>
      </c>
      <c r="O3947" s="14"/>
      <c r="P3947" s="15" t="s">
        <v>47</v>
      </c>
      <c r="Q3947" s="16">
        <v>6699</v>
      </c>
      <c r="R3947" s="17">
        <v>40</v>
      </c>
      <c r="S3947" s="18">
        <v>4622.3099999999995</v>
      </c>
      <c r="T3947" s="19" t="s">
        <v>36</v>
      </c>
      <c r="U3947" s="20" t="s">
        <v>88</v>
      </c>
      <c r="V3947" s="21" t="s">
        <v>89</v>
      </c>
      <c r="W3947" s="22">
        <v>16</v>
      </c>
      <c r="X3947" s="23"/>
    </row>
    <row r="3948" spans="1:24" s="1" customFormat="1" ht="32" customHeight="1" x14ac:dyDescent="0.3">
      <c r="A3948" s="24" t="s">
        <v>23</v>
      </c>
      <c r="B3948" s="24" t="s">
        <v>3557</v>
      </c>
      <c r="C3948" s="27" t="s">
        <v>3558</v>
      </c>
      <c r="D3948" s="61"/>
      <c r="E3948" s="41" t="str">
        <f>HYPERLINK("https://www.google.ru/search?q=6010887-001&amp;newwindow=1&amp;tbm=isch","Еще фото")</f>
        <v>Еще фото</v>
      </c>
      <c r="F3948" s="13" t="s">
        <v>103</v>
      </c>
      <c r="G3948" s="24" t="s">
        <v>2945</v>
      </c>
      <c r="H3948" s="24" t="s">
        <v>27</v>
      </c>
      <c r="I3948" s="24" t="s">
        <v>2940</v>
      </c>
      <c r="J3948" s="14" t="s">
        <v>29</v>
      </c>
      <c r="K3948" s="15" t="s">
        <v>30</v>
      </c>
      <c r="L3948" s="58"/>
      <c r="M3948" s="14"/>
      <c r="N3948" s="14" t="s">
        <v>33</v>
      </c>
      <c r="O3948" s="14"/>
      <c r="P3948" s="15" t="s">
        <v>47</v>
      </c>
      <c r="Q3948" s="16">
        <v>6699</v>
      </c>
      <c r="R3948" s="17">
        <v>40</v>
      </c>
      <c r="S3948" s="18">
        <v>4622.3099999999995</v>
      </c>
      <c r="T3948" s="19" t="s">
        <v>36</v>
      </c>
      <c r="U3948" s="20" t="s">
        <v>90</v>
      </c>
      <c r="V3948" s="21" t="s">
        <v>91</v>
      </c>
      <c r="W3948" s="22">
        <v>9</v>
      </c>
      <c r="X3948" s="23"/>
    </row>
    <row r="3949" spans="1:24" s="1" customFormat="1" ht="21" customHeight="1" x14ac:dyDescent="0.3">
      <c r="A3949" s="11" t="s">
        <v>23</v>
      </c>
      <c r="B3949" s="11" t="s">
        <v>3560</v>
      </c>
      <c r="C3949" s="26" t="s">
        <v>3561</v>
      </c>
      <c r="D3949" s="59"/>
      <c r="E3949" s="41" t="str">
        <f>HYPERLINK("https://www.google.ru/search?q=6010892-001&amp;newwindow=1&amp;tbm=isch","Еще фото")</f>
        <v>Еще фото</v>
      </c>
      <c r="F3949" s="13"/>
      <c r="G3949" s="11" t="s">
        <v>2945</v>
      </c>
      <c r="H3949" s="11" t="s">
        <v>27</v>
      </c>
      <c r="I3949" s="14" t="s">
        <v>2940</v>
      </c>
      <c r="J3949" s="14" t="s">
        <v>211</v>
      </c>
      <c r="K3949" s="15" t="s">
        <v>30</v>
      </c>
      <c r="L3949" s="57" t="s">
        <v>3562</v>
      </c>
      <c r="M3949" s="14"/>
      <c r="N3949" s="14" t="s">
        <v>33</v>
      </c>
      <c r="O3949" s="14"/>
      <c r="P3949" s="15" t="s">
        <v>3563</v>
      </c>
      <c r="Q3949" s="16">
        <v>6499</v>
      </c>
      <c r="R3949" s="17">
        <v>40</v>
      </c>
      <c r="S3949" s="18">
        <v>4484.3099999999995</v>
      </c>
      <c r="T3949" s="19" t="s">
        <v>36</v>
      </c>
      <c r="U3949" s="20" t="s">
        <v>37</v>
      </c>
      <c r="V3949" s="21" t="s">
        <v>38</v>
      </c>
      <c r="W3949" s="22">
        <v>9</v>
      </c>
      <c r="X3949" s="23"/>
    </row>
    <row r="3950" spans="1:24" s="1" customFormat="1" ht="21" customHeight="1" x14ac:dyDescent="0.3">
      <c r="A3950" s="24" t="s">
        <v>23</v>
      </c>
      <c r="B3950" s="24" t="s">
        <v>3560</v>
      </c>
      <c r="C3950" s="27" t="s">
        <v>3561</v>
      </c>
      <c r="D3950" s="60"/>
      <c r="E3950" s="41" t="str">
        <f>HYPERLINK("https://www.google.ru/search?q=6010892-001&amp;newwindow=1&amp;tbm=isch","Еще фото")</f>
        <v>Еще фото</v>
      </c>
      <c r="F3950" s="13"/>
      <c r="G3950" s="24" t="s">
        <v>2945</v>
      </c>
      <c r="H3950" s="24" t="s">
        <v>27</v>
      </c>
      <c r="I3950" s="24" t="s">
        <v>2940</v>
      </c>
      <c r="J3950" s="14" t="s">
        <v>211</v>
      </c>
      <c r="K3950" s="15" t="s">
        <v>30</v>
      </c>
      <c r="L3950" s="62"/>
      <c r="M3950" s="14"/>
      <c r="N3950" s="14" t="s">
        <v>33</v>
      </c>
      <c r="O3950" s="14"/>
      <c r="P3950" s="15" t="s">
        <v>3563</v>
      </c>
      <c r="Q3950" s="16">
        <v>6499</v>
      </c>
      <c r="R3950" s="17">
        <v>40</v>
      </c>
      <c r="S3950" s="18">
        <v>4484.3099999999995</v>
      </c>
      <c r="T3950" s="19" t="s">
        <v>36</v>
      </c>
      <c r="U3950" s="20" t="s">
        <v>39</v>
      </c>
      <c r="V3950" s="21" t="s">
        <v>40</v>
      </c>
      <c r="W3950" s="22">
        <v>12</v>
      </c>
      <c r="X3950" s="23"/>
    </row>
    <row r="3951" spans="1:24" s="1" customFormat="1" ht="21" customHeight="1" x14ac:dyDescent="0.3">
      <c r="A3951" s="24" t="s">
        <v>23</v>
      </c>
      <c r="B3951" s="24" t="s">
        <v>3560</v>
      </c>
      <c r="C3951" s="27" t="s">
        <v>3561</v>
      </c>
      <c r="D3951" s="60"/>
      <c r="E3951" s="41" t="str">
        <f>HYPERLINK("https://www.google.ru/search?q=6010892-001&amp;newwindow=1&amp;tbm=isch","Еще фото")</f>
        <v>Еще фото</v>
      </c>
      <c r="F3951" s="13"/>
      <c r="G3951" s="24" t="s">
        <v>2945</v>
      </c>
      <c r="H3951" s="24" t="s">
        <v>27</v>
      </c>
      <c r="I3951" s="24" t="s">
        <v>2940</v>
      </c>
      <c r="J3951" s="14" t="s">
        <v>211</v>
      </c>
      <c r="K3951" s="15" t="s">
        <v>30</v>
      </c>
      <c r="L3951" s="62"/>
      <c r="M3951" s="14"/>
      <c r="N3951" s="14" t="s">
        <v>33</v>
      </c>
      <c r="O3951" s="14"/>
      <c r="P3951" s="15" t="s">
        <v>3563</v>
      </c>
      <c r="Q3951" s="16">
        <v>6499</v>
      </c>
      <c r="R3951" s="17">
        <v>40</v>
      </c>
      <c r="S3951" s="18">
        <v>4484.3099999999995</v>
      </c>
      <c r="T3951" s="19" t="s">
        <v>36</v>
      </c>
      <c r="U3951" s="20" t="s">
        <v>86</v>
      </c>
      <c r="V3951" s="21" t="s">
        <v>87</v>
      </c>
      <c r="W3951" s="22">
        <v>9</v>
      </c>
      <c r="X3951" s="23"/>
    </row>
    <row r="3952" spans="1:24" s="1" customFormat="1" ht="21" customHeight="1" x14ac:dyDescent="0.3">
      <c r="A3952" s="24" t="s">
        <v>23</v>
      </c>
      <c r="B3952" s="24" t="s">
        <v>3560</v>
      </c>
      <c r="C3952" s="27" t="s">
        <v>3561</v>
      </c>
      <c r="D3952" s="60"/>
      <c r="E3952" s="41" t="str">
        <f>HYPERLINK("https://www.google.ru/search?q=6010892-001&amp;newwindow=1&amp;tbm=isch","Еще фото")</f>
        <v>Еще фото</v>
      </c>
      <c r="F3952" s="13"/>
      <c r="G3952" s="24" t="s">
        <v>2945</v>
      </c>
      <c r="H3952" s="24" t="s">
        <v>27</v>
      </c>
      <c r="I3952" s="24" t="s">
        <v>2940</v>
      </c>
      <c r="J3952" s="14" t="s">
        <v>211</v>
      </c>
      <c r="K3952" s="15" t="s">
        <v>30</v>
      </c>
      <c r="L3952" s="62"/>
      <c r="M3952" s="14"/>
      <c r="N3952" s="14" t="s">
        <v>33</v>
      </c>
      <c r="O3952" s="14"/>
      <c r="P3952" s="15" t="s">
        <v>3563</v>
      </c>
      <c r="Q3952" s="16">
        <v>6499</v>
      </c>
      <c r="R3952" s="17">
        <v>40</v>
      </c>
      <c r="S3952" s="18">
        <v>4484.3099999999995</v>
      </c>
      <c r="T3952" s="19" t="s">
        <v>36</v>
      </c>
      <c r="U3952" s="20" t="s">
        <v>88</v>
      </c>
      <c r="V3952" s="21" t="s">
        <v>89</v>
      </c>
      <c r="W3952" s="22">
        <v>10</v>
      </c>
      <c r="X3952" s="23"/>
    </row>
    <row r="3953" spans="1:24" s="1" customFormat="1" ht="32" customHeight="1" x14ac:dyDescent="0.3">
      <c r="A3953" s="24" t="s">
        <v>23</v>
      </c>
      <c r="B3953" s="24" t="s">
        <v>3560</v>
      </c>
      <c r="C3953" s="27" t="s">
        <v>3561</v>
      </c>
      <c r="D3953" s="61"/>
      <c r="E3953" s="41" t="str">
        <f>HYPERLINK("https://www.google.ru/search?q=6010892-001&amp;newwindow=1&amp;tbm=isch","Еще фото")</f>
        <v>Еще фото</v>
      </c>
      <c r="F3953" s="13"/>
      <c r="G3953" s="24" t="s">
        <v>2945</v>
      </c>
      <c r="H3953" s="24" t="s">
        <v>27</v>
      </c>
      <c r="I3953" s="24" t="s">
        <v>2940</v>
      </c>
      <c r="J3953" s="14" t="s">
        <v>211</v>
      </c>
      <c r="K3953" s="15" t="s">
        <v>30</v>
      </c>
      <c r="L3953" s="58"/>
      <c r="M3953" s="14"/>
      <c r="N3953" s="14" t="s">
        <v>33</v>
      </c>
      <c r="O3953" s="14"/>
      <c r="P3953" s="15" t="s">
        <v>3563</v>
      </c>
      <c r="Q3953" s="16">
        <v>6499</v>
      </c>
      <c r="R3953" s="17">
        <v>40</v>
      </c>
      <c r="S3953" s="18">
        <v>4484.3099999999995</v>
      </c>
      <c r="T3953" s="19" t="s">
        <v>36</v>
      </c>
      <c r="U3953" s="20" t="s">
        <v>90</v>
      </c>
      <c r="V3953" s="21" t="s">
        <v>91</v>
      </c>
      <c r="W3953" s="22">
        <v>5</v>
      </c>
      <c r="X3953" s="23"/>
    </row>
    <row r="3954" spans="1:24" s="1" customFormat="1" ht="21" customHeight="1" x14ac:dyDescent="0.3">
      <c r="A3954" s="11" t="s">
        <v>23</v>
      </c>
      <c r="B3954" s="11" t="s">
        <v>3564</v>
      </c>
      <c r="C3954" s="26" t="s">
        <v>3565</v>
      </c>
      <c r="D3954" s="59"/>
      <c r="E3954" s="41" t="str">
        <f>HYPERLINK("https://www.google.ru/search?q=6010983-001&amp;newwindow=1&amp;tbm=isch","Еще фото")</f>
        <v>Еще фото</v>
      </c>
      <c r="F3954" s="13" t="s">
        <v>103</v>
      </c>
      <c r="G3954" s="11" t="s">
        <v>3128</v>
      </c>
      <c r="H3954" s="11" t="s">
        <v>27</v>
      </c>
      <c r="I3954" s="14" t="s">
        <v>2940</v>
      </c>
      <c r="J3954" s="14" t="s">
        <v>43</v>
      </c>
      <c r="K3954" s="15" t="s">
        <v>30</v>
      </c>
      <c r="L3954" s="57" t="s">
        <v>3566</v>
      </c>
      <c r="M3954" s="14"/>
      <c r="N3954" s="14" t="s">
        <v>33</v>
      </c>
      <c r="O3954" s="14"/>
      <c r="P3954" s="15" t="s">
        <v>708</v>
      </c>
      <c r="Q3954" s="16">
        <v>15999</v>
      </c>
      <c r="R3954" s="17">
        <v>40</v>
      </c>
      <c r="S3954" s="18">
        <v>11039.31</v>
      </c>
      <c r="T3954" s="19" t="s">
        <v>36</v>
      </c>
      <c r="U3954" s="20" t="s">
        <v>37</v>
      </c>
      <c r="V3954" s="21" t="s">
        <v>38</v>
      </c>
      <c r="W3954" s="22">
        <v>18</v>
      </c>
      <c r="X3954" s="23"/>
    </row>
    <row r="3955" spans="1:24" s="1" customFormat="1" ht="21" customHeight="1" x14ac:dyDescent="0.3">
      <c r="A3955" s="24" t="s">
        <v>23</v>
      </c>
      <c r="B3955" s="24" t="s">
        <v>3564</v>
      </c>
      <c r="C3955" s="27" t="s">
        <v>3565</v>
      </c>
      <c r="D3955" s="60"/>
      <c r="E3955" s="41" t="str">
        <f>HYPERLINK("https://www.google.ru/search?q=6010983-001&amp;newwindow=1&amp;tbm=isch","Еще фото")</f>
        <v>Еще фото</v>
      </c>
      <c r="F3955" s="13" t="s">
        <v>103</v>
      </c>
      <c r="G3955" s="24" t="s">
        <v>3128</v>
      </c>
      <c r="H3955" s="24" t="s">
        <v>27</v>
      </c>
      <c r="I3955" s="24" t="s">
        <v>2940</v>
      </c>
      <c r="J3955" s="14" t="s">
        <v>43</v>
      </c>
      <c r="K3955" s="15" t="s">
        <v>30</v>
      </c>
      <c r="L3955" s="62"/>
      <c r="M3955" s="14"/>
      <c r="N3955" s="14" t="s">
        <v>33</v>
      </c>
      <c r="O3955" s="14"/>
      <c r="P3955" s="15" t="s">
        <v>708</v>
      </c>
      <c r="Q3955" s="16">
        <v>15999</v>
      </c>
      <c r="R3955" s="17">
        <v>40</v>
      </c>
      <c r="S3955" s="18">
        <v>11039.31</v>
      </c>
      <c r="T3955" s="19" t="s">
        <v>36</v>
      </c>
      <c r="U3955" s="20" t="s">
        <v>39</v>
      </c>
      <c r="V3955" s="21" t="s">
        <v>40</v>
      </c>
      <c r="W3955" s="22">
        <v>32</v>
      </c>
      <c r="X3955" s="23"/>
    </row>
    <row r="3956" spans="1:24" s="1" customFormat="1" ht="21" customHeight="1" x14ac:dyDescent="0.3">
      <c r="A3956" s="24" t="s">
        <v>23</v>
      </c>
      <c r="B3956" s="24" t="s">
        <v>3564</v>
      </c>
      <c r="C3956" s="27" t="s">
        <v>3565</v>
      </c>
      <c r="D3956" s="60"/>
      <c r="E3956" s="41" t="str">
        <f>HYPERLINK("https://www.google.ru/search?q=6010983-001&amp;newwindow=1&amp;tbm=isch","Еще фото")</f>
        <v>Еще фото</v>
      </c>
      <c r="F3956" s="13" t="s">
        <v>103</v>
      </c>
      <c r="G3956" s="24" t="s">
        <v>3128</v>
      </c>
      <c r="H3956" s="24" t="s">
        <v>27</v>
      </c>
      <c r="I3956" s="24" t="s">
        <v>2940</v>
      </c>
      <c r="J3956" s="14" t="s">
        <v>43</v>
      </c>
      <c r="K3956" s="15" t="s">
        <v>30</v>
      </c>
      <c r="L3956" s="62"/>
      <c r="M3956" s="14"/>
      <c r="N3956" s="14" t="s">
        <v>33</v>
      </c>
      <c r="O3956" s="14"/>
      <c r="P3956" s="15" t="s">
        <v>708</v>
      </c>
      <c r="Q3956" s="16">
        <v>15999</v>
      </c>
      <c r="R3956" s="17">
        <v>40</v>
      </c>
      <c r="S3956" s="18">
        <v>11039.31</v>
      </c>
      <c r="T3956" s="19" t="s">
        <v>36</v>
      </c>
      <c r="U3956" s="20" t="s">
        <v>86</v>
      </c>
      <c r="V3956" s="21" t="s">
        <v>87</v>
      </c>
      <c r="W3956" s="22">
        <v>38</v>
      </c>
      <c r="X3956" s="23"/>
    </row>
    <row r="3957" spans="1:24" s="1" customFormat="1" ht="21" customHeight="1" x14ac:dyDescent="0.3">
      <c r="A3957" s="24" t="s">
        <v>23</v>
      </c>
      <c r="B3957" s="24" t="s">
        <v>3564</v>
      </c>
      <c r="C3957" s="27" t="s">
        <v>3565</v>
      </c>
      <c r="D3957" s="60"/>
      <c r="E3957" s="41" t="str">
        <f>HYPERLINK("https://www.google.ru/search?q=6010983-001&amp;newwindow=1&amp;tbm=isch","Еще фото")</f>
        <v>Еще фото</v>
      </c>
      <c r="F3957" s="13" t="s">
        <v>103</v>
      </c>
      <c r="G3957" s="24" t="s">
        <v>3128</v>
      </c>
      <c r="H3957" s="24" t="s">
        <v>27</v>
      </c>
      <c r="I3957" s="24" t="s">
        <v>2940</v>
      </c>
      <c r="J3957" s="14" t="s">
        <v>43</v>
      </c>
      <c r="K3957" s="15" t="s">
        <v>30</v>
      </c>
      <c r="L3957" s="62"/>
      <c r="M3957" s="14"/>
      <c r="N3957" s="14" t="s">
        <v>33</v>
      </c>
      <c r="O3957" s="14"/>
      <c r="P3957" s="15" t="s">
        <v>708</v>
      </c>
      <c r="Q3957" s="16">
        <v>15999</v>
      </c>
      <c r="R3957" s="17">
        <v>40</v>
      </c>
      <c r="S3957" s="18">
        <v>11039.31</v>
      </c>
      <c r="T3957" s="19" t="s">
        <v>36</v>
      </c>
      <c r="U3957" s="20" t="s">
        <v>88</v>
      </c>
      <c r="V3957" s="21" t="s">
        <v>89</v>
      </c>
      <c r="W3957" s="22">
        <v>24</v>
      </c>
      <c r="X3957" s="23"/>
    </row>
    <row r="3958" spans="1:24" s="1" customFormat="1" ht="32" customHeight="1" x14ac:dyDescent="0.3">
      <c r="A3958" s="24" t="s">
        <v>23</v>
      </c>
      <c r="B3958" s="24" t="s">
        <v>3564</v>
      </c>
      <c r="C3958" s="27" t="s">
        <v>3565</v>
      </c>
      <c r="D3958" s="61"/>
      <c r="E3958" s="41" t="str">
        <f>HYPERLINK("https://www.google.ru/search?q=6010983-001&amp;newwindow=1&amp;tbm=isch","Еще фото")</f>
        <v>Еще фото</v>
      </c>
      <c r="F3958" s="13" t="s">
        <v>103</v>
      </c>
      <c r="G3958" s="24" t="s">
        <v>3128</v>
      </c>
      <c r="H3958" s="24" t="s">
        <v>27</v>
      </c>
      <c r="I3958" s="24" t="s">
        <v>2940</v>
      </c>
      <c r="J3958" s="14" t="s">
        <v>43</v>
      </c>
      <c r="K3958" s="15" t="s">
        <v>30</v>
      </c>
      <c r="L3958" s="58"/>
      <c r="M3958" s="14"/>
      <c r="N3958" s="14" t="s">
        <v>33</v>
      </c>
      <c r="O3958" s="14"/>
      <c r="P3958" s="15" t="s">
        <v>708</v>
      </c>
      <c r="Q3958" s="16">
        <v>15999</v>
      </c>
      <c r="R3958" s="17">
        <v>40</v>
      </c>
      <c r="S3958" s="18">
        <v>11039.31</v>
      </c>
      <c r="T3958" s="19" t="s">
        <v>36</v>
      </c>
      <c r="U3958" s="20" t="s">
        <v>90</v>
      </c>
      <c r="V3958" s="21" t="s">
        <v>91</v>
      </c>
      <c r="W3958" s="22">
        <v>8</v>
      </c>
      <c r="X3958" s="23"/>
    </row>
    <row r="3959" spans="1:24" s="1" customFormat="1" ht="26" customHeight="1" x14ac:dyDescent="0.3">
      <c r="A3959" s="11" t="s">
        <v>23</v>
      </c>
      <c r="B3959" s="11" t="s">
        <v>3567</v>
      </c>
      <c r="C3959" s="12" t="s">
        <v>3568</v>
      </c>
      <c r="D3959" s="59"/>
      <c r="E3959" s="41" t="str">
        <f>HYPERLINK("https://www.google.ru/search?q=6011017-001&amp;newwindow=1&amp;tbm=isch","Еще фото")</f>
        <v>Еще фото</v>
      </c>
      <c r="F3959" s="13"/>
      <c r="G3959" s="11" t="s">
        <v>2939</v>
      </c>
      <c r="H3959" s="11" t="s">
        <v>27</v>
      </c>
      <c r="I3959" s="14" t="s">
        <v>2940</v>
      </c>
      <c r="J3959" s="14" t="s">
        <v>43</v>
      </c>
      <c r="K3959" s="15" t="s">
        <v>59</v>
      </c>
      <c r="L3959" s="57" t="s">
        <v>3569</v>
      </c>
      <c r="M3959" s="14"/>
      <c r="N3959" s="14" t="s">
        <v>33</v>
      </c>
      <c r="O3959" s="14"/>
      <c r="P3959" s="15" t="s">
        <v>697</v>
      </c>
      <c r="Q3959" s="16">
        <v>7099</v>
      </c>
      <c r="R3959" s="17">
        <v>40</v>
      </c>
      <c r="S3959" s="18">
        <v>4898.3099999999995</v>
      </c>
      <c r="T3959" s="19" t="s">
        <v>36</v>
      </c>
      <c r="U3959" s="20" t="s">
        <v>63</v>
      </c>
      <c r="V3959" s="21" t="s">
        <v>64</v>
      </c>
      <c r="W3959" s="22">
        <v>15</v>
      </c>
      <c r="X3959" s="23"/>
    </row>
    <row r="3960" spans="1:24" s="1" customFormat="1" ht="26" customHeight="1" x14ac:dyDescent="0.3">
      <c r="A3960" s="24" t="s">
        <v>23</v>
      </c>
      <c r="B3960" s="24" t="s">
        <v>3567</v>
      </c>
      <c r="C3960" s="12" t="s">
        <v>3568</v>
      </c>
      <c r="D3960" s="60"/>
      <c r="E3960" s="41" t="str">
        <f>HYPERLINK("https://www.google.ru/search?q=6011017-001&amp;newwindow=1&amp;tbm=isch","Еще фото")</f>
        <v>Еще фото</v>
      </c>
      <c r="F3960" s="13"/>
      <c r="G3960" s="24" t="s">
        <v>2939</v>
      </c>
      <c r="H3960" s="24" t="s">
        <v>27</v>
      </c>
      <c r="I3960" s="24" t="s">
        <v>2940</v>
      </c>
      <c r="J3960" s="14" t="s">
        <v>43</v>
      </c>
      <c r="K3960" s="15" t="s">
        <v>59</v>
      </c>
      <c r="L3960" s="62"/>
      <c r="M3960" s="14"/>
      <c r="N3960" s="14" t="s">
        <v>33</v>
      </c>
      <c r="O3960" s="14"/>
      <c r="P3960" s="15" t="s">
        <v>697</v>
      </c>
      <c r="Q3960" s="16">
        <v>7099</v>
      </c>
      <c r="R3960" s="17">
        <v>40</v>
      </c>
      <c r="S3960" s="18">
        <v>4898.3099999999995</v>
      </c>
      <c r="T3960" s="19" t="s">
        <v>36</v>
      </c>
      <c r="U3960" s="20" t="s">
        <v>37</v>
      </c>
      <c r="V3960" s="21" t="s">
        <v>106</v>
      </c>
      <c r="W3960" s="22">
        <v>18</v>
      </c>
      <c r="X3960" s="23"/>
    </row>
    <row r="3961" spans="1:24" s="1" customFormat="1" ht="26" customHeight="1" x14ac:dyDescent="0.3">
      <c r="A3961" s="24" t="s">
        <v>23</v>
      </c>
      <c r="B3961" s="24" t="s">
        <v>3567</v>
      </c>
      <c r="C3961" s="12" t="s">
        <v>3568</v>
      </c>
      <c r="D3961" s="60"/>
      <c r="E3961" s="41" t="str">
        <f>HYPERLINK("https://www.google.ru/search?q=6011017-001&amp;newwindow=1&amp;tbm=isch","Еще фото")</f>
        <v>Еще фото</v>
      </c>
      <c r="F3961" s="13"/>
      <c r="G3961" s="24" t="s">
        <v>2939</v>
      </c>
      <c r="H3961" s="24" t="s">
        <v>27</v>
      </c>
      <c r="I3961" s="24" t="s">
        <v>2940</v>
      </c>
      <c r="J3961" s="14" t="s">
        <v>43</v>
      </c>
      <c r="K3961" s="15" t="s">
        <v>59</v>
      </c>
      <c r="L3961" s="62"/>
      <c r="M3961" s="14"/>
      <c r="N3961" s="14" t="s">
        <v>33</v>
      </c>
      <c r="O3961" s="14"/>
      <c r="P3961" s="15" t="s">
        <v>697</v>
      </c>
      <c r="Q3961" s="16">
        <v>7099</v>
      </c>
      <c r="R3961" s="17">
        <v>40</v>
      </c>
      <c r="S3961" s="18">
        <v>4898.3099999999995</v>
      </c>
      <c r="T3961" s="19" t="s">
        <v>36</v>
      </c>
      <c r="U3961" s="20" t="s">
        <v>39</v>
      </c>
      <c r="V3961" s="21" t="s">
        <v>85</v>
      </c>
      <c r="W3961" s="22">
        <v>16</v>
      </c>
      <c r="X3961" s="23"/>
    </row>
    <row r="3962" spans="1:24" s="1" customFormat="1" ht="26" customHeight="1" x14ac:dyDescent="0.3">
      <c r="A3962" s="24" t="s">
        <v>23</v>
      </c>
      <c r="B3962" s="24" t="s">
        <v>3567</v>
      </c>
      <c r="C3962" s="12" t="s">
        <v>3568</v>
      </c>
      <c r="D3962" s="61"/>
      <c r="E3962" s="41" t="str">
        <f>HYPERLINK("https://www.google.ru/search?q=6011017-001&amp;newwindow=1&amp;tbm=isch","Еще фото")</f>
        <v>Еще фото</v>
      </c>
      <c r="F3962" s="13"/>
      <c r="G3962" s="24" t="s">
        <v>2939</v>
      </c>
      <c r="H3962" s="24" t="s">
        <v>27</v>
      </c>
      <c r="I3962" s="24" t="s">
        <v>2940</v>
      </c>
      <c r="J3962" s="14" t="s">
        <v>43</v>
      </c>
      <c r="K3962" s="15" t="s">
        <v>59</v>
      </c>
      <c r="L3962" s="58"/>
      <c r="M3962" s="14"/>
      <c r="N3962" s="14" t="s">
        <v>33</v>
      </c>
      <c r="O3962" s="14"/>
      <c r="P3962" s="15" t="s">
        <v>697</v>
      </c>
      <c r="Q3962" s="16">
        <v>7099</v>
      </c>
      <c r="R3962" s="17">
        <v>40</v>
      </c>
      <c r="S3962" s="18">
        <v>4898.3099999999995</v>
      </c>
      <c r="T3962" s="19" t="s">
        <v>36</v>
      </c>
      <c r="U3962" s="20" t="s">
        <v>86</v>
      </c>
      <c r="V3962" s="21" t="s">
        <v>38</v>
      </c>
      <c r="W3962" s="22">
        <v>14</v>
      </c>
      <c r="X3962" s="23"/>
    </row>
    <row r="3963" spans="1:24" s="1" customFormat="1" ht="21" customHeight="1" x14ac:dyDescent="0.3">
      <c r="A3963" s="11" t="s">
        <v>23</v>
      </c>
      <c r="B3963" s="11" t="s">
        <v>3570</v>
      </c>
      <c r="C3963" s="26" t="s">
        <v>3571</v>
      </c>
      <c r="D3963" s="59"/>
      <c r="E3963" s="41" t="str">
        <f>HYPERLINK("https://www.google.ru/search?q=6011267-001&amp;newwindow=1&amp;tbm=isch","Еще фото")</f>
        <v>Еще фото</v>
      </c>
      <c r="F3963" s="13" t="s">
        <v>103</v>
      </c>
      <c r="G3963" s="11" t="s">
        <v>2966</v>
      </c>
      <c r="H3963" s="11" t="s">
        <v>27</v>
      </c>
      <c r="I3963" s="14" t="s">
        <v>2940</v>
      </c>
      <c r="J3963" s="14" t="s">
        <v>29</v>
      </c>
      <c r="K3963" s="15" t="s">
        <v>30</v>
      </c>
      <c r="L3963" s="57" t="s">
        <v>3572</v>
      </c>
      <c r="M3963" s="14"/>
      <c r="N3963" s="14" t="s">
        <v>33</v>
      </c>
      <c r="O3963" s="14"/>
      <c r="P3963" s="15" t="s">
        <v>47</v>
      </c>
      <c r="Q3963" s="16">
        <v>8699</v>
      </c>
      <c r="R3963" s="17">
        <v>40</v>
      </c>
      <c r="S3963" s="18">
        <v>6002.3099999999995</v>
      </c>
      <c r="T3963" s="19" t="s">
        <v>36</v>
      </c>
      <c r="U3963" s="20" t="s">
        <v>37</v>
      </c>
      <c r="V3963" s="21" t="s">
        <v>38</v>
      </c>
      <c r="W3963" s="22">
        <v>11</v>
      </c>
      <c r="X3963" s="23"/>
    </row>
    <row r="3964" spans="1:24" s="1" customFormat="1" ht="21" customHeight="1" x14ac:dyDescent="0.3">
      <c r="A3964" s="24" t="s">
        <v>23</v>
      </c>
      <c r="B3964" s="24" t="s">
        <v>3570</v>
      </c>
      <c r="C3964" s="27" t="s">
        <v>3571</v>
      </c>
      <c r="D3964" s="60"/>
      <c r="E3964" s="41" t="str">
        <f>HYPERLINK("https://www.google.ru/search?q=6011267-001&amp;newwindow=1&amp;tbm=isch","Еще фото")</f>
        <v>Еще фото</v>
      </c>
      <c r="F3964" s="13" t="s">
        <v>103</v>
      </c>
      <c r="G3964" s="24" t="s">
        <v>2966</v>
      </c>
      <c r="H3964" s="24" t="s">
        <v>27</v>
      </c>
      <c r="I3964" s="24" t="s">
        <v>2940</v>
      </c>
      <c r="J3964" s="14" t="s">
        <v>29</v>
      </c>
      <c r="K3964" s="15" t="s">
        <v>30</v>
      </c>
      <c r="L3964" s="62"/>
      <c r="M3964" s="14"/>
      <c r="N3964" s="14" t="s">
        <v>33</v>
      </c>
      <c r="O3964" s="14"/>
      <c r="P3964" s="15" t="s">
        <v>47</v>
      </c>
      <c r="Q3964" s="16">
        <v>8699</v>
      </c>
      <c r="R3964" s="17">
        <v>40</v>
      </c>
      <c r="S3964" s="18">
        <v>6002.3099999999995</v>
      </c>
      <c r="T3964" s="19" t="s">
        <v>36</v>
      </c>
      <c r="U3964" s="20" t="s">
        <v>39</v>
      </c>
      <c r="V3964" s="21" t="s">
        <v>40</v>
      </c>
      <c r="W3964" s="22">
        <v>6</v>
      </c>
      <c r="X3964" s="23"/>
    </row>
    <row r="3965" spans="1:24" s="1" customFormat="1" ht="21" customHeight="1" x14ac:dyDescent="0.3">
      <c r="A3965" s="24" t="s">
        <v>23</v>
      </c>
      <c r="B3965" s="24" t="s">
        <v>3570</v>
      </c>
      <c r="C3965" s="27" t="s">
        <v>3571</v>
      </c>
      <c r="D3965" s="60"/>
      <c r="E3965" s="41" t="str">
        <f>HYPERLINK("https://www.google.ru/search?q=6011267-001&amp;newwindow=1&amp;tbm=isch","Еще фото")</f>
        <v>Еще фото</v>
      </c>
      <c r="F3965" s="13" t="s">
        <v>103</v>
      </c>
      <c r="G3965" s="24" t="s">
        <v>2966</v>
      </c>
      <c r="H3965" s="24" t="s">
        <v>27</v>
      </c>
      <c r="I3965" s="24" t="s">
        <v>2940</v>
      </c>
      <c r="J3965" s="14" t="s">
        <v>29</v>
      </c>
      <c r="K3965" s="15" t="s">
        <v>30</v>
      </c>
      <c r="L3965" s="62"/>
      <c r="M3965" s="14"/>
      <c r="N3965" s="14" t="s">
        <v>33</v>
      </c>
      <c r="O3965" s="14"/>
      <c r="P3965" s="15" t="s">
        <v>47</v>
      </c>
      <c r="Q3965" s="16">
        <v>8699</v>
      </c>
      <c r="R3965" s="17">
        <v>40</v>
      </c>
      <c r="S3965" s="18">
        <v>6002.3099999999995</v>
      </c>
      <c r="T3965" s="19" t="s">
        <v>36</v>
      </c>
      <c r="U3965" s="20" t="s">
        <v>86</v>
      </c>
      <c r="V3965" s="21" t="s">
        <v>87</v>
      </c>
      <c r="W3965" s="22">
        <v>5</v>
      </c>
      <c r="X3965" s="23"/>
    </row>
    <row r="3966" spans="1:24" s="1" customFormat="1" ht="21" customHeight="1" x14ac:dyDescent="0.3">
      <c r="A3966" s="24" t="s">
        <v>23</v>
      </c>
      <c r="B3966" s="24" t="s">
        <v>3570</v>
      </c>
      <c r="C3966" s="27" t="s">
        <v>3571</v>
      </c>
      <c r="D3966" s="60"/>
      <c r="E3966" s="41" t="str">
        <f>HYPERLINK("https://www.google.ru/search?q=6011267-001&amp;newwindow=1&amp;tbm=isch","Еще фото")</f>
        <v>Еще фото</v>
      </c>
      <c r="F3966" s="13" t="s">
        <v>103</v>
      </c>
      <c r="G3966" s="24" t="s">
        <v>2966</v>
      </c>
      <c r="H3966" s="24" t="s">
        <v>27</v>
      </c>
      <c r="I3966" s="24" t="s">
        <v>2940</v>
      </c>
      <c r="J3966" s="14" t="s">
        <v>29</v>
      </c>
      <c r="K3966" s="15" t="s">
        <v>30</v>
      </c>
      <c r="L3966" s="62"/>
      <c r="M3966" s="14"/>
      <c r="N3966" s="14" t="s">
        <v>33</v>
      </c>
      <c r="O3966" s="14"/>
      <c r="P3966" s="15" t="s">
        <v>47</v>
      </c>
      <c r="Q3966" s="16">
        <v>8699</v>
      </c>
      <c r="R3966" s="17">
        <v>40</v>
      </c>
      <c r="S3966" s="18">
        <v>6002.3099999999995</v>
      </c>
      <c r="T3966" s="19" t="s">
        <v>36</v>
      </c>
      <c r="U3966" s="20" t="s">
        <v>88</v>
      </c>
      <c r="V3966" s="21" t="s">
        <v>89</v>
      </c>
      <c r="W3966" s="22">
        <v>1</v>
      </c>
      <c r="X3966" s="23"/>
    </row>
    <row r="3967" spans="1:24" s="1" customFormat="1" ht="32" customHeight="1" x14ac:dyDescent="0.3">
      <c r="A3967" s="24" t="s">
        <v>23</v>
      </c>
      <c r="B3967" s="24" t="s">
        <v>3570</v>
      </c>
      <c r="C3967" s="27" t="s">
        <v>3571</v>
      </c>
      <c r="D3967" s="61"/>
      <c r="E3967" s="41" t="str">
        <f>HYPERLINK("https://www.google.ru/search?q=6011267-001&amp;newwindow=1&amp;tbm=isch","Еще фото")</f>
        <v>Еще фото</v>
      </c>
      <c r="F3967" s="13" t="s">
        <v>103</v>
      </c>
      <c r="G3967" s="24" t="s">
        <v>2966</v>
      </c>
      <c r="H3967" s="24" t="s">
        <v>27</v>
      </c>
      <c r="I3967" s="24" t="s">
        <v>2940</v>
      </c>
      <c r="J3967" s="14" t="s">
        <v>29</v>
      </c>
      <c r="K3967" s="15" t="s">
        <v>30</v>
      </c>
      <c r="L3967" s="58"/>
      <c r="M3967" s="14"/>
      <c r="N3967" s="14" t="s">
        <v>33</v>
      </c>
      <c r="O3967" s="14"/>
      <c r="P3967" s="15" t="s">
        <v>47</v>
      </c>
      <c r="Q3967" s="16">
        <v>8699</v>
      </c>
      <c r="R3967" s="17">
        <v>40</v>
      </c>
      <c r="S3967" s="18">
        <v>6002.3099999999995</v>
      </c>
      <c r="T3967" s="19" t="s">
        <v>36</v>
      </c>
      <c r="U3967" s="20" t="s">
        <v>408</v>
      </c>
      <c r="V3967" s="21" t="s">
        <v>409</v>
      </c>
      <c r="W3967" s="22">
        <v>2</v>
      </c>
      <c r="X3967" s="23"/>
    </row>
    <row r="3968" spans="1:24" s="1" customFormat="1" ht="26" customHeight="1" x14ac:dyDescent="0.3">
      <c r="A3968" s="11" t="s">
        <v>23</v>
      </c>
      <c r="B3968" s="11" t="s">
        <v>3570</v>
      </c>
      <c r="C3968" s="12" t="s">
        <v>3573</v>
      </c>
      <c r="D3968" s="59"/>
      <c r="E3968" s="41" t="str">
        <f>HYPERLINK("https://www.google.ru/search?q=6011267-408&amp;newwindow=1&amp;tbm=isch","Еще фото")</f>
        <v>Еще фото</v>
      </c>
      <c r="F3968" s="13"/>
      <c r="G3968" s="11" t="s">
        <v>2966</v>
      </c>
      <c r="H3968" s="11" t="s">
        <v>27</v>
      </c>
      <c r="I3968" s="14" t="s">
        <v>2940</v>
      </c>
      <c r="J3968" s="14" t="s">
        <v>29</v>
      </c>
      <c r="K3968" s="15" t="s">
        <v>30</v>
      </c>
      <c r="L3968" s="57" t="s">
        <v>3574</v>
      </c>
      <c r="M3968" s="14"/>
      <c r="N3968" s="14" t="s">
        <v>115</v>
      </c>
      <c r="O3968" s="14"/>
      <c r="P3968" s="15" t="s">
        <v>47</v>
      </c>
      <c r="Q3968" s="16">
        <v>8699</v>
      </c>
      <c r="R3968" s="17">
        <v>40</v>
      </c>
      <c r="S3968" s="18">
        <v>6002.3099999999995</v>
      </c>
      <c r="T3968" s="19" t="s">
        <v>36</v>
      </c>
      <c r="U3968" s="20" t="s">
        <v>37</v>
      </c>
      <c r="V3968" s="21" t="s">
        <v>38</v>
      </c>
      <c r="W3968" s="22">
        <v>5</v>
      </c>
      <c r="X3968" s="23"/>
    </row>
    <row r="3969" spans="1:24" s="1" customFormat="1" ht="26" customHeight="1" x14ac:dyDescent="0.3">
      <c r="A3969" s="24" t="s">
        <v>23</v>
      </c>
      <c r="B3969" s="24" t="s">
        <v>3570</v>
      </c>
      <c r="C3969" s="12" t="s">
        <v>3573</v>
      </c>
      <c r="D3969" s="60"/>
      <c r="E3969" s="41" t="str">
        <f>HYPERLINK("https://www.google.ru/search?q=6011267-408&amp;newwindow=1&amp;tbm=isch","Еще фото")</f>
        <v>Еще фото</v>
      </c>
      <c r="F3969" s="13"/>
      <c r="G3969" s="24" t="s">
        <v>2966</v>
      </c>
      <c r="H3969" s="24" t="s">
        <v>27</v>
      </c>
      <c r="I3969" s="24" t="s">
        <v>2940</v>
      </c>
      <c r="J3969" s="14" t="s">
        <v>29</v>
      </c>
      <c r="K3969" s="15" t="s">
        <v>30</v>
      </c>
      <c r="L3969" s="62"/>
      <c r="M3969" s="14"/>
      <c r="N3969" s="14" t="s">
        <v>115</v>
      </c>
      <c r="O3969" s="14"/>
      <c r="P3969" s="15" t="s">
        <v>47</v>
      </c>
      <c r="Q3969" s="16">
        <v>8699</v>
      </c>
      <c r="R3969" s="17">
        <v>40</v>
      </c>
      <c r="S3969" s="18">
        <v>6002.3099999999995</v>
      </c>
      <c r="T3969" s="19" t="s">
        <v>36</v>
      </c>
      <c r="U3969" s="20" t="s">
        <v>39</v>
      </c>
      <c r="V3969" s="21" t="s">
        <v>40</v>
      </c>
      <c r="W3969" s="22">
        <v>18</v>
      </c>
      <c r="X3969" s="23"/>
    </row>
    <row r="3970" spans="1:24" s="1" customFormat="1" ht="26" customHeight="1" x14ac:dyDescent="0.3">
      <c r="A3970" s="24" t="s">
        <v>23</v>
      </c>
      <c r="B3970" s="24" t="s">
        <v>3570</v>
      </c>
      <c r="C3970" s="12" t="s">
        <v>3573</v>
      </c>
      <c r="D3970" s="60"/>
      <c r="E3970" s="41" t="str">
        <f>HYPERLINK("https://www.google.ru/search?q=6011267-408&amp;newwindow=1&amp;tbm=isch","Еще фото")</f>
        <v>Еще фото</v>
      </c>
      <c r="F3970" s="13"/>
      <c r="G3970" s="24" t="s">
        <v>2966</v>
      </c>
      <c r="H3970" s="24" t="s">
        <v>27</v>
      </c>
      <c r="I3970" s="24" t="s">
        <v>2940</v>
      </c>
      <c r="J3970" s="14" t="s">
        <v>29</v>
      </c>
      <c r="K3970" s="15" t="s">
        <v>30</v>
      </c>
      <c r="L3970" s="62"/>
      <c r="M3970" s="14"/>
      <c r="N3970" s="14" t="s">
        <v>115</v>
      </c>
      <c r="O3970" s="14"/>
      <c r="P3970" s="15" t="s">
        <v>47</v>
      </c>
      <c r="Q3970" s="16">
        <v>8699</v>
      </c>
      <c r="R3970" s="17">
        <v>40</v>
      </c>
      <c r="S3970" s="18">
        <v>6002.3099999999995</v>
      </c>
      <c r="T3970" s="19" t="s">
        <v>36</v>
      </c>
      <c r="U3970" s="20" t="s">
        <v>88</v>
      </c>
      <c r="V3970" s="21" t="s">
        <v>89</v>
      </c>
      <c r="W3970" s="22">
        <v>9</v>
      </c>
      <c r="X3970" s="23"/>
    </row>
    <row r="3971" spans="1:24" s="1" customFormat="1" ht="26" customHeight="1" x14ac:dyDescent="0.3">
      <c r="A3971" s="24" t="s">
        <v>23</v>
      </c>
      <c r="B3971" s="24" t="s">
        <v>3570</v>
      </c>
      <c r="C3971" s="12" t="s">
        <v>3573</v>
      </c>
      <c r="D3971" s="61"/>
      <c r="E3971" s="41" t="str">
        <f>HYPERLINK("https://www.google.ru/search?q=6011267-408&amp;newwindow=1&amp;tbm=isch","Еще фото")</f>
        <v>Еще фото</v>
      </c>
      <c r="F3971" s="13"/>
      <c r="G3971" s="24" t="s">
        <v>2966</v>
      </c>
      <c r="H3971" s="24" t="s">
        <v>27</v>
      </c>
      <c r="I3971" s="24" t="s">
        <v>2940</v>
      </c>
      <c r="J3971" s="14" t="s">
        <v>29</v>
      </c>
      <c r="K3971" s="15" t="s">
        <v>30</v>
      </c>
      <c r="L3971" s="58"/>
      <c r="M3971" s="14"/>
      <c r="N3971" s="14" t="s">
        <v>115</v>
      </c>
      <c r="O3971" s="14"/>
      <c r="P3971" s="15" t="s">
        <v>47</v>
      </c>
      <c r="Q3971" s="16">
        <v>8699</v>
      </c>
      <c r="R3971" s="17">
        <v>40</v>
      </c>
      <c r="S3971" s="18">
        <v>6002.3099999999995</v>
      </c>
      <c r="T3971" s="19" t="s">
        <v>36</v>
      </c>
      <c r="U3971" s="20" t="s">
        <v>90</v>
      </c>
      <c r="V3971" s="21" t="s">
        <v>91</v>
      </c>
      <c r="W3971" s="22">
        <v>5</v>
      </c>
      <c r="X3971" s="23"/>
    </row>
    <row r="3972" spans="1:24" s="1" customFormat="1" ht="26" customHeight="1" x14ac:dyDescent="0.3">
      <c r="A3972" s="11" t="s">
        <v>23</v>
      </c>
      <c r="B3972" s="11" t="s">
        <v>3575</v>
      </c>
      <c r="C3972" s="12" t="s">
        <v>3576</v>
      </c>
      <c r="D3972" s="59"/>
      <c r="E3972" s="41" t="str">
        <f>HYPERLINK("https://www.google.ru/search?q=6011279-001&amp;newwindow=1&amp;tbm=isch","Еще фото")</f>
        <v>Еще фото</v>
      </c>
      <c r="F3972" s="13" t="s">
        <v>103</v>
      </c>
      <c r="G3972" s="11" t="s">
        <v>2945</v>
      </c>
      <c r="H3972" s="11" t="s">
        <v>27</v>
      </c>
      <c r="I3972" s="14" t="s">
        <v>2940</v>
      </c>
      <c r="J3972" s="14" t="s">
        <v>211</v>
      </c>
      <c r="K3972" s="15" t="s">
        <v>59</v>
      </c>
      <c r="L3972" s="57" t="s">
        <v>3577</v>
      </c>
      <c r="M3972" s="14"/>
      <c r="N3972" s="14" t="s">
        <v>33</v>
      </c>
      <c r="O3972" s="14"/>
      <c r="P3972" s="15" t="s">
        <v>2662</v>
      </c>
      <c r="Q3972" s="16">
        <v>9999</v>
      </c>
      <c r="R3972" s="17">
        <v>40</v>
      </c>
      <c r="S3972" s="18">
        <v>6899.3099999999995</v>
      </c>
      <c r="T3972" s="19" t="s">
        <v>36</v>
      </c>
      <c r="U3972" s="20" t="s">
        <v>63</v>
      </c>
      <c r="V3972" s="21" t="s">
        <v>64</v>
      </c>
      <c r="W3972" s="22">
        <v>13</v>
      </c>
      <c r="X3972" s="23"/>
    </row>
    <row r="3973" spans="1:24" s="1" customFormat="1" ht="26" customHeight="1" x14ac:dyDescent="0.3">
      <c r="A3973" s="24" t="s">
        <v>23</v>
      </c>
      <c r="B3973" s="24" t="s">
        <v>3575</v>
      </c>
      <c r="C3973" s="12" t="s">
        <v>3576</v>
      </c>
      <c r="D3973" s="60"/>
      <c r="E3973" s="41" t="str">
        <f>HYPERLINK("https://www.google.ru/search?q=6011279-001&amp;newwindow=1&amp;tbm=isch","Еще фото")</f>
        <v>Еще фото</v>
      </c>
      <c r="F3973" s="13" t="s">
        <v>103</v>
      </c>
      <c r="G3973" s="24" t="s">
        <v>2945</v>
      </c>
      <c r="H3973" s="24" t="s">
        <v>27</v>
      </c>
      <c r="I3973" s="24" t="s">
        <v>2940</v>
      </c>
      <c r="J3973" s="14" t="s">
        <v>211</v>
      </c>
      <c r="K3973" s="15" t="s">
        <v>59</v>
      </c>
      <c r="L3973" s="62"/>
      <c r="M3973" s="14"/>
      <c r="N3973" s="14" t="s">
        <v>33</v>
      </c>
      <c r="O3973" s="14"/>
      <c r="P3973" s="15" t="s">
        <v>2662</v>
      </c>
      <c r="Q3973" s="16">
        <v>9999</v>
      </c>
      <c r="R3973" s="17">
        <v>40</v>
      </c>
      <c r="S3973" s="18">
        <v>6899.3099999999995</v>
      </c>
      <c r="T3973" s="19" t="s">
        <v>36</v>
      </c>
      <c r="U3973" s="20" t="s">
        <v>37</v>
      </c>
      <c r="V3973" s="21" t="s">
        <v>106</v>
      </c>
      <c r="W3973" s="22">
        <v>16</v>
      </c>
      <c r="X3973" s="23"/>
    </row>
    <row r="3974" spans="1:24" s="1" customFormat="1" ht="26" customHeight="1" x14ac:dyDescent="0.3">
      <c r="A3974" s="24" t="s">
        <v>23</v>
      </c>
      <c r="B3974" s="24" t="s">
        <v>3575</v>
      </c>
      <c r="C3974" s="12" t="s">
        <v>3576</v>
      </c>
      <c r="D3974" s="60"/>
      <c r="E3974" s="41" t="str">
        <f>HYPERLINK("https://www.google.ru/search?q=6011279-001&amp;newwindow=1&amp;tbm=isch","Еще фото")</f>
        <v>Еще фото</v>
      </c>
      <c r="F3974" s="13" t="s">
        <v>103</v>
      </c>
      <c r="G3974" s="24" t="s">
        <v>2945</v>
      </c>
      <c r="H3974" s="24" t="s">
        <v>27</v>
      </c>
      <c r="I3974" s="24" t="s">
        <v>2940</v>
      </c>
      <c r="J3974" s="14" t="s">
        <v>211</v>
      </c>
      <c r="K3974" s="15" t="s">
        <v>59</v>
      </c>
      <c r="L3974" s="62"/>
      <c r="M3974" s="14"/>
      <c r="N3974" s="14" t="s">
        <v>33</v>
      </c>
      <c r="O3974" s="14"/>
      <c r="P3974" s="15" t="s">
        <v>2662</v>
      </c>
      <c r="Q3974" s="16">
        <v>9999</v>
      </c>
      <c r="R3974" s="17">
        <v>40</v>
      </c>
      <c r="S3974" s="18">
        <v>6899.3099999999995</v>
      </c>
      <c r="T3974" s="19" t="s">
        <v>36</v>
      </c>
      <c r="U3974" s="20" t="s">
        <v>39</v>
      </c>
      <c r="V3974" s="21" t="s">
        <v>85</v>
      </c>
      <c r="W3974" s="22">
        <v>17</v>
      </c>
      <c r="X3974" s="23"/>
    </row>
    <row r="3975" spans="1:24" s="1" customFormat="1" ht="26" customHeight="1" x14ac:dyDescent="0.3">
      <c r="A3975" s="24" t="s">
        <v>23</v>
      </c>
      <c r="B3975" s="24" t="s">
        <v>3575</v>
      </c>
      <c r="C3975" s="12" t="s">
        <v>3576</v>
      </c>
      <c r="D3975" s="61"/>
      <c r="E3975" s="41" t="str">
        <f>HYPERLINK("https://www.google.ru/search?q=6011279-001&amp;newwindow=1&amp;tbm=isch","Еще фото")</f>
        <v>Еще фото</v>
      </c>
      <c r="F3975" s="13" t="s">
        <v>103</v>
      </c>
      <c r="G3975" s="24" t="s">
        <v>2945</v>
      </c>
      <c r="H3975" s="24" t="s">
        <v>27</v>
      </c>
      <c r="I3975" s="24" t="s">
        <v>2940</v>
      </c>
      <c r="J3975" s="14" t="s">
        <v>211</v>
      </c>
      <c r="K3975" s="15" t="s">
        <v>59</v>
      </c>
      <c r="L3975" s="58"/>
      <c r="M3975" s="14"/>
      <c r="N3975" s="14" t="s">
        <v>33</v>
      </c>
      <c r="O3975" s="14"/>
      <c r="P3975" s="15" t="s">
        <v>2662</v>
      </c>
      <c r="Q3975" s="16">
        <v>9999</v>
      </c>
      <c r="R3975" s="17">
        <v>40</v>
      </c>
      <c r="S3975" s="18">
        <v>6899.3099999999995</v>
      </c>
      <c r="T3975" s="19" t="s">
        <v>36</v>
      </c>
      <c r="U3975" s="20" t="s">
        <v>86</v>
      </c>
      <c r="V3975" s="21" t="s">
        <v>38</v>
      </c>
      <c r="W3975" s="22">
        <v>14</v>
      </c>
      <c r="X3975" s="23"/>
    </row>
    <row r="3976" spans="1:24" s="1" customFormat="1" ht="26" customHeight="1" x14ac:dyDescent="0.3">
      <c r="A3976" s="11" t="s">
        <v>23</v>
      </c>
      <c r="B3976" s="11" t="s">
        <v>3578</v>
      </c>
      <c r="C3976" s="12" t="s">
        <v>3579</v>
      </c>
      <c r="D3976" s="59"/>
      <c r="E3976" s="41" t="str">
        <f>HYPERLINK("https://www.google.ru/search?q=6012292-011&amp;newwindow=1&amp;tbm=isch","Еще фото")</f>
        <v>Еще фото</v>
      </c>
      <c r="F3976" s="13"/>
      <c r="G3976" s="11" t="s">
        <v>2945</v>
      </c>
      <c r="H3976" s="11" t="s">
        <v>27</v>
      </c>
      <c r="I3976" s="14" t="s">
        <v>2940</v>
      </c>
      <c r="J3976" s="14" t="s">
        <v>43</v>
      </c>
      <c r="K3976" s="15" t="s">
        <v>59</v>
      </c>
      <c r="L3976" s="57"/>
      <c r="M3976" s="14"/>
      <c r="N3976" s="14" t="s">
        <v>62</v>
      </c>
      <c r="O3976" s="14"/>
      <c r="P3976" s="15" t="s">
        <v>120</v>
      </c>
      <c r="Q3976" s="16">
        <v>5799</v>
      </c>
      <c r="R3976" s="17">
        <v>40</v>
      </c>
      <c r="S3976" s="18">
        <v>4001.31</v>
      </c>
      <c r="T3976" s="19" t="s">
        <v>36</v>
      </c>
      <c r="U3976" s="20" t="s">
        <v>63</v>
      </c>
      <c r="V3976" s="21" t="s">
        <v>64</v>
      </c>
      <c r="W3976" s="22">
        <v>12</v>
      </c>
      <c r="X3976" s="23"/>
    </row>
    <row r="3977" spans="1:24" s="1" customFormat="1" ht="26" customHeight="1" x14ac:dyDescent="0.3">
      <c r="A3977" s="24" t="s">
        <v>23</v>
      </c>
      <c r="B3977" s="24" t="s">
        <v>3578</v>
      </c>
      <c r="C3977" s="12" t="s">
        <v>3579</v>
      </c>
      <c r="D3977" s="60"/>
      <c r="E3977" s="41" t="str">
        <f>HYPERLINK("https://www.google.ru/search?q=6012292-011&amp;newwindow=1&amp;tbm=isch","Еще фото")</f>
        <v>Еще фото</v>
      </c>
      <c r="F3977" s="13"/>
      <c r="G3977" s="24" t="s">
        <v>2945</v>
      </c>
      <c r="H3977" s="24" t="s">
        <v>27</v>
      </c>
      <c r="I3977" s="24" t="s">
        <v>2940</v>
      </c>
      <c r="J3977" s="14" t="s">
        <v>43</v>
      </c>
      <c r="K3977" s="15" t="s">
        <v>59</v>
      </c>
      <c r="L3977" s="62"/>
      <c r="M3977" s="14"/>
      <c r="N3977" s="14" t="s">
        <v>62</v>
      </c>
      <c r="O3977" s="14"/>
      <c r="P3977" s="15" t="s">
        <v>120</v>
      </c>
      <c r="Q3977" s="16">
        <v>5799</v>
      </c>
      <c r="R3977" s="17">
        <v>40</v>
      </c>
      <c r="S3977" s="18">
        <v>4001.31</v>
      </c>
      <c r="T3977" s="19" t="s">
        <v>36</v>
      </c>
      <c r="U3977" s="20" t="s">
        <v>37</v>
      </c>
      <c r="V3977" s="21" t="s">
        <v>106</v>
      </c>
      <c r="W3977" s="22">
        <v>15</v>
      </c>
      <c r="X3977" s="23"/>
    </row>
    <row r="3978" spans="1:24" s="1" customFormat="1" ht="26" customHeight="1" x14ac:dyDescent="0.3">
      <c r="A3978" s="24" t="s">
        <v>23</v>
      </c>
      <c r="B3978" s="24" t="s">
        <v>3578</v>
      </c>
      <c r="C3978" s="12" t="s">
        <v>3579</v>
      </c>
      <c r="D3978" s="60"/>
      <c r="E3978" s="41" t="str">
        <f>HYPERLINK("https://www.google.ru/search?q=6012292-011&amp;newwindow=1&amp;tbm=isch","Еще фото")</f>
        <v>Еще фото</v>
      </c>
      <c r="F3978" s="13"/>
      <c r="G3978" s="24" t="s">
        <v>2945</v>
      </c>
      <c r="H3978" s="24" t="s">
        <v>27</v>
      </c>
      <c r="I3978" s="24" t="s">
        <v>2940</v>
      </c>
      <c r="J3978" s="14" t="s">
        <v>43</v>
      </c>
      <c r="K3978" s="15" t="s">
        <v>59</v>
      </c>
      <c r="L3978" s="62"/>
      <c r="M3978" s="14"/>
      <c r="N3978" s="14" t="s">
        <v>62</v>
      </c>
      <c r="O3978" s="14"/>
      <c r="P3978" s="15" t="s">
        <v>120</v>
      </c>
      <c r="Q3978" s="16">
        <v>5799</v>
      </c>
      <c r="R3978" s="17">
        <v>40</v>
      </c>
      <c r="S3978" s="18">
        <v>4001.31</v>
      </c>
      <c r="T3978" s="19" t="s">
        <v>36</v>
      </c>
      <c r="U3978" s="20" t="s">
        <v>39</v>
      </c>
      <c r="V3978" s="21" t="s">
        <v>85</v>
      </c>
      <c r="W3978" s="22">
        <v>19</v>
      </c>
      <c r="X3978" s="23"/>
    </row>
    <row r="3979" spans="1:24" s="1" customFormat="1" ht="26" customHeight="1" x14ac:dyDescent="0.3">
      <c r="A3979" s="24" t="s">
        <v>23</v>
      </c>
      <c r="B3979" s="24" t="s">
        <v>3578</v>
      </c>
      <c r="C3979" s="12" t="s">
        <v>3579</v>
      </c>
      <c r="D3979" s="61"/>
      <c r="E3979" s="41" t="str">
        <f>HYPERLINK("https://www.google.ru/search?q=6012292-011&amp;newwindow=1&amp;tbm=isch","Еще фото")</f>
        <v>Еще фото</v>
      </c>
      <c r="F3979" s="13"/>
      <c r="G3979" s="24" t="s">
        <v>2945</v>
      </c>
      <c r="H3979" s="24" t="s">
        <v>27</v>
      </c>
      <c r="I3979" s="24" t="s">
        <v>2940</v>
      </c>
      <c r="J3979" s="14" t="s">
        <v>43</v>
      </c>
      <c r="K3979" s="15" t="s">
        <v>59</v>
      </c>
      <c r="L3979" s="58"/>
      <c r="M3979" s="14"/>
      <c r="N3979" s="14" t="s">
        <v>62</v>
      </c>
      <c r="O3979" s="14"/>
      <c r="P3979" s="15" t="s">
        <v>120</v>
      </c>
      <c r="Q3979" s="16">
        <v>5799</v>
      </c>
      <c r="R3979" s="17">
        <v>40</v>
      </c>
      <c r="S3979" s="18">
        <v>4001.31</v>
      </c>
      <c r="T3979" s="19" t="s">
        <v>36</v>
      </c>
      <c r="U3979" s="20" t="s">
        <v>86</v>
      </c>
      <c r="V3979" s="21" t="s">
        <v>38</v>
      </c>
      <c r="W3979" s="22">
        <v>12</v>
      </c>
      <c r="X3979" s="23"/>
    </row>
    <row r="3980" spans="1:24" s="1" customFormat="1" ht="21" customHeight="1" x14ac:dyDescent="0.3">
      <c r="A3980" s="11" t="s">
        <v>23</v>
      </c>
      <c r="B3980" s="11" t="s">
        <v>3580</v>
      </c>
      <c r="C3980" s="26" t="s">
        <v>3581</v>
      </c>
      <c r="D3980" s="59"/>
      <c r="E3980" s="41" t="str">
        <f>HYPERLINK("https://www.google.ru/search?q=6012335-001&amp;newwindow=1&amp;tbm=isch","Еще фото")</f>
        <v>Еще фото</v>
      </c>
      <c r="F3980" s="13" t="s">
        <v>103</v>
      </c>
      <c r="G3980" s="11" t="s">
        <v>2939</v>
      </c>
      <c r="H3980" s="11" t="s">
        <v>27</v>
      </c>
      <c r="I3980" s="14" t="s">
        <v>2940</v>
      </c>
      <c r="J3980" s="14" t="s">
        <v>43</v>
      </c>
      <c r="K3980" s="15" t="s">
        <v>30</v>
      </c>
      <c r="L3980" s="57" t="s">
        <v>3582</v>
      </c>
      <c r="M3980" s="14"/>
      <c r="N3980" s="14" t="s">
        <v>33</v>
      </c>
      <c r="O3980" s="14"/>
      <c r="P3980" s="15" t="s">
        <v>120</v>
      </c>
      <c r="Q3980" s="16">
        <v>10099</v>
      </c>
      <c r="R3980" s="17">
        <v>40</v>
      </c>
      <c r="S3980" s="18">
        <v>6968.3099999999995</v>
      </c>
      <c r="T3980" s="19" t="s">
        <v>36</v>
      </c>
      <c r="U3980" s="20" t="s">
        <v>37</v>
      </c>
      <c r="V3980" s="21" t="s">
        <v>38</v>
      </c>
      <c r="W3980" s="22">
        <v>9</v>
      </c>
      <c r="X3980" s="23"/>
    </row>
    <row r="3981" spans="1:24" s="1" customFormat="1" ht="21" customHeight="1" x14ac:dyDescent="0.3">
      <c r="A3981" s="24" t="s">
        <v>23</v>
      </c>
      <c r="B3981" s="24" t="s">
        <v>3580</v>
      </c>
      <c r="C3981" s="27" t="s">
        <v>3581</v>
      </c>
      <c r="D3981" s="60"/>
      <c r="E3981" s="41" t="str">
        <f>HYPERLINK("https://www.google.ru/search?q=6012335-001&amp;newwindow=1&amp;tbm=isch","Еще фото")</f>
        <v>Еще фото</v>
      </c>
      <c r="F3981" s="13" t="s">
        <v>103</v>
      </c>
      <c r="G3981" s="24" t="s">
        <v>2939</v>
      </c>
      <c r="H3981" s="24" t="s">
        <v>27</v>
      </c>
      <c r="I3981" s="24" t="s">
        <v>2940</v>
      </c>
      <c r="J3981" s="14" t="s">
        <v>43</v>
      </c>
      <c r="K3981" s="15" t="s">
        <v>30</v>
      </c>
      <c r="L3981" s="62"/>
      <c r="M3981" s="14"/>
      <c r="N3981" s="14" t="s">
        <v>33</v>
      </c>
      <c r="O3981" s="14"/>
      <c r="P3981" s="15" t="s">
        <v>120</v>
      </c>
      <c r="Q3981" s="16">
        <v>10099</v>
      </c>
      <c r="R3981" s="17">
        <v>40</v>
      </c>
      <c r="S3981" s="18">
        <v>6968.3099999999995</v>
      </c>
      <c r="T3981" s="19" t="s">
        <v>36</v>
      </c>
      <c r="U3981" s="20" t="s">
        <v>39</v>
      </c>
      <c r="V3981" s="21" t="s">
        <v>40</v>
      </c>
      <c r="W3981" s="22">
        <v>28</v>
      </c>
      <c r="X3981" s="23"/>
    </row>
    <row r="3982" spans="1:24" s="1" customFormat="1" ht="21" customHeight="1" x14ac:dyDescent="0.3">
      <c r="A3982" s="24" t="s">
        <v>23</v>
      </c>
      <c r="B3982" s="24" t="s">
        <v>3580</v>
      </c>
      <c r="C3982" s="27" t="s">
        <v>3581</v>
      </c>
      <c r="D3982" s="60"/>
      <c r="E3982" s="41" t="str">
        <f>HYPERLINK("https://www.google.ru/search?q=6012335-001&amp;newwindow=1&amp;tbm=isch","Еще фото")</f>
        <v>Еще фото</v>
      </c>
      <c r="F3982" s="13" t="s">
        <v>103</v>
      </c>
      <c r="G3982" s="24" t="s">
        <v>2939</v>
      </c>
      <c r="H3982" s="24" t="s">
        <v>27</v>
      </c>
      <c r="I3982" s="24" t="s">
        <v>2940</v>
      </c>
      <c r="J3982" s="14" t="s">
        <v>43</v>
      </c>
      <c r="K3982" s="15" t="s">
        <v>30</v>
      </c>
      <c r="L3982" s="62"/>
      <c r="M3982" s="14"/>
      <c r="N3982" s="14" t="s">
        <v>33</v>
      </c>
      <c r="O3982" s="14"/>
      <c r="P3982" s="15" t="s">
        <v>120</v>
      </c>
      <c r="Q3982" s="16">
        <v>10099</v>
      </c>
      <c r="R3982" s="17">
        <v>40</v>
      </c>
      <c r="S3982" s="18">
        <v>6968.3099999999995</v>
      </c>
      <c r="T3982" s="19" t="s">
        <v>36</v>
      </c>
      <c r="U3982" s="20" t="s">
        <v>86</v>
      </c>
      <c r="V3982" s="21" t="s">
        <v>87</v>
      </c>
      <c r="W3982" s="22">
        <v>32</v>
      </c>
      <c r="X3982" s="23"/>
    </row>
    <row r="3983" spans="1:24" s="1" customFormat="1" ht="21" customHeight="1" x14ac:dyDescent="0.3">
      <c r="A3983" s="24" t="s">
        <v>23</v>
      </c>
      <c r="B3983" s="24" t="s">
        <v>3580</v>
      </c>
      <c r="C3983" s="27" t="s">
        <v>3581</v>
      </c>
      <c r="D3983" s="60"/>
      <c r="E3983" s="41" t="str">
        <f>HYPERLINK("https://www.google.ru/search?q=6012335-001&amp;newwindow=1&amp;tbm=isch","Еще фото")</f>
        <v>Еще фото</v>
      </c>
      <c r="F3983" s="13" t="s">
        <v>103</v>
      </c>
      <c r="G3983" s="24" t="s">
        <v>2939</v>
      </c>
      <c r="H3983" s="24" t="s">
        <v>27</v>
      </c>
      <c r="I3983" s="24" t="s">
        <v>2940</v>
      </c>
      <c r="J3983" s="14" t="s">
        <v>43</v>
      </c>
      <c r="K3983" s="15" t="s">
        <v>30</v>
      </c>
      <c r="L3983" s="62"/>
      <c r="M3983" s="14"/>
      <c r="N3983" s="14" t="s">
        <v>33</v>
      </c>
      <c r="O3983" s="14"/>
      <c r="P3983" s="15" t="s">
        <v>120</v>
      </c>
      <c r="Q3983" s="16">
        <v>10099</v>
      </c>
      <c r="R3983" s="17">
        <v>40</v>
      </c>
      <c r="S3983" s="18">
        <v>6968.3099999999995</v>
      </c>
      <c r="T3983" s="19" t="s">
        <v>36</v>
      </c>
      <c r="U3983" s="20" t="s">
        <v>88</v>
      </c>
      <c r="V3983" s="21" t="s">
        <v>89</v>
      </c>
      <c r="W3983" s="22">
        <v>10</v>
      </c>
      <c r="X3983" s="23"/>
    </row>
    <row r="3984" spans="1:24" s="1" customFormat="1" ht="32" customHeight="1" x14ac:dyDescent="0.3">
      <c r="A3984" s="24" t="s">
        <v>23</v>
      </c>
      <c r="B3984" s="24" t="s">
        <v>3580</v>
      </c>
      <c r="C3984" s="27" t="s">
        <v>3581</v>
      </c>
      <c r="D3984" s="61"/>
      <c r="E3984" s="41" t="str">
        <f>HYPERLINK("https://www.google.ru/search?q=6012335-001&amp;newwindow=1&amp;tbm=isch","Еще фото")</f>
        <v>Еще фото</v>
      </c>
      <c r="F3984" s="13" t="s">
        <v>103</v>
      </c>
      <c r="G3984" s="24" t="s">
        <v>2939</v>
      </c>
      <c r="H3984" s="24" t="s">
        <v>27</v>
      </c>
      <c r="I3984" s="24" t="s">
        <v>2940</v>
      </c>
      <c r="J3984" s="14" t="s">
        <v>43</v>
      </c>
      <c r="K3984" s="15" t="s">
        <v>30</v>
      </c>
      <c r="L3984" s="58"/>
      <c r="M3984" s="14"/>
      <c r="N3984" s="14" t="s">
        <v>33</v>
      </c>
      <c r="O3984" s="14"/>
      <c r="P3984" s="15" t="s">
        <v>120</v>
      </c>
      <c r="Q3984" s="16">
        <v>10099</v>
      </c>
      <c r="R3984" s="17">
        <v>40</v>
      </c>
      <c r="S3984" s="18">
        <v>6968.3099999999995</v>
      </c>
      <c r="T3984" s="19" t="s">
        <v>36</v>
      </c>
      <c r="U3984" s="20" t="s">
        <v>90</v>
      </c>
      <c r="V3984" s="21" t="s">
        <v>91</v>
      </c>
      <c r="W3984" s="22">
        <v>3</v>
      </c>
      <c r="X3984" s="23"/>
    </row>
    <row r="3985" spans="1:24" s="1" customFormat="1" ht="21" customHeight="1" x14ac:dyDescent="0.3">
      <c r="A3985" s="11" t="s">
        <v>23</v>
      </c>
      <c r="B3985" s="11" t="s">
        <v>3580</v>
      </c>
      <c r="C3985" s="26" t="s">
        <v>3583</v>
      </c>
      <c r="D3985" s="59"/>
      <c r="E3985" s="41" t="str">
        <f>HYPERLINK("https://www.google.ru/search?q=6012335-299&amp;newwindow=1&amp;tbm=isch","Еще фото")</f>
        <v>Еще фото</v>
      </c>
      <c r="F3985" s="13"/>
      <c r="G3985" s="11" t="s">
        <v>2939</v>
      </c>
      <c r="H3985" s="11" t="s">
        <v>27</v>
      </c>
      <c r="I3985" s="14" t="s">
        <v>2940</v>
      </c>
      <c r="J3985" s="14" t="s">
        <v>43</v>
      </c>
      <c r="K3985" s="15" t="s">
        <v>30</v>
      </c>
      <c r="L3985" s="57" t="s">
        <v>3582</v>
      </c>
      <c r="M3985" s="14"/>
      <c r="N3985" s="14" t="s">
        <v>229</v>
      </c>
      <c r="O3985" s="14"/>
      <c r="P3985" s="15" t="s">
        <v>120</v>
      </c>
      <c r="Q3985" s="16">
        <v>5999</v>
      </c>
      <c r="R3985" s="17">
        <v>40</v>
      </c>
      <c r="S3985" s="18">
        <v>4139.3099999999995</v>
      </c>
      <c r="T3985" s="19" t="s">
        <v>36</v>
      </c>
      <c r="U3985" s="20" t="s">
        <v>37</v>
      </c>
      <c r="V3985" s="21" t="s">
        <v>38</v>
      </c>
      <c r="W3985" s="22">
        <v>10</v>
      </c>
      <c r="X3985" s="23"/>
    </row>
    <row r="3986" spans="1:24" s="1" customFormat="1" ht="21" customHeight="1" x14ac:dyDescent="0.3">
      <c r="A3986" s="24" t="s">
        <v>23</v>
      </c>
      <c r="B3986" s="24" t="s">
        <v>3580</v>
      </c>
      <c r="C3986" s="27" t="s">
        <v>3583</v>
      </c>
      <c r="D3986" s="60"/>
      <c r="E3986" s="41" t="str">
        <f>HYPERLINK("https://www.google.ru/search?q=6012335-299&amp;newwindow=1&amp;tbm=isch","Еще фото")</f>
        <v>Еще фото</v>
      </c>
      <c r="F3986" s="13"/>
      <c r="G3986" s="24" t="s">
        <v>2939</v>
      </c>
      <c r="H3986" s="24" t="s">
        <v>27</v>
      </c>
      <c r="I3986" s="24" t="s">
        <v>2940</v>
      </c>
      <c r="J3986" s="14" t="s">
        <v>43</v>
      </c>
      <c r="K3986" s="15" t="s">
        <v>30</v>
      </c>
      <c r="L3986" s="62"/>
      <c r="M3986" s="14"/>
      <c r="N3986" s="14" t="s">
        <v>229</v>
      </c>
      <c r="O3986" s="14"/>
      <c r="P3986" s="15" t="s">
        <v>120</v>
      </c>
      <c r="Q3986" s="16">
        <v>5999</v>
      </c>
      <c r="R3986" s="17">
        <v>40</v>
      </c>
      <c r="S3986" s="18">
        <v>4139.3099999999995</v>
      </c>
      <c r="T3986" s="19" t="s">
        <v>36</v>
      </c>
      <c r="U3986" s="20" t="s">
        <v>39</v>
      </c>
      <c r="V3986" s="21" t="s">
        <v>40</v>
      </c>
      <c r="W3986" s="22">
        <v>24</v>
      </c>
      <c r="X3986" s="23"/>
    </row>
    <row r="3987" spans="1:24" s="1" customFormat="1" ht="21" customHeight="1" x14ac:dyDescent="0.3">
      <c r="A3987" s="24" t="s">
        <v>23</v>
      </c>
      <c r="B3987" s="24" t="s">
        <v>3580</v>
      </c>
      <c r="C3987" s="27" t="s">
        <v>3583</v>
      </c>
      <c r="D3987" s="60"/>
      <c r="E3987" s="41" t="str">
        <f>HYPERLINK("https://www.google.ru/search?q=6012335-299&amp;newwindow=1&amp;tbm=isch","Еще фото")</f>
        <v>Еще фото</v>
      </c>
      <c r="F3987" s="13"/>
      <c r="G3987" s="24" t="s">
        <v>2939</v>
      </c>
      <c r="H3987" s="24" t="s">
        <v>27</v>
      </c>
      <c r="I3987" s="24" t="s">
        <v>2940</v>
      </c>
      <c r="J3987" s="14" t="s">
        <v>43</v>
      </c>
      <c r="K3987" s="15" t="s">
        <v>30</v>
      </c>
      <c r="L3987" s="62"/>
      <c r="M3987" s="14"/>
      <c r="N3987" s="14" t="s">
        <v>229</v>
      </c>
      <c r="O3987" s="14"/>
      <c r="P3987" s="15" t="s">
        <v>120</v>
      </c>
      <c r="Q3987" s="16">
        <v>5999</v>
      </c>
      <c r="R3987" s="17">
        <v>40</v>
      </c>
      <c r="S3987" s="18">
        <v>4139.3099999999995</v>
      </c>
      <c r="T3987" s="19" t="s">
        <v>36</v>
      </c>
      <c r="U3987" s="20" t="s">
        <v>86</v>
      </c>
      <c r="V3987" s="21" t="s">
        <v>87</v>
      </c>
      <c r="W3987" s="22">
        <v>24</v>
      </c>
      <c r="X3987" s="23"/>
    </row>
    <row r="3988" spans="1:24" s="1" customFormat="1" ht="21" customHeight="1" x14ac:dyDescent="0.3">
      <c r="A3988" s="24" t="s">
        <v>23</v>
      </c>
      <c r="B3988" s="24" t="s">
        <v>3580</v>
      </c>
      <c r="C3988" s="27" t="s">
        <v>3583</v>
      </c>
      <c r="D3988" s="60"/>
      <c r="E3988" s="41" t="str">
        <f>HYPERLINK("https://www.google.ru/search?q=6012335-299&amp;newwindow=1&amp;tbm=isch","Еще фото")</f>
        <v>Еще фото</v>
      </c>
      <c r="F3988" s="13"/>
      <c r="G3988" s="24" t="s">
        <v>2939</v>
      </c>
      <c r="H3988" s="24" t="s">
        <v>27</v>
      </c>
      <c r="I3988" s="24" t="s">
        <v>2940</v>
      </c>
      <c r="J3988" s="14" t="s">
        <v>43</v>
      </c>
      <c r="K3988" s="15" t="s">
        <v>30</v>
      </c>
      <c r="L3988" s="62"/>
      <c r="M3988" s="14"/>
      <c r="N3988" s="14" t="s">
        <v>229</v>
      </c>
      <c r="O3988" s="14"/>
      <c r="P3988" s="15" t="s">
        <v>120</v>
      </c>
      <c r="Q3988" s="16">
        <v>5999</v>
      </c>
      <c r="R3988" s="17">
        <v>40</v>
      </c>
      <c r="S3988" s="18">
        <v>4139.3099999999995</v>
      </c>
      <c r="T3988" s="19" t="s">
        <v>36</v>
      </c>
      <c r="U3988" s="20" t="s">
        <v>88</v>
      </c>
      <c r="V3988" s="21" t="s">
        <v>89</v>
      </c>
      <c r="W3988" s="22">
        <v>13</v>
      </c>
      <c r="X3988" s="23"/>
    </row>
    <row r="3989" spans="1:24" s="1" customFormat="1" ht="32" customHeight="1" x14ac:dyDescent="0.3">
      <c r="A3989" s="24" t="s">
        <v>23</v>
      </c>
      <c r="B3989" s="24" t="s">
        <v>3580</v>
      </c>
      <c r="C3989" s="27" t="s">
        <v>3583</v>
      </c>
      <c r="D3989" s="61"/>
      <c r="E3989" s="41" t="str">
        <f>HYPERLINK("https://www.google.ru/search?q=6012335-299&amp;newwindow=1&amp;tbm=isch","Еще фото")</f>
        <v>Еще фото</v>
      </c>
      <c r="F3989" s="13"/>
      <c r="G3989" s="24" t="s">
        <v>2939</v>
      </c>
      <c r="H3989" s="24" t="s">
        <v>27</v>
      </c>
      <c r="I3989" s="24" t="s">
        <v>2940</v>
      </c>
      <c r="J3989" s="14" t="s">
        <v>43</v>
      </c>
      <c r="K3989" s="15" t="s">
        <v>30</v>
      </c>
      <c r="L3989" s="58"/>
      <c r="M3989" s="14"/>
      <c r="N3989" s="14" t="s">
        <v>229</v>
      </c>
      <c r="O3989" s="14"/>
      <c r="P3989" s="15" t="s">
        <v>120</v>
      </c>
      <c r="Q3989" s="16">
        <v>5999</v>
      </c>
      <c r="R3989" s="17">
        <v>40</v>
      </c>
      <c r="S3989" s="18">
        <v>4139.3099999999995</v>
      </c>
      <c r="T3989" s="19" t="s">
        <v>36</v>
      </c>
      <c r="U3989" s="20" t="s">
        <v>90</v>
      </c>
      <c r="V3989" s="21" t="s">
        <v>91</v>
      </c>
      <c r="W3989" s="22">
        <v>8</v>
      </c>
      <c r="X3989" s="23"/>
    </row>
    <row r="3990" spans="1:24" s="1" customFormat="1" ht="21" customHeight="1" x14ac:dyDescent="0.3">
      <c r="A3990" s="11" t="s">
        <v>23</v>
      </c>
      <c r="B3990" s="11" t="s">
        <v>3580</v>
      </c>
      <c r="C3990" s="26" t="s">
        <v>3584</v>
      </c>
      <c r="D3990" s="59"/>
      <c r="E3990" s="41" t="str">
        <f>HYPERLINK("https://www.google.ru/search?q=6012335-338&amp;newwindow=1&amp;tbm=isch","Еще фото")</f>
        <v>Еще фото</v>
      </c>
      <c r="F3990" s="13"/>
      <c r="G3990" s="11" t="s">
        <v>2939</v>
      </c>
      <c r="H3990" s="11" t="s">
        <v>27</v>
      </c>
      <c r="I3990" s="14" t="s">
        <v>2940</v>
      </c>
      <c r="J3990" s="14" t="s">
        <v>43</v>
      </c>
      <c r="K3990" s="15" t="s">
        <v>30</v>
      </c>
      <c r="L3990" s="57" t="s">
        <v>3582</v>
      </c>
      <c r="M3990" s="14"/>
      <c r="N3990" s="14" t="s">
        <v>127</v>
      </c>
      <c r="O3990" s="14"/>
      <c r="P3990" s="15" t="s">
        <v>120</v>
      </c>
      <c r="Q3990" s="16">
        <v>5999</v>
      </c>
      <c r="R3990" s="17">
        <v>40</v>
      </c>
      <c r="S3990" s="18">
        <v>4139.3099999999995</v>
      </c>
      <c r="T3990" s="19" t="s">
        <v>36</v>
      </c>
      <c r="U3990" s="20" t="s">
        <v>37</v>
      </c>
      <c r="V3990" s="21" t="s">
        <v>38</v>
      </c>
      <c r="W3990" s="22">
        <v>8</v>
      </c>
      <c r="X3990" s="23"/>
    </row>
    <row r="3991" spans="1:24" s="1" customFormat="1" ht="21" customHeight="1" x14ac:dyDescent="0.3">
      <c r="A3991" s="24" t="s">
        <v>23</v>
      </c>
      <c r="B3991" s="24" t="s">
        <v>3580</v>
      </c>
      <c r="C3991" s="27" t="s">
        <v>3584</v>
      </c>
      <c r="D3991" s="60"/>
      <c r="E3991" s="41" t="str">
        <f>HYPERLINK("https://www.google.ru/search?q=6012335-338&amp;newwindow=1&amp;tbm=isch","Еще фото")</f>
        <v>Еще фото</v>
      </c>
      <c r="F3991" s="13"/>
      <c r="G3991" s="24" t="s">
        <v>2939</v>
      </c>
      <c r="H3991" s="24" t="s">
        <v>27</v>
      </c>
      <c r="I3991" s="24" t="s">
        <v>2940</v>
      </c>
      <c r="J3991" s="14" t="s">
        <v>43</v>
      </c>
      <c r="K3991" s="15" t="s">
        <v>30</v>
      </c>
      <c r="L3991" s="62"/>
      <c r="M3991" s="14"/>
      <c r="N3991" s="14" t="s">
        <v>127</v>
      </c>
      <c r="O3991" s="14"/>
      <c r="P3991" s="15" t="s">
        <v>120</v>
      </c>
      <c r="Q3991" s="16">
        <v>5999</v>
      </c>
      <c r="R3991" s="17">
        <v>40</v>
      </c>
      <c r="S3991" s="18">
        <v>4139.3099999999995</v>
      </c>
      <c r="T3991" s="19" t="s">
        <v>36</v>
      </c>
      <c r="U3991" s="20" t="s">
        <v>39</v>
      </c>
      <c r="V3991" s="21" t="s">
        <v>40</v>
      </c>
      <c r="W3991" s="22">
        <v>21</v>
      </c>
      <c r="X3991" s="23"/>
    </row>
    <row r="3992" spans="1:24" s="1" customFormat="1" ht="21" customHeight="1" x14ac:dyDescent="0.3">
      <c r="A3992" s="24" t="s">
        <v>23</v>
      </c>
      <c r="B3992" s="24" t="s">
        <v>3580</v>
      </c>
      <c r="C3992" s="27" t="s">
        <v>3584</v>
      </c>
      <c r="D3992" s="60"/>
      <c r="E3992" s="41" t="str">
        <f>HYPERLINK("https://www.google.ru/search?q=6012335-338&amp;newwindow=1&amp;tbm=isch","Еще фото")</f>
        <v>Еще фото</v>
      </c>
      <c r="F3992" s="13"/>
      <c r="G3992" s="24" t="s">
        <v>2939</v>
      </c>
      <c r="H3992" s="24" t="s">
        <v>27</v>
      </c>
      <c r="I3992" s="24" t="s">
        <v>2940</v>
      </c>
      <c r="J3992" s="14" t="s">
        <v>43</v>
      </c>
      <c r="K3992" s="15" t="s">
        <v>30</v>
      </c>
      <c r="L3992" s="62"/>
      <c r="M3992" s="14"/>
      <c r="N3992" s="14" t="s">
        <v>127</v>
      </c>
      <c r="O3992" s="14"/>
      <c r="P3992" s="15" t="s">
        <v>120</v>
      </c>
      <c r="Q3992" s="16">
        <v>5999</v>
      </c>
      <c r="R3992" s="17">
        <v>40</v>
      </c>
      <c r="S3992" s="18">
        <v>4139.3099999999995</v>
      </c>
      <c r="T3992" s="19" t="s">
        <v>36</v>
      </c>
      <c r="U3992" s="20" t="s">
        <v>86</v>
      </c>
      <c r="V3992" s="21" t="s">
        <v>87</v>
      </c>
      <c r="W3992" s="22">
        <v>22</v>
      </c>
      <c r="X3992" s="23"/>
    </row>
    <row r="3993" spans="1:24" s="1" customFormat="1" ht="21" customHeight="1" x14ac:dyDescent="0.3">
      <c r="A3993" s="24" t="s">
        <v>23</v>
      </c>
      <c r="B3993" s="24" t="s">
        <v>3580</v>
      </c>
      <c r="C3993" s="27" t="s">
        <v>3584</v>
      </c>
      <c r="D3993" s="60"/>
      <c r="E3993" s="41" t="str">
        <f>HYPERLINK("https://www.google.ru/search?q=6012335-338&amp;newwindow=1&amp;tbm=isch","Еще фото")</f>
        <v>Еще фото</v>
      </c>
      <c r="F3993" s="13"/>
      <c r="G3993" s="24" t="s">
        <v>2939</v>
      </c>
      <c r="H3993" s="24" t="s">
        <v>27</v>
      </c>
      <c r="I3993" s="24" t="s">
        <v>2940</v>
      </c>
      <c r="J3993" s="14" t="s">
        <v>43</v>
      </c>
      <c r="K3993" s="15" t="s">
        <v>30</v>
      </c>
      <c r="L3993" s="62"/>
      <c r="M3993" s="14"/>
      <c r="N3993" s="14" t="s">
        <v>127</v>
      </c>
      <c r="O3993" s="14"/>
      <c r="P3993" s="15" t="s">
        <v>120</v>
      </c>
      <c r="Q3993" s="16">
        <v>5999</v>
      </c>
      <c r="R3993" s="17">
        <v>40</v>
      </c>
      <c r="S3993" s="18">
        <v>4139.3099999999995</v>
      </c>
      <c r="T3993" s="19" t="s">
        <v>36</v>
      </c>
      <c r="U3993" s="20" t="s">
        <v>88</v>
      </c>
      <c r="V3993" s="21" t="s">
        <v>89</v>
      </c>
      <c r="W3993" s="22">
        <v>14</v>
      </c>
      <c r="X3993" s="23"/>
    </row>
    <row r="3994" spans="1:24" s="1" customFormat="1" ht="32" customHeight="1" x14ac:dyDescent="0.3">
      <c r="A3994" s="24" t="s">
        <v>23</v>
      </c>
      <c r="B3994" s="24" t="s">
        <v>3580</v>
      </c>
      <c r="C3994" s="27" t="s">
        <v>3584</v>
      </c>
      <c r="D3994" s="61"/>
      <c r="E3994" s="41" t="str">
        <f>HYPERLINK("https://www.google.ru/search?q=6012335-338&amp;newwindow=1&amp;tbm=isch","Еще фото")</f>
        <v>Еще фото</v>
      </c>
      <c r="F3994" s="13"/>
      <c r="G3994" s="24" t="s">
        <v>2939</v>
      </c>
      <c r="H3994" s="24" t="s">
        <v>27</v>
      </c>
      <c r="I3994" s="24" t="s">
        <v>2940</v>
      </c>
      <c r="J3994" s="14" t="s">
        <v>43</v>
      </c>
      <c r="K3994" s="15" t="s">
        <v>30</v>
      </c>
      <c r="L3994" s="58"/>
      <c r="M3994" s="14"/>
      <c r="N3994" s="14" t="s">
        <v>127</v>
      </c>
      <c r="O3994" s="14"/>
      <c r="P3994" s="15" t="s">
        <v>120</v>
      </c>
      <c r="Q3994" s="16">
        <v>5999</v>
      </c>
      <c r="R3994" s="17">
        <v>40</v>
      </c>
      <c r="S3994" s="18">
        <v>4139.3099999999995</v>
      </c>
      <c r="T3994" s="19" t="s">
        <v>36</v>
      </c>
      <c r="U3994" s="20" t="s">
        <v>90</v>
      </c>
      <c r="V3994" s="21" t="s">
        <v>91</v>
      </c>
      <c r="W3994" s="22">
        <v>9</v>
      </c>
      <c r="X3994" s="23"/>
    </row>
    <row r="3995" spans="1:24" s="1" customFormat="1" ht="21" customHeight="1" x14ac:dyDescent="0.3">
      <c r="A3995" s="11" t="s">
        <v>23</v>
      </c>
      <c r="B3995" s="11" t="s">
        <v>3580</v>
      </c>
      <c r="C3995" s="26" t="s">
        <v>3585</v>
      </c>
      <c r="D3995" s="59"/>
      <c r="E3995" s="41" t="str">
        <f>HYPERLINK("https://www.google.ru/search?q=6012335-498&amp;newwindow=1&amp;tbm=isch","Еще фото")</f>
        <v>Еще фото</v>
      </c>
      <c r="F3995" s="13"/>
      <c r="G3995" s="11" t="s">
        <v>2939</v>
      </c>
      <c r="H3995" s="11" t="s">
        <v>27</v>
      </c>
      <c r="I3995" s="14" t="s">
        <v>2940</v>
      </c>
      <c r="J3995" s="14" t="s">
        <v>43</v>
      </c>
      <c r="K3995" s="15" t="s">
        <v>30</v>
      </c>
      <c r="L3995" s="57" t="s">
        <v>3582</v>
      </c>
      <c r="M3995" s="14"/>
      <c r="N3995" s="14" t="s">
        <v>115</v>
      </c>
      <c r="O3995" s="14"/>
      <c r="P3995" s="15" t="s">
        <v>120</v>
      </c>
      <c r="Q3995" s="16">
        <v>5999</v>
      </c>
      <c r="R3995" s="17">
        <v>40</v>
      </c>
      <c r="S3995" s="18">
        <v>4139.3099999999995</v>
      </c>
      <c r="T3995" s="19" t="s">
        <v>36</v>
      </c>
      <c r="U3995" s="20" t="s">
        <v>37</v>
      </c>
      <c r="V3995" s="21" t="s">
        <v>38</v>
      </c>
      <c r="W3995" s="22">
        <v>11</v>
      </c>
      <c r="X3995" s="23"/>
    </row>
    <row r="3996" spans="1:24" s="1" customFormat="1" ht="21" customHeight="1" x14ac:dyDescent="0.3">
      <c r="A3996" s="24" t="s">
        <v>23</v>
      </c>
      <c r="B3996" s="24" t="s">
        <v>3580</v>
      </c>
      <c r="C3996" s="27" t="s">
        <v>3585</v>
      </c>
      <c r="D3996" s="60"/>
      <c r="E3996" s="41" t="str">
        <f>HYPERLINK("https://www.google.ru/search?q=6012335-498&amp;newwindow=1&amp;tbm=isch","Еще фото")</f>
        <v>Еще фото</v>
      </c>
      <c r="F3996" s="13"/>
      <c r="G3996" s="24" t="s">
        <v>2939</v>
      </c>
      <c r="H3996" s="24" t="s">
        <v>27</v>
      </c>
      <c r="I3996" s="24" t="s">
        <v>2940</v>
      </c>
      <c r="J3996" s="14" t="s">
        <v>43</v>
      </c>
      <c r="K3996" s="15" t="s">
        <v>30</v>
      </c>
      <c r="L3996" s="62"/>
      <c r="M3996" s="14"/>
      <c r="N3996" s="14" t="s">
        <v>115</v>
      </c>
      <c r="O3996" s="14"/>
      <c r="P3996" s="15" t="s">
        <v>120</v>
      </c>
      <c r="Q3996" s="16">
        <v>5999</v>
      </c>
      <c r="R3996" s="17">
        <v>40</v>
      </c>
      <c r="S3996" s="18">
        <v>4139.3099999999995</v>
      </c>
      <c r="T3996" s="19" t="s">
        <v>36</v>
      </c>
      <c r="U3996" s="20" t="s">
        <v>39</v>
      </c>
      <c r="V3996" s="21" t="s">
        <v>40</v>
      </c>
      <c r="W3996" s="22">
        <v>23</v>
      </c>
      <c r="X3996" s="23"/>
    </row>
    <row r="3997" spans="1:24" s="1" customFormat="1" ht="21" customHeight="1" x14ac:dyDescent="0.3">
      <c r="A3997" s="24" t="s">
        <v>23</v>
      </c>
      <c r="B3997" s="24" t="s">
        <v>3580</v>
      </c>
      <c r="C3997" s="27" t="s">
        <v>3585</v>
      </c>
      <c r="D3997" s="60"/>
      <c r="E3997" s="41" t="str">
        <f>HYPERLINK("https://www.google.ru/search?q=6012335-498&amp;newwindow=1&amp;tbm=isch","Еще фото")</f>
        <v>Еще фото</v>
      </c>
      <c r="F3997" s="13"/>
      <c r="G3997" s="24" t="s">
        <v>2939</v>
      </c>
      <c r="H3997" s="24" t="s">
        <v>27</v>
      </c>
      <c r="I3997" s="24" t="s">
        <v>2940</v>
      </c>
      <c r="J3997" s="14" t="s">
        <v>43</v>
      </c>
      <c r="K3997" s="15" t="s">
        <v>30</v>
      </c>
      <c r="L3997" s="62"/>
      <c r="M3997" s="14"/>
      <c r="N3997" s="14" t="s">
        <v>115</v>
      </c>
      <c r="O3997" s="14"/>
      <c r="P3997" s="15" t="s">
        <v>120</v>
      </c>
      <c r="Q3997" s="16">
        <v>5999</v>
      </c>
      <c r="R3997" s="17">
        <v>40</v>
      </c>
      <c r="S3997" s="18">
        <v>4139.3099999999995</v>
      </c>
      <c r="T3997" s="19" t="s">
        <v>36</v>
      </c>
      <c r="U3997" s="20" t="s">
        <v>86</v>
      </c>
      <c r="V3997" s="21" t="s">
        <v>87</v>
      </c>
      <c r="W3997" s="22">
        <v>19</v>
      </c>
      <c r="X3997" s="23"/>
    </row>
    <row r="3998" spans="1:24" s="1" customFormat="1" ht="21" customHeight="1" x14ac:dyDescent="0.3">
      <c r="A3998" s="24" t="s">
        <v>23</v>
      </c>
      <c r="B3998" s="24" t="s">
        <v>3580</v>
      </c>
      <c r="C3998" s="27" t="s">
        <v>3585</v>
      </c>
      <c r="D3998" s="60"/>
      <c r="E3998" s="41" t="str">
        <f>HYPERLINK("https://www.google.ru/search?q=6012335-498&amp;newwindow=1&amp;tbm=isch","Еще фото")</f>
        <v>Еще фото</v>
      </c>
      <c r="F3998" s="13"/>
      <c r="G3998" s="24" t="s">
        <v>2939</v>
      </c>
      <c r="H3998" s="24" t="s">
        <v>27</v>
      </c>
      <c r="I3998" s="24" t="s">
        <v>2940</v>
      </c>
      <c r="J3998" s="14" t="s">
        <v>43</v>
      </c>
      <c r="K3998" s="15" t="s">
        <v>30</v>
      </c>
      <c r="L3998" s="62"/>
      <c r="M3998" s="14"/>
      <c r="N3998" s="14" t="s">
        <v>115</v>
      </c>
      <c r="O3998" s="14"/>
      <c r="P3998" s="15" t="s">
        <v>120</v>
      </c>
      <c r="Q3998" s="16">
        <v>5999</v>
      </c>
      <c r="R3998" s="17">
        <v>40</v>
      </c>
      <c r="S3998" s="18">
        <v>4139.3099999999995</v>
      </c>
      <c r="T3998" s="19" t="s">
        <v>36</v>
      </c>
      <c r="U3998" s="20" t="s">
        <v>88</v>
      </c>
      <c r="V3998" s="21" t="s">
        <v>89</v>
      </c>
      <c r="W3998" s="22">
        <v>16</v>
      </c>
      <c r="X3998" s="23"/>
    </row>
    <row r="3999" spans="1:24" s="1" customFormat="1" ht="32" customHeight="1" x14ac:dyDescent="0.3">
      <c r="A3999" s="24" t="s">
        <v>23</v>
      </c>
      <c r="B3999" s="24" t="s">
        <v>3580</v>
      </c>
      <c r="C3999" s="27" t="s">
        <v>3585</v>
      </c>
      <c r="D3999" s="61"/>
      <c r="E3999" s="41" t="str">
        <f>HYPERLINK("https://www.google.ru/search?q=6012335-498&amp;newwindow=1&amp;tbm=isch","Еще фото")</f>
        <v>Еще фото</v>
      </c>
      <c r="F3999" s="13"/>
      <c r="G3999" s="24" t="s">
        <v>2939</v>
      </c>
      <c r="H3999" s="24" t="s">
        <v>27</v>
      </c>
      <c r="I3999" s="24" t="s">
        <v>2940</v>
      </c>
      <c r="J3999" s="14" t="s">
        <v>43</v>
      </c>
      <c r="K3999" s="15" t="s">
        <v>30</v>
      </c>
      <c r="L3999" s="58"/>
      <c r="M3999" s="14"/>
      <c r="N3999" s="14" t="s">
        <v>115</v>
      </c>
      <c r="O3999" s="14"/>
      <c r="P3999" s="15" t="s">
        <v>120</v>
      </c>
      <c r="Q3999" s="16">
        <v>5999</v>
      </c>
      <c r="R3999" s="17">
        <v>40</v>
      </c>
      <c r="S3999" s="18">
        <v>4139.3099999999995</v>
      </c>
      <c r="T3999" s="19" t="s">
        <v>36</v>
      </c>
      <c r="U3999" s="20" t="s">
        <v>90</v>
      </c>
      <c r="V3999" s="21" t="s">
        <v>91</v>
      </c>
      <c r="W3999" s="22">
        <v>10</v>
      </c>
      <c r="X3999" s="23"/>
    </row>
    <row r="4000" spans="1:24" s="1" customFormat="1" ht="26" customHeight="1" x14ac:dyDescent="0.3">
      <c r="A4000" s="11" t="s">
        <v>23</v>
      </c>
      <c r="B4000" s="11" t="s">
        <v>3586</v>
      </c>
      <c r="C4000" s="12" t="s">
        <v>3587</v>
      </c>
      <c r="D4000" s="59"/>
      <c r="E4000" s="41" t="str">
        <f>HYPERLINK("https://www.google.ru/search?q=6014168-001&amp;newwindow=1&amp;tbm=isch","Еще фото")</f>
        <v>Еще фото</v>
      </c>
      <c r="F4000" s="13" t="s">
        <v>103</v>
      </c>
      <c r="G4000" s="11" t="s">
        <v>2961</v>
      </c>
      <c r="H4000" s="11" t="s">
        <v>27</v>
      </c>
      <c r="I4000" s="14" t="s">
        <v>2940</v>
      </c>
      <c r="J4000" s="14" t="s">
        <v>311</v>
      </c>
      <c r="K4000" s="15" t="s">
        <v>30</v>
      </c>
      <c r="L4000" s="57" t="s">
        <v>3588</v>
      </c>
      <c r="M4000" s="14"/>
      <c r="N4000" s="14" t="s">
        <v>33</v>
      </c>
      <c r="O4000" s="14"/>
      <c r="P4000" s="15" t="s">
        <v>47</v>
      </c>
      <c r="Q4000" s="16">
        <v>5799</v>
      </c>
      <c r="R4000" s="17">
        <v>40</v>
      </c>
      <c r="S4000" s="18">
        <v>4001.31</v>
      </c>
      <c r="T4000" s="19" t="s">
        <v>36</v>
      </c>
      <c r="U4000" s="20" t="s">
        <v>39</v>
      </c>
      <c r="V4000" s="21" t="s">
        <v>40</v>
      </c>
      <c r="W4000" s="22">
        <v>16</v>
      </c>
      <c r="X4000" s="23"/>
    </row>
    <row r="4001" spans="1:24" s="1" customFormat="1" ht="26" customHeight="1" x14ac:dyDescent="0.3">
      <c r="A4001" s="24" t="s">
        <v>23</v>
      </c>
      <c r="B4001" s="24" t="s">
        <v>3586</v>
      </c>
      <c r="C4001" s="12" t="s">
        <v>3587</v>
      </c>
      <c r="D4001" s="60"/>
      <c r="E4001" s="41" t="str">
        <f>HYPERLINK("https://www.google.ru/search?q=6014168-001&amp;newwindow=1&amp;tbm=isch","Еще фото")</f>
        <v>Еще фото</v>
      </c>
      <c r="F4001" s="13" t="s">
        <v>103</v>
      </c>
      <c r="G4001" s="24" t="s">
        <v>2961</v>
      </c>
      <c r="H4001" s="24" t="s">
        <v>27</v>
      </c>
      <c r="I4001" s="24" t="s">
        <v>2940</v>
      </c>
      <c r="J4001" s="14" t="s">
        <v>311</v>
      </c>
      <c r="K4001" s="15" t="s">
        <v>30</v>
      </c>
      <c r="L4001" s="62"/>
      <c r="M4001" s="14"/>
      <c r="N4001" s="14" t="s">
        <v>33</v>
      </c>
      <c r="O4001" s="14"/>
      <c r="P4001" s="15" t="s">
        <v>47</v>
      </c>
      <c r="Q4001" s="16">
        <v>5799</v>
      </c>
      <c r="R4001" s="17">
        <v>40</v>
      </c>
      <c r="S4001" s="18">
        <v>4001.31</v>
      </c>
      <c r="T4001" s="19" t="s">
        <v>36</v>
      </c>
      <c r="U4001" s="20" t="s">
        <v>86</v>
      </c>
      <c r="V4001" s="21" t="s">
        <v>87</v>
      </c>
      <c r="W4001" s="22">
        <v>13</v>
      </c>
      <c r="X4001" s="23"/>
    </row>
    <row r="4002" spans="1:24" s="1" customFormat="1" ht="26" customHeight="1" x14ac:dyDescent="0.3">
      <c r="A4002" s="24" t="s">
        <v>23</v>
      </c>
      <c r="B4002" s="24" t="s">
        <v>3586</v>
      </c>
      <c r="C4002" s="12" t="s">
        <v>3587</v>
      </c>
      <c r="D4002" s="60"/>
      <c r="E4002" s="41" t="str">
        <f>HYPERLINK("https://www.google.ru/search?q=6014168-001&amp;newwindow=1&amp;tbm=isch","Еще фото")</f>
        <v>Еще фото</v>
      </c>
      <c r="F4002" s="13" t="s">
        <v>103</v>
      </c>
      <c r="G4002" s="24" t="s">
        <v>2961</v>
      </c>
      <c r="H4002" s="24" t="s">
        <v>27</v>
      </c>
      <c r="I4002" s="24" t="s">
        <v>2940</v>
      </c>
      <c r="J4002" s="14" t="s">
        <v>311</v>
      </c>
      <c r="K4002" s="15" t="s">
        <v>30</v>
      </c>
      <c r="L4002" s="62"/>
      <c r="M4002" s="14"/>
      <c r="N4002" s="14" t="s">
        <v>33</v>
      </c>
      <c r="O4002" s="14"/>
      <c r="P4002" s="15" t="s">
        <v>47</v>
      </c>
      <c r="Q4002" s="16">
        <v>5799</v>
      </c>
      <c r="R4002" s="17">
        <v>40</v>
      </c>
      <c r="S4002" s="18">
        <v>4001.31</v>
      </c>
      <c r="T4002" s="19" t="s">
        <v>36</v>
      </c>
      <c r="U4002" s="20" t="s">
        <v>88</v>
      </c>
      <c r="V4002" s="21" t="s">
        <v>89</v>
      </c>
      <c r="W4002" s="22">
        <v>5</v>
      </c>
      <c r="X4002" s="23"/>
    </row>
    <row r="4003" spans="1:24" s="1" customFormat="1" ht="26" customHeight="1" x14ac:dyDescent="0.3">
      <c r="A4003" s="24" t="s">
        <v>23</v>
      </c>
      <c r="B4003" s="24" t="s">
        <v>3586</v>
      </c>
      <c r="C4003" s="12" t="s">
        <v>3587</v>
      </c>
      <c r="D4003" s="61"/>
      <c r="E4003" s="41" t="str">
        <f>HYPERLINK("https://www.google.ru/search?q=6014168-001&amp;newwindow=1&amp;tbm=isch","Еще фото")</f>
        <v>Еще фото</v>
      </c>
      <c r="F4003" s="13" t="s">
        <v>103</v>
      </c>
      <c r="G4003" s="24" t="s">
        <v>2961</v>
      </c>
      <c r="H4003" s="24" t="s">
        <v>27</v>
      </c>
      <c r="I4003" s="24" t="s">
        <v>2940</v>
      </c>
      <c r="J4003" s="14" t="s">
        <v>311</v>
      </c>
      <c r="K4003" s="15" t="s">
        <v>30</v>
      </c>
      <c r="L4003" s="58"/>
      <c r="M4003" s="14"/>
      <c r="N4003" s="14" t="s">
        <v>33</v>
      </c>
      <c r="O4003" s="14"/>
      <c r="P4003" s="15" t="s">
        <v>47</v>
      </c>
      <c r="Q4003" s="16">
        <v>5799</v>
      </c>
      <c r="R4003" s="17">
        <v>40</v>
      </c>
      <c r="S4003" s="18">
        <v>4001.31</v>
      </c>
      <c r="T4003" s="19" t="s">
        <v>36</v>
      </c>
      <c r="U4003" s="20" t="s">
        <v>90</v>
      </c>
      <c r="V4003" s="21" t="s">
        <v>91</v>
      </c>
      <c r="W4003" s="22">
        <v>1</v>
      </c>
      <c r="X4003" s="23"/>
    </row>
    <row r="4004" spans="1:24" s="1" customFormat="1" ht="35" customHeight="1" x14ac:dyDescent="0.3">
      <c r="A4004" s="11" t="s">
        <v>23</v>
      </c>
      <c r="B4004" s="11" t="s">
        <v>3589</v>
      </c>
      <c r="C4004" s="12" t="s">
        <v>3590</v>
      </c>
      <c r="D4004" s="59"/>
      <c r="E4004" s="41" t="str">
        <f>HYPERLINK("https://www.google.ru/search?q=6014621-014&amp;newwindow=1&amp;tbm=isch","Еще фото")</f>
        <v>Еще фото</v>
      </c>
      <c r="F4004" s="13" t="s">
        <v>103</v>
      </c>
      <c r="G4004" s="11" t="s">
        <v>2966</v>
      </c>
      <c r="H4004" s="11" t="s">
        <v>27</v>
      </c>
      <c r="I4004" s="14" t="s">
        <v>2940</v>
      </c>
      <c r="J4004" s="14" t="s">
        <v>43</v>
      </c>
      <c r="K4004" s="15" t="s">
        <v>30</v>
      </c>
      <c r="L4004" s="57" t="s">
        <v>3591</v>
      </c>
      <c r="M4004" s="14"/>
      <c r="N4004" s="14" t="s">
        <v>62</v>
      </c>
      <c r="O4004" s="14"/>
      <c r="P4004" s="15" t="s">
        <v>213</v>
      </c>
      <c r="Q4004" s="16">
        <v>8999</v>
      </c>
      <c r="R4004" s="17">
        <v>40</v>
      </c>
      <c r="S4004" s="18">
        <v>6209.3099999999995</v>
      </c>
      <c r="T4004" s="19" t="s">
        <v>36</v>
      </c>
      <c r="U4004" s="20" t="s">
        <v>37</v>
      </c>
      <c r="V4004" s="21" t="s">
        <v>38</v>
      </c>
      <c r="W4004" s="22">
        <v>2</v>
      </c>
      <c r="X4004" s="23"/>
    </row>
    <row r="4005" spans="1:24" s="1" customFormat="1" ht="35" customHeight="1" x14ac:dyDescent="0.3">
      <c r="A4005" s="24" t="s">
        <v>23</v>
      </c>
      <c r="B4005" s="24" t="s">
        <v>3589</v>
      </c>
      <c r="C4005" s="12" t="s">
        <v>3590</v>
      </c>
      <c r="D4005" s="60"/>
      <c r="E4005" s="41" t="str">
        <f>HYPERLINK("https://www.google.ru/search?q=6014621-014&amp;newwindow=1&amp;tbm=isch","Еще фото")</f>
        <v>Еще фото</v>
      </c>
      <c r="F4005" s="13" t="s">
        <v>103</v>
      </c>
      <c r="G4005" s="24" t="s">
        <v>2966</v>
      </c>
      <c r="H4005" s="24" t="s">
        <v>27</v>
      </c>
      <c r="I4005" s="24" t="s">
        <v>2940</v>
      </c>
      <c r="J4005" s="14" t="s">
        <v>43</v>
      </c>
      <c r="K4005" s="15" t="s">
        <v>30</v>
      </c>
      <c r="L4005" s="62"/>
      <c r="M4005" s="14"/>
      <c r="N4005" s="14" t="s">
        <v>62</v>
      </c>
      <c r="O4005" s="14"/>
      <c r="P4005" s="15" t="s">
        <v>213</v>
      </c>
      <c r="Q4005" s="16">
        <v>8999</v>
      </c>
      <c r="R4005" s="17">
        <v>40</v>
      </c>
      <c r="S4005" s="18">
        <v>6209.3099999999995</v>
      </c>
      <c r="T4005" s="19" t="s">
        <v>36</v>
      </c>
      <c r="U4005" s="20" t="s">
        <v>39</v>
      </c>
      <c r="V4005" s="21" t="s">
        <v>40</v>
      </c>
      <c r="W4005" s="22">
        <v>1</v>
      </c>
      <c r="X4005" s="23"/>
    </row>
    <row r="4006" spans="1:24" s="1" customFormat="1" ht="37.049999999999997" customHeight="1" x14ac:dyDescent="0.3">
      <c r="A4006" s="24" t="s">
        <v>23</v>
      </c>
      <c r="B4006" s="24" t="s">
        <v>3589</v>
      </c>
      <c r="C4006" s="12" t="s">
        <v>3590</v>
      </c>
      <c r="D4006" s="61"/>
      <c r="E4006" s="41" t="str">
        <f>HYPERLINK("https://www.google.ru/search?q=6014621-014&amp;newwindow=1&amp;tbm=isch","Еще фото")</f>
        <v>Еще фото</v>
      </c>
      <c r="F4006" s="13" t="s">
        <v>103</v>
      </c>
      <c r="G4006" s="24" t="s">
        <v>2966</v>
      </c>
      <c r="H4006" s="24" t="s">
        <v>27</v>
      </c>
      <c r="I4006" s="24" t="s">
        <v>2940</v>
      </c>
      <c r="J4006" s="14" t="s">
        <v>43</v>
      </c>
      <c r="K4006" s="15" t="s">
        <v>30</v>
      </c>
      <c r="L4006" s="58"/>
      <c r="M4006" s="14"/>
      <c r="N4006" s="14" t="s">
        <v>62</v>
      </c>
      <c r="O4006" s="14"/>
      <c r="P4006" s="15" t="s">
        <v>213</v>
      </c>
      <c r="Q4006" s="16">
        <v>8999</v>
      </c>
      <c r="R4006" s="17">
        <v>40</v>
      </c>
      <c r="S4006" s="18">
        <v>6209.3099999999995</v>
      </c>
      <c r="T4006" s="19" t="s">
        <v>36</v>
      </c>
      <c r="U4006" s="20" t="s">
        <v>86</v>
      </c>
      <c r="V4006" s="21" t="s">
        <v>87</v>
      </c>
      <c r="W4006" s="22">
        <v>7</v>
      </c>
      <c r="X4006" s="23"/>
    </row>
    <row r="4007" spans="1:24" s="1" customFormat="1" ht="26" customHeight="1" x14ac:dyDescent="0.3">
      <c r="A4007" s="11" t="s">
        <v>23</v>
      </c>
      <c r="B4007" s="11" t="s">
        <v>3589</v>
      </c>
      <c r="C4007" s="12" t="s">
        <v>3592</v>
      </c>
      <c r="D4007" s="59"/>
      <c r="E4007" s="41" t="str">
        <f>HYPERLINK("https://www.google.ru/search?q=6014621-299&amp;newwindow=1&amp;tbm=isch","Еще фото")</f>
        <v>Еще фото</v>
      </c>
      <c r="F4007" s="13" t="s">
        <v>103</v>
      </c>
      <c r="G4007" s="11" t="s">
        <v>2966</v>
      </c>
      <c r="H4007" s="11" t="s">
        <v>27</v>
      </c>
      <c r="I4007" s="14" t="s">
        <v>2940</v>
      </c>
      <c r="J4007" s="14" t="s">
        <v>43</v>
      </c>
      <c r="K4007" s="15" t="s">
        <v>30</v>
      </c>
      <c r="L4007" s="57" t="s">
        <v>3591</v>
      </c>
      <c r="M4007" s="14"/>
      <c r="N4007" s="14" t="s">
        <v>229</v>
      </c>
      <c r="O4007" s="14"/>
      <c r="P4007" s="15" t="s">
        <v>213</v>
      </c>
      <c r="Q4007" s="16">
        <v>8999</v>
      </c>
      <c r="R4007" s="17">
        <v>40</v>
      </c>
      <c r="S4007" s="18">
        <v>6209.3099999999995</v>
      </c>
      <c r="T4007" s="19" t="s">
        <v>36</v>
      </c>
      <c r="U4007" s="20" t="s">
        <v>37</v>
      </c>
      <c r="V4007" s="21" t="s">
        <v>38</v>
      </c>
      <c r="W4007" s="22">
        <v>12</v>
      </c>
      <c r="X4007" s="23"/>
    </row>
    <row r="4008" spans="1:24" s="1" customFormat="1" ht="26" customHeight="1" x14ac:dyDescent="0.3">
      <c r="A4008" s="24" t="s">
        <v>23</v>
      </c>
      <c r="B4008" s="24" t="s">
        <v>3589</v>
      </c>
      <c r="C4008" s="12" t="s">
        <v>3592</v>
      </c>
      <c r="D4008" s="60"/>
      <c r="E4008" s="41" t="str">
        <f>HYPERLINK("https://www.google.ru/search?q=6014621-299&amp;newwindow=1&amp;tbm=isch","Еще фото")</f>
        <v>Еще фото</v>
      </c>
      <c r="F4008" s="13" t="s">
        <v>103</v>
      </c>
      <c r="G4008" s="24" t="s">
        <v>2966</v>
      </c>
      <c r="H4008" s="24" t="s">
        <v>27</v>
      </c>
      <c r="I4008" s="24" t="s">
        <v>2940</v>
      </c>
      <c r="J4008" s="14" t="s">
        <v>43</v>
      </c>
      <c r="K4008" s="15" t="s">
        <v>30</v>
      </c>
      <c r="L4008" s="62"/>
      <c r="M4008" s="14"/>
      <c r="N4008" s="14" t="s">
        <v>229</v>
      </c>
      <c r="O4008" s="14"/>
      <c r="P4008" s="15" t="s">
        <v>213</v>
      </c>
      <c r="Q4008" s="16">
        <v>8999</v>
      </c>
      <c r="R4008" s="17">
        <v>40</v>
      </c>
      <c r="S4008" s="18">
        <v>6209.3099999999995</v>
      </c>
      <c r="T4008" s="19" t="s">
        <v>36</v>
      </c>
      <c r="U4008" s="20" t="s">
        <v>39</v>
      </c>
      <c r="V4008" s="21" t="s">
        <v>40</v>
      </c>
      <c r="W4008" s="22">
        <v>1</v>
      </c>
      <c r="X4008" s="23"/>
    </row>
    <row r="4009" spans="1:24" s="1" customFormat="1" ht="26" customHeight="1" x14ac:dyDescent="0.3">
      <c r="A4009" s="24" t="s">
        <v>23</v>
      </c>
      <c r="B4009" s="24" t="s">
        <v>3589</v>
      </c>
      <c r="C4009" s="12" t="s">
        <v>3592</v>
      </c>
      <c r="D4009" s="60"/>
      <c r="E4009" s="41" t="str">
        <f>HYPERLINK("https://www.google.ru/search?q=6014621-299&amp;newwindow=1&amp;tbm=isch","Еще фото")</f>
        <v>Еще фото</v>
      </c>
      <c r="F4009" s="13" t="s">
        <v>103</v>
      </c>
      <c r="G4009" s="24" t="s">
        <v>2966</v>
      </c>
      <c r="H4009" s="24" t="s">
        <v>27</v>
      </c>
      <c r="I4009" s="24" t="s">
        <v>2940</v>
      </c>
      <c r="J4009" s="14" t="s">
        <v>43</v>
      </c>
      <c r="K4009" s="15" t="s">
        <v>30</v>
      </c>
      <c r="L4009" s="62"/>
      <c r="M4009" s="14"/>
      <c r="N4009" s="14" t="s">
        <v>229</v>
      </c>
      <c r="O4009" s="14"/>
      <c r="P4009" s="15" t="s">
        <v>213</v>
      </c>
      <c r="Q4009" s="16">
        <v>8999</v>
      </c>
      <c r="R4009" s="17">
        <v>40</v>
      </c>
      <c r="S4009" s="18">
        <v>6209.3099999999995</v>
      </c>
      <c r="T4009" s="19" t="s">
        <v>36</v>
      </c>
      <c r="U4009" s="20" t="s">
        <v>86</v>
      </c>
      <c r="V4009" s="21" t="s">
        <v>87</v>
      </c>
      <c r="W4009" s="22">
        <v>5</v>
      </c>
      <c r="X4009" s="23"/>
    </row>
    <row r="4010" spans="1:24" s="1" customFormat="1" ht="26" customHeight="1" x14ac:dyDescent="0.3">
      <c r="A4010" s="24" t="s">
        <v>23</v>
      </c>
      <c r="B4010" s="24" t="s">
        <v>3589</v>
      </c>
      <c r="C4010" s="12" t="s">
        <v>3592</v>
      </c>
      <c r="D4010" s="61"/>
      <c r="E4010" s="41" t="str">
        <f>HYPERLINK("https://www.google.ru/search?q=6014621-299&amp;newwindow=1&amp;tbm=isch","Еще фото")</f>
        <v>Еще фото</v>
      </c>
      <c r="F4010" s="13" t="s">
        <v>103</v>
      </c>
      <c r="G4010" s="24" t="s">
        <v>2966</v>
      </c>
      <c r="H4010" s="24" t="s">
        <v>27</v>
      </c>
      <c r="I4010" s="24" t="s">
        <v>2940</v>
      </c>
      <c r="J4010" s="14" t="s">
        <v>43</v>
      </c>
      <c r="K4010" s="15" t="s">
        <v>30</v>
      </c>
      <c r="L4010" s="58"/>
      <c r="M4010" s="14"/>
      <c r="N4010" s="14" t="s">
        <v>229</v>
      </c>
      <c r="O4010" s="14"/>
      <c r="P4010" s="15" t="s">
        <v>213</v>
      </c>
      <c r="Q4010" s="16">
        <v>8999</v>
      </c>
      <c r="R4010" s="17">
        <v>40</v>
      </c>
      <c r="S4010" s="18">
        <v>6209.3099999999995</v>
      </c>
      <c r="T4010" s="19" t="s">
        <v>36</v>
      </c>
      <c r="U4010" s="20" t="s">
        <v>143</v>
      </c>
      <c r="V4010" s="21" t="s">
        <v>144</v>
      </c>
      <c r="W4010" s="22">
        <v>1</v>
      </c>
      <c r="X4010" s="23"/>
    </row>
    <row r="4011" spans="1:24" s="1" customFormat="1" ht="21" customHeight="1" x14ac:dyDescent="0.3">
      <c r="A4011" s="11" t="s">
        <v>23</v>
      </c>
      <c r="B4011" s="11" t="s">
        <v>3589</v>
      </c>
      <c r="C4011" s="26" t="s">
        <v>3593</v>
      </c>
      <c r="D4011" s="59"/>
      <c r="E4011" s="41" t="str">
        <f>HYPERLINK("https://www.google.ru/search?q=6014621-338&amp;newwindow=1&amp;tbm=isch","Еще фото")</f>
        <v>Еще фото</v>
      </c>
      <c r="F4011" s="13"/>
      <c r="G4011" s="11" t="s">
        <v>2966</v>
      </c>
      <c r="H4011" s="11" t="s">
        <v>27</v>
      </c>
      <c r="I4011" s="14" t="s">
        <v>2940</v>
      </c>
      <c r="J4011" s="14" t="s">
        <v>43</v>
      </c>
      <c r="K4011" s="15" t="s">
        <v>30</v>
      </c>
      <c r="L4011" s="57" t="s">
        <v>3591</v>
      </c>
      <c r="M4011" s="14"/>
      <c r="N4011" s="14" t="s">
        <v>127</v>
      </c>
      <c r="O4011" s="14"/>
      <c r="P4011" s="15" t="s">
        <v>213</v>
      </c>
      <c r="Q4011" s="16">
        <v>8999</v>
      </c>
      <c r="R4011" s="17">
        <v>40</v>
      </c>
      <c r="S4011" s="18">
        <v>6209.3099999999995</v>
      </c>
      <c r="T4011" s="19" t="s">
        <v>36</v>
      </c>
      <c r="U4011" s="20" t="s">
        <v>37</v>
      </c>
      <c r="V4011" s="21" t="s">
        <v>38</v>
      </c>
      <c r="W4011" s="22">
        <v>12</v>
      </c>
      <c r="X4011" s="23"/>
    </row>
    <row r="4012" spans="1:24" s="1" customFormat="1" ht="21" customHeight="1" x14ac:dyDescent="0.3">
      <c r="A4012" s="24" t="s">
        <v>23</v>
      </c>
      <c r="B4012" s="24" t="s">
        <v>3589</v>
      </c>
      <c r="C4012" s="27" t="s">
        <v>3593</v>
      </c>
      <c r="D4012" s="60"/>
      <c r="E4012" s="41" t="str">
        <f>HYPERLINK("https://www.google.ru/search?q=6014621-338&amp;newwindow=1&amp;tbm=isch","Еще фото")</f>
        <v>Еще фото</v>
      </c>
      <c r="F4012" s="13"/>
      <c r="G4012" s="24" t="s">
        <v>2966</v>
      </c>
      <c r="H4012" s="24" t="s">
        <v>27</v>
      </c>
      <c r="I4012" s="24" t="s">
        <v>2940</v>
      </c>
      <c r="J4012" s="14" t="s">
        <v>43</v>
      </c>
      <c r="K4012" s="15" t="s">
        <v>30</v>
      </c>
      <c r="L4012" s="62"/>
      <c r="M4012" s="14"/>
      <c r="N4012" s="14" t="s">
        <v>127</v>
      </c>
      <c r="O4012" s="14"/>
      <c r="P4012" s="15" t="s">
        <v>213</v>
      </c>
      <c r="Q4012" s="16">
        <v>8999</v>
      </c>
      <c r="R4012" s="17">
        <v>40</v>
      </c>
      <c r="S4012" s="18">
        <v>6209.3099999999995</v>
      </c>
      <c r="T4012" s="19" t="s">
        <v>36</v>
      </c>
      <c r="U4012" s="20" t="s">
        <v>39</v>
      </c>
      <c r="V4012" s="21" t="s">
        <v>40</v>
      </c>
      <c r="W4012" s="22">
        <v>19</v>
      </c>
      <c r="X4012" s="23"/>
    </row>
    <row r="4013" spans="1:24" s="1" customFormat="1" ht="21" customHeight="1" x14ac:dyDescent="0.3">
      <c r="A4013" s="24" t="s">
        <v>23</v>
      </c>
      <c r="B4013" s="24" t="s">
        <v>3589</v>
      </c>
      <c r="C4013" s="27" t="s">
        <v>3593</v>
      </c>
      <c r="D4013" s="60"/>
      <c r="E4013" s="41" t="str">
        <f>HYPERLINK("https://www.google.ru/search?q=6014621-338&amp;newwindow=1&amp;tbm=isch","Еще фото")</f>
        <v>Еще фото</v>
      </c>
      <c r="F4013" s="13"/>
      <c r="G4013" s="24" t="s">
        <v>2966</v>
      </c>
      <c r="H4013" s="24" t="s">
        <v>27</v>
      </c>
      <c r="I4013" s="24" t="s">
        <v>2940</v>
      </c>
      <c r="J4013" s="14" t="s">
        <v>43</v>
      </c>
      <c r="K4013" s="15" t="s">
        <v>30</v>
      </c>
      <c r="L4013" s="62"/>
      <c r="M4013" s="14"/>
      <c r="N4013" s="14" t="s">
        <v>127</v>
      </c>
      <c r="O4013" s="14"/>
      <c r="P4013" s="15" t="s">
        <v>213</v>
      </c>
      <c r="Q4013" s="16">
        <v>8999</v>
      </c>
      <c r="R4013" s="17">
        <v>40</v>
      </c>
      <c r="S4013" s="18">
        <v>6209.3099999999995</v>
      </c>
      <c r="T4013" s="19" t="s">
        <v>36</v>
      </c>
      <c r="U4013" s="20" t="s">
        <v>86</v>
      </c>
      <c r="V4013" s="21" t="s">
        <v>87</v>
      </c>
      <c r="W4013" s="22">
        <v>19</v>
      </c>
      <c r="X4013" s="23"/>
    </row>
    <row r="4014" spans="1:24" s="1" customFormat="1" ht="21" customHeight="1" x14ac:dyDescent="0.3">
      <c r="A4014" s="24" t="s">
        <v>23</v>
      </c>
      <c r="B4014" s="24" t="s">
        <v>3589</v>
      </c>
      <c r="C4014" s="27" t="s">
        <v>3593</v>
      </c>
      <c r="D4014" s="60"/>
      <c r="E4014" s="41" t="str">
        <f>HYPERLINK("https://www.google.ru/search?q=6014621-338&amp;newwindow=1&amp;tbm=isch","Еще фото")</f>
        <v>Еще фото</v>
      </c>
      <c r="F4014" s="13"/>
      <c r="G4014" s="24" t="s">
        <v>2966</v>
      </c>
      <c r="H4014" s="24" t="s">
        <v>27</v>
      </c>
      <c r="I4014" s="24" t="s">
        <v>2940</v>
      </c>
      <c r="J4014" s="14" t="s">
        <v>43</v>
      </c>
      <c r="K4014" s="15" t="s">
        <v>30</v>
      </c>
      <c r="L4014" s="62"/>
      <c r="M4014" s="14"/>
      <c r="N4014" s="14" t="s">
        <v>127</v>
      </c>
      <c r="O4014" s="14"/>
      <c r="P4014" s="15" t="s">
        <v>213</v>
      </c>
      <c r="Q4014" s="16">
        <v>8999</v>
      </c>
      <c r="R4014" s="17">
        <v>40</v>
      </c>
      <c r="S4014" s="18">
        <v>6209.3099999999995</v>
      </c>
      <c r="T4014" s="19" t="s">
        <v>36</v>
      </c>
      <c r="U4014" s="20" t="s">
        <v>88</v>
      </c>
      <c r="V4014" s="21" t="s">
        <v>89</v>
      </c>
      <c r="W4014" s="22">
        <v>8</v>
      </c>
      <c r="X4014" s="23"/>
    </row>
    <row r="4015" spans="1:24" s="1" customFormat="1" ht="32" customHeight="1" x14ac:dyDescent="0.3">
      <c r="A4015" s="24" t="s">
        <v>23</v>
      </c>
      <c r="B4015" s="24" t="s">
        <v>3589</v>
      </c>
      <c r="C4015" s="27" t="s">
        <v>3593</v>
      </c>
      <c r="D4015" s="61"/>
      <c r="E4015" s="41" t="str">
        <f>HYPERLINK("https://www.google.ru/search?q=6014621-338&amp;newwindow=1&amp;tbm=isch","Еще фото")</f>
        <v>Еще фото</v>
      </c>
      <c r="F4015" s="13"/>
      <c r="G4015" s="24" t="s">
        <v>2966</v>
      </c>
      <c r="H4015" s="24" t="s">
        <v>27</v>
      </c>
      <c r="I4015" s="24" t="s">
        <v>2940</v>
      </c>
      <c r="J4015" s="14" t="s">
        <v>43</v>
      </c>
      <c r="K4015" s="15" t="s">
        <v>30</v>
      </c>
      <c r="L4015" s="58"/>
      <c r="M4015" s="14"/>
      <c r="N4015" s="14" t="s">
        <v>127</v>
      </c>
      <c r="O4015" s="14"/>
      <c r="P4015" s="15" t="s">
        <v>213</v>
      </c>
      <c r="Q4015" s="16">
        <v>8999</v>
      </c>
      <c r="R4015" s="17">
        <v>40</v>
      </c>
      <c r="S4015" s="18">
        <v>6209.3099999999995</v>
      </c>
      <c r="T4015" s="19" t="s">
        <v>36</v>
      </c>
      <c r="U4015" s="20" t="s">
        <v>90</v>
      </c>
      <c r="V4015" s="21" t="s">
        <v>91</v>
      </c>
      <c r="W4015" s="22">
        <v>5</v>
      </c>
      <c r="X4015" s="23"/>
    </row>
    <row r="4016" spans="1:24" s="1" customFormat="1" ht="21" customHeight="1" x14ac:dyDescent="0.3">
      <c r="A4016" s="11" t="s">
        <v>23</v>
      </c>
      <c r="B4016" s="11" t="s">
        <v>3589</v>
      </c>
      <c r="C4016" s="26" t="s">
        <v>3594</v>
      </c>
      <c r="D4016" s="59"/>
      <c r="E4016" s="41" t="str">
        <f>HYPERLINK("https://www.google.ru/search?q=6014621-498&amp;newwindow=1&amp;tbm=isch","Еще фото")</f>
        <v>Еще фото</v>
      </c>
      <c r="F4016" s="13"/>
      <c r="G4016" s="11" t="s">
        <v>2966</v>
      </c>
      <c r="H4016" s="11" t="s">
        <v>27</v>
      </c>
      <c r="I4016" s="14" t="s">
        <v>2940</v>
      </c>
      <c r="J4016" s="14" t="s">
        <v>43</v>
      </c>
      <c r="K4016" s="15" t="s">
        <v>30</v>
      </c>
      <c r="L4016" s="57" t="s">
        <v>3591</v>
      </c>
      <c r="M4016" s="14"/>
      <c r="N4016" s="14" t="s">
        <v>115</v>
      </c>
      <c r="O4016" s="14"/>
      <c r="P4016" s="15" t="s">
        <v>213</v>
      </c>
      <c r="Q4016" s="16">
        <v>8999</v>
      </c>
      <c r="R4016" s="17">
        <v>40</v>
      </c>
      <c r="S4016" s="18">
        <v>6209.3099999999995</v>
      </c>
      <c r="T4016" s="19" t="s">
        <v>36</v>
      </c>
      <c r="U4016" s="20" t="s">
        <v>37</v>
      </c>
      <c r="V4016" s="21" t="s">
        <v>38</v>
      </c>
      <c r="W4016" s="22">
        <v>12</v>
      </c>
      <c r="X4016" s="23"/>
    </row>
    <row r="4017" spans="1:24" s="1" customFormat="1" ht="21" customHeight="1" x14ac:dyDescent="0.3">
      <c r="A4017" s="24" t="s">
        <v>23</v>
      </c>
      <c r="B4017" s="24" t="s">
        <v>3589</v>
      </c>
      <c r="C4017" s="27" t="s">
        <v>3594</v>
      </c>
      <c r="D4017" s="60"/>
      <c r="E4017" s="41" t="str">
        <f>HYPERLINK("https://www.google.ru/search?q=6014621-498&amp;newwindow=1&amp;tbm=isch","Еще фото")</f>
        <v>Еще фото</v>
      </c>
      <c r="F4017" s="13"/>
      <c r="G4017" s="24" t="s">
        <v>2966</v>
      </c>
      <c r="H4017" s="24" t="s">
        <v>27</v>
      </c>
      <c r="I4017" s="24" t="s">
        <v>2940</v>
      </c>
      <c r="J4017" s="14" t="s">
        <v>43</v>
      </c>
      <c r="K4017" s="15" t="s">
        <v>30</v>
      </c>
      <c r="L4017" s="62"/>
      <c r="M4017" s="14"/>
      <c r="N4017" s="14" t="s">
        <v>115</v>
      </c>
      <c r="O4017" s="14"/>
      <c r="P4017" s="15" t="s">
        <v>213</v>
      </c>
      <c r="Q4017" s="16">
        <v>8999</v>
      </c>
      <c r="R4017" s="17">
        <v>40</v>
      </c>
      <c r="S4017" s="18">
        <v>6209.3099999999995</v>
      </c>
      <c r="T4017" s="19" t="s">
        <v>36</v>
      </c>
      <c r="U4017" s="20" t="s">
        <v>39</v>
      </c>
      <c r="V4017" s="21" t="s">
        <v>40</v>
      </c>
      <c r="W4017" s="22">
        <v>27</v>
      </c>
      <c r="X4017" s="23"/>
    </row>
    <row r="4018" spans="1:24" s="1" customFormat="1" ht="21" customHeight="1" x14ac:dyDescent="0.3">
      <c r="A4018" s="24" t="s">
        <v>23</v>
      </c>
      <c r="B4018" s="24" t="s">
        <v>3589</v>
      </c>
      <c r="C4018" s="27" t="s">
        <v>3594</v>
      </c>
      <c r="D4018" s="60"/>
      <c r="E4018" s="41" t="str">
        <f>HYPERLINK("https://www.google.ru/search?q=6014621-498&amp;newwindow=1&amp;tbm=isch","Еще фото")</f>
        <v>Еще фото</v>
      </c>
      <c r="F4018" s="13"/>
      <c r="G4018" s="24" t="s">
        <v>2966</v>
      </c>
      <c r="H4018" s="24" t="s">
        <v>27</v>
      </c>
      <c r="I4018" s="24" t="s">
        <v>2940</v>
      </c>
      <c r="J4018" s="14" t="s">
        <v>43</v>
      </c>
      <c r="K4018" s="15" t="s">
        <v>30</v>
      </c>
      <c r="L4018" s="62"/>
      <c r="M4018" s="14"/>
      <c r="N4018" s="14" t="s">
        <v>115</v>
      </c>
      <c r="O4018" s="14"/>
      <c r="P4018" s="15" t="s">
        <v>213</v>
      </c>
      <c r="Q4018" s="16">
        <v>8999</v>
      </c>
      <c r="R4018" s="17">
        <v>40</v>
      </c>
      <c r="S4018" s="18">
        <v>6209.3099999999995</v>
      </c>
      <c r="T4018" s="19" t="s">
        <v>36</v>
      </c>
      <c r="U4018" s="20" t="s">
        <v>86</v>
      </c>
      <c r="V4018" s="21" t="s">
        <v>87</v>
      </c>
      <c r="W4018" s="22">
        <v>24</v>
      </c>
      <c r="X4018" s="23"/>
    </row>
    <row r="4019" spans="1:24" s="1" customFormat="1" ht="21" customHeight="1" x14ac:dyDescent="0.3">
      <c r="A4019" s="24" t="s">
        <v>23</v>
      </c>
      <c r="B4019" s="24" t="s">
        <v>3589</v>
      </c>
      <c r="C4019" s="27" t="s">
        <v>3594</v>
      </c>
      <c r="D4019" s="60"/>
      <c r="E4019" s="41" t="str">
        <f>HYPERLINK("https://www.google.ru/search?q=6014621-498&amp;newwindow=1&amp;tbm=isch","Еще фото")</f>
        <v>Еще фото</v>
      </c>
      <c r="F4019" s="13"/>
      <c r="G4019" s="24" t="s">
        <v>2966</v>
      </c>
      <c r="H4019" s="24" t="s">
        <v>27</v>
      </c>
      <c r="I4019" s="24" t="s">
        <v>2940</v>
      </c>
      <c r="J4019" s="14" t="s">
        <v>43</v>
      </c>
      <c r="K4019" s="15" t="s">
        <v>30</v>
      </c>
      <c r="L4019" s="62"/>
      <c r="M4019" s="14"/>
      <c r="N4019" s="14" t="s">
        <v>115</v>
      </c>
      <c r="O4019" s="14"/>
      <c r="P4019" s="15" t="s">
        <v>213</v>
      </c>
      <c r="Q4019" s="16">
        <v>8999</v>
      </c>
      <c r="R4019" s="17">
        <v>40</v>
      </c>
      <c r="S4019" s="18">
        <v>6209.3099999999995</v>
      </c>
      <c r="T4019" s="19" t="s">
        <v>36</v>
      </c>
      <c r="U4019" s="20" t="s">
        <v>88</v>
      </c>
      <c r="V4019" s="21" t="s">
        <v>89</v>
      </c>
      <c r="W4019" s="22">
        <v>16</v>
      </c>
      <c r="X4019" s="23"/>
    </row>
    <row r="4020" spans="1:24" s="1" customFormat="1" ht="32" customHeight="1" x14ac:dyDescent="0.3">
      <c r="A4020" s="24" t="s">
        <v>23</v>
      </c>
      <c r="B4020" s="24" t="s">
        <v>3589</v>
      </c>
      <c r="C4020" s="27" t="s">
        <v>3594</v>
      </c>
      <c r="D4020" s="61"/>
      <c r="E4020" s="41" t="str">
        <f>HYPERLINK("https://www.google.ru/search?q=6014621-498&amp;newwindow=1&amp;tbm=isch","Еще фото")</f>
        <v>Еще фото</v>
      </c>
      <c r="F4020" s="13"/>
      <c r="G4020" s="24" t="s">
        <v>2966</v>
      </c>
      <c r="H4020" s="24" t="s">
        <v>27</v>
      </c>
      <c r="I4020" s="24" t="s">
        <v>2940</v>
      </c>
      <c r="J4020" s="14" t="s">
        <v>43</v>
      </c>
      <c r="K4020" s="15" t="s">
        <v>30</v>
      </c>
      <c r="L4020" s="58"/>
      <c r="M4020" s="14"/>
      <c r="N4020" s="14" t="s">
        <v>115</v>
      </c>
      <c r="O4020" s="14"/>
      <c r="P4020" s="15" t="s">
        <v>213</v>
      </c>
      <c r="Q4020" s="16">
        <v>8999</v>
      </c>
      <c r="R4020" s="17">
        <v>40</v>
      </c>
      <c r="S4020" s="18">
        <v>6209.3099999999995</v>
      </c>
      <c r="T4020" s="19" t="s">
        <v>36</v>
      </c>
      <c r="U4020" s="20" t="s">
        <v>90</v>
      </c>
      <c r="V4020" s="21" t="s">
        <v>91</v>
      </c>
      <c r="W4020" s="22">
        <v>9</v>
      </c>
      <c r="X4020" s="23"/>
    </row>
    <row r="4021" spans="1:24" s="1" customFormat="1" ht="21" customHeight="1" x14ac:dyDescent="0.3">
      <c r="A4021" s="11" t="s">
        <v>23</v>
      </c>
      <c r="B4021" s="11" t="s">
        <v>3178</v>
      </c>
      <c r="C4021" s="26" t="s">
        <v>3595</v>
      </c>
      <c r="D4021" s="59"/>
      <c r="E4021" s="41" t="str">
        <f>HYPERLINK("https://www.google.ru/search?q=6014686-338&amp;newwindow=1&amp;tbm=isch","Еще фото")</f>
        <v>Еще фото</v>
      </c>
      <c r="F4021" s="13" t="s">
        <v>103</v>
      </c>
      <c r="G4021" s="11" t="s">
        <v>2939</v>
      </c>
      <c r="H4021" s="11" t="s">
        <v>27</v>
      </c>
      <c r="I4021" s="14" t="s">
        <v>2940</v>
      </c>
      <c r="J4021" s="14" t="s">
        <v>43</v>
      </c>
      <c r="K4021" s="15" t="s">
        <v>30</v>
      </c>
      <c r="L4021" s="57" t="s">
        <v>3180</v>
      </c>
      <c r="M4021" s="14"/>
      <c r="N4021" s="14" t="s">
        <v>127</v>
      </c>
      <c r="O4021" s="14"/>
      <c r="P4021" s="15" t="s">
        <v>120</v>
      </c>
      <c r="Q4021" s="16">
        <v>6599</v>
      </c>
      <c r="R4021" s="17">
        <v>40</v>
      </c>
      <c r="S4021" s="18">
        <v>4553.3099999999995</v>
      </c>
      <c r="T4021" s="19" t="s">
        <v>36</v>
      </c>
      <c r="U4021" s="20" t="s">
        <v>37</v>
      </c>
      <c r="V4021" s="21" t="s">
        <v>38</v>
      </c>
      <c r="W4021" s="22">
        <v>13</v>
      </c>
      <c r="X4021" s="23"/>
    </row>
    <row r="4022" spans="1:24" s="1" customFormat="1" ht="21" customHeight="1" x14ac:dyDescent="0.3">
      <c r="A4022" s="24" t="s">
        <v>23</v>
      </c>
      <c r="B4022" s="24" t="s">
        <v>3178</v>
      </c>
      <c r="C4022" s="27" t="s">
        <v>3595</v>
      </c>
      <c r="D4022" s="60"/>
      <c r="E4022" s="41" t="str">
        <f>HYPERLINK("https://www.google.ru/search?q=6014686-338&amp;newwindow=1&amp;tbm=isch","Еще фото")</f>
        <v>Еще фото</v>
      </c>
      <c r="F4022" s="13" t="s">
        <v>103</v>
      </c>
      <c r="G4022" s="24" t="s">
        <v>2939</v>
      </c>
      <c r="H4022" s="24" t="s">
        <v>27</v>
      </c>
      <c r="I4022" s="24" t="s">
        <v>2940</v>
      </c>
      <c r="J4022" s="14" t="s">
        <v>43</v>
      </c>
      <c r="K4022" s="15" t="s">
        <v>30</v>
      </c>
      <c r="L4022" s="62"/>
      <c r="M4022" s="14"/>
      <c r="N4022" s="14" t="s">
        <v>127</v>
      </c>
      <c r="O4022" s="14"/>
      <c r="P4022" s="15" t="s">
        <v>120</v>
      </c>
      <c r="Q4022" s="16">
        <v>6599</v>
      </c>
      <c r="R4022" s="17">
        <v>40</v>
      </c>
      <c r="S4022" s="18">
        <v>4553.3099999999995</v>
      </c>
      <c r="T4022" s="19" t="s">
        <v>36</v>
      </c>
      <c r="U4022" s="20" t="s">
        <v>39</v>
      </c>
      <c r="V4022" s="21" t="s">
        <v>40</v>
      </c>
      <c r="W4022" s="22">
        <v>15</v>
      </c>
      <c r="X4022" s="23"/>
    </row>
    <row r="4023" spans="1:24" s="1" customFormat="1" ht="21" customHeight="1" x14ac:dyDescent="0.3">
      <c r="A4023" s="24" t="s">
        <v>23</v>
      </c>
      <c r="B4023" s="24" t="s">
        <v>3178</v>
      </c>
      <c r="C4023" s="27" t="s">
        <v>3595</v>
      </c>
      <c r="D4023" s="60"/>
      <c r="E4023" s="41" t="str">
        <f>HYPERLINK("https://www.google.ru/search?q=6014686-338&amp;newwindow=1&amp;tbm=isch","Еще фото")</f>
        <v>Еще фото</v>
      </c>
      <c r="F4023" s="13" t="s">
        <v>103</v>
      </c>
      <c r="G4023" s="24" t="s">
        <v>2939</v>
      </c>
      <c r="H4023" s="24" t="s">
        <v>27</v>
      </c>
      <c r="I4023" s="24" t="s">
        <v>2940</v>
      </c>
      <c r="J4023" s="14" t="s">
        <v>43</v>
      </c>
      <c r="K4023" s="15" t="s">
        <v>30</v>
      </c>
      <c r="L4023" s="62"/>
      <c r="M4023" s="14"/>
      <c r="N4023" s="14" t="s">
        <v>127</v>
      </c>
      <c r="O4023" s="14"/>
      <c r="P4023" s="15" t="s">
        <v>120</v>
      </c>
      <c r="Q4023" s="16">
        <v>6599</v>
      </c>
      <c r="R4023" s="17">
        <v>40</v>
      </c>
      <c r="S4023" s="18">
        <v>4553.3099999999995</v>
      </c>
      <c r="T4023" s="19" t="s">
        <v>36</v>
      </c>
      <c r="U4023" s="20" t="s">
        <v>86</v>
      </c>
      <c r="V4023" s="21" t="s">
        <v>87</v>
      </c>
      <c r="W4023" s="22">
        <v>9</v>
      </c>
      <c r="X4023" s="23"/>
    </row>
    <row r="4024" spans="1:24" s="1" customFormat="1" ht="21" customHeight="1" x14ac:dyDescent="0.3">
      <c r="A4024" s="24" t="s">
        <v>23</v>
      </c>
      <c r="B4024" s="24" t="s">
        <v>3178</v>
      </c>
      <c r="C4024" s="27" t="s">
        <v>3595</v>
      </c>
      <c r="D4024" s="60"/>
      <c r="E4024" s="41" t="str">
        <f>HYPERLINK("https://www.google.ru/search?q=6014686-338&amp;newwindow=1&amp;tbm=isch","Еще фото")</f>
        <v>Еще фото</v>
      </c>
      <c r="F4024" s="13" t="s">
        <v>103</v>
      </c>
      <c r="G4024" s="24" t="s">
        <v>2939</v>
      </c>
      <c r="H4024" s="24" t="s">
        <v>27</v>
      </c>
      <c r="I4024" s="24" t="s">
        <v>2940</v>
      </c>
      <c r="J4024" s="14" t="s">
        <v>43</v>
      </c>
      <c r="K4024" s="15" t="s">
        <v>30</v>
      </c>
      <c r="L4024" s="62"/>
      <c r="M4024" s="14"/>
      <c r="N4024" s="14" t="s">
        <v>127</v>
      </c>
      <c r="O4024" s="14"/>
      <c r="P4024" s="15" t="s">
        <v>120</v>
      </c>
      <c r="Q4024" s="16">
        <v>6599</v>
      </c>
      <c r="R4024" s="17">
        <v>40</v>
      </c>
      <c r="S4024" s="18">
        <v>4553.3099999999995</v>
      </c>
      <c r="T4024" s="19" t="s">
        <v>36</v>
      </c>
      <c r="U4024" s="20" t="s">
        <v>88</v>
      </c>
      <c r="V4024" s="21" t="s">
        <v>89</v>
      </c>
      <c r="W4024" s="22">
        <v>1</v>
      </c>
      <c r="X4024" s="23"/>
    </row>
    <row r="4025" spans="1:24" s="1" customFormat="1" ht="32" customHeight="1" x14ac:dyDescent="0.3">
      <c r="A4025" s="24" t="s">
        <v>23</v>
      </c>
      <c r="B4025" s="24" t="s">
        <v>3178</v>
      </c>
      <c r="C4025" s="27" t="s">
        <v>3595</v>
      </c>
      <c r="D4025" s="61"/>
      <c r="E4025" s="41" t="str">
        <f>HYPERLINK("https://www.google.ru/search?q=6014686-338&amp;newwindow=1&amp;tbm=isch","Еще фото")</f>
        <v>Еще фото</v>
      </c>
      <c r="F4025" s="13" t="s">
        <v>103</v>
      </c>
      <c r="G4025" s="24" t="s">
        <v>2939</v>
      </c>
      <c r="H4025" s="24" t="s">
        <v>27</v>
      </c>
      <c r="I4025" s="24" t="s">
        <v>2940</v>
      </c>
      <c r="J4025" s="14" t="s">
        <v>43</v>
      </c>
      <c r="K4025" s="15" t="s">
        <v>30</v>
      </c>
      <c r="L4025" s="58"/>
      <c r="M4025" s="14"/>
      <c r="N4025" s="14" t="s">
        <v>127</v>
      </c>
      <c r="O4025" s="14"/>
      <c r="P4025" s="15" t="s">
        <v>120</v>
      </c>
      <c r="Q4025" s="16">
        <v>6599</v>
      </c>
      <c r="R4025" s="17">
        <v>40</v>
      </c>
      <c r="S4025" s="18">
        <v>4553.3099999999995</v>
      </c>
      <c r="T4025" s="19" t="s">
        <v>36</v>
      </c>
      <c r="U4025" s="20" t="s">
        <v>90</v>
      </c>
      <c r="V4025" s="21" t="s">
        <v>91</v>
      </c>
      <c r="W4025" s="22">
        <v>2</v>
      </c>
      <c r="X4025" s="23"/>
    </row>
    <row r="4026" spans="1:24" s="1" customFormat="1" ht="52.05" customHeight="1" x14ac:dyDescent="0.3">
      <c r="A4026" s="11" t="s">
        <v>23</v>
      </c>
      <c r="B4026" s="11" t="s">
        <v>3596</v>
      </c>
      <c r="C4026" s="12" t="s">
        <v>3597</v>
      </c>
      <c r="D4026" s="55"/>
      <c r="E4026" s="41" t="str">
        <f>HYPERLINK("https://www.google.ru/search?q=1284888-692&amp;newwindow=1&amp;tbm=isch","Еще фото")</f>
        <v>Еще фото</v>
      </c>
      <c r="F4026" s="13"/>
      <c r="G4026" s="11" t="s">
        <v>3598</v>
      </c>
      <c r="H4026" s="11" t="s">
        <v>27</v>
      </c>
      <c r="I4026" s="14" t="s">
        <v>3599</v>
      </c>
      <c r="J4026" s="14" t="s">
        <v>29</v>
      </c>
      <c r="K4026" s="15" t="s">
        <v>50</v>
      </c>
      <c r="L4026" s="57" t="s">
        <v>3600</v>
      </c>
      <c r="M4026" s="14" t="s">
        <v>1283</v>
      </c>
      <c r="N4026" s="14" t="s">
        <v>69</v>
      </c>
      <c r="O4026" s="14" t="s">
        <v>34</v>
      </c>
      <c r="P4026" s="15" t="s">
        <v>3601</v>
      </c>
      <c r="Q4026" s="16">
        <v>2199</v>
      </c>
      <c r="R4026" s="17">
        <v>61.45</v>
      </c>
      <c r="S4026" s="35">
        <v>974.93549999999993</v>
      </c>
      <c r="T4026" s="19" t="s">
        <v>36</v>
      </c>
      <c r="U4026" s="20" t="s">
        <v>54</v>
      </c>
      <c r="V4026" s="21" t="s">
        <v>55</v>
      </c>
      <c r="W4026" s="22">
        <v>2</v>
      </c>
      <c r="X4026" s="23"/>
    </row>
    <row r="4027" spans="1:24" s="1" customFormat="1" ht="61.05" customHeight="1" x14ac:dyDescent="0.3">
      <c r="A4027" s="24" t="s">
        <v>23</v>
      </c>
      <c r="B4027" s="24" t="s">
        <v>3596</v>
      </c>
      <c r="C4027" s="12" t="s">
        <v>3597</v>
      </c>
      <c r="D4027" s="56"/>
      <c r="E4027" s="41" t="str">
        <f>HYPERLINK("https://www.google.ru/search?q=1284888-692&amp;newwindow=1&amp;tbm=isch","Еще фото")</f>
        <v>Еще фото</v>
      </c>
      <c r="F4027" s="13"/>
      <c r="G4027" s="24" t="s">
        <v>3598</v>
      </c>
      <c r="H4027" s="24" t="s">
        <v>27</v>
      </c>
      <c r="I4027" s="24" t="s">
        <v>3599</v>
      </c>
      <c r="J4027" s="14" t="s">
        <v>29</v>
      </c>
      <c r="K4027" s="15" t="s">
        <v>50</v>
      </c>
      <c r="L4027" s="58"/>
      <c r="M4027" s="14" t="s">
        <v>1283</v>
      </c>
      <c r="N4027" s="14" t="s">
        <v>69</v>
      </c>
      <c r="O4027" s="14" t="s">
        <v>34</v>
      </c>
      <c r="P4027" s="15" t="s">
        <v>3601</v>
      </c>
      <c r="Q4027" s="16">
        <v>2199</v>
      </c>
      <c r="R4027" s="17">
        <v>61.45</v>
      </c>
      <c r="S4027" s="35">
        <v>974.93549999999993</v>
      </c>
      <c r="T4027" s="19" t="s">
        <v>36</v>
      </c>
      <c r="U4027" s="20" t="s">
        <v>234</v>
      </c>
      <c r="V4027" s="21" t="s">
        <v>235</v>
      </c>
      <c r="W4027" s="22">
        <v>1</v>
      </c>
      <c r="X4027" s="23"/>
    </row>
    <row r="4028" spans="1:24" s="1" customFormat="1" ht="52.05" customHeight="1" x14ac:dyDescent="0.3">
      <c r="A4028" s="11" t="s">
        <v>23</v>
      </c>
      <c r="B4028" s="11" t="s">
        <v>3602</v>
      </c>
      <c r="C4028" s="12" t="s">
        <v>3603</v>
      </c>
      <c r="D4028" s="55"/>
      <c r="E4028" s="41" t="str">
        <f>HYPERLINK("https://www.google.ru/search?q=1387512-001&amp;newwindow=1&amp;tbm=isch","Еще фото")</f>
        <v>Еще фото</v>
      </c>
      <c r="F4028" s="13"/>
      <c r="G4028" s="11" t="s">
        <v>3604</v>
      </c>
      <c r="H4028" s="11" t="s">
        <v>27</v>
      </c>
      <c r="I4028" s="14" t="s">
        <v>3599</v>
      </c>
      <c r="J4028" s="14" t="s">
        <v>29</v>
      </c>
      <c r="K4028" s="15" t="s">
        <v>30</v>
      </c>
      <c r="L4028" s="57" t="s">
        <v>3605</v>
      </c>
      <c r="M4028" s="14"/>
      <c r="N4028" s="14" t="s">
        <v>33</v>
      </c>
      <c r="O4028" s="14"/>
      <c r="P4028" s="15" t="s">
        <v>3606</v>
      </c>
      <c r="Q4028" s="16">
        <v>10499</v>
      </c>
      <c r="R4028" s="17">
        <v>58.78</v>
      </c>
      <c r="S4028" s="18">
        <v>4976.9355000000005</v>
      </c>
      <c r="T4028" s="19" t="s">
        <v>36</v>
      </c>
      <c r="U4028" s="20" t="s">
        <v>39</v>
      </c>
      <c r="V4028" s="21" t="s">
        <v>40</v>
      </c>
      <c r="W4028" s="22">
        <v>27</v>
      </c>
      <c r="X4028" s="23"/>
    </row>
    <row r="4029" spans="1:24" s="1" customFormat="1" ht="61.05" customHeight="1" x14ac:dyDescent="0.3">
      <c r="A4029" s="24" t="s">
        <v>23</v>
      </c>
      <c r="B4029" s="24" t="s">
        <v>3602</v>
      </c>
      <c r="C4029" s="12" t="s">
        <v>3603</v>
      </c>
      <c r="D4029" s="56"/>
      <c r="E4029" s="41" t="str">
        <f>HYPERLINK("https://www.google.ru/search?q=1387512-001&amp;newwindow=1&amp;tbm=isch","Еще фото")</f>
        <v>Еще фото</v>
      </c>
      <c r="F4029" s="13"/>
      <c r="G4029" s="24" t="s">
        <v>3604</v>
      </c>
      <c r="H4029" s="24" t="s">
        <v>27</v>
      </c>
      <c r="I4029" s="24" t="s">
        <v>3599</v>
      </c>
      <c r="J4029" s="14" t="s">
        <v>29</v>
      </c>
      <c r="K4029" s="15" t="s">
        <v>30</v>
      </c>
      <c r="L4029" s="58"/>
      <c r="M4029" s="14"/>
      <c r="N4029" s="14" t="s">
        <v>33</v>
      </c>
      <c r="O4029" s="14"/>
      <c r="P4029" s="15" t="s">
        <v>3606</v>
      </c>
      <c r="Q4029" s="16">
        <v>10499</v>
      </c>
      <c r="R4029" s="17">
        <v>58.78</v>
      </c>
      <c r="S4029" s="18">
        <v>4976.9355000000005</v>
      </c>
      <c r="T4029" s="19" t="s">
        <v>36</v>
      </c>
      <c r="U4029" s="20" t="s">
        <v>86</v>
      </c>
      <c r="V4029" s="21" t="s">
        <v>87</v>
      </c>
      <c r="W4029" s="22">
        <v>14</v>
      </c>
      <c r="X4029" s="23"/>
    </row>
    <row r="4030" spans="1:24" s="1" customFormat="1" ht="52.05" customHeight="1" x14ac:dyDescent="0.3">
      <c r="A4030" s="11" t="s">
        <v>23</v>
      </c>
      <c r="B4030" s="11" t="s">
        <v>3607</v>
      </c>
      <c r="C4030" s="12" t="s">
        <v>3608</v>
      </c>
      <c r="D4030" s="55"/>
      <c r="E4030" s="41" t="str">
        <f>HYPERLINK("https://www.google.ru/search?q=1373826-001&amp;newwindow=1&amp;tbm=isch","Еще фото")</f>
        <v>Еще фото</v>
      </c>
      <c r="F4030" s="13"/>
      <c r="G4030" s="11" t="s">
        <v>3609</v>
      </c>
      <c r="H4030" s="11" t="s">
        <v>27</v>
      </c>
      <c r="I4030" s="14" t="s">
        <v>3599</v>
      </c>
      <c r="J4030" s="14" t="s">
        <v>29</v>
      </c>
      <c r="K4030" s="15" t="s">
        <v>59</v>
      </c>
      <c r="L4030" s="57" t="s">
        <v>3610</v>
      </c>
      <c r="M4030" s="14"/>
      <c r="N4030" s="14" t="s">
        <v>33</v>
      </c>
      <c r="O4030" s="14"/>
      <c r="P4030" s="15" t="s">
        <v>213</v>
      </c>
      <c r="Q4030" s="16">
        <v>7099</v>
      </c>
      <c r="R4030" s="17">
        <v>58.76</v>
      </c>
      <c r="S4030" s="18">
        <v>3366.9354999999996</v>
      </c>
      <c r="T4030" s="19" t="s">
        <v>36</v>
      </c>
      <c r="U4030" s="20" t="s">
        <v>63</v>
      </c>
      <c r="V4030" s="21" t="s">
        <v>64</v>
      </c>
      <c r="W4030" s="22">
        <v>13</v>
      </c>
      <c r="X4030" s="23"/>
    </row>
    <row r="4031" spans="1:24" s="1" customFormat="1" ht="61.05" customHeight="1" x14ac:dyDescent="0.3">
      <c r="A4031" s="24" t="s">
        <v>23</v>
      </c>
      <c r="B4031" s="24" t="s">
        <v>3607</v>
      </c>
      <c r="C4031" s="12" t="s">
        <v>3608</v>
      </c>
      <c r="D4031" s="56"/>
      <c r="E4031" s="41" t="str">
        <f>HYPERLINK("https://www.google.ru/search?q=1373826-001&amp;newwindow=1&amp;tbm=isch","Еще фото")</f>
        <v>Еще фото</v>
      </c>
      <c r="F4031" s="13"/>
      <c r="G4031" s="24" t="s">
        <v>3609</v>
      </c>
      <c r="H4031" s="24" t="s">
        <v>27</v>
      </c>
      <c r="I4031" s="24" t="s">
        <v>3599</v>
      </c>
      <c r="J4031" s="14" t="s">
        <v>29</v>
      </c>
      <c r="K4031" s="15" t="s">
        <v>59</v>
      </c>
      <c r="L4031" s="58"/>
      <c r="M4031" s="14"/>
      <c r="N4031" s="14" t="s">
        <v>33</v>
      </c>
      <c r="O4031" s="14"/>
      <c r="P4031" s="15" t="s">
        <v>213</v>
      </c>
      <c r="Q4031" s="16">
        <v>7099</v>
      </c>
      <c r="R4031" s="17">
        <v>58.76</v>
      </c>
      <c r="S4031" s="18">
        <v>3366.9354999999996</v>
      </c>
      <c r="T4031" s="19" t="s">
        <v>36</v>
      </c>
      <c r="U4031" s="20" t="s">
        <v>37</v>
      </c>
      <c r="V4031" s="21" t="s">
        <v>106</v>
      </c>
      <c r="W4031" s="22">
        <v>2</v>
      </c>
      <c r="X4031" s="23"/>
    </row>
    <row r="4032" spans="1:24" s="1" customFormat="1" ht="108" customHeight="1" x14ac:dyDescent="0.3">
      <c r="A4032" s="11" t="s">
        <v>23</v>
      </c>
      <c r="B4032" s="11" t="s">
        <v>3611</v>
      </c>
      <c r="C4032" s="12" t="s">
        <v>3612</v>
      </c>
      <c r="D4032" s="25"/>
      <c r="E4032" s="41" t="str">
        <f>HYPERLINK("https://www.google.ru/search?q=1373826-501&amp;newwindow=1&amp;tbm=isch","Еще фото")</f>
        <v>Еще фото</v>
      </c>
      <c r="F4032" s="13"/>
      <c r="G4032" s="11" t="s">
        <v>3609</v>
      </c>
      <c r="H4032" s="11" t="s">
        <v>27</v>
      </c>
      <c r="I4032" s="14" t="s">
        <v>3599</v>
      </c>
      <c r="J4032" s="14" t="s">
        <v>29</v>
      </c>
      <c r="K4032" s="15" t="s">
        <v>59</v>
      </c>
      <c r="L4032" s="14" t="s">
        <v>3610</v>
      </c>
      <c r="M4032" s="14"/>
      <c r="N4032" s="14" t="s">
        <v>229</v>
      </c>
      <c r="O4032" s="14"/>
      <c r="P4032" s="15" t="s">
        <v>213</v>
      </c>
      <c r="Q4032" s="16">
        <v>7099</v>
      </c>
      <c r="R4032" s="17">
        <v>58.76</v>
      </c>
      <c r="S4032" s="18">
        <v>3366.9354999999996</v>
      </c>
      <c r="T4032" s="19" t="s">
        <v>36</v>
      </c>
      <c r="U4032" s="20" t="s">
        <v>63</v>
      </c>
      <c r="V4032" s="21" t="s">
        <v>64</v>
      </c>
      <c r="W4032" s="22">
        <v>3</v>
      </c>
      <c r="X4032" s="23"/>
    </row>
    <row r="4033" spans="1:24" s="1" customFormat="1" ht="35" customHeight="1" x14ac:dyDescent="0.3">
      <c r="A4033" s="11" t="s">
        <v>23</v>
      </c>
      <c r="B4033" s="11" t="s">
        <v>3613</v>
      </c>
      <c r="C4033" s="12" t="s">
        <v>3614</v>
      </c>
      <c r="D4033" s="59"/>
      <c r="E4033" s="41" t="str">
        <f>HYPERLINK("https://www.google.ru/search?q=1379304-100&amp;newwindow=1&amp;tbm=isch","Еще фото")</f>
        <v>Еще фото</v>
      </c>
      <c r="F4033" s="13"/>
      <c r="G4033" s="11" t="s">
        <v>3615</v>
      </c>
      <c r="H4033" s="11" t="s">
        <v>27</v>
      </c>
      <c r="I4033" s="14" t="s">
        <v>3599</v>
      </c>
      <c r="J4033" s="14" t="s">
        <v>29</v>
      </c>
      <c r="K4033" s="15" t="s">
        <v>30</v>
      </c>
      <c r="L4033" s="57" t="s">
        <v>3616</v>
      </c>
      <c r="M4033" s="14"/>
      <c r="N4033" s="14" t="s">
        <v>84</v>
      </c>
      <c r="O4033" s="14"/>
      <c r="P4033" s="15" t="s">
        <v>1008</v>
      </c>
      <c r="Q4033" s="16">
        <v>9999</v>
      </c>
      <c r="R4033" s="17">
        <v>55.72</v>
      </c>
      <c r="S4033" s="18">
        <v>5091.9355000000005</v>
      </c>
      <c r="T4033" s="19" t="s">
        <v>36</v>
      </c>
      <c r="U4033" s="20" t="s">
        <v>37</v>
      </c>
      <c r="V4033" s="21" t="s">
        <v>38</v>
      </c>
      <c r="W4033" s="22">
        <v>4</v>
      </c>
      <c r="X4033" s="23"/>
    </row>
    <row r="4034" spans="1:24" s="1" customFormat="1" ht="35" customHeight="1" x14ac:dyDescent="0.3">
      <c r="A4034" s="24" t="s">
        <v>23</v>
      </c>
      <c r="B4034" s="24" t="s">
        <v>3613</v>
      </c>
      <c r="C4034" s="12" t="s">
        <v>3614</v>
      </c>
      <c r="D4034" s="60"/>
      <c r="E4034" s="41" t="str">
        <f>HYPERLINK("https://www.google.ru/search?q=1379304-100&amp;newwindow=1&amp;tbm=isch","Еще фото")</f>
        <v>Еще фото</v>
      </c>
      <c r="F4034" s="13"/>
      <c r="G4034" s="24" t="s">
        <v>3615</v>
      </c>
      <c r="H4034" s="24" t="s">
        <v>27</v>
      </c>
      <c r="I4034" s="24" t="s">
        <v>3599</v>
      </c>
      <c r="J4034" s="14" t="s">
        <v>29</v>
      </c>
      <c r="K4034" s="15" t="s">
        <v>30</v>
      </c>
      <c r="L4034" s="62"/>
      <c r="M4034" s="14"/>
      <c r="N4034" s="14" t="s">
        <v>84</v>
      </c>
      <c r="O4034" s="14"/>
      <c r="P4034" s="15" t="s">
        <v>1008</v>
      </c>
      <c r="Q4034" s="16">
        <v>9999</v>
      </c>
      <c r="R4034" s="17">
        <v>55.72</v>
      </c>
      <c r="S4034" s="18">
        <v>5091.9355000000005</v>
      </c>
      <c r="T4034" s="19" t="s">
        <v>36</v>
      </c>
      <c r="U4034" s="20" t="s">
        <v>39</v>
      </c>
      <c r="V4034" s="21" t="s">
        <v>40</v>
      </c>
      <c r="W4034" s="22">
        <v>1</v>
      </c>
      <c r="X4034" s="23"/>
    </row>
    <row r="4035" spans="1:24" s="1" customFormat="1" ht="37.049999999999997" customHeight="1" x14ac:dyDescent="0.3">
      <c r="A4035" s="24" t="s">
        <v>23</v>
      </c>
      <c r="B4035" s="24" t="s">
        <v>3613</v>
      </c>
      <c r="C4035" s="12" t="s">
        <v>3614</v>
      </c>
      <c r="D4035" s="61"/>
      <c r="E4035" s="41" t="str">
        <f>HYPERLINK("https://www.google.ru/search?q=1379304-100&amp;newwindow=1&amp;tbm=isch","Еще фото")</f>
        <v>Еще фото</v>
      </c>
      <c r="F4035" s="13"/>
      <c r="G4035" s="24" t="s">
        <v>3615</v>
      </c>
      <c r="H4035" s="24" t="s">
        <v>27</v>
      </c>
      <c r="I4035" s="24" t="s">
        <v>3599</v>
      </c>
      <c r="J4035" s="14" t="s">
        <v>29</v>
      </c>
      <c r="K4035" s="15" t="s">
        <v>30</v>
      </c>
      <c r="L4035" s="58"/>
      <c r="M4035" s="14"/>
      <c r="N4035" s="14" t="s">
        <v>84</v>
      </c>
      <c r="O4035" s="14"/>
      <c r="P4035" s="15" t="s">
        <v>1008</v>
      </c>
      <c r="Q4035" s="16">
        <v>9999</v>
      </c>
      <c r="R4035" s="17">
        <v>55.72</v>
      </c>
      <c r="S4035" s="18">
        <v>5091.9355000000005</v>
      </c>
      <c r="T4035" s="19" t="s">
        <v>36</v>
      </c>
      <c r="U4035" s="20" t="s">
        <v>88</v>
      </c>
      <c r="V4035" s="21" t="s">
        <v>89</v>
      </c>
      <c r="W4035" s="22">
        <v>1</v>
      </c>
      <c r="X4035" s="23"/>
    </row>
    <row r="4036" spans="1:24" s="1" customFormat="1" ht="35" customHeight="1" x14ac:dyDescent="0.3">
      <c r="A4036" s="11" t="s">
        <v>23</v>
      </c>
      <c r="B4036" s="11" t="s">
        <v>3617</v>
      </c>
      <c r="C4036" s="12" t="s">
        <v>3618</v>
      </c>
      <c r="D4036" s="59"/>
      <c r="E4036" s="41" t="str">
        <f>HYPERLINK("https://www.google.ru/search?q=1386888-505&amp;newwindow=1&amp;tbm=isch","Еще фото")</f>
        <v>Еще фото</v>
      </c>
      <c r="F4036" s="13"/>
      <c r="G4036" s="11" t="s">
        <v>3598</v>
      </c>
      <c r="H4036" s="11" t="s">
        <v>27</v>
      </c>
      <c r="I4036" s="14" t="s">
        <v>3599</v>
      </c>
      <c r="J4036" s="14" t="s">
        <v>29</v>
      </c>
      <c r="K4036" s="15" t="s">
        <v>30</v>
      </c>
      <c r="L4036" s="57" t="s">
        <v>3619</v>
      </c>
      <c r="M4036" s="14"/>
      <c r="N4036" s="14" t="s">
        <v>79</v>
      </c>
      <c r="O4036" s="14"/>
      <c r="P4036" s="15" t="s">
        <v>3606</v>
      </c>
      <c r="Q4036" s="16">
        <v>8999</v>
      </c>
      <c r="R4036" s="17">
        <v>55.69</v>
      </c>
      <c r="S4036" s="18">
        <v>4585.9354999999996</v>
      </c>
      <c r="T4036" s="19" t="s">
        <v>36</v>
      </c>
      <c r="U4036" s="20" t="s">
        <v>63</v>
      </c>
      <c r="V4036" s="21" t="s">
        <v>85</v>
      </c>
      <c r="W4036" s="22">
        <v>3</v>
      </c>
      <c r="X4036" s="23"/>
    </row>
    <row r="4037" spans="1:24" s="1" customFormat="1" ht="35" customHeight="1" x14ac:dyDescent="0.3">
      <c r="A4037" s="24" t="s">
        <v>23</v>
      </c>
      <c r="B4037" s="24" t="s">
        <v>3617</v>
      </c>
      <c r="C4037" s="12" t="s">
        <v>3618</v>
      </c>
      <c r="D4037" s="60"/>
      <c r="E4037" s="41" t="str">
        <f>HYPERLINK("https://www.google.ru/search?q=1386888-505&amp;newwindow=1&amp;tbm=isch","Еще фото")</f>
        <v>Еще фото</v>
      </c>
      <c r="F4037" s="13"/>
      <c r="G4037" s="24" t="s">
        <v>3598</v>
      </c>
      <c r="H4037" s="24" t="s">
        <v>27</v>
      </c>
      <c r="I4037" s="24" t="s">
        <v>3599</v>
      </c>
      <c r="J4037" s="14" t="s">
        <v>29</v>
      </c>
      <c r="K4037" s="15" t="s">
        <v>30</v>
      </c>
      <c r="L4037" s="62"/>
      <c r="M4037" s="14"/>
      <c r="N4037" s="14" t="s">
        <v>79</v>
      </c>
      <c r="O4037" s="14"/>
      <c r="P4037" s="15" t="s">
        <v>3606</v>
      </c>
      <c r="Q4037" s="16">
        <v>8999</v>
      </c>
      <c r="R4037" s="17">
        <v>55.69</v>
      </c>
      <c r="S4037" s="18">
        <v>4585.9354999999996</v>
      </c>
      <c r="T4037" s="19" t="s">
        <v>36</v>
      </c>
      <c r="U4037" s="20" t="s">
        <v>37</v>
      </c>
      <c r="V4037" s="21" t="s">
        <v>38</v>
      </c>
      <c r="W4037" s="22">
        <v>3</v>
      </c>
      <c r="X4037" s="23"/>
    </row>
    <row r="4038" spans="1:24" s="1" customFormat="1" ht="37.049999999999997" customHeight="1" x14ac:dyDescent="0.3">
      <c r="A4038" s="24" t="s">
        <v>23</v>
      </c>
      <c r="B4038" s="24" t="s">
        <v>3617</v>
      </c>
      <c r="C4038" s="12" t="s">
        <v>3618</v>
      </c>
      <c r="D4038" s="61"/>
      <c r="E4038" s="41" t="str">
        <f>HYPERLINK("https://www.google.ru/search?q=1386888-505&amp;newwindow=1&amp;tbm=isch","Еще фото")</f>
        <v>Еще фото</v>
      </c>
      <c r="F4038" s="13"/>
      <c r="G4038" s="24" t="s">
        <v>3598</v>
      </c>
      <c r="H4038" s="24" t="s">
        <v>27</v>
      </c>
      <c r="I4038" s="24" t="s">
        <v>3599</v>
      </c>
      <c r="J4038" s="14" t="s">
        <v>29</v>
      </c>
      <c r="K4038" s="15" t="s">
        <v>30</v>
      </c>
      <c r="L4038" s="58"/>
      <c r="M4038" s="14"/>
      <c r="N4038" s="14" t="s">
        <v>79</v>
      </c>
      <c r="O4038" s="14"/>
      <c r="P4038" s="15" t="s">
        <v>3606</v>
      </c>
      <c r="Q4038" s="16">
        <v>8999</v>
      </c>
      <c r="R4038" s="17">
        <v>55.69</v>
      </c>
      <c r="S4038" s="18">
        <v>4585.9354999999996</v>
      </c>
      <c r="T4038" s="19" t="s">
        <v>36</v>
      </c>
      <c r="U4038" s="20" t="s">
        <v>39</v>
      </c>
      <c r="V4038" s="21" t="s">
        <v>40</v>
      </c>
      <c r="W4038" s="22">
        <v>6</v>
      </c>
      <c r="X4038" s="23"/>
    </row>
    <row r="4039" spans="1:24" s="1" customFormat="1" ht="35" customHeight="1" x14ac:dyDescent="0.3">
      <c r="A4039" s="11" t="s">
        <v>23</v>
      </c>
      <c r="B4039" s="11" t="s">
        <v>3620</v>
      </c>
      <c r="C4039" s="12" t="s">
        <v>3621</v>
      </c>
      <c r="D4039" s="59"/>
      <c r="E4039" s="41" t="str">
        <f>HYPERLINK("https://www.google.ru/search?q=1383191-800&amp;newwindow=1&amp;tbm=isch","Еще фото")</f>
        <v>Еще фото</v>
      </c>
      <c r="F4039" s="13"/>
      <c r="G4039" s="11" t="s">
        <v>3604</v>
      </c>
      <c r="H4039" s="11" t="s">
        <v>27</v>
      </c>
      <c r="I4039" s="14" t="s">
        <v>3599</v>
      </c>
      <c r="J4039" s="14" t="s">
        <v>29</v>
      </c>
      <c r="K4039" s="15" t="s">
        <v>30</v>
      </c>
      <c r="L4039" s="57" t="s">
        <v>3622</v>
      </c>
      <c r="M4039" s="14"/>
      <c r="N4039" s="14" t="s">
        <v>2005</v>
      </c>
      <c r="O4039" s="14"/>
      <c r="P4039" s="15" t="s">
        <v>2951</v>
      </c>
      <c r="Q4039" s="16">
        <v>6899</v>
      </c>
      <c r="R4039" s="17">
        <v>55.68</v>
      </c>
      <c r="S4039" s="18">
        <v>3516.4354999999996</v>
      </c>
      <c r="T4039" s="19" t="s">
        <v>36</v>
      </c>
      <c r="U4039" s="20" t="s">
        <v>63</v>
      </c>
      <c r="V4039" s="21" t="s">
        <v>85</v>
      </c>
      <c r="W4039" s="22">
        <v>2</v>
      </c>
      <c r="X4039" s="23"/>
    </row>
    <row r="4040" spans="1:24" s="1" customFormat="1" ht="35" customHeight="1" x14ac:dyDescent="0.3">
      <c r="A4040" s="24" t="s">
        <v>23</v>
      </c>
      <c r="B4040" s="24" t="s">
        <v>3620</v>
      </c>
      <c r="C4040" s="12" t="s">
        <v>3621</v>
      </c>
      <c r="D4040" s="60"/>
      <c r="E4040" s="41" t="str">
        <f>HYPERLINK("https://www.google.ru/search?q=1383191-800&amp;newwindow=1&amp;tbm=isch","Еще фото")</f>
        <v>Еще фото</v>
      </c>
      <c r="F4040" s="13"/>
      <c r="G4040" s="24" t="s">
        <v>3604</v>
      </c>
      <c r="H4040" s="24" t="s">
        <v>27</v>
      </c>
      <c r="I4040" s="24" t="s">
        <v>3599</v>
      </c>
      <c r="J4040" s="14" t="s">
        <v>29</v>
      </c>
      <c r="K4040" s="15" t="s">
        <v>30</v>
      </c>
      <c r="L4040" s="62"/>
      <c r="M4040" s="14"/>
      <c r="N4040" s="14" t="s">
        <v>2005</v>
      </c>
      <c r="O4040" s="14"/>
      <c r="P4040" s="15" t="s">
        <v>2951</v>
      </c>
      <c r="Q4040" s="16">
        <v>6899</v>
      </c>
      <c r="R4040" s="17">
        <v>55.68</v>
      </c>
      <c r="S4040" s="18">
        <v>3516.4354999999996</v>
      </c>
      <c r="T4040" s="19" t="s">
        <v>36</v>
      </c>
      <c r="U4040" s="20" t="s">
        <v>37</v>
      </c>
      <c r="V4040" s="21" t="s">
        <v>38</v>
      </c>
      <c r="W4040" s="22">
        <v>3</v>
      </c>
      <c r="X4040" s="23"/>
    </row>
    <row r="4041" spans="1:24" s="1" customFormat="1" ht="37.049999999999997" customHeight="1" x14ac:dyDescent="0.3">
      <c r="A4041" s="24" t="s">
        <v>23</v>
      </c>
      <c r="B4041" s="24" t="s">
        <v>3620</v>
      </c>
      <c r="C4041" s="12" t="s">
        <v>3621</v>
      </c>
      <c r="D4041" s="61"/>
      <c r="E4041" s="41" t="str">
        <f>HYPERLINK("https://www.google.ru/search?q=1383191-800&amp;newwindow=1&amp;tbm=isch","Еще фото")</f>
        <v>Еще фото</v>
      </c>
      <c r="F4041" s="13"/>
      <c r="G4041" s="24" t="s">
        <v>3604</v>
      </c>
      <c r="H4041" s="24" t="s">
        <v>27</v>
      </c>
      <c r="I4041" s="24" t="s">
        <v>3599</v>
      </c>
      <c r="J4041" s="14" t="s">
        <v>29</v>
      </c>
      <c r="K4041" s="15" t="s">
        <v>30</v>
      </c>
      <c r="L4041" s="58"/>
      <c r="M4041" s="14"/>
      <c r="N4041" s="14" t="s">
        <v>2005</v>
      </c>
      <c r="O4041" s="14"/>
      <c r="P4041" s="15" t="s">
        <v>2951</v>
      </c>
      <c r="Q4041" s="16">
        <v>6899</v>
      </c>
      <c r="R4041" s="17">
        <v>55.68</v>
      </c>
      <c r="S4041" s="18">
        <v>3516.4354999999996</v>
      </c>
      <c r="T4041" s="19" t="s">
        <v>36</v>
      </c>
      <c r="U4041" s="20" t="s">
        <v>39</v>
      </c>
      <c r="V4041" s="21" t="s">
        <v>40</v>
      </c>
      <c r="W4041" s="22">
        <v>2</v>
      </c>
      <c r="X4041" s="23"/>
    </row>
    <row r="4042" spans="1:24" s="1" customFormat="1" ht="35" customHeight="1" x14ac:dyDescent="0.3">
      <c r="A4042" s="11" t="s">
        <v>23</v>
      </c>
      <c r="B4042" s="11" t="s">
        <v>3623</v>
      </c>
      <c r="C4042" s="12" t="s">
        <v>3624</v>
      </c>
      <c r="D4042" s="59"/>
      <c r="E4042" s="41" t="str">
        <f>HYPERLINK("https://www.google.ru/search?q=1367967-390&amp;newwindow=1&amp;tbm=isch","Еще фото")</f>
        <v>Еще фото</v>
      </c>
      <c r="F4042" s="13"/>
      <c r="G4042" s="11" t="s">
        <v>3615</v>
      </c>
      <c r="H4042" s="11" t="s">
        <v>27</v>
      </c>
      <c r="I4042" s="14" t="s">
        <v>3599</v>
      </c>
      <c r="J4042" s="14" t="s">
        <v>43</v>
      </c>
      <c r="K4042" s="15" t="s">
        <v>30</v>
      </c>
      <c r="L4042" s="57" t="s">
        <v>3625</v>
      </c>
      <c r="M4042" s="14" t="s">
        <v>45</v>
      </c>
      <c r="N4042" s="14" t="s">
        <v>127</v>
      </c>
      <c r="O4042" s="14" t="s">
        <v>34</v>
      </c>
      <c r="P4042" s="15" t="s">
        <v>2951</v>
      </c>
      <c r="Q4042" s="16">
        <v>7499</v>
      </c>
      <c r="R4042" s="17">
        <v>52.56</v>
      </c>
      <c r="S4042" s="18">
        <v>4091.4354999999996</v>
      </c>
      <c r="T4042" s="19" t="s">
        <v>36</v>
      </c>
      <c r="U4042" s="20" t="s">
        <v>37</v>
      </c>
      <c r="V4042" s="21" t="s">
        <v>38</v>
      </c>
      <c r="W4042" s="22">
        <v>10</v>
      </c>
      <c r="X4042" s="23"/>
    </row>
    <row r="4043" spans="1:24" s="1" customFormat="1" ht="35" customHeight="1" x14ac:dyDescent="0.3">
      <c r="A4043" s="24" t="s">
        <v>23</v>
      </c>
      <c r="B4043" s="24" t="s">
        <v>3623</v>
      </c>
      <c r="C4043" s="12" t="s">
        <v>3624</v>
      </c>
      <c r="D4043" s="60"/>
      <c r="E4043" s="41" t="str">
        <f>HYPERLINK("https://www.google.ru/search?q=1367967-390&amp;newwindow=1&amp;tbm=isch","Еще фото")</f>
        <v>Еще фото</v>
      </c>
      <c r="F4043" s="13"/>
      <c r="G4043" s="24" t="s">
        <v>3615</v>
      </c>
      <c r="H4043" s="24" t="s">
        <v>27</v>
      </c>
      <c r="I4043" s="24" t="s">
        <v>3599</v>
      </c>
      <c r="J4043" s="14" t="s">
        <v>43</v>
      </c>
      <c r="K4043" s="15" t="s">
        <v>30</v>
      </c>
      <c r="L4043" s="62"/>
      <c r="M4043" s="14" t="s">
        <v>45</v>
      </c>
      <c r="N4043" s="14" t="s">
        <v>127</v>
      </c>
      <c r="O4043" s="14" t="s">
        <v>34</v>
      </c>
      <c r="P4043" s="15" t="s">
        <v>2951</v>
      </c>
      <c r="Q4043" s="16">
        <v>7499</v>
      </c>
      <c r="R4043" s="17">
        <v>52.56</v>
      </c>
      <c r="S4043" s="18">
        <v>4091.4354999999996</v>
      </c>
      <c r="T4043" s="19" t="s">
        <v>36</v>
      </c>
      <c r="U4043" s="20" t="s">
        <v>39</v>
      </c>
      <c r="V4043" s="21" t="s">
        <v>40</v>
      </c>
      <c r="W4043" s="22">
        <v>7</v>
      </c>
      <c r="X4043" s="23"/>
    </row>
    <row r="4044" spans="1:24" s="1" customFormat="1" ht="37.049999999999997" customHeight="1" x14ac:dyDescent="0.3">
      <c r="A4044" s="24" t="s">
        <v>23</v>
      </c>
      <c r="B4044" s="24" t="s">
        <v>3623</v>
      </c>
      <c r="C4044" s="12" t="s">
        <v>3624</v>
      </c>
      <c r="D4044" s="61"/>
      <c r="E4044" s="41" t="str">
        <f>HYPERLINK("https://www.google.ru/search?q=1367967-390&amp;newwindow=1&amp;tbm=isch","Еще фото")</f>
        <v>Еще фото</v>
      </c>
      <c r="F4044" s="13"/>
      <c r="G4044" s="24" t="s">
        <v>3615</v>
      </c>
      <c r="H4044" s="24" t="s">
        <v>27</v>
      </c>
      <c r="I4044" s="24" t="s">
        <v>3599</v>
      </c>
      <c r="J4044" s="14" t="s">
        <v>43</v>
      </c>
      <c r="K4044" s="15" t="s">
        <v>30</v>
      </c>
      <c r="L4044" s="58"/>
      <c r="M4044" s="14" t="s">
        <v>45</v>
      </c>
      <c r="N4044" s="14" t="s">
        <v>127</v>
      </c>
      <c r="O4044" s="14" t="s">
        <v>34</v>
      </c>
      <c r="P4044" s="15" t="s">
        <v>2951</v>
      </c>
      <c r="Q4044" s="16">
        <v>7499</v>
      </c>
      <c r="R4044" s="17">
        <v>52.56</v>
      </c>
      <c r="S4044" s="18">
        <v>4091.4354999999996</v>
      </c>
      <c r="T4044" s="19" t="s">
        <v>36</v>
      </c>
      <c r="U4044" s="20" t="s">
        <v>88</v>
      </c>
      <c r="V4044" s="21" t="s">
        <v>89</v>
      </c>
      <c r="W4044" s="22">
        <v>1</v>
      </c>
      <c r="X4044" s="23"/>
    </row>
    <row r="4045" spans="1:24" s="1" customFormat="1" ht="35" customHeight="1" x14ac:dyDescent="0.3">
      <c r="A4045" s="11" t="s">
        <v>23</v>
      </c>
      <c r="B4045" s="11" t="s">
        <v>3620</v>
      </c>
      <c r="C4045" s="12" t="s">
        <v>3626</v>
      </c>
      <c r="D4045" s="59"/>
      <c r="E4045" s="41" t="str">
        <f>HYPERLINK("https://www.google.ru/search?q=1383191-100&amp;newwindow=1&amp;tbm=isch","Еще фото")</f>
        <v>Еще фото</v>
      </c>
      <c r="F4045" s="13" t="s">
        <v>103</v>
      </c>
      <c r="G4045" s="11" t="s">
        <v>3604</v>
      </c>
      <c r="H4045" s="11" t="s">
        <v>27</v>
      </c>
      <c r="I4045" s="14" t="s">
        <v>3599</v>
      </c>
      <c r="J4045" s="14" t="s">
        <v>29</v>
      </c>
      <c r="K4045" s="15" t="s">
        <v>30</v>
      </c>
      <c r="L4045" s="57" t="s">
        <v>3622</v>
      </c>
      <c r="M4045" s="14"/>
      <c r="N4045" s="14" t="s">
        <v>84</v>
      </c>
      <c r="O4045" s="14"/>
      <c r="P4045" s="15" t="s">
        <v>2951</v>
      </c>
      <c r="Q4045" s="16">
        <v>7099</v>
      </c>
      <c r="R4045" s="17">
        <v>52.42</v>
      </c>
      <c r="S4045" s="18">
        <v>3884.4354999999996</v>
      </c>
      <c r="T4045" s="19" t="s">
        <v>36</v>
      </c>
      <c r="U4045" s="20" t="s">
        <v>37</v>
      </c>
      <c r="V4045" s="21" t="s">
        <v>38</v>
      </c>
      <c r="W4045" s="22">
        <v>79</v>
      </c>
      <c r="X4045" s="23"/>
    </row>
    <row r="4046" spans="1:24" s="1" customFormat="1" ht="35" customHeight="1" x14ac:dyDescent="0.3">
      <c r="A4046" s="24" t="s">
        <v>23</v>
      </c>
      <c r="B4046" s="24" t="s">
        <v>3620</v>
      </c>
      <c r="C4046" s="12" t="s">
        <v>3626</v>
      </c>
      <c r="D4046" s="60"/>
      <c r="E4046" s="41" t="str">
        <f>HYPERLINK("https://www.google.ru/search?q=1383191-100&amp;newwindow=1&amp;tbm=isch","Еще фото")</f>
        <v>Еще фото</v>
      </c>
      <c r="F4046" s="13" t="s">
        <v>103</v>
      </c>
      <c r="G4046" s="24" t="s">
        <v>3604</v>
      </c>
      <c r="H4046" s="24" t="s">
        <v>27</v>
      </c>
      <c r="I4046" s="24" t="s">
        <v>3599</v>
      </c>
      <c r="J4046" s="14" t="s">
        <v>29</v>
      </c>
      <c r="K4046" s="15" t="s">
        <v>30</v>
      </c>
      <c r="L4046" s="62"/>
      <c r="M4046" s="14"/>
      <c r="N4046" s="14" t="s">
        <v>84</v>
      </c>
      <c r="O4046" s="14"/>
      <c r="P4046" s="15" t="s">
        <v>2951</v>
      </c>
      <c r="Q4046" s="16">
        <v>7099</v>
      </c>
      <c r="R4046" s="17">
        <v>52.42</v>
      </c>
      <c r="S4046" s="18">
        <v>3884.4354999999996</v>
      </c>
      <c r="T4046" s="19" t="s">
        <v>36</v>
      </c>
      <c r="U4046" s="20" t="s">
        <v>39</v>
      </c>
      <c r="V4046" s="21" t="s">
        <v>40</v>
      </c>
      <c r="W4046" s="22">
        <v>152</v>
      </c>
      <c r="X4046" s="23"/>
    </row>
    <row r="4047" spans="1:24" s="1" customFormat="1" ht="37.049999999999997" customHeight="1" x14ac:dyDescent="0.3">
      <c r="A4047" s="24" t="s">
        <v>23</v>
      </c>
      <c r="B4047" s="24" t="s">
        <v>3620</v>
      </c>
      <c r="C4047" s="12" t="s">
        <v>3626</v>
      </c>
      <c r="D4047" s="61"/>
      <c r="E4047" s="41" t="str">
        <f>HYPERLINK("https://www.google.ru/search?q=1383191-100&amp;newwindow=1&amp;tbm=isch","Еще фото")</f>
        <v>Еще фото</v>
      </c>
      <c r="F4047" s="13" t="s">
        <v>103</v>
      </c>
      <c r="G4047" s="24" t="s">
        <v>3604</v>
      </c>
      <c r="H4047" s="24" t="s">
        <v>27</v>
      </c>
      <c r="I4047" s="24" t="s">
        <v>3599</v>
      </c>
      <c r="J4047" s="14" t="s">
        <v>29</v>
      </c>
      <c r="K4047" s="15" t="s">
        <v>30</v>
      </c>
      <c r="L4047" s="58"/>
      <c r="M4047" s="14"/>
      <c r="N4047" s="14" t="s">
        <v>84</v>
      </c>
      <c r="O4047" s="14"/>
      <c r="P4047" s="15" t="s">
        <v>2951</v>
      </c>
      <c r="Q4047" s="16">
        <v>7099</v>
      </c>
      <c r="R4047" s="17">
        <v>52.42</v>
      </c>
      <c r="S4047" s="18">
        <v>3884.4354999999996</v>
      </c>
      <c r="T4047" s="19" t="s">
        <v>36</v>
      </c>
      <c r="U4047" s="20" t="s">
        <v>86</v>
      </c>
      <c r="V4047" s="21" t="s">
        <v>87</v>
      </c>
      <c r="W4047" s="22">
        <v>95</v>
      </c>
      <c r="X4047" s="23"/>
    </row>
    <row r="4048" spans="1:24" s="1" customFormat="1" ht="108" customHeight="1" x14ac:dyDescent="0.3">
      <c r="A4048" s="11" t="s">
        <v>23</v>
      </c>
      <c r="B4048" s="11" t="s">
        <v>3627</v>
      </c>
      <c r="C4048" s="12" t="s">
        <v>3628</v>
      </c>
      <c r="D4048" s="25"/>
      <c r="E4048" s="41" t="str">
        <f>HYPERLINK("https://www.google.ru/search?q=1373865-012&amp;newwindow=1&amp;tbm=isch","Еще фото")</f>
        <v>Еще фото</v>
      </c>
      <c r="F4048" s="13"/>
      <c r="G4048" s="11" t="s">
        <v>3609</v>
      </c>
      <c r="H4048" s="11" t="s">
        <v>27</v>
      </c>
      <c r="I4048" s="14" t="s">
        <v>3599</v>
      </c>
      <c r="J4048" s="14" t="s">
        <v>29</v>
      </c>
      <c r="K4048" s="15" t="s">
        <v>59</v>
      </c>
      <c r="L4048" s="14" t="s">
        <v>3629</v>
      </c>
      <c r="M4048" s="14"/>
      <c r="N4048" s="14" t="s">
        <v>62</v>
      </c>
      <c r="O4048" s="14"/>
      <c r="P4048" s="15" t="s">
        <v>53</v>
      </c>
      <c r="Q4048" s="16">
        <v>3999</v>
      </c>
      <c r="R4048" s="17">
        <v>49.79</v>
      </c>
      <c r="S4048" s="18">
        <v>2308.9354999999996</v>
      </c>
      <c r="T4048" s="19" t="s">
        <v>36</v>
      </c>
      <c r="U4048" s="20" t="s">
        <v>63</v>
      </c>
      <c r="V4048" s="21" t="s">
        <v>64</v>
      </c>
      <c r="W4048" s="22">
        <v>6</v>
      </c>
      <c r="X4048" s="23"/>
    </row>
    <row r="4049" spans="1:24" s="1" customFormat="1" ht="52.05" customHeight="1" x14ac:dyDescent="0.3">
      <c r="A4049" s="11" t="s">
        <v>23</v>
      </c>
      <c r="B4049" s="11" t="s">
        <v>3630</v>
      </c>
      <c r="C4049" s="12" t="s">
        <v>3631</v>
      </c>
      <c r="D4049" s="55"/>
      <c r="E4049" s="41" t="str">
        <f>HYPERLINK("https://www.google.ru/search?q=1386608-465&amp;newwindow=1&amp;tbm=isch","Еще фото")</f>
        <v>Еще фото</v>
      </c>
      <c r="F4049" s="13"/>
      <c r="G4049" s="11" t="s">
        <v>3632</v>
      </c>
      <c r="H4049" s="11" t="s">
        <v>27</v>
      </c>
      <c r="I4049" s="14" t="s">
        <v>3599</v>
      </c>
      <c r="J4049" s="14" t="s">
        <v>29</v>
      </c>
      <c r="K4049" s="15" t="s">
        <v>30</v>
      </c>
      <c r="L4049" s="57" t="s">
        <v>3633</v>
      </c>
      <c r="M4049" s="14"/>
      <c r="N4049" s="14" t="s">
        <v>46</v>
      </c>
      <c r="O4049" s="14"/>
      <c r="P4049" s="15" t="s">
        <v>2951</v>
      </c>
      <c r="Q4049" s="16">
        <v>7199</v>
      </c>
      <c r="R4049" s="17">
        <v>49.75</v>
      </c>
      <c r="S4049" s="18">
        <v>4160.4354999999996</v>
      </c>
      <c r="T4049" s="19" t="s">
        <v>36</v>
      </c>
      <c r="U4049" s="20" t="s">
        <v>37</v>
      </c>
      <c r="V4049" s="21" t="s">
        <v>38</v>
      </c>
      <c r="W4049" s="22">
        <v>1</v>
      </c>
      <c r="X4049" s="23"/>
    </row>
    <row r="4050" spans="1:24" s="1" customFormat="1" ht="61.05" customHeight="1" x14ac:dyDescent="0.3">
      <c r="A4050" s="24" t="s">
        <v>23</v>
      </c>
      <c r="B4050" s="24" t="s">
        <v>3630</v>
      </c>
      <c r="C4050" s="12" t="s">
        <v>3631</v>
      </c>
      <c r="D4050" s="56"/>
      <c r="E4050" s="41" t="str">
        <f>HYPERLINK("https://www.google.ru/search?q=1386608-465&amp;newwindow=1&amp;tbm=isch","Еще фото")</f>
        <v>Еще фото</v>
      </c>
      <c r="F4050" s="13"/>
      <c r="G4050" s="24" t="s">
        <v>3632</v>
      </c>
      <c r="H4050" s="24" t="s">
        <v>27</v>
      </c>
      <c r="I4050" s="24" t="s">
        <v>3599</v>
      </c>
      <c r="J4050" s="14" t="s">
        <v>29</v>
      </c>
      <c r="K4050" s="15" t="s">
        <v>30</v>
      </c>
      <c r="L4050" s="58"/>
      <c r="M4050" s="14"/>
      <c r="N4050" s="14" t="s">
        <v>46</v>
      </c>
      <c r="O4050" s="14"/>
      <c r="P4050" s="15" t="s">
        <v>2951</v>
      </c>
      <c r="Q4050" s="16">
        <v>7199</v>
      </c>
      <c r="R4050" s="17">
        <v>49.75</v>
      </c>
      <c r="S4050" s="18">
        <v>4160.4354999999996</v>
      </c>
      <c r="T4050" s="19" t="s">
        <v>36</v>
      </c>
      <c r="U4050" s="20" t="s">
        <v>39</v>
      </c>
      <c r="V4050" s="21" t="s">
        <v>40</v>
      </c>
      <c r="W4050" s="22">
        <v>2</v>
      </c>
      <c r="X4050" s="23"/>
    </row>
    <row r="4051" spans="1:24" s="1" customFormat="1" ht="108" customHeight="1" x14ac:dyDescent="0.3">
      <c r="A4051" s="11" t="s">
        <v>23</v>
      </c>
      <c r="B4051" s="11" t="s">
        <v>3634</v>
      </c>
      <c r="C4051" s="12" t="s">
        <v>3635</v>
      </c>
      <c r="D4051" s="25"/>
      <c r="E4051" s="41" t="str">
        <f>HYPERLINK("https://www.google.ru/search?q=1370417-001&amp;newwindow=1&amp;tbm=isch","Еще фото")</f>
        <v>Еще фото</v>
      </c>
      <c r="F4051" s="13"/>
      <c r="G4051" s="11" t="s">
        <v>3615</v>
      </c>
      <c r="H4051" s="11" t="s">
        <v>27</v>
      </c>
      <c r="I4051" s="14" t="s">
        <v>3599</v>
      </c>
      <c r="J4051" s="14" t="s">
        <v>29</v>
      </c>
      <c r="K4051" s="15" t="s">
        <v>30</v>
      </c>
      <c r="L4051" s="14" t="s">
        <v>3636</v>
      </c>
      <c r="M4051" s="14" t="s">
        <v>45</v>
      </c>
      <c r="N4051" s="14" t="s">
        <v>33</v>
      </c>
      <c r="O4051" s="14"/>
      <c r="P4051" s="15" t="s">
        <v>542</v>
      </c>
      <c r="Q4051" s="16">
        <v>8499</v>
      </c>
      <c r="R4051" s="17">
        <v>49.67</v>
      </c>
      <c r="S4051" s="18">
        <v>4919.4355000000005</v>
      </c>
      <c r="T4051" s="19" t="s">
        <v>36</v>
      </c>
      <c r="U4051" s="20" t="s">
        <v>37</v>
      </c>
      <c r="V4051" s="21" t="s">
        <v>38</v>
      </c>
      <c r="W4051" s="22">
        <v>3</v>
      </c>
      <c r="X4051" s="23"/>
    </row>
    <row r="4052" spans="1:24" s="1" customFormat="1" ht="108" customHeight="1" x14ac:dyDescent="0.3">
      <c r="A4052" s="11" t="s">
        <v>23</v>
      </c>
      <c r="B4052" s="11" t="s">
        <v>3637</v>
      </c>
      <c r="C4052" s="12" t="s">
        <v>3638</v>
      </c>
      <c r="D4052" s="25"/>
      <c r="E4052" s="41" t="str">
        <f>HYPERLINK("https://www.google.ru/search?q=1383544-572&amp;newwindow=1&amp;tbm=isch","Еще фото")</f>
        <v>Еще фото</v>
      </c>
      <c r="F4052" s="13"/>
      <c r="G4052" s="11" t="s">
        <v>3609</v>
      </c>
      <c r="H4052" s="11" t="s">
        <v>27</v>
      </c>
      <c r="I4052" s="14" t="s">
        <v>3599</v>
      </c>
      <c r="J4052" s="14" t="s">
        <v>29</v>
      </c>
      <c r="K4052" s="15" t="s">
        <v>59</v>
      </c>
      <c r="L4052" s="14" t="s">
        <v>3639</v>
      </c>
      <c r="M4052" s="14"/>
      <c r="N4052" s="14" t="s">
        <v>69</v>
      </c>
      <c r="O4052" s="14"/>
      <c r="P4052" s="15" t="s">
        <v>53</v>
      </c>
      <c r="Q4052" s="16">
        <v>4999</v>
      </c>
      <c r="R4052" s="17">
        <v>49.63</v>
      </c>
      <c r="S4052" s="18">
        <v>2895.4354999999996</v>
      </c>
      <c r="T4052" s="19" t="s">
        <v>36</v>
      </c>
      <c r="U4052" s="20" t="s">
        <v>63</v>
      </c>
      <c r="V4052" s="21" t="s">
        <v>64</v>
      </c>
      <c r="W4052" s="22">
        <v>6</v>
      </c>
      <c r="X4052" s="23"/>
    </row>
    <row r="4053" spans="1:24" s="1" customFormat="1" ht="52.05" customHeight="1" x14ac:dyDescent="0.3">
      <c r="A4053" s="11" t="s">
        <v>23</v>
      </c>
      <c r="B4053" s="11" t="s">
        <v>3627</v>
      </c>
      <c r="C4053" s="12" t="s">
        <v>3640</v>
      </c>
      <c r="D4053" s="55"/>
      <c r="E4053" s="41" t="str">
        <f>HYPERLINK("https://www.google.ru/search?q=1373865-002&amp;newwindow=1&amp;tbm=isch","Еще фото")</f>
        <v>Еще фото</v>
      </c>
      <c r="F4053" s="28" t="s">
        <v>138</v>
      </c>
      <c r="G4053" s="11" t="s">
        <v>3609</v>
      </c>
      <c r="H4053" s="11" t="s">
        <v>27</v>
      </c>
      <c r="I4053" s="14" t="s">
        <v>3599</v>
      </c>
      <c r="J4053" s="14" t="s">
        <v>29</v>
      </c>
      <c r="K4053" s="15" t="s">
        <v>59</v>
      </c>
      <c r="L4053" s="57" t="s">
        <v>3629</v>
      </c>
      <c r="M4053" s="14"/>
      <c r="N4053" s="14" t="s">
        <v>33</v>
      </c>
      <c r="O4053" s="14"/>
      <c r="P4053" s="15" t="s">
        <v>53</v>
      </c>
      <c r="Q4053" s="16">
        <v>5999</v>
      </c>
      <c r="R4053" s="17">
        <v>48.86</v>
      </c>
      <c r="S4053" s="18">
        <v>3527.9354999999996</v>
      </c>
      <c r="T4053" s="19" t="s">
        <v>36</v>
      </c>
      <c r="U4053" s="20" t="s">
        <v>63</v>
      </c>
      <c r="V4053" s="21" t="s">
        <v>64</v>
      </c>
      <c r="W4053" s="22">
        <v>9</v>
      </c>
      <c r="X4053" s="23"/>
    </row>
    <row r="4054" spans="1:24" s="1" customFormat="1" ht="61.05" customHeight="1" x14ac:dyDescent="0.3">
      <c r="A4054" s="24" t="s">
        <v>23</v>
      </c>
      <c r="B4054" s="24" t="s">
        <v>3627</v>
      </c>
      <c r="C4054" s="12" t="s">
        <v>3640</v>
      </c>
      <c r="D4054" s="56"/>
      <c r="E4054" s="41" t="str">
        <f>HYPERLINK("https://www.google.ru/search?q=1373865-002&amp;newwindow=1&amp;tbm=isch","Еще фото")</f>
        <v>Еще фото</v>
      </c>
      <c r="F4054" s="28" t="s">
        <v>138</v>
      </c>
      <c r="G4054" s="24" t="s">
        <v>3609</v>
      </c>
      <c r="H4054" s="24" t="s">
        <v>27</v>
      </c>
      <c r="I4054" s="24" t="s">
        <v>3599</v>
      </c>
      <c r="J4054" s="14" t="s">
        <v>29</v>
      </c>
      <c r="K4054" s="15" t="s">
        <v>59</v>
      </c>
      <c r="L4054" s="58"/>
      <c r="M4054" s="14"/>
      <c r="N4054" s="14" t="s">
        <v>33</v>
      </c>
      <c r="O4054" s="14"/>
      <c r="P4054" s="15" t="s">
        <v>53</v>
      </c>
      <c r="Q4054" s="16">
        <v>5999</v>
      </c>
      <c r="R4054" s="17">
        <v>48.86</v>
      </c>
      <c r="S4054" s="18">
        <v>3527.9354999999996</v>
      </c>
      <c r="T4054" s="19" t="s">
        <v>36</v>
      </c>
      <c r="U4054" s="20" t="s">
        <v>37</v>
      </c>
      <c r="V4054" s="21" t="s">
        <v>106</v>
      </c>
      <c r="W4054" s="22">
        <v>3</v>
      </c>
      <c r="X4054" s="23"/>
    </row>
    <row r="4055" spans="1:24" s="1" customFormat="1" ht="52.05" customHeight="1" x14ac:dyDescent="0.3">
      <c r="A4055" s="11" t="s">
        <v>23</v>
      </c>
      <c r="B4055" s="11" t="s">
        <v>3641</v>
      </c>
      <c r="C4055" s="12" t="s">
        <v>3642</v>
      </c>
      <c r="D4055" s="55"/>
      <c r="E4055" s="41" t="str">
        <f>HYPERLINK("https://www.google.ru/search?q=1375692-100&amp;newwindow=1&amp;tbm=isch","Еще фото")</f>
        <v>Еще фото</v>
      </c>
      <c r="F4055" s="13"/>
      <c r="G4055" s="11" t="s">
        <v>3604</v>
      </c>
      <c r="H4055" s="11" t="s">
        <v>27</v>
      </c>
      <c r="I4055" s="14" t="s">
        <v>3599</v>
      </c>
      <c r="J4055" s="14" t="s">
        <v>29</v>
      </c>
      <c r="K4055" s="15" t="s">
        <v>30</v>
      </c>
      <c r="L4055" s="57" t="s">
        <v>3643</v>
      </c>
      <c r="M4055" s="14"/>
      <c r="N4055" s="14" t="s">
        <v>84</v>
      </c>
      <c r="O4055" s="14"/>
      <c r="P4055" s="15" t="s">
        <v>3644</v>
      </c>
      <c r="Q4055" s="16">
        <v>7599</v>
      </c>
      <c r="R4055" s="17">
        <v>48.84</v>
      </c>
      <c r="S4055" s="18">
        <v>4470.9354999999996</v>
      </c>
      <c r="T4055" s="19" t="s">
        <v>36</v>
      </c>
      <c r="U4055" s="20" t="s">
        <v>37</v>
      </c>
      <c r="V4055" s="21" t="s">
        <v>38</v>
      </c>
      <c r="W4055" s="22">
        <v>11</v>
      </c>
      <c r="X4055" s="23"/>
    </row>
    <row r="4056" spans="1:24" s="1" customFormat="1" ht="61.05" customHeight="1" x14ac:dyDescent="0.3">
      <c r="A4056" s="24" t="s">
        <v>23</v>
      </c>
      <c r="B4056" s="24" t="s">
        <v>3641</v>
      </c>
      <c r="C4056" s="12" t="s">
        <v>3642</v>
      </c>
      <c r="D4056" s="56"/>
      <c r="E4056" s="41" t="str">
        <f>HYPERLINK("https://www.google.ru/search?q=1375692-100&amp;newwindow=1&amp;tbm=isch","Еще фото")</f>
        <v>Еще фото</v>
      </c>
      <c r="F4056" s="13"/>
      <c r="G4056" s="24" t="s">
        <v>3604</v>
      </c>
      <c r="H4056" s="24" t="s">
        <v>27</v>
      </c>
      <c r="I4056" s="24" t="s">
        <v>3599</v>
      </c>
      <c r="J4056" s="14" t="s">
        <v>29</v>
      </c>
      <c r="K4056" s="15" t="s">
        <v>30</v>
      </c>
      <c r="L4056" s="58"/>
      <c r="M4056" s="14"/>
      <c r="N4056" s="14" t="s">
        <v>84</v>
      </c>
      <c r="O4056" s="14"/>
      <c r="P4056" s="15" t="s">
        <v>3644</v>
      </c>
      <c r="Q4056" s="16">
        <v>7599</v>
      </c>
      <c r="R4056" s="17">
        <v>48.84</v>
      </c>
      <c r="S4056" s="18">
        <v>4470.9354999999996</v>
      </c>
      <c r="T4056" s="19" t="s">
        <v>36</v>
      </c>
      <c r="U4056" s="20" t="s">
        <v>39</v>
      </c>
      <c r="V4056" s="21" t="s">
        <v>40</v>
      </c>
      <c r="W4056" s="22">
        <v>3</v>
      </c>
      <c r="X4056" s="23"/>
    </row>
    <row r="4057" spans="1:24" s="1" customFormat="1" ht="108" customHeight="1" x14ac:dyDescent="0.3">
      <c r="A4057" s="11" t="s">
        <v>23</v>
      </c>
      <c r="B4057" s="11" t="s">
        <v>3645</v>
      </c>
      <c r="C4057" s="12" t="s">
        <v>3646</v>
      </c>
      <c r="D4057" s="25"/>
      <c r="E4057" s="41" t="str">
        <f>HYPERLINK("https://www.google.ru/search?q=1255839-100&amp;newwindow=1&amp;tbm=isch","Еще фото")</f>
        <v>Еще фото</v>
      </c>
      <c r="F4057" s="13"/>
      <c r="G4057" s="11" t="s">
        <v>3604</v>
      </c>
      <c r="H4057" s="11" t="s">
        <v>27</v>
      </c>
      <c r="I4057" s="14" t="s">
        <v>3599</v>
      </c>
      <c r="J4057" s="14" t="s">
        <v>29</v>
      </c>
      <c r="K4057" s="15" t="s">
        <v>59</v>
      </c>
      <c r="L4057" s="14" t="s">
        <v>3647</v>
      </c>
      <c r="M4057" s="14" t="s">
        <v>3209</v>
      </c>
      <c r="N4057" s="14" t="s">
        <v>84</v>
      </c>
      <c r="O4057" s="14" t="s">
        <v>306</v>
      </c>
      <c r="P4057" s="15" t="s">
        <v>47</v>
      </c>
      <c r="Q4057" s="16">
        <v>2899</v>
      </c>
      <c r="R4057" s="17">
        <v>48.26</v>
      </c>
      <c r="S4057" s="18">
        <v>1724.9884999999999</v>
      </c>
      <c r="T4057" s="19" t="s">
        <v>36</v>
      </c>
      <c r="U4057" s="20" t="s">
        <v>63</v>
      </c>
      <c r="V4057" s="21" t="s">
        <v>64</v>
      </c>
      <c r="W4057" s="22">
        <v>1</v>
      </c>
      <c r="X4057" s="23"/>
    </row>
    <row r="4058" spans="1:24" s="1" customFormat="1" ht="108" customHeight="1" x14ac:dyDescent="0.3">
      <c r="A4058" s="11" t="s">
        <v>23</v>
      </c>
      <c r="B4058" s="11" t="s">
        <v>3648</v>
      </c>
      <c r="C4058" s="12" t="s">
        <v>3649</v>
      </c>
      <c r="D4058" s="25"/>
      <c r="E4058" s="41" t="str">
        <f>HYPERLINK("https://www.google.ru/search?q=6009264-498&amp;newwindow=1&amp;tbm=isch","Еще фото")</f>
        <v>Еще фото</v>
      </c>
      <c r="F4058" s="13"/>
      <c r="G4058" s="11" t="s">
        <v>3604</v>
      </c>
      <c r="H4058" s="11" t="s">
        <v>27</v>
      </c>
      <c r="I4058" s="14" t="s">
        <v>3599</v>
      </c>
      <c r="J4058" s="14" t="s">
        <v>43</v>
      </c>
      <c r="K4058" s="15" t="s">
        <v>30</v>
      </c>
      <c r="L4058" s="14" t="s">
        <v>3650</v>
      </c>
      <c r="M4058" s="14"/>
      <c r="N4058" s="14" t="s">
        <v>115</v>
      </c>
      <c r="O4058" s="14"/>
      <c r="P4058" s="15" t="s">
        <v>2951</v>
      </c>
      <c r="Q4058" s="16">
        <v>2899</v>
      </c>
      <c r="R4058" s="17">
        <v>48.26</v>
      </c>
      <c r="S4058" s="18">
        <v>1724.9884999999999</v>
      </c>
      <c r="T4058" s="19" t="s">
        <v>36</v>
      </c>
      <c r="U4058" s="20" t="s">
        <v>37</v>
      </c>
      <c r="V4058" s="21" t="s">
        <v>38</v>
      </c>
      <c r="W4058" s="22">
        <v>3</v>
      </c>
      <c r="X4058" s="23"/>
    </row>
    <row r="4059" spans="1:24" s="1" customFormat="1" ht="108" customHeight="1" x14ac:dyDescent="0.3">
      <c r="A4059" s="11" t="s">
        <v>23</v>
      </c>
      <c r="B4059" s="11" t="s">
        <v>3651</v>
      </c>
      <c r="C4059" s="12" t="s">
        <v>3652</v>
      </c>
      <c r="D4059" s="25"/>
      <c r="E4059" s="41" t="str">
        <f>HYPERLINK("https://www.google.ru/search?q=1326799-300&amp;newwindow=1&amp;tbm=isch","Еще фото")</f>
        <v>Еще фото</v>
      </c>
      <c r="F4059" s="13"/>
      <c r="G4059" s="11" t="s">
        <v>3604</v>
      </c>
      <c r="H4059" s="11" t="s">
        <v>27</v>
      </c>
      <c r="I4059" s="14" t="s">
        <v>3599</v>
      </c>
      <c r="J4059" s="14" t="s">
        <v>29</v>
      </c>
      <c r="K4059" s="15" t="s">
        <v>30</v>
      </c>
      <c r="L4059" s="14" t="s">
        <v>3653</v>
      </c>
      <c r="M4059" s="14" t="s">
        <v>45</v>
      </c>
      <c r="N4059" s="14" t="s">
        <v>229</v>
      </c>
      <c r="O4059" s="14"/>
      <c r="P4059" s="15" t="s">
        <v>2951</v>
      </c>
      <c r="Q4059" s="16">
        <v>2699</v>
      </c>
      <c r="R4059" s="17">
        <v>48.13</v>
      </c>
      <c r="S4059" s="18">
        <v>1609.9884999999999</v>
      </c>
      <c r="T4059" s="19" t="s">
        <v>36</v>
      </c>
      <c r="U4059" s="20" t="s">
        <v>378</v>
      </c>
      <c r="V4059" s="21" t="s">
        <v>379</v>
      </c>
      <c r="W4059" s="22">
        <v>1</v>
      </c>
      <c r="X4059" s="23"/>
    </row>
    <row r="4060" spans="1:24" s="1" customFormat="1" ht="108" customHeight="1" x14ac:dyDescent="0.3">
      <c r="A4060" s="11" t="s">
        <v>23</v>
      </c>
      <c r="B4060" s="11" t="s">
        <v>3654</v>
      </c>
      <c r="C4060" s="12" t="s">
        <v>3655</v>
      </c>
      <c r="D4060" s="25"/>
      <c r="E4060" s="41" t="str">
        <f>HYPERLINK("https://www.google.ru/search?q=1389721-001&amp;newwindow=1&amp;tbm=isch","Еще фото")</f>
        <v>Еще фото</v>
      </c>
      <c r="F4060" s="13"/>
      <c r="G4060" s="11" t="s">
        <v>3604</v>
      </c>
      <c r="H4060" s="11" t="s">
        <v>27</v>
      </c>
      <c r="I4060" s="14" t="s">
        <v>3599</v>
      </c>
      <c r="J4060" s="14" t="s">
        <v>43</v>
      </c>
      <c r="K4060" s="15" t="s">
        <v>59</v>
      </c>
      <c r="L4060" s="14" t="s">
        <v>3656</v>
      </c>
      <c r="M4060" s="14"/>
      <c r="N4060" s="14" t="s">
        <v>33</v>
      </c>
      <c r="O4060" s="14"/>
      <c r="P4060" s="15" t="s">
        <v>2951</v>
      </c>
      <c r="Q4060" s="16">
        <v>2299</v>
      </c>
      <c r="R4060" s="17">
        <v>47.8</v>
      </c>
      <c r="S4060" s="18">
        <v>1379.9884999999999</v>
      </c>
      <c r="T4060" s="19" t="s">
        <v>36</v>
      </c>
      <c r="U4060" s="20" t="s">
        <v>86</v>
      </c>
      <c r="V4060" s="21" t="s">
        <v>38</v>
      </c>
      <c r="W4060" s="22">
        <v>8</v>
      </c>
      <c r="X4060" s="23"/>
    </row>
    <row r="4061" spans="1:24" s="1" customFormat="1" ht="108" customHeight="1" x14ac:dyDescent="0.3">
      <c r="A4061" s="11" t="s">
        <v>23</v>
      </c>
      <c r="B4061" s="11" t="s">
        <v>3657</v>
      </c>
      <c r="C4061" s="12" t="s">
        <v>3658</v>
      </c>
      <c r="D4061" s="25"/>
      <c r="E4061" s="41" t="str">
        <f>HYPERLINK("https://www.google.ru/search?q=1361034-554&amp;newwindow=1&amp;tbm=isch","Еще фото")</f>
        <v>Еще фото</v>
      </c>
      <c r="F4061" s="13"/>
      <c r="G4061" s="11" t="s">
        <v>3609</v>
      </c>
      <c r="H4061" s="11" t="s">
        <v>27</v>
      </c>
      <c r="I4061" s="14" t="s">
        <v>3599</v>
      </c>
      <c r="J4061" s="14" t="s">
        <v>29</v>
      </c>
      <c r="K4061" s="15" t="s">
        <v>59</v>
      </c>
      <c r="L4061" s="14" t="s">
        <v>3659</v>
      </c>
      <c r="M4061" s="14"/>
      <c r="N4061" s="14" t="s">
        <v>79</v>
      </c>
      <c r="O4061" s="14"/>
      <c r="P4061" s="15" t="s">
        <v>53</v>
      </c>
      <c r="Q4061" s="16">
        <v>3799</v>
      </c>
      <c r="R4061" s="17">
        <v>47.35</v>
      </c>
      <c r="S4061" s="18">
        <v>2299.9884999999999</v>
      </c>
      <c r="T4061" s="19" t="s">
        <v>36</v>
      </c>
      <c r="U4061" s="20" t="s">
        <v>63</v>
      </c>
      <c r="V4061" s="21" t="s">
        <v>64</v>
      </c>
      <c r="W4061" s="22">
        <v>1</v>
      </c>
      <c r="X4061" s="23"/>
    </row>
    <row r="4062" spans="1:24" s="1" customFormat="1" ht="108" customHeight="1" x14ac:dyDescent="0.3">
      <c r="A4062" s="11" t="s">
        <v>23</v>
      </c>
      <c r="B4062" s="11" t="s">
        <v>3660</v>
      </c>
      <c r="C4062" s="12" t="s">
        <v>3661</v>
      </c>
      <c r="D4062" s="25"/>
      <c r="E4062" s="41" t="str">
        <f>HYPERLINK("https://www.google.ru/search?q=1383544-681&amp;newwindow=1&amp;tbm=isch","Еще фото")</f>
        <v>Еще фото</v>
      </c>
      <c r="F4062" s="13"/>
      <c r="G4062" s="11" t="s">
        <v>3609</v>
      </c>
      <c r="H4062" s="11" t="s">
        <v>27</v>
      </c>
      <c r="I4062" s="14" t="s">
        <v>3599</v>
      </c>
      <c r="J4062" s="14" t="s">
        <v>29</v>
      </c>
      <c r="K4062" s="15" t="s">
        <v>59</v>
      </c>
      <c r="L4062" s="14" t="s">
        <v>3639</v>
      </c>
      <c r="M4062" s="14"/>
      <c r="N4062" s="14" t="s">
        <v>69</v>
      </c>
      <c r="O4062" s="14"/>
      <c r="P4062" s="15" t="s">
        <v>53</v>
      </c>
      <c r="Q4062" s="16">
        <v>3799</v>
      </c>
      <c r="R4062" s="17">
        <v>47.35</v>
      </c>
      <c r="S4062" s="18">
        <v>2299.9884999999999</v>
      </c>
      <c r="T4062" s="19" t="s">
        <v>36</v>
      </c>
      <c r="U4062" s="20" t="s">
        <v>63</v>
      </c>
      <c r="V4062" s="21" t="s">
        <v>64</v>
      </c>
      <c r="W4062" s="22">
        <v>2</v>
      </c>
      <c r="X4062" s="23"/>
    </row>
    <row r="4063" spans="1:24" s="1" customFormat="1" ht="108" customHeight="1" x14ac:dyDescent="0.3">
      <c r="A4063" s="11" t="s">
        <v>23</v>
      </c>
      <c r="B4063" s="11" t="s">
        <v>3662</v>
      </c>
      <c r="C4063" s="12" t="s">
        <v>3663</v>
      </c>
      <c r="D4063" s="25"/>
      <c r="E4063" s="41" t="str">
        <f>HYPERLINK("https://www.google.ru/search?q=6004965-690&amp;newwindow=1&amp;tbm=isch","Еще фото")</f>
        <v>Еще фото</v>
      </c>
      <c r="F4063" s="13"/>
      <c r="G4063" s="11" t="s">
        <v>3604</v>
      </c>
      <c r="H4063" s="11" t="s">
        <v>27</v>
      </c>
      <c r="I4063" s="14" t="s">
        <v>3599</v>
      </c>
      <c r="J4063" s="14" t="s">
        <v>29</v>
      </c>
      <c r="K4063" s="15" t="s">
        <v>30</v>
      </c>
      <c r="L4063" s="14" t="s">
        <v>3664</v>
      </c>
      <c r="M4063" s="14"/>
      <c r="N4063" s="14" t="s">
        <v>198</v>
      </c>
      <c r="O4063" s="14"/>
      <c r="P4063" s="15" t="s">
        <v>364</v>
      </c>
      <c r="Q4063" s="16">
        <v>3799</v>
      </c>
      <c r="R4063" s="17">
        <v>47.35</v>
      </c>
      <c r="S4063" s="18">
        <v>2299.9884999999999</v>
      </c>
      <c r="T4063" s="19" t="s">
        <v>36</v>
      </c>
      <c r="U4063" s="20" t="s">
        <v>37</v>
      </c>
      <c r="V4063" s="21" t="s">
        <v>38</v>
      </c>
      <c r="W4063" s="22">
        <v>1</v>
      </c>
      <c r="X4063" s="23"/>
    </row>
    <row r="4064" spans="1:24" s="1" customFormat="1" ht="108" customHeight="1" x14ac:dyDescent="0.3">
      <c r="A4064" s="11" t="s">
        <v>23</v>
      </c>
      <c r="B4064" s="11" t="s">
        <v>3665</v>
      </c>
      <c r="C4064" s="12" t="s">
        <v>3666</v>
      </c>
      <c r="D4064" s="25"/>
      <c r="E4064" s="41" t="str">
        <f>HYPERLINK("https://www.google.ru/search?q=6005920-299&amp;newwindow=1&amp;tbm=isch","Еще фото")</f>
        <v>Еще фото</v>
      </c>
      <c r="F4064" s="13"/>
      <c r="G4064" s="11" t="s">
        <v>3604</v>
      </c>
      <c r="H4064" s="11" t="s">
        <v>27</v>
      </c>
      <c r="I4064" s="14" t="s">
        <v>3599</v>
      </c>
      <c r="J4064" s="14" t="s">
        <v>29</v>
      </c>
      <c r="K4064" s="15" t="s">
        <v>30</v>
      </c>
      <c r="L4064" s="14" t="s">
        <v>3667</v>
      </c>
      <c r="M4064" s="14"/>
      <c r="N4064" s="14" t="s">
        <v>229</v>
      </c>
      <c r="O4064" s="14"/>
      <c r="P4064" s="15" t="s">
        <v>47</v>
      </c>
      <c r="Q4064" s="16">
        <v>3599</v>
      </c>
      <c r="R4064" s="17">
        <v>47.21</v>
      </c>
      <c r="S4064" s="18">
        <v>2184.9884999999999</v>
      </c>
      <c r="T4064" s="19" t="s">
        <v>36</v>
      </c>
      <c r="U4064" s="20" t="s">
        <v>37</v>
      </c>
      <c r="V4064" s="21" t="s">
        <v>38</v>
      </c>
      <c r="W4064" s="22">
        <v>1</v>
      </c>
      <c r="X4064" s="23"/>
    </row>
    <row r="4065" spans="1:24" s="1" customFormat="1" ht="108" customHeight="1" x14ac:dyDescent="0.3">
      <c r="A4065" s="11" t="s">
        <v>23</v>
      </c>
      <c r="B4065" s="11" t="s">
        <v>3668</v>
      </c>
      <c r="C4065" s="12" t="s">
        <v>3669</v>
      </c>
      <c r="D4065" s="25"/>
      <c r="E4065" s="41" t="str">
        <f>HYPERLINK("https://www.google.ru/search?q=6012823-016&amp;newwindow=1&amp;tbm=isch","Еще фото")</f>
        <v>Еще фото</v>
      </c>
      <c r="F4065" s="13" t="s">
        <v>103</v>
      </c>
      <c r="G4065" s="11" t="s">
        <v>3598</v>
      </c>
      <c r="H4065" s="11" t="s">
        <v>27</v>
      </c>
      <c r="I4065" s="14" t="s">
        <v>3599</v>
      </c>
      <c r="J4065" s="14" t="s">
        <v>260</v>
      </c>
      <c r="K4065" s="15" t="s">
        <v>30</v>
      </c>
      <c r="L4065" s="14" t="s">
        <v>3670</v>
      </c>
      <c r="M4065" s="14"/>
      <c r="N4065" s="14" t="s">
        <v>62</v>
      </c>
      <c r="O4065" s="14"/>
      <c r="P4065" s="15" t="s">
        <v>1063</v>
      </c>
      <c r="Q4065" s="16">
        <v>3599</v>
      </c>
      <c r="R4065" s="17">
        <v>47.21</v>
      </c>
      <c r="S4065" s="18">
        <v>2184.9884999999999</v>
      </c>
      <c r="T4065" s="19" t="s">
        <v>36</v>
      </c>
      <c r="U4065" s="20" t="s">
        <v>37</v>
      </c>
      <c r="V4065" s="21" t="s">
        <v>38</v>
      </c>
      <c r="W4065" s="22">
        <v>3</v>
      </c>
      <c r="X4065" s="23"/>
    </row>
    <row r="4066" spans="1:24" s="1" customFormat="1" ht="108" customHeight="1" x14ac:dyDescent="0.3">
      <c r="A4066" s="11" t="s">
        <v>23</v>
      </c>
      <c r="B4066" s="11" t="s">
        <v>3671</v>
      </c>
      <c r="C4066" s="12" t="s">
        <v>3672</v>
      </c>
      <c r="D4066" s="25"/>
      <c r="E4066" s="41" t="str">
        <f>HYPERLINK("https://www.google.ru/search?q=1305828-410&amp;newwindow=1&amp;tbm=isch","Еще фото")</f>
        <v>Еще фото</v>
      </c>
      <c r="F4066" s="13"/>
      <c r="G4066" s="11" t="s">
        <v>3604</v>
      </c>
      <c r="H4066" s="11" t="s">
        <v>27</v>
      </c>
      <c r="I4066" s="14" t="s">
        <v>3599</v>
      </c>
      <c r="J4066" s="14" t="s">
        <v>311</v>
      </c>
      <c r="K4066" s="15" t="s">
        <v>30</v>
      </c>
      <c r="L4066" s="14" t="s">
        <v>3673</v>
      </c>
      <c r="M4066" s="14"/>
      <c r="N4066" s="14" t="s">
        <v>115</v>
      </c>
      <c r="O4066" s="14" t="s">
        <v>306</v>
      </c>
      <c r="P4066" s="15" t="s">
        <v>175</v>
      </c>
      <c r="Q4066" s="16">
        <v>1890</v>
      </c>
      <c r="R4066" s="17">
        <v>47.09</v>
      </c>
      <c r="S4066" s="35">
        <v>1149.9884999999999</v>
      </c>
      <c r="T4066" s="19" t="s">
        <v>36</v>
      </c>
      <c r="U4066" s="20" t="s">
        <v>88</v>
      </c>
      <c r="V4066" s="21" t="s">
        <v>89</v>
      </c>
      <c r="W4066" s="22">
        <v>1</v>
      </c>
      <c r="X4066" s="23"/>
    </row>
    <row r="4067" spans="1:24" s="1" customFormat="1" ht="108" customHeight="1" x14ac:dyDescent="0.3">
      <c r="A4067" s="11" t="s">
        <v>23</v>
      </c>
      <c r="B4067" s="11" t="s">
        <v>3674</v>
      </c>
      <c r="C4067" s="12" t="s">
        <v>3675</v>
      </c>
      <c r="D4067" s="25"/>
      <c r="E4067" s="41" t="str">
        <f>HYPERLINK("https://www.google.ru/search?q=1310458-020&amp;newwindow=1&amp;tbm=isch","Еще фото")</f>
        <v>Еще фото</v>
      </c>
      <c r="F4067" s="13"/>
      <c r="G4067" s="11" t="s">
        <v>3676</v>
      </c>
      <c r="H4067" s="11" t="s">
        <v>27</v>
      </c>
      <c r="I4067" s="14" t="s">
        <v>3599</v>
      </c>
      <c r="J4067" s="14" t="s">
        <v>29</v>
      </c>
      <c r="K4067" s="15" t="s">
        <v>59</v>
      </c>
      <c r="L4067" s="14" t="s">
        <v>3677</v>
      </c>
      <c r="M4067" s="14" t="s">
        <v>61</v>
      </c>
      <c r="N4067" s="14" t="s">
        <v>62</v>
      </c>
      <c r="O4067" s="14" t="s">
        <v>34</v>
      </c>
      <c r="P4067" s="15" t="s">
        <v>3678</v>
      </c>
      <c r="Q4067" s="16">
        <v>3590</v>
      </c>
      <c r="R4067" s="17">
        <v>47.08</v>
      </c>
      <c r="S4067" s="18">
        <v>2184.9884999999999</v>
      </c>
      <c r="T4067" s="19" t="s">
        <v>36</v>
      </c>
      <c r="U4067" s="20" t="s">
        <v>63</v>
      </c>
      <c r="V4067" s="21" t="s">
        <v>64</v>
      </c>
      <c r="W4067" s="22">
        <v>1</v>
      </c>
      <c r="X4067" s="23"/>
    </row>
    <row r="4068" spans="1:24" s="1" customFormat="1" ht="108" customHeight="1" x14ac:dyDescent="0.3">
      <c r="A4068" s="11" t="s">
        <v>23</v>
      </c>
      <c r="B4068" s="11" t="s">
        <v>3679</v>
      </c>
      <c r="C4068" s="12" t="s">
        <v>3680</v>
      </c>
      <c r="D4068" s="25"/>
      <c r="E4068" s="41" t="str">
        <f>HYPERLINK("https://www.google.ru/search?q=6000211-494&amp;newwindow=1&amp;tbm=isch","Еще фото")</f>
        <v>Еще фото</v>
      </c>
      <c r="F4068" s="13"/>
      <c r="G4068" s="11" t="s">
        <v>3604</v>
      </c>
      <c r="H4068" s="11" t="s">
        <v>27</v>
      </c>
      <c r="I4068" s="14" t="s">
        <v>3599</v>
      </c>
      <c r="J4068" s="14" t="s">
        <v>43</v>
      </c>
      <c r="K4068" s="15" t="s">
        <v>30</v>
      </c>
      <c r="L4068" s="14" t="s">
        <v>3681</v>
      </c>
      <c r="M4068" s="14"/>
      <c r="N4068" s="14" t="s">
        <v>46</v>
      </c>
      <c r="O4068" s="14"/>
      <c r="P4068" s="15" t="s">
        <v>2951</v>
      </c>
      <c r="Q4068" s="16">
        <v>3399</v>
      </c>
      <c r="R4068" s="17">
        <v>47.04</v>
      </c>
      <c r="S4068" s="18">
        <v>2069.9884999999999</v>
      </c>
      <c r="T4068" s="19" t="s">
        <v>36</v>
      </c>
      <c r="U4068" s="20" t="s">
        <v>37</v>
      </c>
      <c r="V4068" s="21" t="s">
        <v>38</v>
      </c>
      <c r="W4068" s="22">
        <v>1</v>
      </c>
      <c r="X4068" s="23"/>
    </row>
    <row r="4069" spans="1:24" s="1" customFormat="1" ht="108" customHeight="1" x14ac:dyDescent="0.3">
      <c r="A4069" s="11" t="s">
        <v>23</v>
      </c>
      <c r="B4069" s="11" t="s">
        <v>3682</v>
      </c>
      <c r="C4069" s="12" t="s">
        <v>3683</v>
      </c>
      <c r="D4069" s="25"/>
      <c r="E4069" s="41" t="str">
        <f>HYPERLINK("https://www.google.ru/search?q=1361034-010&amp;newwindow=1&amp;tbm=isch","Еще фото")</f>
        <v>Еще фото</v>
      </c>
      <c r="F4069" s="13"/>
      <c r="G4069" s="11" t="s">
        <v>3609</v>
      </c>
      <c r="H4069" s="11" t="s">
        <v>27</v>
      </c>
      <c r="I4069" s="14" t="s">
        <v>3599</v>
      </c>
      <c r="J4069" s="14" t="s">
        <v>29</v>
      </c>
      <c r="K4069" s="15" t="s">
        <v>59</v>
      </c>
      <c r="L4069" s="14" t="s">
        <v>3684</v>
      </c>
      <c r="M4069" s="14"/>
      <c r="N4069" s="14" t="s">
        <v>33</v>
      </c>
      <c r="O4069" s="14"/>
      <c r="P4069" s="15" t="s">
        <v>53</v>
      </c>
      <c r="Q4069" s="16">
        <v>4899</v>
      </c>
      <c r="R4069" s="17">
        <v>46.93</v>
      </c>
      <c r="S4069" s="18">
        <v>2989.9884999999995</v>
      </c>
      <c r="T4069" s="19" t="s">
        <v>36</v>
      </c>
      <c r="U4069" s="20" t="s">
        <v>63</v>
      </c>
      <c r="V4069" s="21" t="s">
        <v>64</v>
      </c>
      <c r="W4069" s="22">
        <v>14</v>
      </c>
      <c r="X4069" s="23"/>
    </row>
    <row r="4070" spans="1:24" s="1" customFormat="1" ht="108" customHeight="1" x14ac:dyDescent="0.3">
      <c r="A4070" s="11" t="s">
        <v>23</v>
      </c>
      <c r="B4070" s="11" t="s">
        <v>3682</v>
      </c>
      <c r="C4070" s="12" t="s">
        <v>3685</v>
      </c>
      <c r="D4070" s="25"/>
      <c r="E4070" s="41" t="str">
        <f>HYPERLINK("https://www.google.ru/search?q=1361034-656&amp;newwindow=1&amp;tbm=isch","Еще фото")</f>
        <v>Еще фото</v>
      </c>
      <c r="F4070" s="13"/>
      <c r="G4070" s="11" t="s">
        <v>3609</v>
      </c>
      <c r="H4070" s="11" t="s">
        <v>27</v>
      </c>
      <c r="I4070" s="14" t="s">
        <v>3599</v>
      </c>
      <c r="J4070" s="14" t="s">
        <v>29</v>
      </c>
      <c r="K4070" s="15" t="s">
        <v>59</v>
      </c>
      <c r="L4070" s="14" t="s">
        <v>3686</v>
      </c>
      <c r="M4070" s="14"/>
      <c r="N4070" s="14" t="s">
        <v>69</v>
      </c>
      <c r="O4070" s="14"/>
      <c r="P4070" s="15" t="s">
        <v>53</v>
      </c>
      <c r="Q4070" s="16">
        <v>4899</v>
      </c>
      <c r="R4070" s="17">
        <v>46.93</v>
      </c>
      <c r="S4070" s="18">
        <v>2989.9884999999995</v>
      </c>
      <c r="T4070" s="19" t="s">
        <v>36</v>
      </c>
      <c r="U4070" s="20" t="s">
        <v>63</v>
      </c>
      <c r="V4070" s="21" t="s">
        <v>64</v>
      </c>
      <c r="W4070" s="22">
        <v>6</v>
      </c>
      <c r="X4070" s="23"/>
    </row>
    <row r="4071" spans="1:24" s="1" customFormat="1" ht="108" customHeight="1" x14ac:dyDescent="0.3">
      <c r="A4071" s="11" t="s">
        <v>23</v>
      </c>
      <c r="B4071" s="11" t="s">
        <v>3687</v>
      </c>
      <c r="C4071" s="12" t="s">
        <v>3688</v>
      </c>
      <c r="D4071" s="25"/>
      <c r="E4071" s="41" t="str">
        <f>HYPERLINK("https://www.google.ru/search?q=1390206-100&amp;newwindow=1&amp;tbm=isch","Еще фото")</f>
        <v>Еще фото</v>
      </c>
      <c r="F4071" s="13"/>
      <c r="G4071" s="11" t="s">
        <v>3604</v>
      </c>
      <c r="H4071" s="11" t="s">
        <v>27</v>
      </c>
      <c r="I4071" s="14" t="s">
        <v>3599</v>
      </c>
      <c r="J4071" s="14" t="s">
        <v>43</v>
      </c>
      <c r="K4071" s="15" t="s">
        <v>30</v>
      </c>
      <c r="L4071" s="14" t="s">
        <v>3689</v>
      </c>
      <c r="M4071" s="14"/>
      <c r="N4071" s="14" t="s">
        <v>84</v>
      </c>
      <c r="O4071" s="14"/>
      <c r="P4071" s="15" t="s">
        <v>2951</v>
      </c>
      <c r="Q4071" s="16">
        <v>3199</v>
      </c>
      <c r="R4071" s="17">
        <v>46.86</v>
      </c>
      <c r="S4071" s="18">
        <v>1954.9884999999999</v>
      </c>
      <c r="T4071" s="19" t="s">
        <v>36</v>
      </c>
      <c r="U4071" s="20" t="s">
        <v>37</v>
      </c>
      <c r="V4071" s="21" t="s">
        <v>38</v>
      </c>
      <c r="W4071" s="22">
        <v>1</v>
      </c>
      <c r="X4071" s="23"/>
    </row>
    <row r="4072" spans="1:24" s="1" customFormat="1" ht="108" customHeight="1" x14ac:dyDescent="0.3">
      <c r="A4072" s="11" t="s">
        <v>23</v>
      </c>
      <c r="B4072" s="11" t="s">
        <v>3682</v>
      </c>
      <c r="C4072" s="12" t="s">
        <v>3690</v>
      </c>
      <c r="D4072" s="25"/>
      <c r="E4072" s="41" t="str">
        <f>HYPERLINK("https://www.google.ru/search?q=1361034-006&amp;newwindow=1&amp;tbm=isch","Еще фото")</f>
        <v>Еще фото</v>
      </c>
      <c r="F4072" s="13"/>
      <c r="G4072" s="11" t="s">
        <v>3609</v>
      </c>
      <c r="H4072" s="11" t="s">
        <v>27</v>
      </c>
      <c r="I4072" s="14" t="s">
        <v>3599</v>
      </c>
      <c r="J4072" s="14" t="s">
        <v>29</v>
      </c>
      <c r="K4072" s="15" t="s">
        <v>59</v>
      </c>
      <c r="L4072" s="14" t="s">
        <v>3691</v>
      </c>
      <c r="M4072" s="14"/>
      <c r="N4072" s="14" t="s">
        <v>33</v>
      </c>
      <c r="O4072" s="14"/>
      <c r="P4072" s="15" t="s">
        <v>53</v>
      </c>
      <c r="Q4072" s="16">
        <v>4699</v>
      </c>
      <c r="R4072" s="17">
        <v>46.8</v>
      </c>
      <c r="S4072" s="18">
        <v>2874.9884999999995</v>
      </c>
      <c r="T4072" s="19" t="s">
        <v>36</v>
      </c>
      <c r="U4072" s="20" t="s">
        <v>63</v>
      </c>
      <c r="V4072" s="21" t="s">
        <v>64</v>
      </c>
      <c r="W4072" s="22">
        <v>24</v>
      </c>
      <c r="X4072" s="23"/>
    </row>
    <row r="4073" spans="1:24" s="1" customFormat="1" ht="108" customHeight="1" x14ac:dyDescent="0.3">
      <c r="A4073" s="11" t="s">
        <v>23</v>
      </c>
      <c r="B4073" s="11" t="s">
        <v>3692</v>
      </c>
      <c r="C4073" s="12" t="s">
        <v>3693</v>
      </c>
      <c r="D4073" s="25"/>
      <c r="E4073" s="41" t="str">
        <f>HYPERLINK("https://www.google.ru/search?q=1378580-906&amp;newwindow=1&amp;tbm=isch","Еще фото")</f>
        <v>Еще фото</v>
      </c>
      <c r="F4073" s="13"/>
      <c r="G4073" s="11" t="s">
        <v>3598</v>
      </c>
      <c r="H4073" s="11" t="s">
        <v>27</v>
      </c>
      <c r="I4073" s="14" t="s">
        <v>3599</v>
      </c>
      <c r="J4073" s="14" t="s">
        <v>29</v>
      </c>
      <c r="K4073" s="15" t="s">
        <v>59</v>
      </c>
      <c r="L4073" s="14" t="s">
        <v>3694</v>
      </c>
      <c r="M4073" s="14"/>
      <c r="N4073" s="14" t="s">
        <v>2005</v>
      </c>
      <c r="O4073" s="14"/>
      <c r="P4073" s="15" t="s">
        <v>213</v>
      </c>
      <c r="Q4073" s="16">
        <v>4699</v>
      </c>
      <c r="R4073" s="17">
        <v>46.8</v>
      </c>
      <c r="S4073" s="18">
        <v>2874.9884999999995</v>
      </c>
      <c r="T4073" s="19" t="s">
        <v>36</v>
      </c>
      <c r="U4073" s="20" t="s">
        <v>86</v>
      </c>
      <c r="V4073" s="21" t="s">
        <v>38</v>
      </c>
      <c r="W4073" s="22">
        <v>1</v>
      </c>
      <c r="X4073" s="23"/>
    </row>
    <row r="4074" spans="1:24" s="1" customFormat="1" ht="108" customHeight="1" x14ac:dyDescent="0.3">
      <c r="A4074" s="11" t="s">
        <v>23</v>
      </c>
      <c r="B4074" s="11" t="s">
        <v>3695</v>
      </c>
      <c r="C4074" s="12" t="s">
        <v>3696</v>
      </c>
      <c r="D4074" s="25"/>
      <c r="E4074" s="41" t="str">
        <f>HYPERLINK("https://www.google.ru/search?q=1379554-057&amp;newwindow=1&amp;tbm=isch","Еще фото")</f>
        <v>Еще фото</v>
      </c>
      <c r="F4074" s="13"/>
      <c r="G4074" s="11" t="s">
        <v>3604</v>
      </c>
      <c r="H4074" s="11" t="s">
        <v>27</v>
      </c>
      <c r="I4074" s="14" t="s">
        <v>3599</v>
      </c>
      <c r="J4074" s="14" t="s">
        <v>29</v>
      </c>
      <c r="K4074" s="15" t="s">
        <v>30</v>
      </c>
      <c r="L4074" s="14" t="s">
        <v>3697</v>
      </c>
      <c r="M4074" s="14"/>
      <c r="N4074" s="14" t="s">
        <v>62</v>
      </c>
      <c r="O4074" s="14"/>
      <c r="P4074" s="15" t="s">
        <v>2951</v>
      </c>
      <c r="Q4074" s="16">
        <v>4699</v>
      </c>
      <c r="R4074" s="17">
        <v>46.8</v>
      </c>
      <c r="S4074" s="18">
        <v>2874.9884999999995</v>
      </c>
      <c r="T4074" s="19" t="s">
        <v>36</v>
      </c>
      <c r="U4074" s="20" t="s">
        <v>63</v>
      </c>
      <c r="V4074" s="21" t="s">
        <v>85</v>
      </c>
      <c r="W4074" s="22">
        <v>1</v>
      </c>
      <c r="X4074" s="23"/>
    </row>
    <row r="4075" spans="1:24" s="1" customFormat="1" ht="108" customHeight="1" x14ac:dyDescent="0.3">
      <c r="A4075" s="11" t="s">
        <v>23</v>
      </c>
      <c r="B4075" s="11" t="s">
        <v>3698</v>
      </c>
      <c r="C4075" s="12" t="s">
        <v>3699</v>
      </c>
      <c r="D4075" s="25"/>
      <c r="E4075" s="41" t="str">
        <f>HYPERLINK("https://www.google.ru/search?q=6000642-299&amp;newwindow=1&amp;tbm=isch","Еще фото")</f>
        <v>Еще фото</v>
      </c>
      <c r="F4075" s="13"/>
      <c r="G4075" s="11" t="s">
        <v>3604</v>
      </c>
      <c r="H4075" s="11" t="s">
        <v>27</v>
      </c>
      <c r="I4075" s="14" t="s">
        <v>3599</v>
      </c>
      <c r="J4075" s="14" t="s">
        <v>29</v>
      </c>
      <c r="K4075" s="15" t="s">
        <v>59</v>
      </c>
      <c r="L4075" s="14" t="s">
        <v>3700</v>
      </c>
      <c r="M4075" s="14"/>
      <c r="N4075" s="14" t="s">
        <v>229</v>
      </c>
      <c r="O4075" s="14"/>
      <c r="P4075" s="15" t="s">
        <v>3701</v>
      </c>
      <c r="Q4075" s="16">
        <v>5999</v>
      </c>
      <c r="R4075" s="17">
        <v>46.66</v>
      </c>
      <c r="S4075" s="18">
        <v>3679.9884999999995</v>
      </c>
      <c r="T4075" s="19" t="s">
        <v>36</v>
      </c>
      <c r="U4075" s="20" t="s">
        <v>63</v>
      </c>
      <c r="V4075" s="21" t="s">
        <v>64</v>
      </c>
      <c r="W4075" s="22">
        <v>1</v>
      </c>
      <c r="X4075" s="23"/>
    </row>
    <row r="4076" spans="1:24" s="1" customFormat="1" ht="108" customHeight="1" x14ac:dyDescent="0.3">
      <c r="A4076" s="11" t="s">
        <v>23</v>
      </c>
      <c r="B4076" s="11" t="s">
        <v>3702</v>
      </c>
      <c r="C4076" s="12" t="s">
        <v>3703</v>
      </c>
      <c r="D4076" s="25"/>
      <c r="E4076" s="41" t="str">
        <f>HYPERLINK("https://www.google.ru/search?q=1361033-561&amp;newwindow=1&amp;tbm=isch","Еще фото")</f>
        <v>Еще фото</v>
      </c>
      <c r="F4076" s="13"/>
      <c r="G4076" s="11" t="s">
        <v>3609</v>
      </c>
      <c r="H4076" s="11" t="s">
        <v>27</v>
      </c>
      <c r="I4076" s="14" t="s">
        <v>3599</v>
      </c>
      <c r="J4076" s="14" t="s">
        <v>29</v>
      </c>
      <c r="K4076" s="15" t="s">
        <v>59</v>
      </c>
      <c r="L4076" s="14" t="s">
        <v>3659</v>
      </c>
      <c r="M4076" s="14"/>
      <c r="N4076" s="14" t="s">
        <v>115</v>
      </c>
      <c r="O4076" s="14"/>
      <c r="P4076" s="15" t="s">
        <v>53</v>
      </c>
      <c r="Q4076" s="16">
        <v>4499</v>
      </c>
      <c r="R4076" s="17">
        <v>46.66</v>
      </c>
      <c r="S4076" s="18">
        <v>2759.9884999999995</v>
      </c>
      <c r="T4076" s="19" t="s">
        <v>36</v>
      </c>
      <c r="U4076" s="20" t="s">
        <v>63</v>
      </c>
      <c r="V4076" s="21" t="s">
        <v>64</v>
      </c>
      <c r="W4076" s="22">
        <v>1</v>
      </c>
      <c r="X4076" s="23"/>
    </row>
    <row r="4077" spans="1:24" s="1" customFormat="1" ht="108" customHeight="1" x14ac:dyDescent="0.3">
      <c r="A4077" s="11" t="s">
        <v>23</v>
      </c>
      <c r="B4077" s="11" t="s">
        <v>3704</v>
      </c>
      <c r="C4077" s="12" t="s">
        <v>3705</v>
      </c>
      <c r="D4077" s="25"/>
      <c r="E4077" s="41" t="str">
        <f>HYPERLINK("https://www.google.ru/search?q=1384195-410&amp;newwindow=1&amp;tbm=isch","Еще фото")</f>
        <v>Еще фото</v>
      </c>
      <c r="F4077" s="13"/>
      <c r="G4077" s="11" t="s">
        <v>3615</v>
      </c>
      <c r="H4077" s="11" t="s">
        <v>27</v>
      </c>
      <c r="I4077" s="14" t="s">
        <v>3599</v>
      </c>
      <c r="J4077" s="14" t="s">
        <v>29</v>
      </c>
      <c r="K4077" s="15" t="s">
        <v>30</v>
      </c>
      <c r="L4077" s="14" t="s">
        <v>3706</v>
      </c>
      <c r="M4077" s="14"/>
      <c r="N4077" s="14" t="s">
        <v>115</v>
      </c>
      <c r="O4077" s="14"/>
      <c r="P4077" s="15" t="s">
        <v>3707</v>
      </c>
      <c r="Q4077" s="16">
        <v>4499</v>
      </c>
      <c r="R4077" s="17">
        <v>46.66</v>
      </c>
      <c r="S4077" s="18">
        <v>2759.9884999999995</v>
      </c>
      <c r="T4077" s="19" t="s">
        <v>36</v>
      </c>
      <c r="U4077" s="20" t="s">
        <v>37</v>
      </c>
      <c r="V4077" s="21" t="s">
        <v>38</v>
      </c>
      <c r="W4077" s="22">
        <v>1</v>
      </c>
      <c r="X4077" s="23"/>
    </row>
    <row r="4078" spans="1:24" s="1" customFormat="1" ht="108" customHeight="1" x14ac:dyDescent="0.3">
      <c r="A4078" s="11" t="s">
        <v>23</v>
      </c>
      <c r="B4078" s="11" t="s">
        <v>3708</v>
      </c>
      <c r="C4078" s="12" t="s">
        <v>3709</v>
      </c>
      <c r="D4078" s="25"/>
      <c r="E4078" s="41" t="str">
        <f>HYPERLINK("https://www.google.ru/search?q=1376830-011&amp;newwindow=1&amp;tbm=isch","Еще фото")</f>
        <v>Еще фото</v>
      </c>
      <c r="F4078" s="13" t="s">
        <v>103</v>
      </c>
      <c r="G4078" s="11" t="s">
        <v>3604</v>
      </c>
      <c r="H4078" s="11" t="s">
        <v>27</v>
      </c>
      <c r="I4078" s="14" t="s">
        <v>3599</v>
      </c>
      <c r="J4078" s="14" t="s">
        <v>43</v>
      </c>
      <c r="K4078" s="15" t="s">
        <v>30</v>
      </c>
      <c r="L4078" s="14" t="s">
        <v>3710</v>
      </c>
      <c r="M4078" s="14"/>
      <c r="N4078" s="14" t="s">
        <v>62</v>
      </c>
      <c r="O4078" s="14"/>
      <c r="P4078" s="15" t="s">
        <v>2951</v>
      </c>
      <c r="Q4078" s="16">
        <v>2999</v>
      </c>
      <c r="R4078" s="17">
        <v>46.65</v>
      </c>
      <c r="S4078" s="18">
        <v>1839.9884999999999</v>
      </c>
      <c r="T4078" s="19" t="s">
        <v>36</v>
      </c>
      <c r="U4078" s="20" t="s">
        <v>63</v>
      </c>
      <c r="V4078" s="21" t="s">
        <v>85</v>
      </c>
      <c r="W4078" s="22">
        <v>2</v>
      </c>
      <c r="X4078" s="23"/>
    </row>
    <row r="4079" spans="1:24" s="1" customFormat="1" ht="108" customHeight="1" x14ac:dyDescent="0.3">
      <c r="A4079" s="11" t="s">
        <v>23</v>
      </c>
      <c r="B4079" s="11" t="s">
        <v>3711</v>
      </c>
      <c r="C4079" s="12" t="s">
        <v>3712</v>
      </c>
      <c r="D4079" s="25"/>
      <c r="E4079" s="41" t="str">
        <f>HYPERLINK("https://www.google.ru/search?q=1384227-338&amp;newwindow=1&amp;tbm=isch","Еще фото")</f>
        <v>Еще фото</v>
      </c>
      <c r="F4079" s="13" t="s">
        <v>103</v>
      </c>
      <c r="G4079" s="11" t="s">
        <v>3604</v>
      </c>
      <c r="H4079" s="11" t="s">
        <v>27</v>
      </c>
      <c r="I4079" s="14" t="s">
        <v>3599</v>
      </c>
      <c r="J4079" s="14" t="s">
        <v>29</v>
      </c>
      <c r="K4079" s="15" t="s">
        <v>59</v>
      </c>
      <c r="L4079" s="14" t="s">
        <v>3713</v>
      </c>
      <c r="M4079" s="14"/>
      <c r="N4079" s="14" t="s">
        <v>127</v>
      </c>
      <c r="O4079" s="14"/>
      <c r="P4079" s="15" t="s">
        <v>47</v>
      </c>
      <c r="Q4079" s="16">
        <v>2999</v>
      </c>
      <c r="R4079" s="17">
        <v>46.65</v>
      </c>
      <c r="S4079" s="18">
        <v>1839.9884999999999</v>
      </c>
      <c r="T4079" s="19" t="s">
        <v>36</v>
      </c>
      <c r="U4079" s="20" t="s">
        <v>63</v>
      </c>
      <c r="V4079" s="21" t="s">
        <v>64</v>
      </c>
      <c r="W4079" s="22">
        <v>5</v>
      </c>
      <c r="X4079" s="23"/>
    </row>
    <row r="4080" spans="1:24" s="1" customFormat="1" ht="108" customHeight="1" x14ac:dyDescent="0.3">
      <c r="A4080" s="11" t="s">
        <v>23</v>
      </c>
      <c r="B4080" s="11" t="s">
        <v>3714</v>
      </c>
      <c r="C4080" s="12" t="s">
        <v>3715</v>
      </c>
      <c r="D4080" s="25"/>
      <c r="E4080" s="41" t="str">
        <f>HYPERLINK("https://www.google.ru/search?q=1382584-001&amp;newwindow=1&amp;tbm=isch","Еще фото")</f>
        <v>Еще фото</v>
      </c>
      <c r="F4080" s="13"/>
      <c r="G4080" s="11" t="s">
        <v>3615</v>
      </c>
      <c r="H4080" s="11" t="s">
        <v>27</v>
      </c>
      <c r="I4080" s="14" t="s">
        <v>3599</v>
      </c>
      <c r="J4080" s="14" t="s">
        <v>29</v>
      </c>
      <c r="K4080" s="15" t="s">
        <v>30</v>
      </c>
      <c r="L4080" s="14" t="s">
        <v>3716</v>
      </c>
      <c r="M4080" s="14"/>
      <c r="N4080" s="14" t="s">
        <v>33</v>
      </c>
      <c r="O4080" s="14"/>
      <c r="P4080" s="15" t="s">
        <v>3717</v>
      </c>
      <c r="Q4080" s="16">
        <v>5799</v>
      </c>
      <c r="R4080" s="17">
        <v>46.54</v>
      </c>
      <c r="S4080" s="18">
        <v>3564.9884999999995</v>
      </c>
      <c r="T4080" s="19" t="s">
        <v>36</v>
      </c>
      <c r="U4080" s="20" t="s">
        <v>408</v>
      </c>
      <c r="V4080" s="21" t="s">
        <v>409</v>
      </c>
      <c r="W4080" s="22">
        <v>1</v>
      </c>
      <c r="X4080" s="23"/>
    </row>
    <row r="4081" spans="1:24" s="1" customFormat="1" ht="108" customHeight="1" x14ac:dyDescent="0.3">
      <c r="A4081" s="11" t="s">
        <v>23</v>
      </c>
      <c r="B4081" s="11" t="s">
        <v>3718</v>
      </c>
      <c r="C4081" s="12" t="s">
        <v>3719</v>
      </c>
      <c r="D4081" s="25"/>
      <c r="E4081" s="41" t="str">
        <f>HYPERLINK("https://www.google.ru/search?q=6009248-025&amp;newwindow=1&amp;tbm=isch","Еще фото")</f>
        <v>Еще фото</v>
      </c>
      <c r="F4081" s="13"/>
      <c r="G4081" s="11" t="s">
        <v>3604</v>
      </c>
      <c r="H4081" s="11" t="s">
        <v>27</v>
      </c>
      <c r="I4081" s="14" t="s">
        <v>3599</v>
      </c>
      <c r="J4081" s="14" t="s">
        <v>43</v>
      </c>
      <c r="K4081" s="15" t="s">
        <v>30</v>
      </c>
      <c r="L4081" s="14" t="s">
        <v>3720</v>
      </c>
      <c r="M4081" s="14"/>
      <c r="N4081" s="14" t="s">
        <v>62</v>
      </c>
      <c r="O4081" s="14"/>
      <c r="P4081" s="15" t="s">
        <v>2951</v>
      </c>
      <c r="Q4081" s="16">
        <v>4299</v>
      </c>
      <c r="R4081" s="17">
        <v>46.5</v>
      </c>
      <c r="S4081" s="18">
        <v>2644.9884999999995</v>
      </c>
      <c r="T4081" s="19" t="s">
        <v>36</v>
      </c>
      <c r="U4081" s="20" t="s">
        <v>37</v>
      </c>
      <c r="V4081" s="21" t="s">
        <v>38</v>
      </c>
      <c r="W4081" s="22">
        <v>2</v>
      </c>
      <c r="X4081" s="23"/>
    </row>
    <row r="4082" spans="1:24" s="1" customFormat="1" ht="108" customHeight="1" x14ac:dyDescent="0.3">
      <c r="A4082" s="11" t="s">
        <v>23</v>
      </c>
      <c r="B4082" s="11" t="s">
        <v>3721</v>
      </c>
      <c r="C4082" s="12" t="s">
        <v>3722</v>
      </c>
      <c r="D4082" s="25"/>
      <c r="E4082" s="41" t="str">
        <f>HYPERLINK("https://www.google.ru/search?q=6012783-110&amp;newwindow=1&amp;tbm=isch","Еще фото")</f>
        <v>Еще фото</v>
      </c>
      <c r="F4082" s="13" t="s">
        <v>103</v>
      </c>
      <c r="G4082" s="11" t="s">
        <v>3604</v>
      </c>
      <c r="H4082" s="11" t="s">
        <v>27</v>
      </c>
      <c r="I4082" s="14" t="s">
        <v>3599</v>
      </c>
      <c r="J4082" s="14" t="s">
        <v>674</v>
      </c>
      <c r="K4082" s="15" t="s">
        <v>30</v>
      </c>
      <c r="L4082" s="14" t="s">
        <v>3723</v>
      </c>
      <c r="M4082" s="14"/>
      <c r="N4082" s="14" t="s">
        <v>229</v>
      </c>
      <c r="O4082" s="14"/>
      <c r="P4082" s="15" t="s">
        <v>1063</v>
      </c>
      <c r="Q4082" s="16">
        <v>4299</v>
      </c>
      <c r="R4082" s="17">
        <v>46.5</v>
      </c>
      <c r="S4082" s="18">
        <v>2644.9884999999995</v>
      </c>
      <c r="T4082" s="19" t="s">
        <v>36</v>
      </c>
      <c r="U4082" s="20" t="s">
        <v>63</v>
      </c>
      <c r="V4082" s="21" t="s">
        <v>85</v>
      </c>
      <c r="W4082" s="22">
        <v>5</v>
      </c>
      <c r="X4082" s="23"/>
    </row>
    <row r="4083" spans="1:24" s="1" customFormat="1" ht="108" customHeight="1" x14ac:dyDescent="0.3">
      <c r="A4083" s="11" t="s">
        <v>23</v>
      </c>
      <c r="B4083" s="11" t="s">
        <v>3724</v>
      </c>
      <c r="C4083" s="12" t="s">
        <v>3725</v>
      </c>
      <c r="D4083" s="25"/>
      <c r="E4083" s="41" t="str">
        <f>HYPERLINK("https://www.google.ru/search?q=1361683-432&amp;newwindow=1&amp;tbm=isch","Еще фото")</f>
        <v>Еще фото</v>
      </c>
      <c r="F4083" s="13"/>
      <c r="G4083" s="11" t="s">
        <v>3604</v>
      </c>
      <c r="H4083" s="11" t="s">
        <v>27</v>
      </c>
      <c r="I4083" s="14" t="s">
        <v>3599</v>
      </c>
      <c r="J4083" s="14" t="s">
        <v>29</v>
      </c>
      <c r="K4083" s="15" t="s">
        <v>30</v>
      </c>
      <c r="L4083" s="14" t="s">
        <v>3726</v>
      </c>
      <c r="M4083" s="14"/>
      <c r="N4083" s="14" t="s">
        <v>115</v>
      </c>
      <c r="O4083" s="14"/>
      <c r="P4083" s="15" t="s">
        <v>213</v>
      </c>
      <c r="Q4083" s="16">
        <v>5599</v>
      </c>
      <c r="R4083" s="17">
        <v>46.42</v>
      </c>
      <c r="S4083" s="18">
        <v>3449.9884999999995</v>
      </c>
      <c r="T4083" s="19" t="s">
        <v>36</v>
      </c>
      <c r="U4083" s="20" t="s">
        <v>37</v>
      </c>
      <c r="V4083" s="21" t="s">
        <v>38</v>
      </c>
      <c r="W4083" s="22">
        <v>2</v>
      </c>
      <c r="X4083" s="23"/>
    </row>
    <row r="4084" spans="1:24" s="1" customFormat="1" ht="108" customHeight="1" x14ac:dyDescent="0.3">
      <c r="A4084" s="11" t="s">
        <v>23</v>
      </c>
      <c r="B4084" s="11" t="s">
        <v>3727</v>
      </c>
      <c r="C4084" s="12" t="s">
        <v>3728</v>
      </c>
      <c r="D4084" s="25"/>
      <c r="E4084" s="41" t="str">
        <f>HYPERLINK("https://www.google.ru/search?q=1326413-002&amp;newwindow=1&amp;tbm=isch","Еще фото")</f>
        <v>Еще фото</v>
      </c>
      <c r="F4084" s="13" t="s">
        <v>103</v>
      </c>
      <c r="G4084" s="11" t="s">
        <v>3604</v>
      </c>
      <c r="H4084" s="11" t="s">
        <v>27</v>
      </c>
      <c r="I4084" s="14" t="s">
        <v>3599</v>
      </c>
      <c r="J4084" s="14" t="s">
        <v>29</v>
      </c>
      <c r="K4084" s="15" t="s">
        <v>30</v>
      </c>
      <c r="L4084" s="14" t="s">
        <v>3729</v>
      </c>
      <c r="M4084" s="14" t="s">
        <v>3209</v>
      </c>
      <c r="N4084" s="14" t="s">
        <v>62</v>
      </c>
      <c r="O4084" s="14" t="s">
        <v>34</v>
      </c>
      <c r="P4084" s="15" t="s">
        <v>47</v>
      </c>
      <c r="Q4084" s="16">
        <v>2799</v>
      </c>
      <c r="R4084" s="17">
        <v>46.41</v>
      </c>
      <c r="S4084" s="18">
        <v>1724.9884999999999</v>
      </c>
      <c r="T4084" s="19" t="s">
        <v>36</v>
      </c>
      <c r="U4084" s="20" t="s">
        <v>37</v>
      </c>
      <c r="V4084" s="21" t="s">
        <v>38</v>
      </c>
      <c r="W4084" s="22">
        <v>8</v>
      </c>
      <c r="X4084" s="23"/>
    </row>
    <row r="4085" spans="1:24" s="1" customFormat="1" ht="108" customHeight="1" x14ac:dyDescent="0.3">
      <c r="A4085" s="11" t="s">
        <v>23</v>
      </c>
      <c r="B4085" s="11" t="s">
        <v>3651</v>
      </c>
      <c r="C4085" s="12" t="s">
        <v>3730</v>
      </c>
      <c r="D4085" s="25"/>
      <c r="E4085" s="41" t="str">
        <f>HYPERLINK("https://www.google.ru/search?q=1326799-453&amp;newwindow=1&amp;tbm=isch","Еще фото")</f>
        <v>Еще фото</v>
      </c>
      <c r="F4085" s="13"/>
      <c r="G4085" s="11" t="s">
        <v>3604</v>
      </c>
      <c r="H4085" s="11" t="s">
        <v>27</v>
      </c>
      <c r="I4085" s="14" t="s">
        <v>3599</v>
      </c>
      <c r="J4085" s="14" t="s">
        <v>43</v>
      </c>
      <c r="K4085" s="15" t="s">
        <v>30</v>
      </c>
      <c r="L4085" s="14" t="s">
        <v>3731</v>
      </c>
      <c r="M4085" s="14" t="s">
        <v>45</v>
      </c>
      <c r="N4085" s="14" t="s">
        <v>115</v>
      </c>
      <c r="O4085" s="14"/>
      <c r="P4085" s="15" t="s">
        <v>2951</v>
      </c>
      <c r="Q4085" s="16">
        <v>2799</v>
      </c>
      <c r="R4085" s="17">
        <v>46.41</v>
      </c>
      <c r="S4085" s="18">
        <v>1724.9884999999999</v>
      </c>
      <c r="T4085" s="19" t="s">
        <v>36</v>
      </c>
      <c r="U4085" s="20" t="s">
        <v>37</v>
      </c>
      <c r="V4085" s="21" t="s">
        <v>38</v>
      </c>
      <c r="W4085" s="22">
        <v>2</v>
      </c>
      <c r="X4085" s="23"/>
    </row>
    <row r="4086" spans="1:24" s="1" customFormat="1" ht="108" customHeight="1" x14ac:dyDescent="0.3">
      <c r="A4086" s="11" t="s">
        <v>23</v>
      </c>
      <c r="B4086" s="11" t="s">
        <v>3732</v>
      </c>
      <c r="C4086" s="12" t="s">
        <v>3733</v>
      </c>
      <c r="D4086" s="25"/>
      <c r="E4086" s="41" t="str">
        <f>HYPERLINK("https://www.google.ru/search?q=1389851-600&amp;newwindow=1&amp;tbm=isch","Еще фото")</f>
        <v>Еще фото</v>
      </c>
      <c r="F4086" s="13" t="s">
        <v>103</v>
      </c>
      <c r="G4086" s="11" t="s">
        <v>3598</v>
      </c>
      <c r="H4086" s="11" t="s">
        <v>27</v>
      </c>
      <c r="I4086" s="14" t="s">
        <v>3599</v>
      </c>
      <c r="J4086" s="14" t="s">
        <v>29</v>
      </c>
      <c r="K4086" s="15" t="s">
        <v>59</v>
      </c>
      <c r="L4086" s="14" t="s">
        <v>3734</v>
      </c>
      <c r="M4086" s="14"/>
      <c r="N4086" s="14" t="s">
        <v>69</v>
      </c>
      <c r="O4086" s="14"/>
      <c r="P4086" s="15" t="s">
        <v>213</v>
      </c>
      <c r="Q4086" s="16">
        <v>2799</v>
      </c>
      <c r="R4086" s="17">
        <v>46.41</v>
      </c>
      <c r="S4086" s="18">
        <v>1724.9884999999999</v>
      </c>
      <c r="T4086" s="19" t="s">
        <v>36</v>
      </c>
      <c r="U4086" s="20" t="s">
        <v>86</v>
      </c>
      <c r="V4086" s="21" t="s">
        <v>38</v>
      </c>
      <c r="W4086" s="22">
        <v>7</v>
      </c>
      <c r="X4086" s="23"/>
    </row>
    <row r="4087" spans="1:24" s="1" customFormat="1" ht="108" customHeight="1" x14ac:dyDescent="0.3">
      <c r="A4087" s="11" t="s">
        <v>23</v>
      </c>
      <c r="B4087" s="11" t="s">
        <v>3735</v>
      </c>
      <c r="C4087" s="12" t="s">
        <v>3736</v>
      </c>
      <c r="D4087" s="25"/>
      <c r="E4087" s="41" t="str">
        <f>HYPERLINK("https://www.google.ru/search?q=6005611-035&amp;newwindow=1&amp;tbm=isch","Еще фото")</f>
        <v>Еще фото</v>
      </c>
      <c r="F4087" s="13"/>
      <c r="G4087" s="11" t="s">
        <v>3604</v>
      </c>
      <c r="H4087" s="11" t="s">
        <v>27</v>
      </c>
      <c r="I4087" s="14" t="s">
        <v>3599</v>
      </c>
      <c r="J4087" s="14" t="s">
        <v>43</v>
      </c>
      <c r="K4087" s="15" t="s">
        <v>30</v>
      </c>
      <c r="L4087" s="14" t="s">
        <v>3737</v>
      </c>
      <c r="M4087" s="14"/>
      <c r="N4087" s="14" t="s">
        <v>62</v>
      </c>
      <c r="O4087" s="14"/>
      <c r="P4087" s="15" t="s">
        <v>2951</v>
      </c>
      <c r="Q4087" s="16">
        <v>2799</v>
      </c>
      <c r="R4087" s="17">
        <v>46.41</v>
      </c>
      <c r="S4087" s="18">
        <v>1724.9884999999999</v>
      </c>
      <c r="T4087" s="19" t="s">
        <v>36</v>
      </c>
      <c r="U4087" s="20" t="s">
        <v>37</v>
      </c>
      <c r="V4087" s="21" t="s">
        <v>38</v>
      </c>
      <c r="W4087" s="22">
        <v>10</v>
      </c>
      <c r="X4087" s="23"/>
    </row>
    <row r="4088" spans="1:24" s="1" customFormat="1" ht="108" customHeight="1" x14ac:dyDescent="0.3">
      <c r="A4088" s="11" t="s">
        <v>23</v>
      </c>
      <c r="B4088" s="11" t="s">
        <v>3641</v>
      </c>
      <c r="C4088" s="12" t="s">
        <v>3738</v>
      </c>
      <c r="D4088" s="25"/>
      <c r="E4088" s="41" t="str">
        <f>HYPERLINK("https://www.google.ru/search?q=1375692-009&amp;newwindow=1&amp;tbm=isch","Еще фото")</f>
        <v>Еще фото</v>
      </c>
      <c r="F4088" s="13"/>
      <c r="G4088" s="11" t="s">
        <v>3604</v>
      </c>
      <c r="H4088" s="11" t="s">
        <v>27</v>
      </c>
      <c r="I4088" s="14" t="s">
        <v>3599</v>
      </c>
      <c r="J4088" s="14" t="s">
        <v>29</v>
      </c>
      <c r="K4088" s="15" t="s">
        <v>30</v>
      </c>
      <c r="L4088" s="14" t="s">
        <v>3643</v>
      </c>
      <c r="M4088" s="14"/>
      <c r="N4088" s="14" t="s">
        <v>62</v>
      </c>
      <c r="O4088" s="14"/>
      <c r="P4088" s="15" t="s">
        <v>3644</v>
      </c>
      <c r="Q4088" s="16">
        <v>6899</v>
      </c>
      <c r="R4088" s="17">
        <v>46.37</v>
      </c>
      <c r="S4088" s="18">
        <v>4254.9884999999995</v>
      </c>
      <c r="T4088" s="19" t="s">
        <v>36</v>
      </c>
      <c r="U4088" s="20" t="s">
        <v>37</v>
      </c>
      <c r="V4088" s="21" t="s">
        <v>38</v>
      </c>
      <c r="W4088" s="22">
        <v>6</v>
      </c>
      <c r="X4088" s="23"/>
    </row>
    <row r="4089" spans="1:24" s="1" customFormat="1" ht="108" customHeight="1" x14ac:dyDescent="0.3">
      <c r="A4089" s="11" t="s">
        <v>23</v>
      </c>
      <c r="B4089" s="11" t="s">
        <v>3641</v>
      </c>
      <c r="C4089" s="12" t="s">
        <v>3739</v>
      </c>
      <c r="D4089" s="25"/>
      <c r="E4089" s="41" t="str">
        <f>HYPERLINK("https://www.google.ru/search?q=1375692-465&amp;newwindow=1&amp;tbm=isch","Еще фото")</f>
        <v>Еще фото</v>
      </c>
      <c r="F4089" s="13"/>
      <c r="G4089" s="11" t="s">
        <v>3604</v>
      </c>
      <c r="H4089" s="11" t="s">
        <v>27</v>
      </c>
      <c r="I4089" s="14" t="s">
        <v>3599</v>
      </c>
      <c r="J4089" s="14" t="s">
        <v>29</v>
      </c>
      <c r="K4089" s="15" t="s">
        <v>30</v>
      </c>
      <c r="L4089" s="14" t="s">
        <v>3643</v>
      </c>
      <c r="M4089" s="14"/>
      <c r="N4089" s="14" t="s">
        <v>115</v>
      </c>
      <c r="O4089" s="14"/>
      <c r="P4089" s="15" t="s">
        <v>3644</v>
      </c>
      <c r="Q4089" s="16">
        <v>7799</v>
      </c>
      <c r="R4089" s="17">
        <v>46.15</v>
      </c>
      <c r="S4089" s="18">
        <v>4829.9884999999995</v>
      </c>
      <c r="T4089" s="19" t="s">
        <v>36</v>
      </c>
      <c r="U4089" s="20" t="s">
        <v>37</v>
      </c>
      <c r="V4089" s="21" t="s">
        <v>38</v>
      </c>
      <c r="W4089" s="22">
        <v>1</v>
      </c>
      <c r="X4089" s="23"/>
    </row>
    <row r="4090" spans="1:24" s="1" customFormat="1" ht="108" customHeight="1" x14ac:dyDescent="0.3">
      <c r="A4090" s="11" t="s">
        <v>23</v>
      </c>
      <c r="B4090" s="11" t="s">
        <v>3740</v>
      </c>
      <c r="C4090" s="12" t="s">
        <v>3741</v>
      </c>
      <c r="D4090" s="25"/>
      <c r="E4090" s="41" t="str">
        <f>HYPERLINK("https://www.google.ru/search?q=6007149-001&amp;newwindow=1&amp;tbm=isch","Еще фото")</f>
        <v>Еще фото</v>
      </c>
      <c r="F4090" s="28" t="s">
        <v>152</v>
      </c>
      <c r="G4090" s="11" t="s">
        <v>3604</v>
      </c>
      <c r="H4090" s="11" t="s">
        <v>27</v>
      </c>
      <c r="I4090" s="14" t="s">
        <v>3599</v>
      </c>
      <c r="J4090" s="14" t="s">
        <v>29</v>
      </c>
      <c r="K4090" s="15" t="s">
        <v>30</v>
      </c>
      <c r="L4090" s="14" t="s">
        <v>3742</v>
      </c>
      <c r="M4090" s="14"/>
      <c r="N4090" s="14" t="s">
        <v>33</v>
      </c>
      <c r="O4090" s="14"/>
      <c r="P4090" s="15" t="s">
        <v>3606</v>
      </c>
      <c r="Q4090" s="16">
        <v>7799</v>
      </c>
      <c r="R4090" s="17">
        <v>46.15</v>
      </c>
      <c r="S4090" s="18">
        <v>4829.9884999999995</v>
      </c>
      <c r="T4090" s="19" t="s">
        <v>36</v>
      </c>
      <c r="U4090" s="20" t="s">
        <v>37</v>
      </c>
      <c r="V4090" s="21" t="s">
        <v>38</v>
      </c>
      <c r="W4090" s="22">
        <v>9</v>
      </c>
      <c r="X4090" s="23"/>
    </row>
    <row r="4091" spans="1:24" s="1" customFormat="1" ht="108" customHeight="1" x14ac:dyDescent="0.3">
      <c r="A4091" s="11" t="s">
        <v>23</v>
      </c>
      <c r="B4091" s="11" t="s">
        <v>3641</v>
      </c>
      <c r="C4091" s="12" t="s">
        <v>3743</v>
      </c>
      <c r="D4091" s="25"/>
      <c r="E4091" s="41" t="str">
        <f>HYPERLINK("https://www.google.ru/search?q=1375698-543&amp;newwindow=1&amp;tbm=isch","Еще фото")</f>
        <v>Еще фото</v>
      </c>
      <c r="F4091" s="13"/>
      <c r="G4091" s="11" t="s">
        <v>3604</v>
      </c>
      <c r="H4091" s="11" t="s">
        <v>27</v>
      </c>
      <c r="I4091" s="14" t="s">
        <v>3599</v>
      </c>
      <c r="J4091" s="14" t="s">
        <v>29</v>
      </c>
      <c r="K4091" s="15" t="s">
        <v>59</v>
      </c>
      <c r="L4091" s="14" t="s">
        <v>3744</v>
      </c>
      <c r="M4091" s="14"/>
      <c r="N4091" s="14" t="s">
        <v>69</v>
      </c>
      <c r="O4091" s="14"/>
      <c r="P4091" s="15" t="s">
        <v>3644</v>
      </c>
      <c r="Q4091" s="16">
        <v>6499</v>
      </c>
      <c r="R4091" s="17">
        <v>46.15</v>
      </c>
      <c r="S4091" s="18">
        <v>4024.9884999999995</v>
      </c>
      <c r="T4091" s="19" t="s">
        <v>36</v>
      </c>
      <c r="U4091" s="20" t="s">
        <v>63</v>
      </c>
      <c r="V4091" s="21" t="s">
        <v>64</v>
      </c>
      <c r="W4091" s="22">
        <v>1</v>
      </c>
      <c r="X4091" s="23"/>
    </row>
    <row r="4092" spans="1:24" s="1" customFormat="1" ht="108" customHeight="1" x14ac:dyDescent="0.3">
      <c r="A4092" s="11" t="s">
        <v>23</v>
      </c>
      <c r="B4092" s="11" t="s">
        <v>3745</v>
      </c>
      <c r="C4092" s="12" t="s">
        <v>3746</v>
      </c>
      <c r="D4092" s="25"/>
      <c r="E4092" s="41" t="str">
        <f>HYPERLINK("https://www.google.ru/search?q=1371137-001&amp;newwindow=1&amp;tbm=isch","Еще фото")</f>
        <v>Еще фото</v>
      </c>
      <c r="F4092" s="13"/>
      <c r="G4092" s="11" t="s">
        <v>3598</v>
      </c>
      <c r="H4092" s="11" t="s">
        <v>27</v>
      </c>
      <c r="I4092" s="14" t="s">
        <v>3599</v>
      </c>
      <c r="J4092" s="14" t="s">
        <v>29</v>
      </c>
      <c r="K4092" s="15" t="s">
        <v>59</v>
      </c>
      <c r="L4092" s="14" t="s">
        <v>3747</v>
      </c>
      <c r="M4092" s="14" t="s">
        <v>3748</v>
      </c>
      <c r="N4092" s="14" t="s">
        <v>33</v>
      </c>
      <c r="O4092" s="14" t="s">
        <v>34</v>
      </c>
      <c r="P4092" s="15" t="s">
        <v>202</v>
      </c>
      <c r="Q4092" s="16">
        <v>5199</v>
      </c>
      <c r="R4092" s="17">
        <v>46.14</v>
      </c>
      <c r="S4092" s="18">
        <v>3219.9884999999995</v>
      </c>
      <c r="T4092" s="19" t="s">
        <v>36</v>
      </c>
      <c r="U4092" s="20" t="s">
        <v>63</v>
      </c>
      <c r="V4092" s="21" t="s">
        <v>64</v>
      </c>
      <c r="W4092" s="22">
        <v>3</v>
      </c>
      <c r="X4092" s="23"/>
    </row>
    <row r="4093" spans="1:24" s="1" customFormat="1" ht="108" customHeight="1" x14ac:dyDescent="0.3">
      <c r="A4093" s="11" t="s">
        <v>23</v>
      </c>
      <c r="B4093" s="11" t="s">
        <v>3749</v>
      </c>
      <c r="C4093" s="12" t="s">
        <v>3750</v>
      </c>
      <c r="D4093" s="25"/>
      <c r="E4093" s="41" t="str">
        <f>HYPERLINK("https://www.google.ru/search?q=1382582-348&amp;newwindow=1&amp;tbm=isch","Еще фото")</f>
        <v>Еще фото</v>
      </c>
      <c r="F4093" s="13"/>
      <c r="G4093" s="11" t="s">
        <v>3604</v>
      </c>
      <c r="H4093" s="11" t="s">
        <v>27</v>
      </c>
      <c r="I4093" s="14" t="s">
        <v>3599</v>
      </c>
      <c r="J4093" s="14" t="s">
        <v>29</v>
      </c>
      <c r="K4093" s="15" t="s">
        <v>30</v>
      </c>
      <c r="L4093" s="14" t="s">
        <v>3751</v>
      </c>
      <c r="M4093" s="14"/>
      <c r="N4093" s="14" t="s">
        <v>127</v>
      </c>
      <c r="O4093" s="14"/>
      <c r="P4093" s="15" t="s">
        <v>3717</v>
      </c>
      <c r="Q4093" s="16">
        <v>3899</v>
      </c>
      <c r="R4093" s="17">
        <v>46.14</v>
      </c>
      <c r="S4093" s="18">
        <v>2414.9884999999995</v>
      </c>
      <c r="T4093" s="19" t="s">
        <v>36</v>
      </c>
      <c r="U4093" s="20" t="s">
        <v>63</v>
      </c>
      <c r="V4093" s="21" t="s">
        <v>85</v>
      </c>
      <c r="W4093" s="22">
        <v>1</v>
      </c>
      <c r="X4093" s="23"/>
    </row>
    <row r="4094" spans="1:24" s="1" customFormat="1" ht="108" customHeight="1" x14ac:dyDescent="0.3">
      <c r="A4094" s="11" t="s">
        <v>23</v>
      </c>
      <c r="B4094" s="11" t="s">
        <v>3752</v>
      </c>
      <c r="C4094" s="12" t="s">
        <v>3753</v>
      </c>
      <c r="D4094" s="25"/>
      <c r="E4094" s="41" t="str">
        <f>HYPERLINK("https://www.google.ru/search?q=6005920-014&amp;newwindow=1&amp;tbm=isch","Еще фото")</f>
        <v>Еще фото</v>
      </c>
      <c r="F4094" s="13" t="s">
        <v>103</v>
      </c>
      <c r="G4094" s="11" t="s">
        <v>3604</v>
      </c>
      <c r="H4094" s="11" t="s">
        <v>27</v>
      </c>
      <c r="I4094" s="14" t="s">
        <v>3599</v>
      </c>
      <c r="J4094" s="14" t="s">
        <v>29</v>
      </c>
      <c r="K4094" s="15" t="s">
        <v>30</v>
      </c>
      <c r="L4094" s="14" t="s">
        <v>3667</v>
      </c>
      <c r="M4094" s="14"/>
      <c r="N4094" s="14" t="s">
        <v>62</v>
      </c>
      <c r="O4094" s="14"/>
      <c r="P4094" s="15" t="s">
        <v>47</v>
      </c>
      <c r="Q4094" s="16">
        <v>3899</v>
      </c>
      <c r="R4094" s="17">
        <v>46.14</v>
      </c>
      <c r="S4094" s="18">
        <v>2414.9884999999995</v>
      </c>
      <c r="T4094" s="19" t="s">
        <v>36</v>
      </c>
      <c r="U4094" s="20" t="s">
        <v>37</v>
      </c>
      <c r="V4094" s="21" t="s">
        <v>38</v>
      </c>
      <c r="W4094" s="22">
        <v>14</v>
      </c>
      <c r="X4094" s="23"/>
    </row>
    <row r="4095" spans="1:24" s="1" customFormat="1" ht="108" customHeight="1" x14ac:dyDescent="0.3">
      <c r="A4095" s="11" t="s">
        <v>23</v>
      </c>
      <c r="B4095" s="11" t="s">
        <v>3754</v>
      </c>
      <c r="C4095" s="12" t="s">
        <v>3755</v>
      </c>
      <c r="D4095" s="25"/>
      <c r="E4095" s="41" t="str">
        <f>HYPERLINK("https://www.google.ru/search?q=1318423-100&amp;newwindow=1&amp;tbm=isch","Еще фото")</f>
        <v>Еще фото</v>
      </c>
      <c r="F4095" s="13"/>
      <c r="G4095" s="11" t="s">
        <v>3598</v>
      </c>
      <c r="H4095" s="11" t="s">
        <v>27</v>
      </c>
      <c r="I4095" s="14" t="s">
        <v>3599</v>
      </c>
      <c r="J4095" s="14" t="s">
        <v>29</v>
      </c>
      <c r="K4095" s="15" t="s">
        <v>59</v>
      </c>
      <c r="L4095" s="14" t="s">
        <v>3756</v>
      </c>
      <c r="M4095" s="14" t="s">
        <v>3757</v>
      </c>
      <c r="N4095" s="14" t="s">
        <v>84</v>
      </c>
      <c r="O4095" s="14" t="s">
        <v>34</v>
      </c>
      <c r="P4095" s="15" t="s">
        <v>3758</v>
      </c>
      <c r="Q4095" s="16">
        <v>2599</v>
      </c>
      <c r="R4095" s="17">
        <v>46.13</v>
      </c>
      <c r="S4095" s="18">
        <v>1609.9884999999999</v>
      </c>
      <c r="T4095" s="19" t="s">
        <v>36</v>
      </c>
      <c r="U4095" s="20" t="s">
        <v>88</v>
      </c>
      <c r="V4095" s="21" t="s">
        <v>40</v>
      </c>
      <c r="W4095" s="22">
        <v>2</v>
      </c>
      <c r="X4095" s="23"/>
    </row>
    <row r="4096" spans="1:24" s="1" customFormat="1" ht="108" customHeight="1" x14ac:dyDescent="0.3">
      <c r="A4096" s="11" t="s">
        <v>23</v>
      </c>
      <c r="B4096" s="11" t="s">
        <v>3759</v>
      </c>
      <c r="C4096" s="12" t="s">
        <v>3760</v>
      </c>
      <c r="D4096" s="25"/>
      <c r="E4096" s="41" t="str">
        <f>HYPERLINK("https://www.google.ru/search?q=1307213-024&amp;newwindow=1&amp;tbm=isch","Еще фото")</f>
        <v>Еще фото</v>
      </c>
      <c r="F4096" s="13"/>
      <c r="G4096" s="11" t="s">
        <v>3676</v>
      </c>
      <c r="H4096" s="11" t="s">
        <v>27</v>
      </c>
      <c r="I4096" s="14" t="s">
        <v>3599</v>
      </c>
      <c r="J4096" s="14" t="s">
        <v>29</v>
      </c>
      <c r="K4096" s="15" t="s">
        <v>59</v>
      </c>
      <c r="L4096" s="14" t="s">
        <v>3761</v>
      </c>
      <c r="M4096" s="14"/>
      <c r="N4096" s="14" t="s">
        <v>62</v>
      </c>
      <c r="O4096" s="14"/>
      <c r="P4096" s="15" t="s">
        <v>53</v>
      </c>
      <c r="Q4096" s="16">
        <v>3890</v>
      </c>
      <c r="R4096" s="17">
        <v>46.02</v>
      </c>
      <c r="S4096" s="18">
        <v>2414.9884999999995</v>
      </c>
      <c r="T4096" s="19" t="s">
        <v>36</v>
      </c>
      <c r="U4096" s="20" t="s">
        <v>63</v>
      </c>
      <c r="V4096" s="21" t="s">
        <v>64</v>
      </c>
      <c r="W4096" s="22">
        <v>1</v>
      </c>
      <c r="X4096" s="23"/>
    </row>
    <row r="4097" spans="1:24" s="1" customFormat="1" ht="108" customHeight="1" x14ac:dyDescent="0.3">
      <c r="A4097" s="11" t="s">
        <v>23</v>
      </c>
      <c r="B4097" s="11" t="s">
        <v>3762</v>
      </c>
      <c r="C4097" s="12" t="s">
        <v>3763</v>
      </c>
      <c r="D4097" s="25"/>
      <c r="E4097" s="41" t="str">
        <f>HYPERLINK("https://www.google.ru/search?q=1330016-004&amp;newwindow=1&amp;tbm=isch","Еще фото")</f>
        <v>Еще фото</v>
      </c>
      <c r="F4097" s="13"/>
      <c r="G4097" s="11" t="s">
        <v>3604</v>
      </c>
      <c r="H4097" s="11" t="s">
        <v>27</v>
      </c>
      <c r="I4097" s="14" t="s">
        <v>3599</v>
      </c>
      <c r="J4097" s="14" t="s">
        <v>43</v>
      </c>
      <c r="K4097" s="15" t="s">
        <v>30</v>
      </c>
      <c r="L4097" s="14" t="s">
        <v>3764</v>
      </c>
      <c r="M4097" s="14"/>
      <c r="N4097" s="14" t="s">
        <v>33</v>
      </c>
      <c r="O4097" s="14"/>
      <c r="P4097" s="15" t="s">
        <v>3765</v>
      </c>
      <c r="Q4097" s="16">
        <v>19790</v>
      </c>
      <c r="R4097" s="17">
        <v>46</v>
      </c>
      <c r="S4097" s="18">
        <v>12289.59</v>
      </c>
      <c r="T4097" s="19" t="s">
        <v>36</v>
      </c>
      <c r="U4097" s="20" t="s">
        <v>39</v>
      </c>
      <c r="V4097" s="21" t="s">
        <v>40</v>
      </c>
      <c r="W4097" s="22">
        <v>1</v>
      </c>
      <c r="X4097" s="23"/>
    </row>
    <row r="4098" spans="1:24" s="1" customFormat="1" ht="26" customHeight="1" x14ac:dyDescent="0.3">
      <c r="A4098" s="11" t="s">
        <v>23</v>
      </c>
      <c r="B4098" s="11" t="s">
        <v>3766</v>
      </c>
      <c r="C4098" s="12" t="s">
        <v>3767</v>
      </c>
      <c r="D4098" s="59"/>
      <c r="E4098" s="41" t="str">
        <f>HYPERLINK("https://www.google.ru/search?q=1363283-001&amp;newwindow=1&amp;tbm=isch","Еще фото")</f>
        <v>Еще фото</v>
      </c>
      <c r="F4098" s="13"/>
      <c r="G4098" s="11" t="s">
        <v>3604</v>
      </c>
      <c r="H4098" s="11" t="s">
        <v>27</v>
      </c>
      <c r="I4098" s="14" t="s">
        <v>3599</v>
      </c>
      <c r="J4098" s="14" t="s">
        <v>29</v>
      </c>
      <c r="K4098" s="15" t="s">
        <v>50</v>
      </c>
      <c r="L4098" s="57" t="s">
        <v>3768</v>
      </c>
      <c r="M4098" s="14" t="s">
        <v>3209</v>
      </c>
      <c r="N4098" s="14" t="s">
        <v>33</v>
      </c>
      <c r="O4098" s="14"/>
      <c r="P4098" s="15" t="s">
        <v>47</v>
      </c>
      <c r="Q4098" s="16">
        <v>2399</v>
      </c>
      <c r="R4098" s="17">
        <v>46</v>
      </c>
      <c r="S4098" s="18">
        <v>1489.779</v>
      </c>
      <c r="T4098" s="19" t="s">
        <v>36</v>
      </c>
      <c r="U4098" s="20" t="s">
        <v>99</v>
      </c>
      <c r="V4098" s="21" t="s">
        <v>100</v>
      </c>
      <c r="W4098" s="22">
        <v>6</v>
      </c>
      <c r="X4098" s="23"/>
    </row>
    <row r="4099" spans="1:24" s="1" customFormat="1" ht="26" customHeight="1" x14ac:dyDescent="0.3">
      <c r="A4099" s="24" t="s">
        <v>23</v>
      </c>
      <c r="B4099" s="24" t="s">
        <v>3766</v>
      </c>
      <c r="C4099" s="12" t="s">
        <v>3767</v>
      </c>
      <c r="D4099" s="60"/>
      <c r="E4099" s="41" t="str">
        <f>HYPERLINK("https://www.google.ru/search?q=1363283-001&amp;newwindow=1&amp;tbm=isch","Еще фото")</f>
        <v>Еще фото</v>
      </c>
      <c r="F4099" s="13"/>
      <c r="G4099" s="24" t="s">
        <v>3604</v>
      </c>
      <c r="H4099" s="24" t="s">
        <v>27</v>
      </c>
      <c r="I4099" s="24" t="s">
        <v>3599</v>
      </c>
      <c r="J4099" s="14" t="s">
        <v>29</v>
      </c>
      <c r="K4099" s="15" t="s">
        <v>50</v>
      </c>
      <c r="L4099" s="62"/>
      <c r="M4099" s="14" t="s">
        <v>3209</v>
      </c>
      <c r="N4099" s="14" t="s">
        <v>33</v>
      </c>
      <c r="O4099" s="14"/>
      <c r="P4099" s="15" t="s">
        <v>47</v>
      </c>
      <c r="Q4099" s="16">
        <v>2399</v>
      </c>
      <c r="R4099" s="17">
        <v>46</v>
      </c>
      <c r="S4099" s="18">
        <v>1489.779</v>
      </c>
      <c r="T4099" s="19" t="s">
        <v>36</v>
      </c>
      <c r="U4099" s="20" t="s">
        <v>54</v>
      </c>
      <c r="V4099" s="21" t="s">
        <v>55</v>
      </c>
      <c r="W4099" s="22">
        <v>10</v>
      </c>
      <c r="X4099" s="23"/>
    </row>
    <row r="4100" spans="1:24" s="1" customFormat="1" ht="26" customHeight="1" x14ac:dyDescent="0.3">
      <c r="A4100" s="24" t="s">
        <v>23</v>
      </c>
      <c r="B4100" s="24" t="s">
        <v>3766</v>
      </c>
      <c r="C4100" s="12" t="s">
        <v>3767</v>
      </c>
      <c r="D4100" s="60"/>
      <c r="E4100" s="41" t="str">
        <f>HYPERLINK("https://www.google.ru/search?q=1363283-001&amp;newwindow=1&amp;tbm=isch","Еще фото")</f>
        <v>Еще фото</v>
      </c>
      <c r="F4100" s="13"/>
      <c r="G4100" s="24" t="s">
        <v>3604</v>
      </c>
      <c r="H4100" s="24" t="s">
        <v>27</v>
      </c>
      <c r="I4100" s="24" t="s">
        <v>3599</v>
      </c>
      <c r="J4100" s="14" t="s">
        <v>29</v>
      </c>
      <c r="K4100" s="15" t="s">
        <v>50</v>
      </c>
      <c r="L4100" s="62"/>
      <c r="M4100" s="14" t="s">
        <v>3209</v>
      </c>
      <c r="N4100" s="14" t="s">
        <v>33</v>
      </c>
      <c r="O4100" s="14"/>
      <c r="P4100" s="15" t="s">
        <v>47</v>
      </c>
      <c r="Q4100" s="16">
        <v>2399</v>
      </c>
      <c r="R4100" s="17">
        <v>46</v>
      </c>
      <c r="S4100" s="18">
        <v>1489.779</v>
      </c>
      <c r="T4100" s="19" t="s">
        <v>36</v>
      </c>
      <c r="U4100" s="20" t="s">
        <v>234</v>
      </c>
      <c r="V4100" s="21" t="s">
        <v>235</v>
      </c>
      <c r="W4100" s="22">
        <v>1</v>
      </c>
      <c r="X4100" s="23"/>
    </row>
    <row r="4101" spans="1:24" s="1" customFormat="1" ht="26" customHeight="1" x14ac:dyDescent="0.3">
      <c r="A4101" s="24" t="s">
        <v>23</v>
      </c>
      <c r="B4101" s="24" t="s">
        <v>3766</v>
      </c>
      <c r="C4101" s="12" t="s">
        <v>3767</v>
      </c>
      <c r="D4101" s="61"/>
      <c r="E4101" s="41" t="str">
        <f>HYPERLINK("https://www.google.ru/search?q=1363283-001&amp;newwindow=1&amp;tbm=isch","Еще фото")</f>
        <v>Еще фото</v>
      </c>
      <c r="F4101" s="13"/>
      <c r="G4101" s="24" t="s">
        <v>3604</v>
      </c>
      <c r="H4101" s="24" t="s">
        <v>27</v>
      </c>
      <c r="I4101" s="24" t="s">
        <v>3599</v>
      </c>
      <c r="J4101" s="14" t="s">
        <v>29</v>
      </c>
      <c r="K4101" s="15" t="s">
        <v>50</v>
      </c>
      <c r="L4101" s="58"/>
      <c r="M4101" s="14" t="s">
        <v>3209</v>
      </c>
      <c r="N4101" s="14" t="s">
        <v>33</v>
      </c>
      <c r="O4101" s="14"/>
      <c r="P4101" s="15" t="s">
        <v>47</v>
      </c>
      <c r="Q4101" s="16">
        <v>2399</v>
      </c>
      <c r="R4101" s="17">
        <v>46</v>
      </c>
      <c r="S4101" s="18">
        <v>1489.779</v>
      </c>
      <c r="T4101" s="19" t="s">
        <v>36</v>
      </c>
      <c r="U4101" s="20" t="s">
        <v>71</v>
      </c>
      <c r="V4101" s="21" t="s">
        <v>72</v>
      </c>
      <c r="W4101" s="22">
        <v>7</v>
      </c>
      <c r="X4101" s="23"/>
    </row>
    <row r="4102" spans="1:24" s="1" customFormat="1" ht="21" customHeight="1" x14ac:dyDescent="0.3">
      <c r="A4102" s="11" t="s">
        <v>23</v>
      </c>
      <c r="B4102" s="11" t="s">
        <v>3766</v>
      </c>
      <c r="C4102" s="26" t="s">
        <v>3769</v>
      </c>
      <c r="D4102" s="59"/>
      <c r="E4102" s="41" t="str">
        <f>HYPERLINK("https://www.google.ru/search?q=1363283-011&amp;newwindow=1&amp;tbm=isch","Еще фото")</f>
        <v>Еще фото</v>
      </c>
      <c r="F4102" s="13"/>
      <c r="G4102" s="11" t="s">
        <v>3604</v>
      </c>
      <c r="H4102" s="11" t="s">
        <v>27</v>
      </c>
      <c r="I4102" s="14" t="s">
        <v>3599</v>
      </c>
      <c r="J4102" s="14" t="s">
        <v>29</v>
      </c>
      <c r="K4102" s="15" t="s">
        <v>50</v>
      </c>
      <c r="L4102" s="57" t="s">
        <v>3768</v>
      </c>
      <c r="M4102" s="14" t="s">
        <v>3209</v>
      </c>
      <c r="N4102" s="14" t="s">
        <v>62</v>
      </c>
      <c r="O4102" s="14" t="s">
        <v>34</v>
      </c>
      <c r="P4102" s="15" t="s">
        <v>47</v>
      </c>
      <c r="Q4102" s="16">
        <v>2399</v>
      </c>
      <c r="R4102" s="17">
        <v>46</v>
      </c>
      <c r="S4102" s="18">
        <v>1489.779</v>
      </c>
      <c r="T4102" s="19" t="s">
        <v>36</v>
      </c>
      <c r="U4102" s="20" t="s">
        <v>99</v>
      </c>
      <c r="V4102" s="21" t="s">
        <v>100</v>
      </c>
      <c r="W4102" s="22">
        <v>6</v>
      </c>
      <c r="X4102" s="23"/>
    </row>
    <row r="4103" spans="1:24" s="1" customFormat="1" ht="21" customHeight="1" x14ac:dyDescent="0.3">
      <c r="A4103" s="24" t="s">
        <v>23</v>
      </c>
      <c r="B4103" s="24" t="s">
        <v>3766</v>
      </c>
      <c r="C4103" s="27" t="s">
        <v>3769</v>
      </c>
      <c r="D4103" s="60"/>
      <c r="E4103" s="41" t="str">
        <f>HYPERLINK("https://www.google.ru/search?q=1363283-011&amp;newwindow=1&amp;tbm=isch","Еще фото")</f>
        <v>Еще фото</v>
      </c>
      <c r="F4103" s="13"/>
      <c r="G4103" s="24" t="s">
        <v>3604</v>
      </c>
      <c r="H4103" s="24" t="s">
        <v>27</v>
      </c>
      <c r="I4103" s="24" t="s">
        <v>3599</v>
      </c>
      <c r="J4103" s="14" t="s">
        <v>29</v>
      </c>
      <c r="K4103" s="15" t="s">
        <v>50</v>
      </c>
      <c r="L4103" s="62"/>
      <c r="M4103" s="14" t="s">
        <v>3209</v>
      </c>
      <c r="N4103" s="14" t="s">
        <v>62</v>
      </c>
      <c r="O4103" s="14" t="s">
        <v>34</v>
      </c>
      <c r="P4103" s="15" t="s">
        <v>47</v>
      </c>
      <c r="Q4103" s="16">
        <v>2399</v>
      </c>
      <c r="R4103" s="17">
        <v>46</v>
      </c>
      <c r="S4103" s="18">
        <v>1489.779</v>
      </c>
      <c r="T4103" s="19" t="s">
        <v>36</v>
      </c>
      <c r="U4103" s="20" t="s">
        <v>54</v>
      </c>
      <c r="V4103" s="21" t="s">
        <v>55</v>
      </c>
      <c r="W4103" s="22">
        <v>10</v>
      </c>
      <c r="X4103" s="23"/>
    </row>
    <row r="4104" spans="1:24" s="1" customFormat="1" ht="21" customHeight="1" x14ac:dyDescent="0.3">
      <c r="A4104" s="24" t="s">
        <v>23</v>
      </c>
      <c r="B4104" s="24" t="s">
        <v>3766</v>
      </c>
      <c r="C4104" s="27" t="s">
        <v>3769</v>
      </c>
      <c r="D4104" s="60"/>
      <c r="E4104" s="41" t="str">
        <f>HYPERLINK("https://www.google.ru/search?q=1363283-011&amp;newwindow=1&amp;tbm=isch","Еще фото")</f>
        <v>Еще фото</v>
      </c>
      <c r="F4104" s="13"/>
      <c r="G4104" s="24" t="s">
        <v>3604</v>
      </c>
      <c r="H4104" s="24" t="s">
        <v>27</v>
      </c>
      <c r="I4104" s="24" t="s">
        <v>3599</v>
      </c>
      <c r="J4104" s="14" t="s">
        <v>29</v>
      </c>
      <c r="K4104" s="15" t="s">
        <v>50</v>
      </c>
      <c r="L4104" s="62"/>
      <c r="M4104" s="14" t="s">
        <v>3209</v>
      </c>
      <c r="N4104" s="14" t="s">
        <v>62</v>
      </c>
      <c r="O4104" s="14" t="s">
        <v>34</v>
      </c>
      <c r="P4104" s="15" t="s">
        <v>47</v>
      </c>
      <c r="Q4104" s="16">
        <v>2399</v>
      </c>
      <c r="R4104" s="17">
        <v>46</v>
      </c>
      <c r="S4104" s="18">
        <v>1489.779</v>
      </c>
      <c r="T4104" s="19" t="s">
        <v>36</v>
      </c>
      <c r="U4104" s="20" t="s">
        <v>234</v>
      </c>
      <c r="V4104" s="21" t="s">
        <v>235</v>
      </c>
      <c r="W4104" s="22">
        <v>8</v>
      </c>
      <c r="X4104" s="23"/>
    </row>
    <row r="4105" spans="1:24" s="1" customFormat="1" ht="21" customHeight="1" x14ac:dyDescent="0.3">
      <c r="A4105" s="24" t="s">
        <v>23</v>
      </c>
      <c r="B4105" s="24" t="s">
        <v>3766</v>
      </c>
      <c r="C4105" s="27" t="s">
        <v>3769</v>
      </c>
      <c r="D4105" s="60"/>
      <c r="E4105" s="41" t="str">
        <f>HYPERLINK("https://www.google.ru/search?q=1363283-011&amp;newwindow=1&amp;tbm=isch","Еще фото")</f>
        <v>Еще фото</v>
      </c>
      <c r="F4105" s="13"/>
      <c r="G4105" s="24" t="s">
        <v>3604</v>
      </c>
      <c r="H4105" s="24" t="s">
        <v>27</v>
      </c>
      <c r="I4105" s="24" t="s">
        <v>3599</v>
      </c>
      <c r="J4105" s="14" t="s">
        <v>29</v>
      </c>
      <c r="K4105" s="15" t="s">
        <v>50</v>
      </c>
      <c r="L4105" s="62"/>
      <c r="M4105" s="14" t="s">
        <v>3209</v>
      </c>
      <c r="N4105" s="14" t="s">
        <v>62</v>
      </c>
      <c r="O4105" s="14" t="s">
        <v>34</v>
      </c>
      <c r="P4105" s="15" t="s">
        <v>47</v>
      </c>
      <c r="Q4105" s="16">
        <v>2399</v>
      </c>
      <c r="R4105" s="17">
        <v>46</v>
      </c>
      <c r="S4105" s="18">
        <v>1489.779</v>
      </c>
      <c r="T4105" s="19" t="s">
        <v>36</v>
      </c>
      <c r="U4105" s="20" t="s">
        <v>71</v>
      </c>
      <c r="V4105" s="21" t="s">
        <v>72</v>
      </c>
      <c r="W4105" s="22">
        <v>13</v>
      </c>
      <c r="X4105" s="23"/>
    </row>
    <row r="4106" spans="1:24" s="1" customFormat="1" ht="32" customHeight="1" x14ac:dyDescent="0.3">
      <c r="A4106" s="24" t="s">
        <v>23</v>
      </c>
      <c r="B4106" s="24" t="s">
        <v>3766</v>
      </c>
      <c r="C4106" s="27" t="s">
        <v>3769</v>
      </c>
      <c r="D4106" s="61"/>
      <c r="E4106" s="41" t="str">
        <f>HYPERLINK("https://www.google.ru/search?q=1363283-011&amp;newwindow=1&amp;tbm=isch","Еще фото")</f>
        <v>Еще фото</v>
      </c>
      <c r="F4106" s="13"/>
      <c r="G4106" s="24" t="s">
        <v>3604</v>
      </c>
      <c r="H4106" s="24" t="s">
        <v>27</v>
      </c>
      <c r="I4106" s="24" t="s">
        <v>3599</v>
      </c>
      <c r="J4106" s="14" t="s">
        <v>29</v>
      </c>
      <c r="K4106" s="15" t="s">
        <v>50</v>
      </c>
      <c r="L4106" s="58"/>
      <c r="M4106" s="14" t="s">
        <v>3209</v>
      </c>
      <c r="N4106" s="14" t="s">
        <v>62</v>
      </c>
      <c r="O4106" s="14" t="s">
        <v>34</v>
      </c>
      <c r="P4106" s="15" t="s">
        <v>47</v>
      </c>
      <c r="Q4106" s="16">
        <v>2399</v>
      </c>
      <c r="R4106" s="17">
        <v>46</v>
      </c>
      <c r="S4106" s="18">
        <v>1489.779</v>
      </c>
      <c r="T4106" s="19" t="s">
        <v>36</v>
      </c>
      <c r="U4106" s="20" t="s">
        <v>73</v>
      </c>
      <c r="V4106" s="21" t="s">
        <v>74</v>
      </c>
      <c r="W4106" s="22">
        <v>8</v>
      </c>
      <c r="X4106" s="23"/>
    </row>
    <row r="4107" spans="1:24" s="1" customFormat="1" ht="21" customHeight="1" x14ac:dyDescent="0.3">
      <c r="A4107" s="11" t="s">
        <v>23</v>
      </c>
      <c r="B4107" s="11" t="s">
        <v>3766</v>
      </c>
      <c r="C4107" s="26" t="s">
        <v>3770</v>
      </c>
      <c r="D4107" s="59"/>
      <c r="E4107" s="41" t="str">
        <f>HYPERLINK("https://www.google.ru/search?q=1363283-498&amp;newwindow=1&amp;tbm=isch","Еще фото")</f>
        <v>Еще фото</v>
      </c>
      <c r="F4107" s="13"/>
      <c r="G4107" s="11" t="s">
        <v>3604</v>
      </c>
      <c r="H4107" s="11" t="s">
        <v>27</v>
      </c>
      <c r="I4107" s="14" t="s">
        <v>3599</v>
      </c>
      <c r="J4107" s="14" t="s">
        <v>29</v>
      </c>
      <c r="K4107" s="15" t="s">
        <v>50</v>
      </c>
      <c r="L4107" s="57" t="s">
        <v>3768</v>
      </c>
      <c r="M4107" s="14"/>
      <c r="N4107" s="14" t="s">
        <v>115</v>
      </c>
      <c r="O4107" s="14"/>
      <c r="P4107" s="15" t="s">
        <v>47</v>
      </c>
      <c r="Q4107" s="16">
        <v>2399</v>
      </c>
      <c r="R4107" s="17">
        <v>46</v>
      </c>
      <c r="S4107" s="18">
        <v>1489.779</v>
      </c>
      <c r="T4107" s="19" t="s">
        <v>36</v>
      </c>
      <c r="U4107" s="20" t="s">
        <v>99</v>
      </c>
      <c r="V4107" s="21" t="s">
        <v>100</v>
      </c>
      <c r="W4107" s="22">
        <v>6</v>
      </c>
      <c r="X4107" s="23"/>
    </row>
    <row r="4108" spans="1:24" s="1" customFormat="1" ht="21" customHeight="1" x14ac:dyDescent="0.3">
      <c r="A4108" s="24" t="s">
        <v>23</v>
      </c>
      <c r="B4108" s="24" t="s">
        <v>3766</v>
      </c>
      <c r="C4108" s="27" t="s">
        <v>3770</v>
      </c>
      <c r="D4108" s="60"/>
      <c r="E4108" s="41" t="str">
        <f>HYPERLINK("https://www.google.ru/search?q=1363283-498&amp;newwindow=1&amp;tbm=isch","Еще фото")</f>
        <v>Еще фото</v>
      </c>
      <c r="F4108" s="13"/>
      <c r="G4108" s="24" t="s">
        <v>3604</v>
      </c>
      <c r="H4108" s="24" t="s">
        <v>27</v>
      </c>
      <c r="I4108" s="24" t="s">
        <v>3599</v>
      </c>
      <c r="J4108" s="14" t="s">
        <v>29</v>
      </c>
      <c r="K4108" s="15" t="s">
        <v>50</v>
      </c>
      <c r="L4108" s="62"/>
      <c r="M4108" s="14"/>
      <c r="N4108" s="14" t="s">
        <v>115</v>
      </c>
      <c r="O4108" s="14"/>
      <c r="P4108" s="15" t="s">
        <v>47</v>
      </c>
      <c r="Q4108" s="16">
        <v>2399</v>
      </c>
      <c r="R4108" s="17">
        <v>46</v>
      </c>
      <c r="S4108" s="18">
        <v>1489.779</v>
      </c>
      <c r="T4108" s="19" t="s">
        <v>36</v>
      </c>
      <c r="U4108" s="20" t="s">
        <v>54</v>
      </c>
      <c r="V4108" s="21" t="s">
        <v>55</v>
      </c>
      <c r="W4108" s="22">
        <v>10</v>
      </c>
      <c r="X4108" s="23"/>
    </row>
    <row r="4109" spans="1:24" s="1" customFormat="1" ht="21" customHeight="1" x14ac:dyDescent="0.3">
      <c r="A4109" s="24" t="s">
        <v>23</v>
      </c>
      <c r="B4109" s="24" t="s">
        <v>3766</v>
      </c>
      <c r="C4109" s="27" t="s">
        <v>3770</v>
      </c>
      <c r="D4109" s="60"/>
      <c r="E4109" s="41" t="str">
        <f>HYPERLINK("https://www.google.ru/search?q=1363283-498&amp;newwindow=1&amp;tbm=isch","Еще фото")</f>
        <v>Еще фото</v>
      </c>
      <c r="F4109" s="13"/>
      <c r="G4109" s="24" t="s">
        <v>3604</v>
      </c>
      <c r="H4109" s="24" t="s">
        <v>27</v>
      </c>
      <c r="I4109" s="24" t="s">
        <v>3599</v>
      </c>
      <c r="J4109" s="14" t="s">
        <v>29</v>
      </c>
      <c r="K4109" s="15" t="s">
        <v>50</v>
      </c>
      <c r="L4109" s="62"/>
      <c r="M4109" s="14"/>
      <c r="N4109" s="14" t="s">
        <v>115</v>
      </c>
      <c r="O4109" s="14"/>
      <c r="P4109" s="15" t="s">
        <v>47</v>
      </c>
      <c r="Q4109" s="16">
        <v>2399</v>
      </c>
      <c r="R4109" s="17">
        <v>46</v>
      </c>
      <c r="S4109" s="18">
        <v>1489.779</v>
      </c>
      <c r="T4109" s="19" t="s">
        <v>36</v>
      </c>
      <c r="U4109" s="20" t="s">
        <v>234</v>
      </c>
      <c r="V4109" s="21" t="s">
        <v>235</v>
      </c>
      <c r="W4109" s="22">
        <v>8</v>
      </c>
      <c r="X4109" s="23"/>
    </row>
    <row r="4110" spans="1:24" s="1" customFormat="1" ht="21" customHeight="1" x14ac:dyDescent="0.3">
      <c r="A4110" s="24" t="s">
        <v>23</v>
      </c>
      <c r="B4110" s="24" t="s">
        <v>3766</v>
      </c>
      <c r="C4110" s="27" t="s">
        <v>3770</v>
      </c>
      <c r="D4110" s="60"/>
      <c r="E4110" s="41" t="str">
        <f>HYPERLINK("https://www.google.ru/search?q=1363283-498&amp;newwindow=1&amp;tbm=isch","Еще фото")</f>
        <v>Еще фото</v>
      </c>
      <c r="F4110" s="13"/>
      <c r="G4110" s="24" t="s">
        <v>3604</v>
      </c>
      <c r="H4110" s="24" t="s">
        <v>27</v>
      </c>
      <c r="I4110" s="24" t="s">
        <v>3599</v>
      </c>
      <c r="J4110" s="14" t="s">
        <v>29</v>
      </c>
      <c r="K4110" s="15" t="s">
        <v>50</v>
      </c>
      <c r="L4110" s="62"/>
      <c r="M4110" s="14"/>
      <c r="N4110" s="14" t="s">
        <v>115</v>
      </c>
      <c r="O4110" s="14"/>
      <c r="P4110" s="15" t="s">
        <v>47</v>
      </c>
      <c r="Q4110" s="16">
        <v>2399</v>
      </c>
      <c r="R4110" s="17">
        <v>46</v>
      </c>
      <c r="S4110" s="18">
        <v>1489.779</v>
      </c>
      <c r="T4110" s="19" t="s">
        <v>36</v>
      </c>
      <c r="U4110" s="20" t="s">
        <v>71</v>
      </c>
      <c r="V4110" s="21" t="s">
        <v>72</v>
      </c>
      <c r="W4110" s="22">
        <v>10</v>
      </c>
      <c r="X4110" s="23"/>
    </row>
    <row r="4111" spans="1:24" s="1" customFormat="1" ht="32" customHeight="1" x14ac:dyDescent="0.3">
      <c r="A4111" s="24" t="s">
        <v>23</v>
      </c>
      <c r="B4111" s="24" t="s">
        <v>3766</v>
      </c>
      <c r="C4111" s="27" t="s">
        <v>3770</v>
      </c>
      <c r="D4111" s="61"/>
      <c r="E4111" s="41" t="str">
        <f>HYPERLINK("https://www.google.ru/search?q=1363283-498&amp;newwindow=1&amp;tbm=isch","Еще фото")</f>
        <v>Еще фото</v>
      </c>
      <c r="F4111" s="13"/>
      <c r="G4111" s="24" t="s">
        <v>3604</v>
      </c>
      <c r="H4111" s="24" t="s">
        <v>27</v>
      </c>
      <c r="I4111" s="24" t="s">
        <v>3599</v>
      </c>
      <c r="J4111" s="14" t="s">
        <v>29</v>
      </c>
      <c r="K4111" s="15" t="s">
        <v>50</v>
      </c>
      <c r="L4111" s="58"/>
      <c r="M4111" s="14"/>
      <c r="N4111" s="14" t="s">
        <v>115</v>
      </c>
      <c r="O4111" s="14"/>
      <c r="P4111" s="15" t="s">
        <v>47</v>
      </c>
      <c r="Q4111" s="16">
        <v>2399</v>
      </c>
      <c r="R4111" s="17">
        <v>46</v>
      </c>
      <c r="S4111" s="18">
        <v>1489.779</v>
      </c>
      <c r="T4111" s="19" t="s">
        <v>36</v>
      </c>
      <c r="U4111" s="20" t="s">
        <v>73</v>
      </c>
      <c r="V4111" s="21" t="s">
        <v>74</v>
      </c>
      <c r="W4111" s="22">
        <v>9</v>
      </c>
      <c r="X4111" s="23"/>
    </row>
    <row r="4112" spans="1:24" s="1" customFormat="1" ht="26" customHeight="1" x14ac:dyDescent="0.3">
      <c r="A4112" s="11" t="s">
        <v>23</v>
      </c>
      <c r="B4112" s="11" t="s">
        <v>3732</v>
      </c>
      <c r="C4112" s="12" t="s">
        <v>3771</v>
      </c>
      <c r="D4112" s="59"/>
      <c r="E4112" s="41" t="str">
        <f>HYPERLINK("https://www.google.ru/search?q=1363374-600&amp;newwindow=1&amp;tbm=isch","Еще фото")</f>
        <v>Еще фото</v>
      </c>
      <c r="F4112" s="13"/>
      <c r="G4112" s="11" t="s">
        <v>3598</v>
      </c>
      <c r="H4112" s="11" t="s">
        <v>27</v>
      </c>
      <c r="I4112" s="14" t="s">
        <v>3599</v>
      </c>
      <c r="J4112" s="14" t="s">
        <v>29</v>
      </c>
      <c r="K4112" s="15" t="s">
        <v>50</v>
      </c>
      <c r="L4112" s="57" t="s">
        <v>3772</v>
      </c>
      <c r="M4112" s="14"/>
      <c r="N4112" s="14" t="s">
        <v>69</v>
      </c>
      <c r="O4112" s="14"/>
      <c r="P4112" s="15" t="s">
        <v>3773</v>
      </c>
      <c r="Q4112" s="16">
        <v>2699</v>
      </c>
      <c r="R4112" s="17">
        <v>46</v>
      </c>
      <c r="S4112" s="18">
        <v>1676.079</v>
      </c>
      <c r="T4112" s="19" t="s">
        <v>36</v>
      </c>
      <c r="U4112" s="20" t="s">
        <v>99</v>
      </c>
      <c r="V4112" s="21" t="s">
        <v>100</v>
      </c>
      <c r="W4112" s="22">
        <v>4</v>
      </c>
      <c r="X4112" s="23"/>
    </row>
    <row r="4113" spans="1:24" s="1" customFormat="1" ht="26" customHeight="1" x14ac:dyDescent="0.3">
      <c r="A4113" s="24" t="s">
        <v>23</v>
      </c>
      <c r="B4113" s="24" t="s">
        <v>3732</v>
      </c>
      <c r="C4113" s="12" t="s">
        <v>3771</v>
      </c>
      <c r="D4113" s="60"/>
      <c r="E4113" s="41" t="str">
        <f>HYPERLINK("https://www.google.ru/search?q=1363374-600&amp;newwindow=1&amp;tbm=isch","Еще фото")</f>
        <v>Еще фото</v>
      </c>
      <c r="F4113" s="13"/>
      <c r="G4113" s="24" t="s">
        <v>3598</v>
      </c>
      <c r="H4113" s="24" t="s">
        <v>27</v>
      </c>
      <c r="I4113" s="24" t="s">
        <v>3599</v>
      </c>
      <c r="J4113" s="14" t="s">
        <v>29</v>
      </c>
      <c r="K4113" s="15" t="s">
        <v>50</v>
      </c>
      <c r="L4113" s="62"/>
      <c r="M4113" s="14"/>
      <c r="N4113" s="14" t="s">
        <v>69</v>
      </c>
      <c r="O4113" s="14"/>
      <c r="P4113" s="15" t="s">
        <v>3773</v>
      </c>
      <c r="Q4113" s="16">
        <v>2699</v>
      </c>
      <c r="R4113" s="17">
        <v>46</v>
      </c>
      <c r="S4113" s="18">
        <v>1676.079</v>
      </c>
      <c r="T4113" s="19" t="s">
        <v>36</v>
      </c>
      <c r="U4113" s="20" t="s">
        <v>54</v>
      </c>
      <c r="V4113" s="21" t="s">
        <v>55</v>
      </c>
      <c r="W4113" s="22">
        <v>8</v>
      </c>
      <c r="X4113" s="23"/>
    </row>
    <row r="4114" spans="1:24" s="1" customFormat="1" ht="26" customHeight="1" x14ac:dyDescent="0.3">
      <c r="A4114" s="24" t="s">
        <v>23</v>
      </c>
      <c r="B4114" s="24" t="s">
        <v>3732</v>
      </c>
      <c r="C4114" s="12" t="s">
        <v>3771</v>
      </c>
      <c r="D4114" s="60"/>
      <c r="E4114" s="41" t="str">
        <f>HYPERLINK("https://www.google.ru/search?q=1363374-600&amp;newwindow=1&amp;tbm=isch","Еще фото")</f>
        <v>Еще фото</v>
      </c>
      <c r="F4114" s="13"/>
      <c r="G4114" s="24" t="s">
        <v>3598</v>
      </c>
      <c r="H4114" s="24" t="s">
        <v>27</v>
      </c>
      <c r="I4114" s="24" t="s">
        <v>3599</v>
      </c>
      <c r="J4114" s="14" t="s">
        <v>29</v>
      </c>
      <c r="K4114" s="15" t="s">
        <v>50</v>
      </c>
      <c r="L4114" s="62"/>
      <c r="M4114" s="14"/>
      <c r="N4114" s="14" t="s">
        <v>69</v>
      </c>
      <c r="O4114" s="14"/>
      <c r="P4114" s="15" t="s">
        <v>3773</v>
      </c>
      <c r="Q4114" s="16">
        <v>2699</v>
      </c>
      <c r="R4114" s="17">
        <v>46</v>
      </c>
      <c r="S4114" s="18">
        <v>1676.079</v>
      </c>
      <c r="T4114" s="19" t="s">
        <v>36</v>
      </c>
      <c r="U4114" s="20" t="s">
        <v>234</v>
      </c>
      <c r="V4114" s="21" t="s">
        <v>235</v>
      </c>
      <c r="W4114" s="22">
        <v>6</v>
      </c>
      <c r="X4114" s="23"/>
    </row>
    <row r="4115" spans="1:24" s="1" customFormat="1" ht="26" customHeight="1" x14ac:dyDescent="0.3">
      <c r="A4115" s="24" t="s">
        <v>23</v>
      </c>
      <c r="B4115" s="24" t="s">
        <v>3732</v>
      </c>
      <c r="C4115" s="12" t="s">
        <v>3771</v>
      </c>
      <c r="D4115" s="61"/>
      <c r="E4115" s="41" t="str">
        <f>HYPERLINK("https://www.google.ru/search?q=1363374-600&amp;newwindow=1&amp;tbm=isch","Еще фото")</f>
        <v>Еще фото</v>
      </c>
      <c r="F4115" s="13"/>
      <c r="G4115" s="24" t="s">
        <v>3598</v>
      </c>
      <c r="H4115" s="24" t="s">
        <v>27</v>
      </c>
      <c r="I4115" s="24" t="s">
        <v>3599</v>
      </c>
      <c r="J4115" s="14" t="s">
        <v>29</v>
      </c>
      <c r="K4115" s="15" t="s">
        <v>50</v>
      </c>
      <c r="L4115" s="58"/>
      <c r="M4115" s="14"/>
      <c r="N4115" s="14" t="s">
        <v>69</v>
      </c>
      <c r="O4115" s="14"/>
      <c r="P4115" s="15" t="s">
        <v>3773</v>
      </c>
      <c r="Q4115" s="16">
        <v>2699</v>
      </c>
      <c r="R4115" s="17">
        <v>46</v>
      </c>
      <c r="S4115" s="18">
        <v>1676.079</v>
      </c>
      <c r="T4115" s="19" t="s">
        <v>36</v>
      </c>
      <c r="U4115" s="20" t="s">
        <v>71</v>
      </c>
      <c r="V4115" s="21" t="s">
        <v>72</v>
      </c>
      <c r="W4115" s="22">
        <v>7</v>
      </c>
      <c r="X4115" s="23"/>
    </row>
    <row r="4116" spans="1:24" s="1" customFormat="1" ht="21" customHeight="1" x14ac:dyDescent="0.3">
      <c r="A4116" s="11" t="s">
        <v>23</v>
      </c>
      <c r="B4116" s="11" t="s">
        <v>3774</v>
      </c>
      <c r="C4116" s="26" t="s">
        <v>3775</v>
      </c>
      <c r="D4116" s="59"/>
      <c r="E4116" s="41" t="str">
        <f>HYPERLINK("https://www.google.ru/search?q=1388672-338&amp;newwindow=1&amp;tbm=isch","Еще фото")</f>
        <v>Еще фото</v>
      </c>
      <c r="F4116" s="13"/>
      <c r="G4116" s="11" t="s">
        <v>3604</v>
      </c>
      <c r="H4116" s="11" t="s">
        <v>27</v>
      </c>
      <c r="I4116" s="14" t="s">
        <v>3599</v>
      </c>
      <c r="J4116" s="14" t="s">
        <v>43</v>
      </c>
      <c r="K4116" s="15" t="s">
        <v>50</v>
      </c>
      <c r="L4116" s="57" t="s">
        <v>3776</v>
      </c>
      <c r="M4116" s="14"/>
      <c r="N4116" s="14" t="s">
        <v>127</v>
      </c>
      <c r="O4116" s="14"/>
      <c r="P4116" s="15" t="s">
        <v>2951</v>
      </c>
      <c r="Q4116" s="16">
        <v>1999</v>
      </c>
      <c r="R4116" s="17">
        <v>46</v>
      </c>
      <c r="S4116" s="18">
        <v>1241.3789999999999</v>
      </c>
      <c r="T4116" s="19" t="s">
        <v>36</v>
      </c>
      <c r="U4116" s="20" t="s">
        <v>99</v>
      </c>
      <c r="V4116" s="21" t="s">
        <v>100</v>
      </c>
      <c r="W4116" s="22">
        <v>4</v>
      </c>
      <c r="X4116" s="23"/>
    </row>
    <row r="4117" spans="1:24" s="1" customFormat="1" ht="21" customHeight="1" x14ac:dyDescent="0.3">
      <c r="A4117" s="24" t="s">
        <v>23</v>
      </c>
      <c r="B4117" s="24" t="s">
        <v>3774</v>
      </c>
      <c r="C4117" s="27" t="s">
        <v>3775</v>
      </c>
      <c r="D4117" s="60"/>
      <c r="E4117" s="41" t="str">
        <f>HYPERLINK("https://www.google.ru/search?q=1388672-338&amp;newwindow=1&amp;tbm=isch","Еще фото")</f>
        <v>Еще фото</v>
      </c>
      <c r="F4117" s="13"/>
      <c r="G4117" s="24" t="s">
        <v>3604</v>
      </c>
      <c r="H4117" s="24" t="s">
        <v>27</v>
      </c>
      <c r="I4117" s="24" t="s">
        <v>3599</v>
      </c>
      <c r="J4117" s="14" t="s">
        <v>43</v>
      </c>
      <c r="K4117" s="15" t="s">
        <v>50</v>
      </c>
      <c r="L4117" s="62"/>
      <c r="M4117" s="14"/>
      <c r="N4117" s="14" t="s">
        <v>127</v>
      </c>
      <c r="O4117" s="14"/>
      <c r="P4117" s="15" t="s">
        <v>2951</v>
      </c>
      <c r="Q4117" s="16">
        <v>1999</v>
      </c>
      <c r="R4117" s="17">
        <v>46</v>
      </c>
      <c r="S4117" s="18">
        <v>1241.3789999999999</v>
      </c>
      <c r="T4117" s="19" t="s">
        <v>36</v>
      </c>
      <c r="U4117" s="20" t="s">
        <v>54</v>
      </c>
      <c r="V4117" s="21" t="s">
        <v>55</v>
      </c>
      <c r="W4117" s="22">
        <v>9</v>
      </c>
      <c r="X4117" s="23"/>
    </row>
    <row r="4118" spans="1:24" s="1" customFormat="1" ht="21" customHeight="1" x14ac:dyDescent="0.3">
      <c r="A4118" s="24" t="s">
        <v>23</v>
      </c>
      <c r="B4118" s="24" t="s">
        <v>3774</v>
      </c>
      <c r="C4118" s="27" t="s">
        <v>3775</v>
      </c>
      <c r="D4118" s="60"/>
      <c r="E4118" s="41" t="str">
        <f>HYPERLINK("https://www.google.ru/search?q=1388672-338&amp;newwindow=1&amp;tbm=isch","Еще фото")</f>
        <v>Еще фото</v>
      </c>
      <c r="F4118" s="13"/>
      <c r="G4118" s="24" t="s">
        <v>3604</v>
      </c>
      <c r="H4118" s="24" t="s">
        <v>27</v>
      </c>
      <c r="I4118" s="24" t="s">
        <v>3599</v>
      </c>
      <c r="J4118" s="14" t="s">
        <v>43</v>
      </c>
      <c r="K4118" s="15" t="s">
        <v>50</v>
      </c>
      <c r="L4118" s="62"/>
      <c r="M4118" s="14"/>
      <c r="N4118" s="14" t="s">
        <v>127</v>
      </c>
      <c r="O4118" s="14"/>
      <c r="P4118" s="15" t="s">
        <v>2951</v>
      </c>
      <c r="Q4118" s="16">
        <v>1999</v>
      </c>
      <c r="R4118" s="17">
        <v>46</v>
      </c>
      <c r="S4118" s="18">
        <v>1241.3789999999999</v>
      </c>
      <c r="T4118" s="19" t="s">
        <v>36</v>
      </c>
      <c r="U4118" s="20" t="s">
        <v>234</v>
      </c>
      <c r="V4118" s="21" t="s">
        <v>235</v>
      </c>
      <c r="W4118" s="22">
        <v>7</v>
      </c>
      <c r="X4118" s="23"/>
    </row>
    <row r="4119" spans="1:24" s="1" customFormat="1" ht="21" customHeight="1" x14ac:dyDescent="0.3">
      <c r="A4119" s="24" t="s">
        <v>23</v>
      </c>
      <c r="B4119" s="24" t="s">
        <v>3774</v>
      </c>
      <c r="C4119" s="27" t="s">
        <v>3775</v>
      </c>
      <c r="D4119" s="60"/>
      <c r="E4119" s="41" t="str">
        <f>HYPERLINK("https://www.google.ru/search?q=1388672-338&amp;newwindow=1&amp;tbm=isch","Еще фото")</f>
        <v>Еще фото</v>
      </c>
      <c r="F4119" s="13"/>
      <c r="G4119" s="24" t="s">
        <v>3604</v>
      </c>
      <c r="H4119" s="24" t="s">
        <v>27</v>
      </c>
      <c r="I4119" s="24" t="s">
        <v>3599</v>
      </c>
      <c r="J4119" s="14" t="s">
        <v>43</v>
      </c>
      <c r="K4119" s="15" t="s">
        <v>50</v>
      </c>
      <c r="L4119" s="62"/>
      <c r="M4119" s="14"/>
      <c r="N4119" s="14" t="s">
        <v>127</v>
      </c>
      <c r="O4119" s="14"/>
      <c r="P4119" s="15" t="s">
        <v>2951</v>
      </c>
      <c r="Q4119" s="16">
        <v>1999</v>
      </c>
      <c r="R4119" s="17">
        <v>46</v>
      </c>
      <c r="S4119" s="18">
        <v>1241.3789999999999</v>
      </c>
      <c r="T4119" s="19" t="s">
        <v>36</v>
      </c>
      <c r="U4119" s="20" t="s">
        <v>71</v>
      </c>
      <c r="V4119" s="21" t="s">
        <v>72</v>
      </c>
      <c r="W4119" s="22">
        <v>9</v>
      </c>
      <c r="X4119" s="23"/>
    </row>
    <row r="4120" spans="1:24" s="1" customFormat="1" ht="32" customHeight="1" x14ac:dyDescent="0.3">
      <c r="A4120" s="24" t="s">
        <v>23</v>
      </c>
      <c r="B4120" s="24" t="s">
        <v>3774</v>
      </c>
      <c r="C4120" s="27" t="s">
        <v>3775</v>
      </c>
      <c r="D4120" s="61"/>
      <c r="E4120" s="41" t="str">
        <f>HYPERLINK("https://www.google.ru/search?q=1388672-338&amp;newwindow=1&amp;tbm=isch","Еще фото")</f>
        <v>Еще фото</v>
      </c>
      <c r="F4120" s="13"/>
      <c r="G4120" s="24" t="s">
        <v>3604</v>
      </c>
      <c r="H4120" s="24" t="s">
        <v>27</v>
      </c>
      <c r="I4120" s="24" t="s">
        <v>3599</v>
      </c>
      <c r="J4120" s="14" t="s">
        <v>43</v>
      </c>
      <c r="K4120" s="15" t="s">
        <v>50</v>
      </c>
      <c r="L4120" s="58"/>
      <c r="M4120" s="14"/>
      <c r="N4120" s="14" t="s">
        <v>127</v>
      </c>
      <c r="O4120" s="14"/>
      <c r="P4120" s="15" t="s">
        <v>2951</v>
      </c>
      <c r="Q4120" s="16">
        <v>1999</v>
      </c>
      <c r="R4120" s="17">
        <v>46</v>
      </c>
      <c r="S4120" s="18">
        <v>1241.3789999999999</v>
      </c>
      <c r="T4120" s="19" t="s">
        <v>36</v>
      </c>
      <c r="U4120" s="20" t="s">
        <v>73</v>
      </c>
      <c r="V4120" s="21" t="s">
        <v>74</v>
      </c>
      <c r="W4120" s="22">
        <v>6</v>
      </c>
      <c r="X4120" s="23"/>
    </row>
    <row r="4121" spans="1:24" s="1" customFormat="1" ht="26" customHeight="1" x14ac:dyDescent="0.3">
      <c r="A4121" s="11" t="s">
        <v>23</v>
      </c>
      <c r="B4121" s="11" t="s">
        <v>3777</v>
      </c>
      <c r="C4121" s="12" t="s">
        <v>3778</v>
      </c>
      <c r="D4121" s="59"/>
      <c r="E4121" s="41" t="str">
        <f>HYPERLINK("https://www.google.ru/search?q=1389802-100&amp;newwindow=1&amp;tbm=isch","Еще фото")</f>
        <v>Еще фото</v>
      </c>
      <c r="F4121" s="13"/>
      <c r="G4121" s="11" t="s">
        <v>3604</v>
      </c>
      <c r="H4121" s="11" t="s">
        <v>27</v>
      </c>
      <c r="I4121" s="14" t="s">
        <v>3599</v>
      </c>
      <c r="J4121" s="14" t="s">
        <v>29</v>
      </c>
      <c r="K4121" s="15" t="s">
        <v>30</v>
      </c>
      <c r="L4121" s="57" t="s">
        <v>3779</v>
      </c>
      <c r="M4121" s="14"/>
      <c r="N4121" s="14" t="s">
        <v>84</v>
      </c>
      <c r="O4121" s="14"/>
      <c r="P4121" s="15" t="s">
        <v>3606</v>
      </c>
      <c r="Q4121" s="16">
        <v>5899</v>
      </c>
      <c r="R4121" s="17">
        <v>46</v>
      </c>
      <c r="S4121" s="18">
        <v>3663.2789999999995</v>
      </c>
      <c r="T4121" s="19" t="s">
        <v>36</v>
      </c>
      <c r="U4121" s="20" t="s">
        <v>37</v>
      </c>
      <c r="V4121" s="21" t="s">
        <v>38</v>
      </c>
      <c r="W4121" s="22">
        <v>9</v>
      </c>
      <c r="X4121" s="23"/>
    </row>
    <row r="4122" spans="1:24" s="1" customFormat="1" ht="26" customHeight="1" x14ac:dyDescent="0.3">
      <c r="A4122" s="24" t="s">
        <v>23</v>
      </c>
      <c r="B4122" s="24" t="s">
        <v>3777</v>
      </c>
      <c r="C4122" s="12" t="s">
        <v>3778</v>
      </c>
      <c r="D4122" s="60"/>
      <c r="E4122" s="41" t="str">
        <f>HYPERLINK("https://www.google.ru/search?q=1389802-100&amp;newwindow=1&amp;tbm=isch","Еще фото")</f>
        <v>Еще фото</v>
      </c>
      <c r="F4122" s="13"/>
      <c r="G4122" s="24" t="s">
        <v>3604</v>
      </c>
      <c r="H4122" s="24" t="s">
        <v>27</v>
      </c>
      <c r="I4122" s="24" t="s">
        <v>3599</v>
      </c>
      <c r="J4122" s="14" t="s">
        <v>29</v>
      </c>
      <c r="K4122" s="15" t="s">
        <v>30</v>
      </c>
      <c r="L4122" s="62"/>
      <c r="M4122" s="14"/>
      <c r="N4122" s="14" t="s">
        <v>84</v>
      </c>
      <c r="O4122" s="14"/>
      <c r="P4122" s="15" t="s">
        <v>3606</v>
      </c>
      <c r="Q4122" s="16">
        <v>5899</v>
      </c>
      <c r="R4122" s="17">
        <v>46</v>
      </c>
      <c r="S4122" s="18">
        <v>3663.2789999999995</v>
      </c>
      <c r="T4122" s="19" t="s">
        <v>36</v>
      </c>
      <c r="U4122" s="20" t="s">
        <v>39</v>
      </c>
      <c r="V4122" s="21" t="s">
        <v>40</v>
      </c>
      <c r="W4122" s="22">
        <v>14</v>
      </c>
      <c r="X4122" s="23"/>
    </row>
    <row r="4123" spans="1:24" s="1" customFormat="1" ht="26" customHeight="1" x14ac:dyDescent="0.3">
      <c r="A4123" s="24" t="s">
        <v>23</v>
      </c>
      <c r="B4123" s="24" t="s">
        <v>3777</v>
      </c>
      <c r="C4123" s="12" t="s">
        <v>3778</v>
      </c>
      <c r="D4123" s="60"/>
      <c r="E4123" s="41" t="str">
        <f>HYPERLINK("https://www.google.ru/search?q=1389802-100&amp;newwindow=1&amp;tbm=isch","Еще фото")</f>
        <v>Еще фото</v>
      </c>
      <c r="F4123" s="13"/>
      <c r="G4123" s="24" t="s">
        <v>3604</v>
      </c>
      <c r="H4123" s="24" t="s">
        <v>27</v>
      </c>
      <c r="I4123" s="24" t="s">
        <v>3599</v>
      </c>
      <c r="J4123" s="14" t="s">
        <v>29</v>
      </c>
      <c r="K4123" s="15" t="s">
        <v>30</v>
      </c>
      <c r="L4123" s="62"/>
      <c r="M4123" s="14"/>
      <c r="N4123" s="14" t="s">
        <v>84</v>
      </c>
      <c r="O4123" s="14"/>
      <c r="P4123" s="15" t="s">
        <v>3606</v>
      </c>
      <c r="Q4123" s="16">
        <v>5899</v>
      </c>
      <c r="R4123" s="17">
        <v>46</v>
      </c>
      <c r="S4123" s="18">
        <v>3663.2789999999995</v>
      </c>
      <c r="T4123" s="19" t="s">
        <v>36</v>
      </c>
      <c r="U4123" s="20" t="s">
        <v>86</v>
      </c>
      <c r="V4123" s="21" t="s">
        <v>87</v>
      </c>
      <c r="W4123" s="22">
        <v>16</v>
      </c>
      <c r="X4123" s="23"/>
    </row>
    <row r="4124" spans="1:24" s="1" customFormat="1" ht="26" customHeight="1" x14ac:dyDescent="0.3">
      <c r="A4124" s="24" t="s">
        <v>23</v>
      </c>
      <c r="B4124" s="24" t="s">
        <v>3777</v>
      </c>
      <c r="C4124" s="12" t="s">
        <v>3778</v>
      </c>
      <c r="D4124" s="61"/>
      <c r="E4124" s="41" t="str">
        <f>HYPERLINK("https://www.google.ru/search?q=1389802-100&amp;newwindow=1&amp;tbm=isch","Еще фото")</f>
        <v>Еще фото</v>
      </c>
      <c r="F4124" s="13"/>
      <c r="G4124" s="24" t="s">
        <v>3604</v>
      </c>
      <c r="H4124" s="24" t="s">
        <v>27</v>
      </c>
      <c r="I4124" s="24" t="s">
        <v>3599</v>
      </c>
      <c r="J4124" s="14" t="s">
        <v>29</v>
      </c>
      <c r="K4124" s="15" t="s">
        <v>30</v>
      </c>
      <c r="L4124" s="58"/>
      <c r="M4124" s="14"/>
      <c r="N4124" s="14" t="s">
        <v>84</v>
      </c>
      <c r="O4124" s="14"/>
      <c r="P4124" s="15" t="s">
        <v>3606</v>
      </c>
      <c r="Q4124" s="16">
        <v>5899</v>
      </c>
      <c r="R4124" s="17">
        <v>46</v>
      </c>
      <c r="S4124" s="18">
        <v>3663.2789999999995</v>
      </c>
      <c r="T4124" s="19" t="s">
        <v>36</v>
      </c>
      <c r="U4124" s="20" t="s">
        <v>88</v>
      </c>
      <c r="V4124" s="21" t="s">
        <v>89</v>
      </c>
      <c r="W4124" s="22">
        <v>7</v>
      </c>
      <c r="X4124" s="23"/>
    </row>
    <row r="4125" spans="1:24" s="1" customFormat="1" ht="21" customHeight="1" x14ac:dyDescent="0.3">
      <c r="A4125" s="11" t="s">
        <v>23</v>
      </c>
      <c r="B4125" s="11" t="s">
        <v>3780</v>
      </c>
      <c r="C4125" s="26" t="s">
        <v>3781</v>
      </c>
      <c r="D4125" s="59"/>
      <c r="E4125" s="41" t="str">
        <f>HYPERLINK("https://www.google.ru/search?q=1390066-600&amp;newwindow=1&amp;tbm=isch","Еще фото")</f>
        <v>Еще фото</v>
      </c>
      <c r="F4125" s="13"/>
      <c r="G4125" s="11" t="s">
        <v>3609</v>
      </c>
      <c r="H4125" s="11" t="s">
        <v>27</v>
      </c>
      <c r="I4125" s="14" t="s">
        <v>3599</v>
      </c>
      <c r="J4125" s="14" t="s">
        <v>29</v>
      </c>
      <c r="K4125" s="15" t="s">
        <v>50</v>
      </c>
      <c r="L4125" s="57" t="s">
        <v>3782</v>
      </c>
      <c r="M4125" s="14"/>
      <c r="N4125" s="14" t="s">
        <v>69</v>
      </c>
      <c r="O4125" s="14"/>
      <c r="P4125" s="15" t="s">
        <v>252</v>
      </c>
      <c r="Q4125" s="16">
        <v>2599</v>
      </c>
      <c r="R4125" s="17">
        <v>46</v>
      </c>
      <c r="S4125" s="18">
        <v>1613.9789999999998</v>
      </c>
      <c r="T4125" s="19" t="s">
        <v>36</v>
      </c>
      <c r="U4125" s="20" t="s">
        <v>99</v>
      </c>
      <c r="V4125" s="21" t="s">
        <v>100</v>
      </c>
      <c r="W4125" s="22">
        <v>5</v>
      </c>
      <c r="X4125" s="23"/>
    </row>
    <row r="4126" spans="1:24" s="1" customFormat="1" ht="21" customHeight="1" x14ac:dyDescent="0.3">
      <c r="A4126" s="24" t="s">
        <v>23</v>
      </c>
      <c r="B4126" s="24" t="s">
        <v>3780</v>
      </c>
      <c r="C4126" s="27" t="s">
        <v>3781</v>
      </c>
      <c r="D4126" s="60"/>
      <c r="E4126" s="41" t="str">
        <f>HYPERLINK("https://www.google.ru/search?q=1390066-600&amp;newwindow=1&amp;tbm=isch","Еще фото")</f>
        <v>Еще фото</v>
      </c>
      <c r="F4126" s="13"/>
      <c r="G4126" s="24" t="s">
        <v>3609</v>
      </c>
      <c r="H4126" s="24" t="s">
        <v>27</v>
      </c>
      <c r="I4126" s="24" t="s">
        <v>3599</v>
      </c>
      <c r="J4126" s="14" t="s">
        <v>29</v>
      </c>
      <c r="K4126" s="15" t="s">
        <v>50</v>
      </c>
      <c r="L4126" s="62"/>
      <c r="M4126" s="14"/>
      <c r="N4126" s="14" t="s">
        <v>69</v>
      </c>
      <c r="O4126" s="14"/>
      <c r="P4126" s="15" t="s">
        <v>252</v>
      </c>
      <c r="Q4126" s="16">
        <v>2599</v>
      </c>
      <c r="R4126" s="17">
        <v>46</v>
      </c>
      <c r="S4126" s="18">
        <v>1613.9789999999998</v>
      </c>
      <c r="T4126" s="19" t="s">
        <v>36</v>
      </c>
      <c r="U4126" s="20" t="s">
        <v>54</v>
      </c>
      <c r="V4126" s="21" t="s">
        <v>55</v>
      </c>
      <c r="W4126" s="22">
        <v>6</v>
      </c>
      <c r="X4126" s="23"/>
    </row>
    <row r="4127" spans="1:24" s="1" customFormat="1" ht="21" customHeight="1" x14ac:dyDescent="0.3">
      <c r="A4127" s="24" t="s">
        <v>23</v>
      </c>
      <c r="B4127" s="24" t="s">
        <v>3780</v>
      </c>
      <c r="C4127" s="27" t="s">
        <v>3781</v>
      </c>
      <c r="D4127" s="60"/>
      <c r="E4127" s="41" t="str">
        <f>HYPERLINK("https://www.google.ru/search?q=1390066-600&amp;newwindow=1&amp;tbm=isch","Еще фото")</f>
        <v>Еще фото</v>
      </c>
      <c r="F4127" s="13"/>
      <c r="G4127" s="24" t="s">
        <v>3609</v>
      </c>
      <c r="H4127" s="24" t="s">
        <v>27</v>
      </c>
      <c r="I4127" s="24" t="s">
        <v>3599</v>
      </c>
      <c r="J4127" s="14" t="s">
        <v>29</v>
      </c>
      <c r="K4127" s="15" t="s">
        <v>50</v>
      </c>
      <c r="L4127" s="62"/>
      <c r="M4127" s="14"/>
      <c r="N4127" s="14" t="s">
        <v>69</v>
      </c>
      <c r="O4127" s="14"/>
      <c r="P4127" s="15" t="s">
        <v>252</v>
      </c>
      <c r="Q4127" s="16">
        <v>2599</v>
      </c>
      <c r="R4127" s="17">
        <v>46</v>
      </c>
      <c r="S4127" s="18">
        <v>1613.9789999999998</v>
      </c>
      <c r="T4127" s="19" t="s">
        <v>36</v>
      </c>
      <c r="U4127" s="20" t="s">
        <v>234</v>
      </c>
      <c r="V4127" s="21" t="s">
        <v>235</v>
      </c>
      <c r="W4127" s="22">
        <v>1</v>
      </c>
      <c r="X4127" s="23"/>
    </row>
    <row r="4128" spans="1:24" s="1" customFormat="1" ht="21" customHeight="1" x14ac:dyDescent="0.3">
      <c r="A4128" s="24" t="s">
        <v>23</v>
      </c>
      <c r="B4128" s="24" t="s">
        <v>3780</v>
      </c>
      <c r="C4128" s="27" t="s">
        <v>3781</v>
      </c>
      <c r="D4128" s="60"/>
      <c r="E4128" s="41" t="str">
        <f>HYPERLINK("https://www.google.ru/search?q=1390066-600&amp;newwindow=1&amp;tbm=isch","Еще фото")</f>
        <v>Еще фото</v>
      </c>
      <c r="F4128" s="13"/>
      <c r="G4128" s="24" t="s">
        <v>3609</v>
      </c>
      <c r="H4128" s="24" t="s">
        <v>27</v>
      </c>
      <c r="I4128" s="24" t="s">
        <v>3599</v>
      </c>
      <c r="J4128" s="14" t="s">
        <v>29</v>
      </c>
      <c r="K4128" s="15" t="s">
        <v>50</v>
      </c>
      <c r="L4128" s="62"/>
      <c r="M4128" s="14"/>
      <c r="N4128" s="14" t="s">
        <v>69</v>
      </c>
      <c r="O4128" s="14"/>
      <c r="P4128" s="15" t="s">
        <v>252</v>
      </c>
      <c r="Q4128" s="16">
        <v>2599</v>
      </c>
      <c r="R4128" s="17">
        <v>46</v>
      </c>
      <c r="S4128" s="18">
        <v>1613.9789999999998</v>
      </c>
      <c r="T4128" s="19" t="s">
        <v>36</v>
      </c>
      <c r="U4128" s="20" t="s">
        <v>71</v>
      </c>
      <c r="V4128" s="21" t="s">
        <v>72</v>
      </c>
      <c r="W4128" s="22">
        <v>13</v>
      </c>
      <c r="X4128" s="23"/>
    </row>
    <row r="4129" spans="1:24" s="1" customFormat="1" ht="32" customHeight="1" x14ac:dyDescent="0.3">
      <c r="A4129" s="24" t="s">
        <v>23</v>
      </c>
      <c r="B4129" s="24" t="s">
        <v>3780</v>
      </c>
      <c r="C4129" s="27" t="s">
        <v>3781</v>
      </c>
      <c r="D4129" s="61"/>
      <c r="E4129" s="41" t="str">
        <f>HYPERLINK("https://www.google.ru/search?q=1390066-600&amp;newwindow=1&amp;tbm=isch","Еще фото")</f>
        <v>Еще фото</v>
      </c>
      <c r="F4129" s="13"/>
      <c r="G4129" s="24" t="s">
        <v>3609</v>
      </c>
      <c r="H4129" s="24" t="s">
        <v>27</v>
      </c>
      <c r="I4129" s="24" t="s">
        <v>3599</v>
      </c>
      <c r="J4129" s="14" t="s">
        <v>29</v>
      </c>
      <c r="K4129" s="15" t="s">
        <v>50</v>
      </c>
      <c r="L4129" s="58"/>
      <c r="M4129" s="14"/>
      <c r="N4129" s="14" t="s">
        <v>69</v>
      </c>
      <c r="O4129" s="14"/>
      <c r="P4129" s="15" t="s">
        <v>252</v>
      </c>
      <c r="Q4129" s="16">
        <v>2599</v>
      </c>
      <c r="R4129" s="17">
        <v>46</v>
      </c>
      <c r="S4129" s="18">
        <v>1613.9789999999998</v>
      </c>
      <c r="T4129" s="19" t="s">
        <v>36</v>
      </c>
      <c r="U4129" s="20" t="s">
        <v>73</v>
      </c>
      <c r="V4129" s="21" t="s">
        <v>74</v>
      </c>
      <c r="W4129" s="22">
        <v>8</v>
      </c>
      <c r="X4129" s="23"/>
    </row>
    <row r="4130" spans="1:24" s="1" customFormat="1" ht="21" customHeight="1" x14ac:dyDescent="0.3">
      <c r="A4130" s="11" t="s">
        <v>23</v>
      </c>
      <c r="B4130" s="11" t="s">
        <v>3783</v>
      </c>
      <c r="C4130" s="26" t="s">
        <v>3784</v>
      </c>
      <c r="D4130" s="59"/>
      <c r="E4130" s="41" t="str">
        <f>HYPERLINK("https://www.google.ru/search?q=6009319-001&amp;newwindow=1&amp;tbm=isch","Еще фото")</f>
        <v>Еще фото</v>
      </c>
      <c r="F4130" s="13"/>
      <c r="G4130" s="11" t="s">
        <v>3604</v>
      </c>
      <c r="H4130" s="11" t="s">
        <v>27</v>
      </c>
      <c r="I4130" s="14" t="s">
        <v>3599</v>
      </c>
      <c r="J4130" s="14" t="s">
        <v>260</v>
      </c>
      <c r="K4130" s="15" t="s">
        <v>50</v>
      </c>
      <c r="L4130" s="57" t="s">
        <v>3785</v>
      </c>
      <c r="M4130" s="14"/>
      <c r="N4130" s="14" t="s">
        <v>33</v>
      </c>
      <c r="O4130" s="14"/>
      <c r="P4130" s="15" t="s">
        <v>2951</v>
      </c>
      <c r="Q4130" s="16">
        <v>2199</v>
      </c>
      <c r="R4130" s="17">
        <v>46</v>
      </c>
      <c r="S4130" s="18">
        <v>1365.579</v>
      </c>
      <c r="T4130" s="19" t="s">
        <v>36</v>
      </c>
      <c r="U4130" s="20" t="s">
        <v>99</v>
      </c>
      <c r="V4130" s="21" t="s">
        <v>100</v>
      </c>
      <c r="W4130" s="22">
        <v>5</v>
      </c>
      <c r="X4130" s="23"/>
    </row>
    <row r="4131" spans="1:24" s="1" customFormat="1" ht="21" customHeight="1" x14ac:dyDescent="0.3">
      <c r="A4131" s="24" t="s">
        <v>23</v>
      </c>
      <c r="B4131" s="24" t="s">
        <v>3783</v>
      </c>
      <c r="C4131" s="27" t="s">
        <v>3784</v>
      </c>
      <c r="D4131" s="60"/>
      <c r="E4131" s="41" t="str">
        <f>HYPERLINK("https://www.google.ru/search?q=6009319-001&amp;newwindow=1&amp;tbm=isch","Еще фото")</f>
        <v>Еще фото</v>
      </c>
      <c r="F4131" s="13"/>
      <c r="G4131" s="24" t="s">
        <v>3604</v>
      </c>
      <c r="H4131" s="24" t="s">
        <v>27</v>
      </c>
      <c r="I4131" s="24" t="s">
        <v>3599</v>
      </c>
      <c r="J4131" s="14" t="s">
        <v>260</v>
      </c>
      <c r="K4131" s="15" t="s">
        <v>50</v>
      </c>
      <c r="L4131" s="62"/>
      <c r="M4131" s="14"/>
      <c r="N4131" s="14" t="s">
        <v>33</v>
      </c>
      <c r="O4131" s="14"/>
      <c r="P4131" s="15" t="s">
        <v>2951</v>
      </c>
      <c r="Q4131" s="16">
        <v>2199</v>
      </c>
      <c r="R4131" s="17">
        <v>46</v>
      </c>
      <c r="S4131" s="18">
        <v>1365.579</v>
      </c>
      <c r="T4131" s="19" t="s">
        <v>36</v>
      </c>
      <c r="U4131" s="20" t="s">
        <v>54</v>
      </c>
      <c r="V4131" s="21" t="s">
        <v>55</v>
      </c>
      <c r="W4131" s="22">
        <v>10</v>
      </c>
      <c r="X4131" s="23"/>
    </row>
    <row r="4132" spans="1:24" s="1" customFormat="1" ht="21" customHeight="1" x14ac:dyDescent="0.3">
      <c r="A4132" s="24" t="s">
        <v>23</v>
      </c>
      <c r="B4132" s="24" t="s">
        <v>3783</v>
      </c>
      <c r="C4132" s="27" t="s">
        <v>3784</v>
      </c>
      <c r="D4132" s="60"/>
      <c r="E4132" s="41" t="str">
        <f>HYPERLINK("https://www.google.ru/search?q=6009319-001&amp;newwindow=1&amp;tbm=isch","Еще фото")</f>
        <v>Еще фото</v>
      </c>
      <c r="F4132" s="13"/>
      <c r="G4132" s="24" t="s">
        <v>3604</v>
      </c>
      <c r="H4132" s="24" t="s">
        <v>27</v>
      </c>
      <c r="I4132" s="24" t="s">
        <v>3599</v>
      </c>
      <c r="J4132" s="14" t="s">
        <v>260</v>
      </c>
      <c r="K4132" s="15" t="s">
        <v>50</v>
      </c>
      <c r="L4132" s="62"/>
      <c r="M4132" s="14"/>
      <c r="N4132" s="14" t="s">
        <v>33</v>
      </c>
      <c r="O4132" s="14"/>
      <c r="P4132" s="15" t="s">
        <v>2951</v>
      </c>
      <c r="Q4132" s="16">
        <v>2199</v>
      </c>
      <c r="R4132" s="17">
        <v>46</v>
      </c>
      <c r="S4132" s="18">
        <v>1365.579</v>
      </c>
      <c r="T4132" s="19" t="s">
        <v>36</v>
      </c>
      <c r="U4132" s="20" t="s">
        <v>234</v>
      </c>
      <c r="V4132" s="21" t="s">
        <v>235</v>
      </c>
      <c r="W4132" s="22">
        <v>9</v>
      </c>
      <c r="X4132" s="23"/>
    </row>
    <row r="4133" spans="1:24" s="1" customFormat="1" ht="21" customHeight="1" x14ac:dyDescent="0.3">
      <c r="A4133" s="24" t="s">
        <v>23</v>
      </c>
      <c r="B4133" s="24" t="s">
        <v>3783</v>
      </c>
      <c r="C4133" s="27" t="s">
        <v>3784</v>
      </c>
      <c r="D4133" s="60"/>
      <c r="E4133" s="41" t="str">
        <f>HYPERLINK("https://www.google.ru/search?q=6009319-001&amp;newwindow=1&amp;tbm=isch","Еще фото")</f>
        <v>Еще фото</v>
      </c>
      <c r="F4133" s="13"/>
      <c r="G4133" s="24" t="s">
        <v>3604</v>
      </c>
      <c r="H4133" s="24" t="s">
        <v>27</v>
      </c>
      <c r="I4133" s="24" t="s">
        <v>3599</v>
      </c>
      <c r="J4133" s="14" t="s">
        <v>260</v>
      </c>
      <c r="K4133" s="15" t="s">
        <v>50</v>
      </c>
      <c r="L4133" s="62"/>
      <c r="M4133" s="14"/>
      <c r="N4133" s="14" t="s">
        <v>33</v>
      </c>
      <c r="O4133" s="14"/>
      <c r="P4133" s="15" t="s">
        <v>2951</v>
      </c>
      <c r="Q4133" s="16">
        <v>2199</v>
      </c>
      <c r="R4133" s="17">
        <v>46</v>
      </c>
      <c r="S4133" s="18">
        <v>1365.579</v>
      </c>
      <c r="T4133" s="19" t="s">
        <v>36</v>
      </c>
      <c r="U4133" s="20" t="s">
        <v>71</v>
      </c>
      <c r="V4133" s="21" t="s">
        <v>72</v>
      </c>
      <c r="W4133" s="22">
        <v>14</v>
      </c>
      <c r="X4133" s="23"/>
    </row>
    <row r="4134" spans="1:24" s="1" customFormat="1" ht="32" customHeight="1" x14ac:dyDescent="0.3">
      <c r="A4134" s="24" t="s">
        <v>23</v>
      </c>
      <c r="B4134" s="24" t="s">
        <v>3783</v>
      </c>
      <c r="C4134" s="27" t="s">
        <v>3784</v>
      </c>
      <c r="D4134" s="61"/>
      <c r="E4134" s="41" t="str">
        <f>HYPERLINK("https://www.google.ru/search?q=6009319-001&amp;newwindow=1&amp;tbm=isch","Еще фото")</f>
        <v>Еще фото</v>
      </c>
      <c r="F4134" s="13"/>
      <c r="G4134" s="24" t="s">
        <v>3604</v>
      </c>
      <c r="H4134" s="24" t="s">
        <v>27</v>
      </c>
      <c r="I4134" s="24" t="s">
        <v>3599</v>
      </c>
      <c r="J4134" s="14" t="s">
        <v>260</v>
      </c>
      <c r="K4134" s="15" t="s">
        <v>50</v>
      </c>
      <c r="L4134" s="58"/>
      <c r="M4134" s="14"/>
      <c r="N4134" s="14" t="s">
        <v>33</v>
      </c>
      <c r="O4134" s="14"/>
      <c r="P4134" s="15" t="s">
        <v>2951</v>
      </c>
      <c r="Q4134" s="16">
        <v>2199</v>
      </c>
      <c r="R4134" s="17">
        <v>46</v>
      </c>
      <c r="S4134" s="18">
        <v>1365.579</v>
      </c>
      <c r="T4134" s="19" t="s">
        <v>36</v>
      </c>
      <c r="U4134" s="20" t="s">
        <v>73</v>
      </c>
      <c r="V4134" s="21" t="s">
        <v>74</v>
      </c>
      <c r="W4134" s="22">
        <v>7</v>
      </c>
      <c r="X4134" s="23"/>
    </row>
    <row r="4135" spans="1:24" s="1" customFormat="1" ht="21" customHeight="1" x14ac:dyDescent="0.3">
      <c r="A4135" s="11" t="s">
        <v>23</v>
      </c>
      <c r="B4135" s="11" t="s">
        <v>3786</v>
      </c>
      <c r="C4135" s="26" t="s">
        <v>3787</v>
      </c>
      <c r="D4135" s="59"/>
      <c r="E4135" s="41" t="str">
        <f>HYPERLINK("https://www.google.ru/search?q=6009720-100&amp;newwindow=1&amp;tbm=isch","Еще фото")</f>
        <v>Еще фото</v>
      </c>
      <c r="F4135" s="13"/>
      <c r="G4135" s="11" t="s">
        <v>3604</v>
      </c>
      <c r="H4135" s="11" t="s">
        <v>27</v>
      </c>
      <c r="I4135" s="14" t="s">
        <v>3599</v>
      </c>
      <c r="J4135" s="14" t="s">
        <v>43</v>
      </c>
      <c r="K4135" s="15" t="s">
        <v>50</v>
      </c>
      <c r="L4135" s="57" t="s">
        <v>3788</v>
      </c>
      <c r="M4135" s="14"/>
      <c r="N4135" s="14" t="s">
        <v>84</v>
      </c>
      <c r="O4135" s="14"/>
      <c r="P4135" s="15" t="s">
        <v>2951</v>
      </c>
      <c r="Q4135" s="16">
        <v>2399</v>
      </c>
      <c r="R4135" s="17">
        <v>46</v>
      </c>
      <c r="S4135" s="18">
        <v>1489.779</v>
      </c>
      <c r="T4135" s="19" t="s">
        <v>36</v>
      </c>
      <c r="U4135" s="20" t="s">
        <v>99</v>
      </c>
      <c r="V4135" s="21" t="s">
        <v>100</v>
      </c>
      <c r="W4135" s="22">
        <v>5</v>
      </c>
      <c r="X4135" s="23"/>
    </row>
    <row r="4136" spans="1:24" s="1" customFormat="1" ht="21" customHeight="1" x14ac:dyDescent="0.3">
      <c r="A4136" s="24" t="s">
        <v>23</v>
      </c>
      <c r="B4136" s="24" t="s">
        <v>3786</v>
      </c>
      <c r="C4136" s="27" t="s">
        <v>3787</v>
      </c>
      <c r="D4136" s="60"/>
      <c r="E4136" s="41" t="str">
        <f>HYPERLINK("https://www.google.ru/search?q=6009720-100&amp;newwindow=1&amp;tbm=isch","Еще фото")</f>
        <v>Еще фото</v>
      </c>
      <c r="F4136" s="13"/>
      <c r="G4136" s="24" t="s">
        <v>3604</v>
      </c>
      <c r="H4136" s="24" t="s">
        <v>27</v>
      </c>
      <c r="I4136" s="24" t="s">
        <v>3599</v>
      </c>
      <c r="J4136" s="14" t="s">
        <v>43</v>
      </c>
      <c r="K4136" s="15" t="s">
        <v>50</v>
      </c>
      <c r="L4136" s="62"/>
      <c r="M4136" s="14"/>
      <c r="N4136" s="14" t="s">
        <v>84</v>
      </c>
      <c r="O4136" s="14"/>
      <c r="P4136" s="15" t="s">
        <v>2951</v>
      </c>
      <c r="Q4136" s="16">
        <v>2399</v>
      </c>
      <c r="R4136" s="17">
        <v>46</v>
      </c>
      <c r="S4136" s="18">
        <v>1489.779</v>
      </c>
      <c r="T4136" s="19" t="s">
        <v>36</v>
      </c>
      <c r="U4136" s="20" t="s">
        <v>54</v>
      </c>
      <c r="V4136" s="21" t="s">
        <v>55</v>
      </c>
      <c r="W4136" s="22">
        <v>11</v>
      </c>
      <c r="X4136" s="23"/>
    </row>
    <row r="4137" spans="1:24" s="1" customFormat="1" ht="21" customHeight="1" x14ac:dyDescent="0.3">
      <c r="A4137" s="24" t="s">
        <v>23</v>
      </c>
      <c r="B4137" s="24" t="s">
        <v>3786</v>
      </c>
      <c r="C4137" s="27" t="s">
        <v>3787</v>
      </c>
      <c r="D4137" s="60"/>
      <c r="E4137" s="41" t="str">
        <f>HYPERLINK("https://www.google.ru/search?q=6009720-100&amp;newwindow=1&amp;tbm=isch","Еще фото")</f>
        <v>Еще фото</v>
      </c>
      <c r="F4137" s="13"/>
      <c r="G4137" s="24" t="s">
        <v>3604</v>
      </c>
      <c r="H4137" s="24" t="s">
        <v>27</v>
      </c>
      <c r="I4137" s="24" t="s">
        <v>3599</v>
      </c>
      <c r="J4137" s="14" t="s">
        <v>43</v>
      </c>
      <c r="K4137" s="15" t="s">
        <v>50</v>
      </c>
      <c r="L4137" s="62"/>
      <c r="M4137" s="14"/>
      <c r="N4137" s="14" t="s">
        <v>84</v>
      </c>
      <c r="O4137" s="14"/>
      <c r="P4137" s="15" t="s">
        <v>2951</v>
      </c>
      <c r="Q4137" s="16">
        <v>2399</v>
      </c>
      <c r="R4137" s="17">
        <v>46</v>
      </c>
      <c r="S4137" s="18">
        <v>1489.779</v>
      </c>
      <c r="T4137" s="19" t="s">
        <v>36</v>
      </c>
      <c r="U4137" s="20" t="s">
        <v>234</v>
      </c>
      <c r="V4137" s="21" t="s">
        <v>235</v>
      </c>
      <c r="W4137" s="22">
        <v>11</v>
      </c>
      <c r="X4137" s="23"/>
    </row>
    <row r="4138" spans="1:24" s="1" customFormat="1" ht="21" customHeight="1" x14ac:dyDescent="0.3">
      <c r="A4138" s="24" t="s">
        <v>23</v>
      </c>
      <c r="B4138" s="24" t="s">
        <v>3786</v>
      </c>
      <c r="C4138" s="27" t="s">
        <v>3787</v>
      </c>
      <c r="D4138" s="60"/>
      <c r="E4138" s="41" t="str">
        <f>HYPERLINK("https://www.google.ru/search?q=6009720-100&amp;newwindow=1&amp;tbm=isch","Еще фото")</f>
        <v>Еще фото</v>
      </c>
      <c r="F4138" s="13"/>
      <c r="G4138" s="24" t="s">
        <v>3604</v>
      </c>
      <c r="H4138" s="24" t="s">
        <v>27</v>
      </c>
      <c r="I4138" s="24" t="s">
        <v>3599</v>
      </c>
      <c r="J4138" s="14" t="s">
        <v>43</v>
      </c>
      <c r="K4138" s="15" t="s">
        <v>50</v>
      </c>
      <c r="L4138" s="62"/>
      <c r="M4138" s="14"/>
      <c r="N4138" s="14" t="s">
        <v>84</v>
      </c>
      <c r="O4138" s="14"/>
      <c r="P4138" s="15" t="s">
        <v>2951</v>
      </c>
      <c r="Q4138" s="16">
        <v>2399</v>
      </c>
      <c r="R4138" s="17">
        <v>46</v>
      </c>
      <c r="S4138" s="18">
        <v>1489.779</v>
      </c>
      <c r="T4138" s="19" t="s">
        <v>36</v>
      </c>
      <c r="U4138" s="20" t="s">
        <v>71</v>
      </c>
      <c r="V4138" s="21" t="s">
        <v>72</v>
      </c>
      <c r="W4138" s="22">
        <v>17</v>
      </c>
      <c r="X4138" s="23"/>
    </row>
    <row r="4139" spans="1:24" s="1" customFormat="1" ht="32" customHeight="1" x14ac:dyDescent="0.3">
      <c r="A4139" s="24" t="s">
        <v>23</v>
      </c>
      <c r="B4139" s="24" t="s">
        <v>3786</v>
      </c>
      <c r="C4139" s="27" t="s">
        <v>3787</v>
      </c>
      <c r="D4139" s="61"/>
      <c r="E4139" s="41" t="str">
        <f>HYPERLINK("https://www.google.ru/search?q=6009720-100&amp;newwindow=1&amp;tbm=isch","Еще фото")</f>
        <v>Еще фото</v>
      </c>
      <c r="F4139" s="13"/>
      <c r="G4139" s="24" t="s">
        <v>3604</v>
      </c>
      <c r="H4139" s="24" t="s">
        <v>27</v>
      </c>
      <c r="I4139" s="24" t="s">
        <v>3599</v>
      </c>
      <c r="J4139" s="14" t="s">
        <v>43</v>
      </c>
      <c r="K4139" s="15" t="s">
        <v>50</v>
      </c>
      <c r="L4139" s="58"/>
      <c r="M4139" s="14"/>
      <c r="N4139" s="14" t="s">
        <v>84</v>
      </c>
      <c r="O4139" s="14"/>
      <c r="P4139" s="15" t="s">
        <v>2951</v>
      </c>
      <c r="Q4139" s="16">
        <v>2399</v>
      </c>
      <c r="R4139" s="17">
        <v>46</v>
      </c>
      <c r="S4139" s="18">
        <v>1489.779</v>
      </c>
      <c r="T4139" s="19" t="s">
        <v>36</v>
      </c>
      <c r="U4139" s="20" t="s">
        <v>73</v>
      </c>
      <c r="V4139" s="21" t="s">
        <v>74</v>
      </c>
      <c r="W4139" s="22">
        <v>10</v>
      </c>
      <c r="X4139" s="23"/>
    </row>
    <row r="4140" spans="1:24" s="1" customFormat="1" ht="21" customHeight="1" x14ac:dyDescent="0.3">
      <c r="A4140" s="11" t="s">
        <v>23</v>
      </c>
      <c r="B4140" s="11" t="s">
        <v>3786</v>
      </c>
      <c r="C4140" s="26" t="s">
        <v>3789</v>
      </c>
      <c r="D4140" s="59"/>
      <c r="E4140" s="41" t="str">
        <f>HYPERLINK("https://www.google.ru/search?q=6009720-520&amp;newwindow=1&amp;tbm=isch","Еще фото")</f>
        <v>Еще фото</v>
      </c>
      <c r="F4140" s="13"/>
      <c r="G4140" s="11" t="s">
        <v>3604</v>
      </c>
      <c r="H4140" s="11" t="s">
        <v>27</v>
      </c>
      <c r="I4140" s="14" t="s">
        <v>3599</v>
      </c>
      <c r="J4140" s="14" t="s">
        <v>43</v>
      </c>
      <c r="K4140" s="15" t="s">
        <v>50</v>
      </c>
      <c r="L4140" s="57" t="s">
        <v>3788</v>
      </c>
      <c r="M4140" s="14"/>
      <c r="N4140" s="14" t="s">
        <v>79</v>
      </c>
      <c r="O4140" s="14"/>
      <c r="P4140" s="15" t="s">
        <v>2951</v>
      </c>
      <c r="Q4140" s="16">
        <v>2399</v>
      </c>
      <c r="R4140" s="17">
        <v>46</v>
      </c>
      <c r="S4140" s="18">
        <v>1489.779</v>
      </c>
      <c r="T4140" s="19" t="s">
        <v>36</v>
      </c>
      <c r="U4140" s="20" t="s">
        <v>99</v>
      </c>
      <c r="V4140" s="21" t="s">
        <v>100</v>
      </c>
      <c r="W4140" s="22">
        <v>5</v>
      </c>
      <c r="X4140" s="23"/>
    </row>
    <row r="4141" spans="1:24" s="1" customFormat="1" ht="21" customHeight="1" x14ac:dyDescent="0.3">
      <c r="A4141" s="24" t="s">
        <v>23</v>
      </c>
      <c r="B4141" s="24" t="s">
        <v>3786</v>
      </c>
      <c r="C4141" s="27" t="s">
        <v>3789</v>
      </c>
      <c r="D4141" s="60"/>
      <c r="E4141" s="41" t="str">
        <f>HYPERLINK("https://www.google.ru/search?q=6009720-520&amp;newwindow=1&amp;tbm=isch","Еще фото")</f>
        <v>Еще фото</v>
      </c>
      <c r="F4141" s="13"/>
      <c r="G4141" s="24" t="s">
        <v>3604</v>
      </c>
      <c r="H4141" s="24" t="s">
        <v>27</v>
      </c>
      <c r="I4141" s="24" t="s">
        <v>3599</v>
      </c>
      <c r="J4141" s="14" t="s">
        <v>43</v>
      </c>
      <c r="K4141" s="15" t="s">
        <v>50</v>
      </c>
      <c r="L4141" s="62"/>
      <c r="M4141" s="14"/>
      <c r="N4141" s="14" t="s">
        <v>79</v>
      </c>
      <c r="O4141" s="14"/>
      <c r="P4141" s="15" t="s">
        <v>2951</v>
      </c>
      <c r="Q4141" s="16">
        <v>2399</v>
      </c>
      <c r="R4141" s="17">
        <v>46</v>
      </c>
      <c r="S4141" s="18">
        <v>1489.779</v>
      </c>
      <c r="T4141" s="19" t="s">
        <v>36</v>
      </c>
      <c r="U4141" s="20" t="s">
        <v>54</v>
      </c>
      <c r="V4141" s="21" t="s">
        <v>55</v>
      </c>
      <c r="W4141" s="22">
        <v>11</v>
      </c>
      <c r="X4141" s="23"/>
    </row>
    <row r="4142" spans="1:24" s="1" customFormat="1" ht="21" customHeight="1" x14ac:dyDescent="0.3">
      <c r="A4142" s="24" t="s">
        <v>23</v>
      </c>
      <c r="B4142" s="24" t="s">
        <v>3786</v>
      </c>
      <c r="C4142" s="27" t="s">
        <v>3789</v>
      </c>
      <c r="D4142" s="60"/>
      <c r="E4142" s="41" t="str">
        <f>HYPERLINK("https://www.google.ru/search?q=6009720-520&amp;newwindow=1&amp;tbm=isch","Еще фото")</f>
        <v>Еще фото</v>
      </c>
      <c r="F4142" s="13"/>
      <c r="G4142" s="24" t="s">
        <v>3604</v>
      </c>
      <c r="H4142" s="24" t="s">
        <v>27</v>
      </c>
      <c r="I4142" s="24" t="s">
        <v>3599</v>
      </c>
      <c r="J4142" s="14" t="s">
        <v>43</v>
      </c>
      <c r="K4142" s="15" t="s">
        <v>50</v>
      </c>
      <c r="L4142" s="62"/>
      <c r="M4142" s="14"/>
      <c r="N4142" s="14" t="s">
        <v>79</v>
      </c>
      <c r="O4142" s="14"/>
      <c r="P4142" s="15" t="s">
        <v>2951</v>
      </c>
      <c r="Q4142" s="16">
        <v>2399</v>
      </c>
      <c r="R4142" s="17">
        <v>46</v>
      </c>
      <c r="S4142" s="18">
        <v>1489.779</v>
      </c>
      <c r="T4142" s="19" t="s">
        <v>36</v>
      </c>
      <c r="U4142" s="20" t="s">
        <v>234</v>
      </c>
      <c r="V4142" s="21" t="s">
        <v>235</v>
      </c>
      <c r="W4142" s="22">
        <v>11</v>
      </c>
      <c r="X4142" s="23"/>
    </row>
    <row r="4143" spans="1:24" s="1" customFormat="1" ht="21" customHeight="1" x14ac:dyDescent="0.3">
      <c r="A4143" s="24" t="s">
        <v>23</v>
      </c>
      <c r="B4143" s="24" t="s">
        <v>3786</v>
      </c>
      <c r="C4143" s="27" t="s">
        <v>3789</v>
      </c>
      <c r="D4143" s="60"/>
      <c r="E4143" s="41" t="str">
        <f>HYPERLINK("https://www.google.ru/search?q=6009720-520&amp;newwindow=1&amp;tbm=isch","Еще фото")</f>
        <v>Еще фото</v>
      </c>
      <c r="F4143" s="13"/>
      <c r="G4143" s="24" t="s">
        <v>3604</v>
      </c>
      <c r="H4143" s="24" t="s">
        <v>27</v>
      </c>
      <c r="I4143" s="24" t="s">
        <v>3599</v>
      </c>
      <c r="J4143" s="14" t="s">
        <v>43</v>
      </c>
      <c r="K4143" s="15" t="s">
        <v>50</v>
      </c>
      <c r="L4143" s="62"/>
      <c r="M4143" s="14"/>
      <c r="N4143" s="14" t="s">
        <v>79</v>
      </c>
      <c r="O4143" s="14"/>
      <c r="P4143" s="15" t="s">
        <v>2951</v>
      </c>
      <c r="Q4143" s="16">
        <v>2399</v>
      </c>
      <c r="R4143" s="17">
        <v>46</v>
      </c>
      <c r="S4143" s="18">
        <v>1489.779</v>
      </c>
      <c r="T4143" s="19" t="s">
        <v>36</v>
      </c>
      <c r="U4143" s="20" t="s">
        <v>71</v>
      </c>
      <c r="V4143" s="21" t="s">
        <v>72</v>
      </c>
      <c r="W4143" s="22">
        <v>17</v>
      </c>
      <c r="X4143" s="23"/>
    </row>
    <row r="4144" spans="1:24" s="1" customFormat="1" ht="32" customHeight="1" x14ac:dyDescent="0.3">
      <c r="A4144" s="24" t="s">
        <v>23</v>
      </c>
      <c r="B4144" s="24" t="s">
        <v>3786</v>
      </c>
      <c r="C4144" s="27" t="s">
        <v>3789</v>
      </c>
      <c r="D4144" s="61"/>
      <c r="E4144" s="41" t="str">
        <f>HYPERLINK("https://www.google.ru/search?q=6009720-520&amp;newwindow=1&amp;tbm=isch","Еще фото")</f>
        <v>Еще фото</v>
      </c>
      <c r="F4144" s="13"/>
      <c r="G4144" s="24" t="s">
        <v>3604</v>
      </c>
      <c r="H4144" s="24" t="s">
        <v>27</v>
      </c>
      <c r="I4144" s="24" t="s">
        <v>3599</v>
      </c>
      <c r="J4144" s="14" t="s">
        <v>43</v>
      </c>
      <c r="K4144" s="15" t="s">
        <v>50</v>
      </c>
      <c r="L4144" s="58"/>
      <c r="M4144" s="14"/>
      <c r="N4144" s="14" t="s">
        <v>79</v>
      </c>
      <c r="O4144" s="14"/>
      <c r="P4144" s="15" t="s">
        <v>2951</v>
      </c>
      <c r="Q4144" s="16">
        <v>2399</v>
      </c>
      <c r="R4144" s="17">
        <v>46</v>
      </c>
      <c r="S4144" s="18">
        <v>1489.779</v>
      </c>
      <c r="T4144" s="19" t="s">
        <v>36</v>
      </c>
      <c r="U4144" s="20" t="s">
        <v>73</v>
      </c>
      <c r="V4144" s="21" t="s">
        <v>74</v>
      </c>
      <c r="W4144" s="22">
        <v>9</v>
      </c>
      <c r="X4144" s="23"/>
    </row>
    <row r="4145" spans="1:24" s="1" customFormat="1" ht="21" customHeight="1" x14ac:dyDescent="0.3">
      <c r="A4145" s="11" t="s">
        <v>23</v>
      </c>
      <c r="B4145" s="11" t="s">
        <v>3790</v>
      </c>
      <c r="C4145" s="26" t="s">
        <v>3791</v>
      </c>
      <c r="D4145" s="59"/>
      <c r="E4145" s="41" t="str">
        <f>HYPERLINK("https://www.google.ru/search?q=6012660-100&amp;newwindow=1&amp;tbm=isch","Еще фото")</f>
        <v>Еще фото</v>
      </c>
      <c r="F4145" s="13"/>
      <c r="G4145" s="11" t="s">
        <v>3604</v>
      </c>
      <c r="H4145" s="11" t="s">
        <v>27</v>
      </c>
      <c r="I4145" s="14" t="s">
        <v>3599</v>
      </c>
      <c r="J4145" s="14" t="s">
        <v>260</v>
      </c>
      <c r="K4145" s="15" t="s">
        <v>50</v>
      </c>
      <c r="L4145" s="57" t="s">
        <v>3792</v>
      </c>
      <c r="M4145" s="14"/>
      <c r="N4145" s="14" t="s">
        <v>84</v>
      </c>
      <c r="O4145" s="14"/>
      <c r="P4145" s="15" t="s">
        <v>2951</v>
      </c>
      <c r="Q4145" s="16">
        <v>3599</v>
      </c>
      <c r="R4145" s="17">
        <v>46</v>
      </c>
      <c r="S4145" s="18">
        <v>2234.9789999999998</v>
      </c>
      <c r="T4145" s="19" t="s">
        <v>36</v>
      </c>
      <c r="U4145" s="20" t="s">
        <v>99</v>
      </c>
      <c r="V4145" s="21" t="s">
        <v>100</v>
      </c>
      <c r="W4145" s="22">
        <v>6</v>
      </c>
      <c r="X4145" s="23"/>
    </row>
    <row r="4146" spans="1:24" s="1" customFormat="1" ht="21" customHeight="1" x14ac:dyDescent="0.3">
      <c r="A4146" s="24" t="s">
        <v>23</v>
      </c>
      <c r="B4146" s="24" t="s">
        <v>3790</v>
      </c>
      <c r="C4146" s="27" t="s">
        <v>3791</v>
      </c>
      <c r="D4146" s="60"/>
      <c r="E4146" s="41" t="str">
        <f>HYPERLINK("https://www.google.ru/search?q=6012660-100&amp;newwindow=1&amp;tbm=isch","Еще фото")</f>
        <v>Еще фото</v>
      </c>
      <c r="F4146" s="13"/>
      <c r="G4146" s="24" t="s">
        <v>3604</v>
      </c>
      <c r="H4146" s="24" t="s">
        <v>27</v>
      </c>
      <c r="I4146" s="24" t="s">
        <v>3599</v>
      </c>
      <c r="J4146" s="14" t="s">
        <v>260</v>
      </c>
      <c r="K4146" s="15" t="s">
        <v>50</v>
      </c>
      <c r="L4146" s="62"/>
      <c r="M4146" s="14"/>
      <c r="N4146" s="14" t="s">
        <v>84</v>
      </c>
      <c r="O4146" s="14"/>
      <c r="P4146" s="15" t="s">
        <v>2951</v>
      </c>
      <c r="Q4146" s="16">
        <v>3599</v>
      </c>
      <c r="R4146" s="17">
        <v>46</v>
      </c>
      <c r="S4146" s="18">
        <v>2234.9789999999998</v>
      </c>
      <c r="T4146" s="19" t="s">
        <v>36</v>
      </c>
      <c r="U4146" s="20" t="s">
        <v>54</v>
      </c>
      <c r="V4146" s="21" t="s">
        <v>55</v>
      </c>
      <c r="W4146" s="22">
        <v>12</v>
      </c>
      <c r="X4146" s="23"/>
    </row>
    <row r="4147" spans="1:24" s="1" customFormat="1" ht="21" customHeight="1" x14ac:dyDescent="0.3">
      <c r="A4147" s="24" t="s">
        <v>23</v>
      </c>
      <c r="B4147" s="24" t="s">
        <v>3790</v>
      </c>
      <c r="C4147" s="27" t="s">
        <v>3791</v>
      </c>
      <c r="D4147" s="60"/>
      <c r="E4147" s="41" t="str">
        <f>HYPERLINK("https://www.google.ru/search?q=6012660-100&amp;newwindow=1&amp;tbm=isch","Еще фото")</f>
        <v>Еще фото</v>
      </c>
      <c r="F4147" s="13"/>
      <c r="G4147" s="24" t="s">
        <v>3604</v>
      </c>
      <c r="H4147" s="24" t="s">
        <v>27</v>
      </c>
      <c r="I4147" s="24" t="s">
        <v>3599</v>
      </c>
      <c r="J4147" s="14" t="s">
        <v>260</v>
      </c>
      <c r="K4147" s="15" t="s">
        <v>50</v>
      </c>
      <c r="L4147" s="62"/>
      <c r="M4147" s="14"/>
      <c r="N4147" s="14" t="s">
        <v>84</v>
      </c>
      <c r="O4147" s="14"/>
      <c r="P4147" s="15" t="s">
        <v>2951</v>
      </c>
      <c r="Q4147" s="16">
        <v>3599</v>
      </c>
      <c r="R4147" s="17">
        <v>46</v>
      </c>
      <c r="S4147" s="18">
        <v>2234.9789999999998</v>
      </c>
      <c r="T4147" s="19" t="s">
        <v>36</v>
      </c>
      <c r="U4147" s="20" t="s">
        <v>234</v>
      </c>
      <c r="V4147" s="21" t="s">
        <v>235</v>
      </c>
      <c r="W4147" s="22">
        <v>10</v>
      </c>
      <c r="X4147" s="23"/>
    </row>
    <row r="4148" spans="1:24" s="1" customFormat="1" ht="21" customHeight="1" x14ac:dyDescent="0.3">
      <c r="A4148" s="24" t="s">
        <v>23</v>
      </c>
      <c r="B4148" s="24" t="s">
        <v>3790</v>
      </c>
      <c r="C4148" s="27" t="s">
        <v>3791</v>
      </c>
      <c r="D4148" s="60"/>
      <c r="E4148" s="41" t="str">
        <f>HYPERLINK("https://www.google.ru/search?q=6012660-100&amp;newwindow=1&amp;tbm=isch","Еще фото")</f>
        <v>Еще фото</v>
      </c>
      <c r="F4148" s="13"/>
      <c r="G4148" s="24" t="s">
        <v>3604</v>
      </c>
      <c r="H4148" s="24" t="s">
        <v>27</v>
      </c>
      <c r="I4148" s="24" t="s">
        <v>3599</v>
      </c>
      <c r="J4148" s="14" t="s">
        <v>260</v>
      </c>
      <c r="K4148" s="15" t="s">
        <v>50</v>
      </c>
      <c r="L4148" s="62"/>
      <c r="M4148" s="14"/>
      <c r="N4148" s="14" t="s">
        <v>84</v>
      </c>
      <c r="O4148" s="14"/>
      <c r="P4148" s="15" t="s">
        <v>2951</v>
      </c>
      <c r="Q4148" s="16">
        <v>3599</v>
      </c>
      <c r="R4148" s="17">
        <v>46</v>
      </c>
      <c r="S4148" s="18">
        <v>2234.9789999999998</v>
      </c>
      <c r="T4148" s="19" t="s">
        <v>36</v>
      </c>
      <c r="U4148" s="20" t="s">
        <v>71</v>
      </c>
      <c r="V4148" s="21" t="s">
        <v>72</v>
      </c>
      <c r="W4148" s="22">
        <v>15</v>
      </c>
      <c r="X4148" s="23"/>
    </row>
    <row r="4149" spans="1:24" s="1" customFormat="1" ht="32" customHeight="1" x14ac:dyDescent="0.3">
      <c r="A4149" s="24" t="s">
        <v>23</v>
      </c>
      <c r="B4149" s="24" t="s">
        <v>3790</v>
      </c>
      <c r="C4149" s="27" t="s">
        <v>3791</v>
      </c>
      <c r="D4149" s="61"/>
      <c r="E4149" s="41" t="str">
        <f>HYPERLINK("https://www.google.ru/search?q=6012660-100&amp;newwindow=1&amp;tbm=isch","Еще фото")</f>
        <v>Еще фото</v>
      </c>
      <c r="F4149" s="13"/>
      <c r="G4149" s="24" t="s">
        <v>3604</v>
      </c>
      <c r="H4149" s="24" t="s">
        <v>27</v>
      </c>
      <c r="I4149" s="24" t="s">
        <v>3599</v>
      </c>
      <c r="J4149" s="14" t="s">
        <v>260</v>
      </c>
      <c r="K4149" s="15" t="s">
        <v>50</v>
      </c>
      <c r="L4149" s="58"/>
      <c r="M4149" s="14"/>
      <c r="N4149" s="14" t="s">
        <v>84</v>
      </c>
      <c r="O4149" s="14"/>
      <c r="P4149" s="15" t="s">
        <v>2951</v>
      </c>
      <c r="Q4149" s="16">
        <v>3599</v>
      </c>
      <c r="R4149" s="17">
        <v>46</v>
      </c>
      <c r="S4149" s="18">
        <v>2234.9789999999998</v>
      </c>
      <c r="T4149" s="19" t="s">
        <v>36</v>
      </c>
      <c r="U4149" s="20" t="s">
        <v>73</v>
      </c>
      <c r="V4149" s="21" t="s">
        <v>74</v>
      </c>
      <c r="W4149" s="22">
        <v>10</v>
      </c>
      <c r="X4149" s="23"/>
    </row>
    <row r="4150" spans="1:24" s="1" customFormat="1" ht="21" customHeight="1" x14ac:dyDescent="0.3">
      <c r="A4150" s="11" t="s">
        <v>23</v>
      </c>
      <c r="B4150" s="11" t="s">
        <v>3793</v>
      </c>
      <c r="C4150" s="26" t="s">
        <v>3794</v>
      </c>
      <c r="D4150" s="59"/>
      <c r="E4150" s="41" t="str">
        <f>HYPERLINK("https://www.google.ru/search?q=6012766-100&amp;newwindow=1&amp;tbm=isch","Еще фото")</f>
        <v>Еще фото</v>
      </c>
      <c r="F4150" s="13"/>
      <c r="G4150" s="11" t="s">
        <v>3604</v>
      </c>
      <c r="H4150" s="11" t="s">
        <v>27</v>
      </c>
      <c r="I4150" s="14" t="s">
        <v>3599</v>
      </c>
      <c r="J4150" s="14" t="s">
        <v>211</v>
      </c>
      <c r="K4150" s="15" t="s">
        <v>30</v>
      </c>
      <c r="L4150" s="57"/>
      <c r="M4150" s="14"/>
      <c r="N4150" s="14" t="s">
        <v>84</v>
      </c>
      <c r="O4150" s="14"/>
      <c r="P4150" s="15" t="s">
        <v>2951</v>
      </c>
      <c r="Q4150" s="16">
        <v>4999</v>
      </c>
      <c r="R4150" s="17">
        <v>46</v>
      </c>
      <c r="S4150" s="18">
        <v>3104.3789999999999</v>
      </c>
      <c r="T4150" s="19" t="s">
        <v>36</v>
      </c>
      <c r="U4150" s="20" t="s">
        <v>37</v>
      </c>
      <c r="V4150" s="21" t="s">
        <v>38</v>
      </c>
      <c r="W4150" s="22">
        <v>5</v>
      </c>
      <c r="X4150" s="23"/>
    </row>
    <row r="4151" spans="1:24" s="1" customFormat="1" ht="21" customHeight="1" x14ac:dyDescent="0.3">
      <c r="A4151" s="24" t="s">
        <v>23</v>
      </c>
      <c r="B4151" s="24" t="s">
        <v>3793</v>
      </c>
      <c r="C4151" s="27" t="s">
        <v>3794</v>
      </c>
      <c r="D4151" s="60"/>
      <c r="E4151" s="41" t="str">
        <f>HYPERLINK("https://www.google.ru/search?q=6012766-100&amp;newwindow=1&amp;tbm=isch","Еще фото")</f>
        <v>Еще фото</v>
      </c>
      <c r="F4151" s="13"/>
      <c r="G4151" s="24" t="s">
        <v>3604</v>
      </c>
      <c r="H4151" s="24" t="s">
        <v>27</v>
      </c>
      <c r="I4151" s="24" t="s">
        <v>3599</v>
      </c>
      <c r="J4151" s="14" t="s">
        <v>211</v>
      </c>
      <c r="K4151" s="15" t="s">
        <v>30</v>
      </c>
      <c r="L4151" s="62"/>
      <c r="M4151" s="14"/>
      <c r="N4151" s="14" t="s">
        <v>84</v>
      </c>
      <c r="O4151" s="14"/>
      <c r="P4151" s="15" t="s">
        <v>2951</v>
      </c>
      <c r="Q4151" s="16">
        <v>4999</v>
      </c>
      <c r="R4151" s="17">
        <v>46</v>
      </c>
      <c r="S4151" s="18">
        <v>3104.3789999999999</v>
      </c>
      <c r="T4151" s="19" t="s">
        <v>36</v>
      </c>
      <c r="U4151" s="20" t="s">
        <v>39</v>
      </c>
      <c r="V4151" s="21" t="s">
        <v>40</v>
      </c>
      <c r="W4151" s="22">
        <v>22</v>
      </c>
      <c r="X4151" s="23"/>
    </row>
    <row r="4152" spans="1:24" s="1" customFormat="1" ht="21" customHeight="1" x14ac:dyDescent="0.3">
      <c r="A4152" s="24" t="s">
        <v>23</v>
      </c>
      <c r="B4152" s="24" t="s">
        <v>3793</v>
      </c>
      <c r="C4152" s="27" t="s">
        <v>3794</v>
      </c>
      <c r="D4152" s="60"/>
      <c r="E4152" s="41" t="str">
        <f>HYPERLINK("https://www.google.ru/search?q=6012766-100&amp;newwindow=1&amp;tbm=isch","Еще фото")</f>
        <v>Еще фото</v>
      </c>
      <c r="F4152" s="13"/>
      <c r="G4152" s="24" t="s">
        <v>3604</v>
      </c>
      <c r="H4152" s="24" t="s">
        <v>27</v>
      </c>
      <c r="I4152" s="24" t="s">
        <v>3599</v>
      </c>
      <c r="J4152" s="14" t="s">
        <v>211</v>
      </c>
      <c r="K4152" s="15" t="s">
        <v>30</v>
      </c>
      <c r="L4152" s="62"/>
      <c r="M4152" s="14"/>
      <c r="N4152" s="14" t="s">
        <v>84</v>
      </c>
      <c r="O4152" s="14"/>
      <c r="P4152" s="15" t="s">
        <v>2951</v>
      </c>
      <c r="Q4152" s="16">
        <v>4999</v>
      </c>
      <c r="R4152" s="17">
        <v>46</v>
      </c>
      <c r="S4152" s="18">
        <v>3104.3789999999999</v>
      </c>
      <c r="T4152" s="19" t="s">
        <v>36</v>
      </c>
      <c r="U4152" s="20" t="s">
        <v>86</v>
      </c>
      <c r="V4152" s="21" t="s">
        <v>87</v>
      </c>
      <c r="W4152" s="22">
        <v>20</v>
      </c>
      <c r="X4152" s="23"/>
    </row>
    <row r="4153" spans="1:24" s="1" customFormat="1" ht="21" customHeight="1" x14ac:dyDescent="0.3">
      <c r="A4153" s="24" t="s">
        <v>23</v>
      </c>
      <c r="B4153" s="24" t="s">
        <v>3793</v>
      </c>
      <c r="C4153" s="27" t="s">
        <v>3794</v>
      </c>
      <c r="D4153" s="60"/>
      <c r="E4153" s="41" t="str">
        <f>HYPERLINK("https://www.google.ru/search?q=6012766-100&amp;newwindow=1&amp;tbm=isch","Еще фото")</f>
        <v>Еще фото</v>
      </c>
      <c r="F4153" s="13"/>
      <c r="G4153" s="24" t="s">
        <v>3604</v>
      </c>
      <c r="H4153" s="24" t="s">
        <v>27</v>
      </c>
      <c r="I4153" s="24" t="s">
        <v>3599</v>
      </c>
      <c r="J4153" s="14" t="s">
        <v>211</v>
      </c>
      <c r="K4153" s="15" t="s">
        <v>30</v>
      </c>
      <c r="L4153" s="62"/>
      <c r="M4153" s="14"/>
      <c r="N4153" s="14" t="s">
        <v>84</v>
      </c>
      <c r="O4153" s="14"/>
      <c r="P4153" s="15" t="s">
        <v>2951</v>
      </c>
      <c r="Q4153" s="16">
        <v>4999</v>
      </c>
      <c r="R4153" s="17">
        <v>46</v>
      </c>
      <c r="S4153" s="18">
        <v>3104.3789999999999</v>
      </c>
      <c r="T4153" s="19" t="s">
        <v>36</v>
      </c>
      <c r="U4153" s="20" t="s">
        <v>88</v>
      </c>
      <c r="V4153" s="21" t="s">
        <v>89</v>
      </c>
      <c r="W4153" s="22">
        <v>16</v>
      </c>
      <c r="X4153" s="23"/>
    </row>
    <row r="4154" spans="1:24" s="1" customFormat="1" ht="32" customHeight="1" x14ac:dyDescent="0.3">
      <c r="A4154" s="24" t="s">
        <v>23</v>
      </c>
      <c r="B4154" s="24" t="s">
        <v>3793</v>
      </c>
      <c r="C4154" s="27" t="s">
        <v>3794</v>
      </c>
      <c r="D4154" s="61"/>
      <c r="E4154" s="41" t="str">
        <f>HYPERLINK("https://www.google.ru/search?q=6012766-100&amp;newwindow=1&amp;tbm=isch","Еще фото")</f>
        <v>Еще фото</v>
      </c>
      <c r="F4154" s="13"/>
      <c r="G4154" s="24" t="s">
        <v>3604</v>
      </c>
      <c r="H4154" s="24" t="s">
        <v>27</v>
      </c>
      <c r="I4154" s="24" t="s">
        <v>3599</v>
      </c>
      <c r="J4154" s="14" t="s">
        <v>211</v>
      </c>
      <c r="K4154" s="15" t="s">
        <v>30</v>
      </c>
      <c r="L4154" s="58"/>
      <c r="M4154" s="14"/>
      <c r="N4154" s="14" t="s">
        <v>84</v>
      </c>
      <c r="O4154" s="14"/>
      <c r="P4154" s="15" t="s">
        <v>2951</v>
      </c>
      <c r="Q4154" s="16">
        <v>4999</v>
      </c>
      <c r="R4154" s="17">
        <v>46</v>
      </c>
      <c r="S4154" s="18">
        <v>3104.3789999999999</v>
      </c>
      <c r="T4154" s="19" t="s">
        <v>36</v>
      </c>
      <c r="U4154" s="20" t="s">
        <v>90</v>
      </c>
      <c r="V4154" s="21" t="s">
        <v>91</v>
      </c>
      <c r="W4154" s="22">
        <v>5</v>
      </c>
      <c r="X4154" s="23"/>
    </row>
    <row r="4155" spans="1:24" s="1" customFormat="1" ht="108" customHeight="1" x14ac:dyDescent="0.3">
      <c r="A4155" s="11" t="s">
        <v>23</v>
      </c>
      <c r="B4155" s="11" t="s">
        <v>3795</v>
      </c>
      <c r="C4155" s="12" t="s">
        <v>3796</v>
      </c>
      <c r="D4155" s="25"/>
      <c r="E4155" s="41" t="str">
        <f>HYPERLINK("https://www.google.ru/search?q=1366273-031&amp;newwindow=1&amp;tbm=isch","Еще фото")</f>
        <v>Еще фото</v>
      </c>
      <c r="F4155" s="13"/>
      <c r="G4155" s="11" t="s">
        <v>3615</v>
      </c>
      <c r="H4155" s="11" t="s">
        <v>27</v>
      </c>
      <c r="I4155" s="14" t="s">
        <v>3599</v>
      </c>
      <c r="J4155" s="14" t="s">
        <v>29</v>
      </c>
      <c r="K4155" s="15" t="s">
        <v>30</v>
      </c>
      <c r="L4155" s="14" t="s">
        <v>3797</v>
      </c>
      <c r="M4155" s="14" t="s">
        <v>3798</v>
      </c>
      <c r="N4155" s="14" t="s">
        <v>62</v>
      </c>
      <c r="O4155" s="14" t="s">
        <v>1801</v>
      </c>
      <c r="P4155" s="15" t="s">
        <v>53</v>
      </c>
      <c r="Q4155" s="16">
        <v>9999</v>
      </c>
      <c r="R4155" s="17">
        <v>45.99</v>
      </c>
      <c r="S4155" s="18">
        <v>6209.9884999999995</v>
      </c>
      <c r="T4155" s="19" t="s">
        <v>36</v>
      </c>
      <c r="U4155" s="20" t="s">
        <v>37</v>
      </c>
      <c r="V4155" s="21" t="s">
        <v>38</v>
      </c>
      <c r="W4155" s="22">
        <v>1</v>
      </c>
      <c r="X4155" s="23"/>
    </row>
    <row r="4156" spans="1:24" s="1" customFormat="1" ht="108" customHeight="1" x14ac:dyDescent="0.3">
      <c r="A4156" s="11" t="s">
        <v>23</v>
      </c>
      <c r="B4156" s="11" t="s">
        <v>3799</v>
      </c>
      <c r="C4156" s="12" t="s">
        <v>3800</v>
      </c>
      <c r="D4156" s="25"/>
      <c r="E4156" s="41" t="str">
        <f>HYPERLINK("https://www.google.ru/search?q=1370838-001&amp;newwindow=1&amp;tbm=isch","Еще фото")</f>
        <v>Еще фото</v>
      </c>
      <c r="F4156" s="13"/>
      <c r="G4156" s="11" t="s">
        <v>3609</v>
      </c>
      <c r="H4156" s="11" t="s">
        <v>27</v>
      </c>
      <c r="I4156" s="14" t="s">
        <v>3599</v>
      </c>
      <c r="J4156" s="14" t="s">
        <v>29</v>
      </c>
      <c r="K4156" s="15" t="s">
        <v>59</v>
      </c>
      <c r="L4156" s="14" t="s">
        <v>3801</v>
      </c>
      <c r="M4156" s="14" t="s">
        <v>3802</v>
      </c>
      <c r="N4156" s="14" t="s">
        <v>33</v>
      </c>
      <c r="O4156" s="14"/>
      <c r="P4156" s="15" t="s">
        <v>164</v>
      </c>
      <c r="Q4156" s="16">
        <v>9999</v>
      </c>
      <c r="R4156" s="17">
        <v>45.99</v>
      </c>
      <c r="S4156" s="18">
        <v>6209.9884999999995</v>
      </c>
      <c r="T4156" s="19" t="s">
        <v>36</v>
      </c>
      <c r="U4156" s="20" t="s">
        <v>63</v>
      </c>
      <c r="V4156" s="21" t="s">
        <v>64</v>
      </c>
      <c r="W4156" s="22">
        <v>1</v>
      </c>
      <c r="X4156" s="23"/>
    </row>
    <row r="4157" spans="1:24" s="1" customFormat="1" ht="108" customHeight="1" x14ac:dyDescent="0.3">
      <c r="A4157" s="11" t="s">
        <v>23</v>
      </c>
      <c r="B4157" s="11" t="s">
        <v>3698</v>
      </c>
      <c r="C4157" s="12" t="s">
        <v>3803</v>
      </c>
      <c r="D4157" s="25"/>
      <c r="E4157" s="41" t="str">
        <f>HYPERLINK("https://www.google.ru/search?q=1382801-001&amp;newwindow=1&amp;tbm=isch","Еще фото")</f>
        <v>Еще фото</v>
      </c>
      <c r="F4157" s="13" t="s">
        <v>103</v>
      </c>
      <c r="G4157" s="11" t="s">
        <v>3604</v>
      </c>
      <c r="H4157" s="11" t="s">
        <v>27</v>
      </c>
      <c r="I4157" s="14" t="s">
        <v>3599</v>
      </c>
      <c r="J4157" s="14" t="s">
        <v>29</v>
      </c>
      <c r="K4157" s="15" t="s">
        <v>30</v>
      </c>
      <c r="L4157" s="14" t="s">
        <v>3804</v>
      </c>
      <c r="M4157" s="14"/>
      <c r="N4157" s="14" t="s">
        <v>33</v>
      </c>
      <c r="O4157" s="14"/>
      <c r="P4157" s="15" t="s">
        <v>3805</v>
      </c>
      <c r="Q4157" s="16">
        <v>4999</v>
      </c>
      <c r="R4157" s="17">
        <v>45.99</v>
      </c>
      <c r="S4157" s="18">
        <v>3104.9884999999995</v>
      </c>
      <c r="T4157" s="19" t="s">
        <v>36</v>
      </c>
      <c r="U4157" s="20" t="s">
        <v>37</v>
      </c>
      <c r="V4157" s="21" t="s">
        <v>38</v>
      </c>
      <c r="W4157" s="22">
        <v>4</v>
      </c>
      <c r="X4157" s="23"/>
    </row>
    <row r="4158" spans="1:24" s="1" customFormat="1" ht="108" customHeight="1" x14ac:dyDescent="0.3">
      <c r="A4158" s="11" t="s">
        <v>23</v>
      </c>
      <c r="B4158" s="11" t="s">
        <v>3806</v>
      </c>
      <c r="C4158" s="12" t="s">
        <v>3807</v>
      </c>
      <c r="D4158" s="25"/>
      <c r="E4158" s="41" t="str">
        <f>HYPERLINK("https://www.google.ru/search?q=1386846-100&amp;newwindow=1&amp;tbm=isch","Еще фото")</f>
        <v>Еще фото</v>
      </c>
      <c r="F4158" s="13"/>
      <c r="G4158" s="11" t="s">
        <v>3604</v>
      </c>
      <c r="H4158" s="11" t="s">
        <v>27</v>
      </c>
      <c r="I4158" s="14" t="s">
        <v>3599</v>
      </c>
      <c r="J4158" s="14" t="s">
        <v>29</v>
      </c>
      <c r="K4158" s="15" t="s">
        <v>59</v>
      </c>
      <c r="L4158" s="14" t="s">
        <v>3808</v>
      </c>
      <c r="M4158" s="14"/>
      <c r="N4158" s="14" t="s">
        <v>84</v>
      </c>
      <c r="O4158" s="14"/>
      <c r="P4158" s="15" t="s">
        <v>2951</v>
      </c>
      <c r="Q4158" s="16">
        <v>3699</v>
      </c>
      <c r="R4158" s="17">
        <v>45.93</v>
      </c>
      <c r="S4158" s="18">
        <v>2299.9884999999999</v>
      </c>
      <c r="T4158" s="19" t="s">
        <v>36</v>
      </c>
      <c r="U4158" s="20" t="s">
        <v>86</v>
      </c>
      <c r="V4158" s="21" t="s">
        <v>38</v>
      </c>
      <c r="W4158" s="22">
        <v>1</v>
      </c>
      <c r="X4158" s="23"/>
    </row>
    <row r="4159" spans="1:24" s="1" customFormat="1" ht="108" customHeight="1" x14ac:dyDescent="0.3">
      <c r="A4159" s="11" t="s">
        <v>23</v>
      </c>
      <c r="B4159" s="11" t="s">
        <v>3809</v>
      </c>
      <c r="C4159" s="12" t="s">
        <v>3810</v>
      </c>
      <c r="D4159" s="25"/>
      <c r="E4159" s="41" t="str">
        <f>HYPERLINK("https://www.google.ru/search?q=1365229-025&amp;newwindow=1&amp;tbm=isch","Еще фото")</f>
        <v>Еще фото</v>
      </c>
      <c r="F4159" s="13"/>
      <c r="G4159" s="11" t="s">
        <v>3811</v>
      </c>
      <c r="H4159" s="11" t="s">
        <v>27</v>
      </c>
      <c r="I4159" s="14" t="s">
        <v>3599</v>
      </c>
      <c r="J4159" s="14" t="s">
        <v>29</v>
      </c>
      <c r="K4159" s="15" t="s">
        <v>30</v>
      </c>
      <c r="L4159" s="14" t="s">
        <v>3812</v>
      </c>
      <c r="M4159" s="14"/>
      <c r="N4159" s="14" t="s">
        <v>62</v>
      </c>
      <c r="O4159" s="14"/>
      <c r="P4159" s="15" t="s">
        <v>3813</v>
      </c>
      <c r="Q4159" s="16">
        <v>6099</v>
      </c>
      <c r="R4159" s="17">
        <v>45.89</v>
      </c>
      <c r="S4159" s="18">
        <v>3794.9884999999995</v>
      </c>
      <c r="T4159" s="19" t="s">
        <v>36</v>
      </c>
      <c r="U4159" s="20" t="s">
        <v>37</v>
      </c>
      <c r="V4159" s="21" t="s">
        <v>38</v>
      </c>
      <c r="W4159" s="22">
        <v>1</v>
      </c>
      <c r="X4159" s="23"/>
    </row>
    <row r="4160" spans="1:24" s="1" customFormat="1" ht="108" customHeight="1" x14ac:dyDescent="0.3">
      <c r="A4160" s="11" t="s">
        <v>23</v>
      </c>
      <c r="B4160" s="11" t="s">
        <v>3814</v>
      </c>
      <c r="C4160" s="12" t="s">
        <v>3815</v>
      </c>
      <c r="D4160" s="25"/>
      <c r="E4160" s="41" t="str">
        <f>HYPERLINK("https://www.google.ru/search?q=1366503-001&amp;newwindow=1&amp;tbm=isch","Еще фото")</f>
        <v>Еще фото</v>
      </c>
      <c r="F4160" s="13"/>
      <c r="G4160" s="11" t="s">
        <v>3604</v>
      </c>
      <c r="H4160" s="11" t="s">
        <v>27</v>
      </c>
      <c r="I4160" s="14" t="s">
        <v>3599</v>
      </c>
      <c r="J4160" s="14" t="s">
        <v>29</v>
      </c>
      <c r="K4160" s="15" t="s">
        <v>30</v>
      </c>
      <c r="L4160" s="14" t="s">
        <v>3816</v>
      </c>
      <c r="M4160" s="14" t="s">
        <v>3817</v>
      </c>
      <c r="N4160" s="14" t="s">
        <v>33</v>
      </c>
      <c r="O4160" s="14" t="s">
        <v>34</v>
      </c>
      <c r="P4160" s="15" t="s">
        <v>3818</v>
      </c>
      <c r="Q4160" s="16">
        <v>11999</v>
      </c>
      <c r="R4160" s="17">
        <v>45.83</v>
      </c>
      <c r="S4160" s="18">
        <v>7474.9884999999995</v>
      </c>
      <c r="T4160" s="19" t="s">
        <v>36</v>
      </c>
      <c r="U4160" s="20" t="s">
        <v>37</v>
      </c>
      <c r="V4160" s="21" t="s">
        <v>38</v>
      </c>
      <c r="W4160" s="22">
        <v>1</v>
      </c>
      <c r="X4160" s="23"/>
    </row>
    <row r="4161" spans="1:24" s="1" customFormat="1" ht="108" customHeight="1" x14ac:dyDescent="0.3">
      <c r="A4161" s="11" t="s">
        <v>23</v>
      </c>
      <c r="B4161" s="11" t="s">
        <v>3777</v>
      </c>
      <c r="C4161" s="12" t="s">
        <v>3819</v>
      </c>
      <c r="D4161" s="25"/>
      <c r="E4161" s="41" t="str">
        <f>HYPERLINK("https://www.google.ru/search?q=1389802-001&amp;newwindow=1&amp;tbm=isch","Еще фото")</f>
        <v>Еще фото</v>
      </c>
      <c r="F4161" s="13"/>
      <c r="G4161" s="11" t="s">
        <v>3604</v>
      </c>
      <c r="H4161" s="11" t="s">
        <v>27</v>
      </c>
      <c r="I4161" s="14" t="s">
        <v>3599</v>
      </c>
      <c r="J4161" s="14" t="s">
        <v>29</v>
      </c>
      <c r="K4161" s="15" t="s">
        <v>30</v>
      </c>
      <c r="L4161" s="14" t="s">
        <v>3779</v>
      </c>
      <c r="M4161" s="14"/>
      <c r="N4161" s="14" t="s">
        <v>33</v>
      </c>
      <c r="O4161" s="14"/>
      <c r="P4161" s="15" t="s">
        <v>3606</v>
      </c>
      <c r="Q4161" s="16">
        <v>5899</v>
      </c>
      <c r="R4161" s="17">
        <v>45.75</v>
      </c>
      <c r="S4161" s="18">
        <v>3679.9884999999995</v>
      </c>
      <c r="T4161" s="19" t="s">
        <v>36</v>
      </c>
      <c r="U4161" s="20" t="s">
        <v>37</v>
      </c>
      <c r="V4161" s="21" t="s">
        <v>38</v>
      </c>
      <c r="W4161" s="22">
        <v>1</v>
      </c>
      <c r="X4161" s="23"/>
    </row>
    <row r="4162" spans="1:24" s="1" customFormat="1" ht="108" customHeight="1" x14ac:dyDescent="0.3">
      <c r="A4162" s="11" t="s">
        <v>23</v>
      </c>
      <c r="B4162" s="11" t="s">
        <v>3820</v>
      </c>
      <c r="C4162" s="12" t="s">
        <v>3821</v>
      </c>
      <c r="D4162" s="25"/>
      <c r="E4162" s="41" t="str">
        <f>HYPERLINK("https://www.google.ru/search?q=1328962-494&amp;newwindow=1&amp;tbm=isch","Еще фото")</f>
        <v>Еще фото</v>
      </c>
      <c r="F4162" s="13"/>
      <c r="G4162" s="11" t="s">
        <v>3598</v>
      </c>
      <c r="H4162" s="11" t="s">
        <v>27</v>
      </c>
      <c r="I4162" s="14" t="s">
        <v>3599</v>
      </c>
      <c r="J4162" s="14" t="s">
        <v>29</v>
      </c>
      <c r="K4162" s="15" t="s">
        <v>59</v>
      </c>
      <c r="L4162" s="14" t="s">
        <v>3822</v>
      </c>
      <c r="M4162" s="14"/>
      <c r="N4162" s="14" t="s">
        <v>46</v>
      </c>
      <c r="O4162" s="14"/>
      <c r="P4162" s="15" t="s">
        <v>2662</v>
      </c>
      <c r="Q4162" s="16">
        <v>3499</v>
      </c>
      <c r="R4162" s="17">
        <v>45.7</v>
      </c>
      <c r="S4162" s="18">
        <v>2184.9884999999999</v>
      </c>
      <c r="T4162" s="19" t="s">
        <v>36</v>
      </c>
      <c r="U4162" s="20" t="s">
        <v>88</v>
      </c>
      <c r="V4162" s="21" t="s">
        <v>40</v>
      </c>
      <c r="W4162" s="22">
        <v>1</v>
      </c>
      <c r="X4162" s="23"/>
    </row>
    <row r="4163" spans="1:24" s="1" customFormat="1" ht="108" customHeight="1" x14ac:dyDescent="0.3">
      <c r="A4163" s="11" t="s">
        <v>23</v>
      </c>
      <c r="B4163" s="11" t="s">
        <v>3823</v>
      </c>
      <c r="C4163" s="12" t="s">
        <v>3824</v>
      </c>
      <c r="D4163" s="25"/>
      <c r="E4163" s="41" t="str">
        <f>HYPERLINK("https://www.google.ru/search?q=1373854-781&amp;newwindow=1&amp;tbm=isch","Еще фото")</f>
        <v>Еще фото</v>
      </c>
      <c r="F4163" s="13"/>
      <c r="G4163" s="11" t="s">
        <v>3609</v>
      </c>
      <c r="H4163" s="11" t="s">
        <v>27</v>
      </c>
      <c r="I4163" s="14" t="s">
        <v>3599</v>
      </c>
      <c r="J4163" s="14" t="s">
        <v>29</v>
      </c>
      <c r="K4163" s="15" t="s">
        <v>59</v>
      </c>
      <c r="L4163" s="14" t="s">
        <v>3825</v>
      </c>
      <c r="M4163" s="14"/>
      <c r="N4163" s="14" t="s">
        <v>62</v>
      </c>
      <c r="O4163" s="14"/>
      <c r="P4163" s="15" t="s">
        <v>53</v>
      </c>
      <c r="Q4163" s="16">
        <v>3499</v>
      </c>
      <c r="R4163" s="17">
        <v>45.7</v>
      </c>
      <c r="S4163" s="18">
        <v>2184.9884999999999</v>
      </c>
      <c r="T4163" s="19" t="s">
        <v>36</v>
      </c>
      <c r="U4163" s="20" t="s">
        <v>63</v>
      </c>
      <c r="V4163" s="21" t="s">
        <v>64</v>
      </c>
      <c r="W4163" s="22">
        <v>1</v>
      </c>
      <c r="X4163" s="23"/>
    </row>
    <row r="4164" spans="1:24" s="1" customFormat="1" ht="108" customHeight="1" x14ac:dyDescent="0.3">
      <c r="A4164" s="11" t="s">
        <v>23</v>
      </c>
      <c r="B4164" s="11" t="s">
        <v>3826</v>
      </c>
      <c r="C4164" s="12" t="s">
        <v>3827</v>
      </c>
      <c r="D4164" s="25"/>
      <c r="E4164" s="41" t="str">
        <f>HYPERLINK("https://www.google.ru/search?q=1376791-001&amp;newwindow=1&amp;tbm=isch","Еще фото")</f>
        <v>Еще фото</v>
      </c>
      <c r="F4164" s="13" t="s">
        <v>103</v>
      </c>
      <c r="G4164" s="11" t="s">
        <v>3604</v>
      </c>
      <c r="H4164" s="11" t="s">
        <v>27</v>
      </c>
      <c r="I4164" s="14" t="s">
        <v>3599</v>
      </c>
      <c r="J4164" s="14" t="s">
        <v>29</v>
      </c>
      <c r="K4164" s="15" t="s">
        <v>30</v>
      </c>
      <c r="L4164" s="14" t="s">
        <v>3828</v>
      </c>
      <c r="M4164" s="14"/>
      <c r="N4164" s="14" t="s">
        <v>33</v>
      </c>
      <c r="O4164" s="14"/>
      <c r="P4164" s="15" t="s">
        <v>364</v>
      </c>
      <c r="Q4164" s="16">
        <v>3499</v>
      </c>
      <c r="R4164" s="17">
        <v>45.7</v>
      </c>
      <c r="S4164" s="18">
        <v>2184.9884999999999</v>
      </c>
      <c r="T4164" s="19" t="s">
        <v>36</v>
      </c>
      <c r="U4164" s="20" t="s">
        <v>37</v>
      </c>
      <c r="V4164" s="21" t="s">
        <v>38</v>
      </c>
      <c r="W4164" s="22">
        <v>1</v>
      </c>
      <c r="X4164" s="23"/>
    </row>
    <row r="4165" spans="1:24" s="1" customFormat="1" ht="108" customHeight="1" x14ac:dyDescent="0.3">
      <c r="A4165" s="11" t="s">
        <v>23</v>
      </c>
      <c r="B4165" s="11" t="s">
        <v>3829</v>
      </c>
      <c r="C4165" s="12" t="s">
        <v>3830</v>
      </c>
      <c r="D4165" s="25"/>
      <c r="E4165" s="41" t="str">
        <f>HYPERLINK("https://www.google.ru/search?q=1389852-494&amp;newwindow=1&amp;tbm=isch","Еще фото")</f>
        <v>Еще фото</v>
      </c>
      <c r="F4165" s="13"/>
      <c r="G4165" s="11" t="s">
        <v>3604</v>
      </c>
      <c r="H4165" s="11" t="s">
        <v>27</v>
      </c>
      <c r="I4165" s="14" t="s">
        <v>3599</v>
      </c>
      <c r="J4165" s="14" t="s">
        <v>29</v>
      </c>
      <c r="K4165" s="15" t="s">
        <v>59</v>
      </c>
      <c r="L4165" s="14" t="s">
        <v>3831</v>
      </c>
      <c r="M4165" s="14"/>
      <c r="N4165" s="14" t="s">
        <v>46</v>
      </c>
      <c r="O4165" s="14"/>
      <c r="P4165" s="15" t="s">
        <v>47</v>
      </c>
      <c r="Q4165" s="16">
        <v>3499</v>
      </c>
      <c r="R4165" s="17">
        <v>45.7</v>
      </c>
      <c r="S4165" s="18">
        <v>2184.9884999999999</v>
      </c>
      <c r="T4165" s="19" t="s">
        <v>36</v>
      </c>
      <c r="U4165" s="20" t="s">
        <v>86</v>
      </c>
      <c r="V4165" s="21" t="s">
        <v>38</v>
      </c>
      <c r="W4165" s="22">
        <v>1</v>
      </c>
      <c r="X4165" s="23"/>
    </row>
    <row r="4166" spans="1:24" s="1" customFormat="1" ht="108" customHeight="1" x14ac:dyDescent="0.3">
      <c r="A4166" s="11" t="s">
        <v>23</v>
      </c>
      <c r="B4166" s="11" t="s">
        <v>3832</v>
      </c>
      <c r="C4166" s="12" t="s">
        <v>3833</v>
      </c>
      <c r="D4166" s="25"/>
      <c r="E4166" s="41" t="str">
        <f>HYPERLINK("https://www.google.ru/search?q=1386880-505&amp;newwindow=1&amp;tbm=isch","Еще фото")</f>
        <v>Еще фото</v>
      </c>
      <c r="F4166" s="13"/>
      <c r="G4166" s="11" t="s">
        <v>3604</v>
      </c>
      <c r="H4166" s="11" t="s">
        <v>27</v>
      </c>
      <c r="I4166" s="14" t="s">
        <v>3599</v>
      </c>
      <c r="J4166" s="14" t="s">
        <v>29</v>
      </c>
      <c r="K4166" s="15" t="s">
        <v>30</v>
      </c>
      <c r="L4166" s="14" t="s">
        <v>3834</v>
      </c>
      <c r="M4166" s="14"/>
      <c r="N4166" s="14" t="s">
        <v>79</v>
      </c>
      <c r="O4166" s="14"/>
      <c r="P4166" s="15" t="s">
        <v>120</v>
      </c>
      <c r="Q4166" s="16">
        <v>11599</v>
      </c>
      <c r="R4166" s="17">
        <v>45.69</v>
      </c>
      <c r="S4166" s="18">
        <v>7244.9884999999995</v>
      </c>
      <c r="T4166" s="19" t="s">
        <v>36</v>
      </c>
      <c r="U4166" s="20" t="s">
        <v>37</v>
      </c>
      <c r="V4166" s="21" t="s">
        <v>38</v>
      </c>
      <c r="W4166" s="22">
        <v>1</v>
      </c>
      <c r="X4166" s="23"/>
    </row>
    <row r="4167" spans="1:24" s="1" customFormat="1" ht="108" customHeight="1" x14ac:dyDescent="0.3">
      <c r="A4167" s="11" t="s">
        <v>23</v>
      </c>
      <c r="B4167" s="11" t="s">
        <v>3835</v>
      </c>
      <c r="C4167" s="12" t="s">
        <v>3836</v>
      </c>
      <c r="D4167" s="25"/>
      <c r="E4167" s="41" t="str">
        <f>HYPERLINK("https://www.google.ru/search?q=1383191-989&amp;newwindow=1&amp;tbm=isch","Еще фото")</f>
        <v>Еще фото</v>
      </c>
      <c r="F4167" s="13"/>
      <c r="G4167" s="11" t="s">
        <v>3604</v>
      </c>
      <c r="H4167" s="11" t="s">
        <v>27</v>
      </c>
      <c r="I4167" s="14" t="s">
        <v>3599</v>
      </c>
      <c r="J4167" s="14" t="s">
        <v>43</v>
      </c>
      <c r="K4167" s="15" t="s">
        <v>30</v>
      </c>
      <c r="L4167" s="14" t="s">
        <v>3622</v>
      </c>
      <c r="M4167" s="14"/>
      <c r="N4167" s="14" t="s">
        <v>198</v>
      </c>
      <c r="O4167" s="14"/>
      <c r="P4167" s="15" t="s">
        <v>2951</v>
      </c>
      <c r="Q4167" s="16">
        <v>7899</v>
      </c>
      <c r="R4167" s="17">
        <v>45.56</v>
      </c>
      <c r="S4167" s="18">
        <v>4944.9884999999995</v>
      </c>
      <c r="T4167" s="19" t="s">
        <v>36</v>
      </c>
      <c r="U4167" s="20" t="s">
        <v>37</v>
      </c>
      <c r="V4167" s="21" t="s">
        <v>38</v>
      </c>
      <c r="W4167" s="22">
        <v>1</v>
      </c>
      <c r="X4167" s="23"/>
    </row>
    <row r="4168" spans="1:24" s="1" customFormat="1" ht="108" customHeight="1" x14ac:dyDescent="0.3">
      <c r="A4168" s="11" t="s">
        <v>23</v>
      </c>
      <c r="B4168" s="11" t="s">
        <v>3837</v>
      </c>
      <c r="C4168" s="12" t="s">
        <v>3838</v>
      </c>
      <c r="D4168" s="25"/>
      <c r="E4168" s="41" t="str">
        <f>HYPERLINK("https://www.google.ru/search?q=1386907-001&amp;newwindow=1&amp;tbm=isch","Еще фото")</f>
        <v>Еще фото</v>
      </c>
      <c r="F4168" s="13"/>
      <c r="G4168" s="11" t="s">
        <v>3604</v>
      </c>
      <c r="H4168" s="11" t="s">
        <v>27</v>
      </c>
      <c r="I4168" s="14" t="s">
        <v>3599</v>
      </c>
      <c r="J4168" s="14" t="s">
        <v>29</v>
      </c>
      <c r="K4168" s="15" t="s">
        <v>30</v>
      </c>
      <c r="L4168" s="14" t="s">
        <v>3839</v>
      </c>
      <c r="M4168" s="14"/>
      <c r="N4168" s="14" t="s">
        <v>33</v>
      </c>
      <c r="O4168" s="14"/>
      <c r="P4168" s="15" t="s">
        <v>1063</v>
      </c>
      <c r="Q4168" s="16">
        <v>8999</v>
      </c>
      <c r="R4168" s="17">
        <v>45.55</v>
      </c>
      <c r="S4168" s="18">
        <v>5634.9884999999995</v>
      </c>
      <c r="T4168" s="19" t="s">
        <v>36</v>
      </c>
      <c r="U4168" s="20" t="s">
        <v>37</v>
      </c>
      <c r="V4168" s="21" t="s">
        <v>38</v>
      </c>
      <c r="W4168" s="22">
        <v>3</v>
      </c>
      <c r="X4168" s="23"/>
    </row>
    <row r="4169" spans="1:24" s="1" customFormat="1" ht="108" customHeight="1" x14ac:dyDescent="0.3">
      <c r="A4169" s="11" t="s">
        <v>23</v>
      </c>
      <c r="B4169" s="11" t="s">
        <v>3840</v>
      </c>
      <c r="C4169" s="12" t="s">
        <v>3841</v>
      </c>
      <c r="D4169" s="25"/>
      <c r="E4169" s="41" t="str">
        <f>HYPERLINK("https://www.google.ru/search?q=1361042-470&amp;newwindow=1&amp;tbm=isch","Еще фото")</f>
        <v>Еще фото</v>
      </c>
      <c r="F4169" s="13"/>
      <c r="G4169" s="11" t="s">
        <v>3609</v>
      </c>
      <c r="H4169" s="11" t="s">
        <v>27</v>
      </c>
      <c r="I4169" s="14" t="s">
        <v>3599</v>
      </c>
      <c r="J4169" s="14" t="s">
        <v>29</v>
      </c>
      <c r="K4169" s="15" t="s">
        <v>59</v>
      </c>
      <c r="L4169" s="14" t="s">
        <v>3842</v>
      </c>
      <c r="M4169" s="14"/>
      <c r="N4169" s="14" t="s">
        <v>115</v>
      </c>
      <c r="O4169" s="14"/>
      <c r="P4169" s="15" t="s">
        <v>53</v>
      </c>
      <c r="Q4169" s="16">
        <v>4590</v>
      </c>
      <c r="R4169" s="17">
        <v>45.53</v>
      </c>
      <c r="S4169" s="18">
        <v>2874.9884999999995</v>
      </c>
      <c r="T4169" s="19" t="s">
        <v>36</v>
      </c>
      <c r="U4169" s="20" t="s">
        <v>63</v>
      </c>
      <c r="V4169" s="21" t="s">
        <v>64</v>
      </c>
      <c r="W4169" s="22">
        <v>1</v>
      </c>
      <c r="X4169" s="23"/>
    </row>
    <row r="4170" spans="1:24" s="1" customFormat="1" ht="108" customHeight="1" x14ac:dyDescent="0.3">
      <c r="A4170" s="11" t="s">
        <v>23</v>
      </c>
      <c r="B4170" s="11" t="s">
        <v>3843</v>
      </c>
      <c r="C4170" s="12" t="s">
        <v>3844</v>
      </c>
      <c r="D4170" s="25"/>
      <c r="E4170" s="41" t="str">
        <f>HYPERLINK("https://www.google.ru/search?q=1389944-001&amp;newwindow=1&amp;tbm=isch","Еще фото")</f>
        <v>Еще фото</v>
      </c>
      <c r="F4170" s="13"/>
      <c r="G4170" s="11" t="s">
        <v>3604</v>
      </c>
      <c r="H4170" s="11" t="s">
        <v>27</v>
      </c>
      <c r="I4170" s="14" t="s">
        <v>3599</v>
      </c>
      <c r="J4170" s="14" t="s">
        <v>43</v>
      </c>
      <c r="K4170" s="15" t="s">
        <v>30</v>
      </c>
      <c r="L4170" s="14" t="s">
        <v>3845</v>
      </c>
      <c r="M4170" s="14"/>
      <c r="N4170" s="14" t="s">
        <v>33</v>
      </c>
      <c r="O4170" s="14"/>
      <c r="P4170" s="15" t="s">
        <v>2951</v>
      </c>
      <c r="Q4170" s="16">
        <v>6599</v>
      </c>
      <c r="R4170" s="17">
        <v>45.45</v>
      </c>
      <c r="S4170" s="18">
        <v>4139.9884999999995</v>
      </c>
      <c r="T4170" s="19" t="s">
        <v>36</v>
      </c>
      <c r="U4170" s="20" t="s">
        <v>37</v>
      </c>
      <c r="V4170" s="21" t="s">
        <v>38</v>
      </c>
      <c r="W4170" s="22">
        <v>1</v>
      </c>
      <c r="X4170" s="23"/>
    </row>
    <row r="4171" spans="1:24" s="1" customFormat="1" ht="108" customHeight="1" x14ac:dyDescent="0.3">
      <c r="A4171" s="11" t="s">
        <v>23</v>
      </c>
      <c r="B4171" s="11" t="s">
        <v>3846</v>
      </c>
      <c r="C4171" s="12" t="s">
        <v>3847</v>
      </c>
      <c r="D4171" s="25"/>
      <c r="E4171" s="41" t="str">
        <f>HYPERLINK("https://www.google.ru/search?q=1306386-001&amp;newwindow=1&amp;tbm=isch","Еще фото")</f>
        <v>Еще фото</v>
      </c>
      <c r="F4171" s="13"/>
      <c r="G4171" s="11" t="s">
        <v>3615</v>
      </c>
      <c r="H4171" s="11" t="s">
        <v>27</v>
      </c>
      <c r="I4171" s="14" t="s">
        <v>3599</v>
      </c>
      <c r="J4171" s="14" t="s">
        <v>29</v>
      </c>
      <c r="K4171" s="15" t="s">
        <v>30</v>
      </c>
      <c r="L4171" s="14" t="s">
        <v>3848</v>
      </c>
      <c r="M4171" s="14" t="s">
        <v>45</v>
      </c>
      <c r="N4171" s="14" t="s">
        <v>62</v>
      </c>
      <c r="O4171" s="14" t="s">
        <v>34</v>
      </c>
      <c r="P4171" s="15" t="s">
        <v>3849</v>
      </c>
      <c r="Q4171" s="16">
        <v>7499</v>
      </c>
      <c r="R4171" s="17">
        <v>45.33</v>
      </c>
      <c r="S4171" s="18">
        <v>4714.9884999999995</v>
      </c>
      <c r="T4171" s="19" t="s">
        <v>36</v>
      </c>
      <c r="U4171" s="20" t="s">
        <v>37</v>
      </c>
      <c r="V4171" s="21" t="s">
        <v>38</v>
      </c>
      <c r="W4171" s="22">
        <v>1</v>
      </c>
      <c r="X4171" s="23"/>
    </row>
    <row r="4172" spans="1:24" s="1" customFormat="1" ht="108" customHeight="1" x14ac:dyDescent="0.3">
      <c r="A4172" s="11" t="s">
        <v>23</v>
      </c>
      <c r="B4172" s="11" t="s">
        <v>3850</v>
      </c>
      <c r="C4172" s="12" t="s">
        <v>3851</v>
      </c>
      <c r="D4172" s="25"/>
      <c r="E4172" s="41" t="str">
        <f>HYPERLINK("https://www.google.ru/search?q=1376781-847&amp;newwindow=1&amp;tbm=isch","Еще фото")</f>
        <v>Еще фото</v>
      </c>
      <c r="F4172" s="13" t="s">
        <v>103</v>
      </c>
      <c r="G4172" s="11" t="s">
        <v>3604</v>
      </c>
      <c r="H4172" s="11" t="s">
        <v>27</v>
      </c>
      <c r="I4172" s="14" t="s">
        <v>3599</v>
      </c>
      <c r="J4172" s="14" t="s">
        <v>29</v>
      </c>
      <c r="K4172" s="15" t="s">
        <v>30</v>
      </c>
      <c r="L4172" s="14" t="s">
        <v>3852</v>
      </c>
      <c r="M4172" s="14"/>
      <c r="N4172" s="14" t="s">
        <v>2005</v>
      </c>
      <c r="O4172" s="14"/>
      <c r="P4172" s="15" t="s">
        <v>3805</v>
      </c>
      <c r="Q4172" s="16">
        <v>8399</v>
      </c>
      <c r="R4172" s="17">
        <v>45.23</v>
      </c>
      <c r="S4172" s="18">
        <v>5289.9884999999995</v>
      </c>
      <c r="T4172" s="19" t="s">
        <v>36</v>
      </c>
      <c r="U4172" s="20" t="s">
        <v>37</v>
      </c>
      <c r="V4172" s="21" t="s">
        <v>38</v>
      </c>
      <c r="W4172" s="22">
        <v>2</v>
      </c>
      <c r="X4172" s="23"/>
    </row>
    <row r="4173" spans="1:24" s="1" customFormat="1" ht="108" customHeight="1" x14ac:dyDescent="0.3">
      <c r="A4173" s="11" t="s">
        <v>23</v>
      </c>
      <c r="B4173" s="11" t="s">
        <v>3853</v>
      </c>
      <c r="C4173" s="12" t="s">
        <v>3854</v>
      </c>
      <c r="D4173" s="25"/>
      <c r="E4173" s="41" t="str">
        <f>HYPERLINK("https://www.google.ru/search?q=1386890-505&amp;newwindow=1&amp;tbm=isch","Еще фото")</f>
        <v>Еще фото</v>
      </c>
      <c r="F4173" s="13"/>
      <c r="G4173" s="11" t="s">
        <v>3604</v>
      </c>
      <c r="H4173" s="11" t="s">
        <v>27</v>
      </c>
      <c r="I4173" s="14" t="s">
        <v>3599</v>
      </c>
      <c r="J4173" s="14" t="s">
        <v>29</v>
      </c>
      <c r="K4173" s="15" t="s">
        <v>30</v>
      </c>
      <c r="L4173" s="14" t="s">
        <v>3855</v>
      </c>
      <c r="M4173" s="14"/>
      <c r="N4173" s="14" t="s">
        <v>79</v>
      </c>
      <c r="O4173" s="14"/>
      <c r="P4173" s="15" t="s">
        <v>1063</v>
      </c>
      <c r="Q4173" s="16">
        <v>8399</v>
      </c>
      <c r="R4173" s="17">
        <v>45.23</v>
      </c>
      <c r="S4173" s="18">
        <v>5289.9884999999995</v>
      </c>
      <c r="T4173" s="19" t="s">
        <v>36</v>
      </c>
      <c r="U4173" s="20" t="s">
        <v>63</v>
      </c>
      <c r="V4173" s="21" t="s">
        <v>85</v>
      </c>
      <c r="W4173" s="22">
        <v>3</v>
      </c>
      <c r="X4173" s="23"/>
    </row>
    <row r="4174" spans="1:24" s="1" customFormat="1" ht="108" customHeight="1" x14ac:dyDescent="0.3">
      <c r="A4174" s="11" t="s">
        <v>23</v>
      </c>
      <c r="B4174" s="11" t="s">
        <v>3856</v>
      </c>
      <c r="C4174" s="12" t="s">
        <v>3857</v>
      </c>
      <c r="D4174" s="25"/>
      <c r="E4174" s="41" t="str">
        <f>HYPERLINK("https://www.google.ru/search?q=1386893-001&amp;newwindow=1&amp;tbm=isch","Еще фото")</f>
        <v>Еще фото</v>
      </c>
      <c r="F4174" s="13"/>
      <c r="G4174" s="11" t="s">
        <v>3604</v>
      </c>
      <c r="H4174" s="11" t="s">
        <v>27</v>
      </c>
      <c r="I4174" s="14" t="s">
        <v>3599</v>
      </c>
      <c r="J4174" s="14" t="s">
        <v>29</v>
      </c>
      <c r="K4174" s="15" t="s">
        <v>30</v>
      </c>
      <c r="L4174" s="14" t="s">
        <v>3858</v>
      </c>
      <c r="M4174" s="14"/>
      <c r="N4174" s="14" t="s">
        <v>33</v>
      </c>
      <c r="O4174" s="14"/>
      <c r="P4174" s="15" t="s">
        <v>1063</v>
      </c>
      <c r="Q4174" s="16">
        <v>8399</v>
      </c>
      <c r="R4174" s="17">
        <v>45.23</v>
      </c>
      <c r="S4174" s="18">
        <v>5289.9884999999995</v>
      </c>
      <c r="T4174" s="19" t="s">
        <v>36</v>
      </c>
      <c r="U4174" s="20" t="s">
        <v>37</v>
      </c>
      <c r="V4174" s="21" t="s">
        <v>38</v>
      </c>
      <c r="W4174" s="22">
        <v>1</v>
      </c>
      <c r="X4174" s="23"/>
    </row>
    <row r="4175" spans="1:24" s="1" customFormat="1" ht="108" customHeight="1" x14ac:dyDescent="0.3">
      <c r="A4175" s="11" t="s">
        <v>23</v>
      </c>
      <c r="B4175" s="11" t="s">
        <v>3859</v>
      </c>
      <c r="C4175" s="12" t="s">
        <v>3860</v>
      </c>
      <c r="D4175" s="25"/>
      <c r="E4175" s="41" t="str">
        <f>HYPERLINK("https://www.google.ru/search?q=1386909-709&amp;newwindow=1&amp;tbm=isch","Еще фото")</f>
        <v>Еще фото</v>
      </c>
      <c r="F4175" s="13"/>
      <c r="G4175" s="11" t="s">
        <v>3604</v>
      </c>
      <c r="H4175" s="11" t="s">
        <v>27</v>
      </c>
      <c r="I4175" s="14" t="s">
        <v>3599</v>
      </c>
      <c r="J4175" s="14" t="s">
        <v>29</v>
      </c>
      <c r="K4175" s="15" t="s">
        <v>30</v>
      </c>
      <c r="L4175" s="14" t="s">
        <v>3861</v>
      </c>
      <c r="M4175" s="14"/>
      <c r="N4175" s="14" t="s">
        <v>62</v>
      </c>
      <c r="O4175" s="14"/>
      <c r="P4175" s="15" t="s">
        <v>1063</v>
      </c>
      <c r="Q4175" s="16">
        <v>8399</v>
      </c>
      <c r="R4175" s="17">
        <v>45.23</v>
      </c>
      <c r="S4175" s="18">
        <v>5289.9884999999995</v>
      </c>
      <c r="T4175" s="19" t="s">
        <v>36</v>
      </c>
      <c r="U4175" s="20" t="s">
        <v>37</v>
      </c>
      <c r="V4175" s="21" t="s">
        <v>38</v>
      </c>
      <c r="W4175" s="22">
        <v>3</v>
      </c>
      <c r="X4175" s="23"/>
    </row>
    <row r="4176" spans="1:24" s="1" customFormat="1" ht="108" customHeight="1" x14ac:dyDescent="0.3">
      <c r="A4176" s="11" t="s">
        <v>23</v>
      </c>
      <c r="B4176" s="11" t="s">
        <v>3862</v>
      </c>
      <c r="C4176" s="12" t="s">
        <v>3863</v>
      </c>
      <c r="D4176" s="25"/>
      <c r="E4176" s="41" t="str">
        <f>HYPERLINK("https://www.google.ru/search?q=1307196-001&amp;newwindow=1&amp;tbm=isch","Еще фото")</f>
        <v>Еще фото</v>
      </c>
      <c r="F4176" s="13"/>
      <c r="G4176" s="11" t="s">
        <v>3609</v>
      </c>
      <c r="H4176" s="11" t="s">
        <v>27</v>
      </c>
      <c r="I4176" s="14" t="s">
        <v>3599</v>
      </c>
      <c r="J4176" s="14" t="s">
        <v>29</v>
      </c>
      <c r="K4176" s="15" t="s">
        <v>59</v>
      </c>
      <c r="L4176" s="14" t="s">
        <v>3864</v>
      </c>
      <c r="M4176" s="14" t="s">
        <v>61</v>
      </c>
      <c r="N4176" s="14" t="s">
        <v>33</v>
      </c>
      <c r="O4176" s="14" t="s">
        <v>34</v>
      </c>
      <c r="P4176" s="15" t="s">
        <v>3865</v>
      </c>
      <c r="Q4176" s="16">
        <v>4199</v>
      </c>
      <c r="R4176" s="17">
        <v>45.23</v>
      </c>
      <c r="S4176" s="18">
        <v>2644.9884999999995</v>
      </c>
      <c r="T4176" s="19" t="s">
        <v>36</v>
      </c>
      <c r="U4176" s="20" t="s">
        <v>63</v>
      </c>
      <c r="V4176" s="21" t="s">
        <v>64</v>
      </c>
      <c r="W4176" s="22">
        <v>1</v>
      </c>
      <c r="X4176" s="23"/>
    </row>
    <row r="4177" spans="1:24" s="1" customFormat="1" ht="108" customHeight="1" x14ac:dyDescent="0.3">
      <c r="A4177" s="11" t="s">
        <v>23</v>
      </c>
      <c r="B4177" s="11" t="s">
        <v>3682</v>
      </c>
      <c r="C4177" s="12" t="s">
        <v>3866</v>
      </c>
      <c r="D4177" s="25"/>
      <c r="E4177" s="41" t="str">
        <f>HYPERLINK("https://www.google.ru/search?q=1361034-308&amp;newwindow=1&amp;tbm=isch","Еще фото")</f>
        <v>Еще фото</v>
      </c>
      <c r="F4177" s="13" t="s">
        <v>103</v>
      </c>
      <c r="G4177" s="11" t="s">
        <v>3609</v>
      </c>
      <c r="H4177" s="11" t="s">
        <v>27</v>
      </c>
      <c r="I4177" s="14" t="s">
        <v>3599</v>
      </c>
      <c r="J4177" s="14" t="s">
        <v>29</v>
      </c>
      <c r="K4177" s="15" t="s">
        <v>59</v>
      </c>
      <c r="L4177" s="14" t="s">
        <v>3867</v>
      </c>
      <c r="M4177" s="14"/>
      <c r="N4177" s="14" t="s">
        <v>127</v>
      </c>
      <c r="O4177" s="14"/>
      <c r="P4177" s="15" t="s">
        <v>53</v>
      </c>
      <c r="Q4177" s="16">
        <v>4199</v>
      </c>
      <c r="R4177" s="17">
        <v>45.23</v>
      </c>
      <c r="S4177" s="18">
        <v>2644.9884999999995</v>
      </c>
      <c r="T4177" s="19" t="s">
        <v>36</v>
      </c>
      <c r="U4177" s="20" t="s">
        <v>63</v>
      </c>
      <c r="V4177" s="21" t="s">
        <v>64</v>
      </c>
      <c r="W4177" s="22">
        <v>3</v>
      </c>
      <c r="X4177" s="23"/>
    </row>
    <row r="4178" spans="1:24" s="1" customFormat="1" ht="108" customHeight="1" x14ac:dyDescent="0.3">
      <c r="A4178" s="11" t="s">
        <v>23</v>
      </c>
      <c r="B4178" s="11" t="s">
        <v>3657</v>
      </c>
      <c r="C4178" s="12" t="s">
        <v>3868</v>
      </c>
      <c r="D4178" s="25"/>
      <c r="E4178" s="41" t="str">
        <f>HYPERLINK("https://www.google.ru/search?q=1361034-410&amp;newwindow=1&amp;tbm=isch","Еще фото")</f>
        <v>Еще фото</v>
      </c>
      <c r="F4178" s="13"/>
      <c r="G4178" s="11" t="s">
        <v>3609</v>
      </c>
      <c r="H4178" s="11" t="s">
        <v>27</v>
      </c>
      <c r="I4178" s="14" t="s">
        <v>3599</v>
      </c>
      <c r="J4178" s="14" t="s">
        <v>29</v>
      </c>
      <c r="K4178" s="15" t="s">
        <v>59</v>
      </c>
      <c r="L4178" s="14" t="s">
        <v>3686</v>
      </c>
      <c r="M4178" s="14"/>
      <c r="N4178" s="14" t="s">
        <v>115</v>
      </c>
      <c r="O4178" s="14"/>
      <c r="P4178" s="15" t="s">
        <v>53</v>
      </c>
      <c r="Q4178" s="16">
        <v>4199</v>
      </c>
      <c r="R4178" s="17">
        <v>45.23</v>
      </c>
      <c r="S4178" s="18">
        <v>2644.9884999999995</v>
      </c>
      <c r="T4178" s="19" t="s">
        <v>36</v>
      </c>
      <c r="U4178" s="20" t="s">
        <v>63</v>
      </c>
      <c r="V4178" s="21" t="s">
        <v>64</v>
      </c>
      <c r="W4178" s="22">
        <v>7</v>
      </c>
      <c r="X4178" s="23"/>
    </row>
    <row r="4179" spans="1:24" s="1" customFormat="1" ht="108" customHeight="1" x14ac:dyDescent="0.3">
      <c r="A4179" s="11" t="s">
        <v>23</v>
      </c>
      <c r="B4179" s="11" t="s">
        <v>3682</v>
      </c>
      <c r="C4179" s="12" t="s">
        <v>3869</v>
      </c>
      <c r="D4179" s="25"/>
      <c r="E4179" s="41" t="str">
        <f>HYPERLINK("https://www.google.ru/search?q=1361034-538&amp;newwindow=1&amp;tbm=isch","Еще фото")</f>
        <v>Еще фото</v>
      </c>
      <c r="F4179" s="13" t="s">
        <v>103</v>
      </c>
      <c r="G4179" s="11" t="s">
        <v>3609</v>
      </c>
      <c r="H4179" s="11" t="s">
        <v>27</v>
      </c>
      <c r="I4179" s="14" t="s">
        <v>3599</v>
      </c>
      <c r="J4179" s="14" t="s">
        <v>29</v>
      </c>
      <c r="K4179" s="15" t="s">
        <v>59</v>
      </c>
      <c r="L4179" s="14" t="s">
        <v>3870</v>
      </c>
      <c r="M4179" s="14"/>
      <c r="N4179" s="14" t="s">
        <v>79</v>
      </c>
      <c r="O4179" s="14"/>
      <c r="P4179" s="15" t="s">
        <v>53</v>
      </c>
      <c r="Q4179" s="16">
        <v>4199</v>
      </c>
      <c r="R4179" s="17">
        <v>45.23</v>
      </c>
      <c r="S4179" s="18">
        <v>2644.9884999999995</v>
      </c>
      <c r="T4179" s="19" t="s">
        <v>36</v>
      </c>
      <c r="U4179" s="20" t="s">
        <v>63</v>
      </c>
      <c r="V4179" s="21" t="s">
        <v>64</v>
      </c>
      <c r="W4179" s="22">
        <v>1</v>
      </c>
      <c r="X4179" s="23"/>
    </row>
    <row r="4180" spans="1:24" s="1" customFormat="1" ht="108" customHeight="1" x14ac:dyDescent="0.3">
      <c r="A4180" s="11" t="s">
        <v>23</v>
      </c>
      <c r="B4180" s="11" t="s">
        <v>3682</v>
      </c>
      <c r="C4180" s="12" t="s">
        <v>3871</v>
      </c>
      <c r="D4180" s="25"/>
      <c r="E4180" s="41" t="str">
        <f>HYPERLINK("https://www.google.ru/search?q=1361034-672&amp;newwindow=1&amp;tbm=isch","Еще фото")</f>
        <v>Еще фото</v>
      </c>
      <c r="F4180" s="13" t="s">
        <v>103</v>
      </c>
      <c r="G4180" s="11" t="s">
        <v>3609</v>
      </c>
      <c r="H4180" s="11" t="s">
        <v>27</v>
      </c>
      <c r="I4180" s="14" t="s">
        <v>3599</v>
      </c>
      <c r="J4180" s="14" t="s">
        <v>29</v>
      </c>
      <c r="K4180" s="15" t="s">
        <v>59</v>
      </c>
      <c r="L4180" s="14" t="s">
        <v>3867</v>
      </c>
      <c r="M4180" s="14"/>
      <c r="N4180" s="14" t="s">
        <v>69</v>
      </c>
      <c r="O4180" s="14"/>
      <c r="P4180" s="15" t="s">
        <v>3872</v>
      </c>
      <c r="Q4180" s="16">
        <v>4199</v>
      </c>
      <c r="R4180" s="17">
        <v>45.23</v>
      </c>
      <c r="S4180" s="18">
        <v>2644.9884999999995</v>
      </c>
      <c r="T4180" s="19" t="s">
        <v>36</v>
      </c>
      <c r="U4180" s="20" t="s">
        <v>63</v>
      </c>
      <c r="V4180" s="21" t="s">
        <v>64</v>
      </c>
      <c r="W4180" s="22">
        <v>3</v>
      </c>
      <c r="X4180" s="23"/>
    </row>
    <row r="4181" spans="1:24" s="1" customFormat="1" ht="108" customHeight="1" x14ac:dyDescent="0.3">
      <c r="A4181" s="11" t="s">
        <v>23</v>
      </c>
      <c r="B4181" s="11" t="s">
        <v>3873</v>
      </c>
      <c r="C4181" s="12" t="s">
        <v>3874</v>
      </c>
      <c r="D4181" s="25"/>
      <c r="E4181" s="41" t="str">
        <f>HYPERLINK("https://www.google.ru/search?q=1386424-847&amp;newwindow=1&amp;tbm=isch","Еще фото")</f>
        <v>Еще фото</v>
      </c>
      <c r="F4181" s="13"/>
      <c r="G4181" s="11" t="s">
        <v>3609</v>
      </c>
      <c r="H4181" s="11" t="s">
        <v>27</v>
      </c>
      <c r="I4181" s="14" t="s">
        <v>3599</v>
      </c>
      <c r="J4181" s="14" t="s">
        <v>29</v>
      </c>
      <c r="K4181" s="15" t="s">
        <v>59</v>
      </c>
      <c r="L4181" s="14" t="s">
        <v>3875</v>
      </c>
      <c r="M4181" s="14"/>
      <c r="N4181" s="14" t="s">
        <v>2005</v>
      </c>
      <c r="O4181" s="14"/>
      <c r="P4181" s="15" t="s">
        <v>53</v>
      </c>
      <c r="Q4181" s="16">
        <v>4199</v>
      </c>
      <c r="R4181" s="17">
        <v>45.23</v>
      </c>
      <c r="S4181" s="18">
        <v>2644.9884999999995</v>
      </c>
      <c r="T4181" s="19" t="s">
        <v>36</v>
      </c>
      <c r="U4181" s="20" t="s">
        <v>90</v>
      </c>
      <c r="V4181" s="21" t="s">
        <v>87</v>
      </c>
      <c r="W4181" s="22">
        <v>1</v>
      </c>
      <c r="X4181" s="23"/>
    </row>
    <row r="4182" spans="1:24" s="1" customFormat="1" ht="108" customHeight="1" x14ac:dyDescent="0.3">
      <c r="A4182" s="11" t="s">
        <v>23</v>
      </c>
      <c r="B4182" s="11" t="s">
        <v>3876</v>
      </c>
      <c r="C4182" s="12" t="s">
        <v>3877</v>
      </c>
      <c r="D4182" s="25"/>
      <c r="E4182" s="41" t="str">
        <f>HYPERLINK("https://www.google.ru/search?q=1372798-001&amp;newwindow=1&amp;tbm=isch","Еще фото")</f>
        <v>Еще фото</v>
      </c>
      <c r="F4182" s="13"/>
      <c r="G4182" s="11" t="s">
        <v>3609</v>
      </c>
      <c r="H4182" s="11" t="s">
        <v>27</v>
      </c>
      <c r="I4182" s="14" t="s">
        <v>3599</v>
      </c>
      <c r="J4182" s="14" t="s">
        <v>29</v>
      </c>
      <c r="K4182" s="15" t="s">
        <v>59</v>
      </c>
      <c r="L4182" s="14" t="s">
        <v>3878</v>
      </c>
      <c r="M4182" s="14" t="s">
        <v>61</v>
      </c>
      <c r="N4182" s="14" t="s">
        <v>84</v>
      </c>
      <c r="O4182" s="14"/>
      <c r="P4182" s="15" t="s">
        <v>53</v>
      </c>
      <c r="Q4182" s="16">
        <v>6199</v>
      </c>
      <c r="R4182" s="17">
        <v>45.15</v>
      </c>
      <c r="S4182" s="18">
        <v>3909.9884999999995</v>
      </c>
      <c r="T4182" s="19" t="s">
        <v>36</v>
      </c>
      <c r="U4182" s="20" t="s">
        <v>88</v>
      </c>
      <c r="V4182" s="21" t="s">
        <v>40</v>
      </c>
      <c r="W4182" s="22">
        <v>1</v>
      </c>
      <c r="X4182" s="23"/>
    </row>
    <row r="4183" spans="1:24" s="1" customFormat="1" ht="108" customHeight="1" x14ac:dyDescent="0.3">
      <c r="A4183" s="11" t="s">
        <v>23</v>
      </c>
      <c r="B4183" s="11" t="s">
        <v>3879</v>
      </c>
      <c r="C4183" s="12" t="s">
        <v>3880</v>
      </c>
      <c r="D4183" s="25"/>
      <c r="E4183" s="41" t="str">
        <f>HYPERLINK("https://www.google.ru/search?q=1383320-840&amp;newwindow=1&amp;tbm=isch","Еще фото")</f>
        <v>Еще фото</v>
      </c>
      <c r="F4183" s="13"/>
      <c r="G4183" s="11" t="s">
        <v>3604</v>
      </c>
      <c r="H4183" s="11" t="s">
        <v>27</v>
      </c>
      <c r="I4183" s="14" t="s">
        <v>3599</v>
      </c>
      <c r="J4183" s="14" t="s">
        <v>29</v>
      </c>
      <c r="K4183" s="15" t="s">
        <v>30</v>
      </c>
      <c r="L4183" s="14" t="s">
        <v>3881</v>
      </c>
      <c r="M4183" s="14"/>
      <c r="N4183" s="14" t="s">
        <v>198</v>
      </c>
      <c r="O4183" s="14"/>
      <c r="P4183" s="15" t="s">
        <v>298</v>
      </c>
      <c r="Q4183" s="16">
        <v>6199</v>
      </c>
      <c r="R4183" s="17">
        <v>45.15</v>
      </c>
      <c r="S4183" s="18">
        <v>3909.9884999999995</v>
      </c>
      <c r="T4183" s="19" t="s">
        <v>36</v>
      </c>
      <c r="U4183" s="20" t="s">
        <v>37</v>
      </c>
      <c r="V4183" s="21" t="s">
        <v>38</v>
      </c>
      <c r="W4183" s="22">
        <v>1</v>
      </c>
      <c r="X4183" s="23"/>
    </row>
    <row r="4184" spans="1:24" s="1" customFormat="1" ht="52.05" customHeight="1" x14ac:dyDescent="0.3">
      <c r="A4184" s="11" t="s">
        <v>23</v>
      </c>
      <c r="B4184" s="11" t="s">
        <v>3882</v>
      </c>
      <c r="C4184" s="12" t="s">
        <v>3883</v>
      </c>
      <c r="D4184" s="55"/>
      <c r="E4184" s="41" t="str">
        <f>HYPERLINK("https://www.google.ru/search?q=1357727-026&amp;newwindow=1&amp;tbm=isch","Еще фото")</f>
        <v>Еще фото</v>
      </c>
      <c r="F4184" s="13"/>
      <c r="G4184" s="11" t="s">
        <v>3604</v>
      </c>
      <c r="H4184" s="11" t="s">
        <v>27</v>
      </c>
      <c r="I4184" s="14" t="s">
        <v>3599</v>
      </c>
      <c r="J4184" s="14" t="s">
        <v>43</v>
      </c>
      <c r="K4184" s="15" t="s">
        <v>30</v>
      </c>
      <c r="L4184" s="57" t="s">
        <v>3884</v>
      </c>
      <c r="M4184" s="14"/>
      <c r="N4184" s="14" t="s">
        <v>62</v>
      </c>
      <c r="O4184" s="14"/>
      <c r="P4184" s="15" t="s">
        <v>2951</v>
      </c>
      <c r="Q4184" s="16">
        <v>3099</v>
      </c>
      <c r="R4184" s="17">
        <v>45.14</v>
      </c>
      <c r="S4184" s="18">
        <v>1954.9884999999999</v>
      </c>
      <c r="T4184" s="19" t="s">
        <v>36</v>
      </c>
      <c r="U4184" s="20" t="s">
        <v>63</v>
      </c>
      <c r="V4184" s="21" t="s">
        <v>85</v>
      </c>
      <c r="W4184" s="22">
        <v>1</v>
      </c>
      <c r="X4184" s="23"/>
    </row>
    <row r="4185" spans="1:24" s="1" customFormat="1" ht="61.05" customHeight="1" x14ac:dyDescent="0.3">
      <c r="A4185" s="24" t="s">
        <v>23</v>
      </c>
      <c r="B4185" s="24" t="s">
        <v>3882</v>
      </c>
      <c r="C4185" s="12" t="s">
        <v>3883</v>
      </c>
      <c r="D4185" s="56"/>
      <c r="E4185" s="41" t="str">
        <f>HYPERLINK("https://www.google.ru/search?q=1357727-026&amp;newwindow=1&amp;tbm=isch","Еще фото")</f>
        <v>Еще фото</v>
      </c>
      <c r="F4185" s="13"/>
      <c r="G4185" s="24" t="s">
        <v>3604</v>
      </c>
      <c r="H4185" s="24" t="s">
        <v>27</v>
      </c>
      <c r="I4185" s="24" t="s">
        <v>3599</v>
      </c>
      <c r="J4185" s="14" t="s">
        <v>43</v>
      </c>
      <c r="K4185" s="15" t="s">
        <v>30</v>
      </c>
      <c r="L4185" s="58"/>
      <c r="M4185" s="14"/>
      <c r="N4185" s="14" t="s">
        <v>62</v>
      </c>
      <c r="O4185" s="14"/>
      <c r="P4185" s="15" t="s">
        <v>2951</v>
      </c>
      <c r="Q4185" s="16">
        <v>3099</v>
      </c>
      <c r="R4185" s="17">
        <v>45.14</v>
      </c>
      <c r="S4185" s="18">
        <v>1954.9884999999999</v>
      </c>
      <c r="T4185" s="19" t="s">
        <v>36</v>
      </c>
      <c r="U4185" s="20" t="s">
        <v>37</v>
      </c>
      <c r="V4185" s="21" t="s">
        <v>38</v>
      </c>
      <c r="W4185" s="22">
        <v>1</v>
      </c>
      <c r="X4185" s="23"/>
    </row>
    <row r="4186" spans="1:24" s="1" customFormat="1" ht="108" customHeight="1" x14ac:dyDescent="0.3">
      <c r="A4186" s="11" t="s">
        <v>23</v>
      </c>
      <c r="B4186" s="11" t="s">
        <v>3611</v>
      </c>
      <c r="C4186" s="12" t="s">
        <v>3885</v>
      </c>
      <c r="D4186" s="25"/>
      <c r="E4186" s="41" t="str">
        <f>HYPERLINK("https://www.google.ru/search?q=1373826-100&amp;newwindow=1&amp;tbm=isch","Еще фото")</f>
        <v>Еще фото</v>
      </c>
      <c r="F4186" s="13"/>
      <c r="G4186" s="11" t="s">
        <v>3609</v>
      </c>
      <c r="H4186" s="11" t="s">
        <v>27</v>
      </c>
      <c r="I4186" s="14" t="s">
        <v>3599</v>
      </c>
      <c r="J4186" s="14" t="s">
        <v>29</v>
      </c>
      <c r="K4186" s="15" t="s">
        <v>59</v>
      </c>
      <c r="L4186" s="14" t="s">
        <v>3610</v>
      </c>
      <c r="M4186" s="14"/>
      <c r="N4186" s="14" t="s">
        <v>84</v>
      </c>
      <c r="O4186" s="14"/>
      <c r="P4186" s="15" t="s">
        <v>213</v>
      </c>
      <c r="Q4186" s="16">
        <v>7099</v>
      </c>
      <c r="R4186" s="17">
        <v>45.06</v>
      </c>
      <c r="S4186" s="18">
        <v>4484.9884999999995</v>
      </c>
      <c r="T4186" s="19" t="s">
        <v>36</v>
      </c>
      <c r="U4186" s="20" t="s">
        <v>63</v>
      </c>
      <c r="V4186" s="21" t="s">
        <v>64</v>
      </c>
      <c r="W4186" s="22">
        <v>1</v>
      </c>
      <c r="X4186" s="23"/>
    </row>
    <row r="4187" spans="1:24" s="1" customFormat="1" ht="21" customHeight="1" x14ac:dyDescent="0.3">
      <c r="A4187" s="11" t="s">
        <v>23</v>
      </c>
      <c r="B4187" s="11" t="s">
        <v>3886</v>
      </c>
      <c r="C4187" s="26" t="s">
        <v>3887</v>
      </c>
      <c r="D4187" s="59"/>
      <c r="E4187" s="41" t="str">
        <f>HYPERLINK("https://www.google.ru/search?q=1383010-004&amp;newwindow=1&amp;tbm=isch","Еще фото")</f>
        <v>Еще фото</v>
      </c>
      <c r="F4187" s="13"/>
      <c r="G4187" s="11" t="s">
        <v>3604</v>
      </c>
      <c r="H4187" s="11" t="s">
        <v>27</v>
      </c>
      <c r="I4187" s="14" t="s">
        <v>3599</v>
      </c>
      <c r="J4187" s="14" t="s">
        <v>29</v>
      </c>
      <c r="K4187" s="15" t="s">
        <v>50</v>
      </c>
      <c r="L4187" s="57" t="s">
        <v>3888</v>
      </c>
      <c r="M4187" s="14"/>
      <c r="N4187" s="14" t="s">
        <v>33</v>
      </c>
      <c r="O4187" s="14"/>
      <c r="P4187" s="15" t="s">
        <v>47</v>
      </c>
      <c r="Q4187" s="16">
        <v>2299</v>
      </c>
      <c r="R4187" s="17">
        <v>43</v>
      </c>
      <c r="S4187" s="18">
        <v>1506.9945</v>
      </c>
      <c r="T4187" s="19" t="s">
        <v>36</v>
      </c>
      <c r="U4187" s="20" t="s">
        <v>99</v>
      </c>
      <c r="V4187" s="21" t="s">
        <v>100</v>
      </c>
      <c r="W4187" s="22">
        <v>6</v>
      </c>
      <c r="X4187" s="23"/>
    </row>
    <row r="4188" spans="1:24" s="1" customFormat="1" ht="21" customHeight="1" x14ac:dyDescent="0.3">
      <c r="A4188" s="24" t="s">
        <v>23</v>
      </c>
      <c r="B4188" s="24" t="s">
        <v>3886</v>
      </c>
      <c r="C4188" s="27" t="s">
        <v>3887</v>
      </c>
      <c r="D4188" s="60"/>
      <c r="E4188" s="41" t="str">
        <f>HYPERLINK("https://www.google.ru/search?q=1383010-004&amp;newwindow=1&amp;tbm=isch","Еще фото")</f>
        <v>Еще фото</v>
      </c>
      <c r="F4188" s="13"/>
      <c r="G4188" s="24" t="s">
        <v>3604</v>
      </c>
      <c r="H4188" s="24" t="s">
        <v>27</v>
      </c>
      <c r="I4188" s="24" t="s">
        <v>3599</v>
      </c>
      <c r="J4188" s="14" t="s">
        <v>29</v>
      </c>
      <c r="K4188" s="15" t="s">
        <v>50</v>
      </c>
      <c r="L4188" s="62"/>
      <c r="M4188" s="14"/>
      <c r="N4188" s="14" t="s">
        <v>33</v>
      </c>
      <c r="O4188" s="14"/>
      <c r="P4188" s="15" t="s">
        <v>47</v>
      </c>
      <c r="Q4188" s="16">
        <v>2299</v>
      </c>
      <c r="R4188" s="17">
        <v>43</v>
      </c>
      <c r="S4188" s="18">
        <v>1506.9945</v>
      </c>
      <c r="T4188" s="19" t="s">
        <v>36</v>
      </c>
      <c r="U4188" s="20" t="s">
        <v>54</v>
      </c>
      <c r="V4188" s="21" t="s">
        <v>55</v>
      </c>
      <c r="W4188" s="22">
        <v>11</v>
      </c>
      <c r="X4188" s="23"/>
    </row>
    <row r="4189" spans="1:24" s="1" customFormat="1" ht="21" customHeight="1" x14ac:dyDescent="0.3">
      <c r="A4189" s="24" t="s">
        <v>23</v>
      </c>
      <c r="B4189" s="24" t="s">
        <v>3886</v>
      </c>
      <c r="C4189" s="27" t="s">
        <v>3887</v>
      </c>
      <c r="D4189" s="60"/>
      <c r="E4189" s="41" t="str">
        <f>HYPERLINK("https://www.google.ru/search?q=1383010-004&amp;newwindow=1&amp;tbm=isch","Еще фото")</f>
        <v>Еще фото</v>
      </c>
      <c r="F4189" s="13"/>
      <c r="G4189" s="24" t="s">
        <v>3604</v>
      </c>
      <c r="H4189" s="24" t="s">
        <v>27</v>
      </c>
      <c r="I4189" s="24" t="s">
        <v>3599</v>
      </c>
      <c r="J4189" s="14" t="s">
        <v>29</v>
      </c>
      <c r="K4189" s="15" t="s">
        <v>50</v>
      </c>
      <c r="L4189" s="62"/>
      <c r="M4189" s="14"/>
      <c r="N4189" s="14" t="s">
        <v>33</v>
      </c>
      <c r="O4189" s="14"/>
      <c r="P4189" s="15" t="s">
        <v>47</v>
      </c>
      <c r="Q4189" s="16">
        <v>2299</v>
      </c>
      <c r="R4189" s="17">
        <v>43</v>
      </c>
      <c r="S4189" s="18">
        <v>1506.9945</v>
      </c>
      <c r="T4189" s="19" t="s">
        <v>36</v>
      </c>
      <c r="U4189" s="20" t="s">
        <v>234</v>
      </c>
      <c r="V4189" s="21" t="s">
        <v>235</v>
      </c>
      <c r="W4189" s="22">
        <v>11</v>
      </c>
      <c r="X4189" s="23"/>
    </row>
    <row r="4190" spans="1:24" s="1" customFormat="1" ht="21" customHeight="1" x14ac:dyDescent="0.3">
      <c r="A4190" s="24" t="s">
        <v>23</v>
      </c>
      <c r="B4190" s="24" t="s">
        <v>3886</v>
      </c>
      <c r="C4190" s="27" t="s">
        <v>3887</v>
      </c>
      <c r="D4190" s="60"/>
      <c r="E4190" s="41" t="str">
        <f>HYPERLINK("https://www.google.ru/search?q=1383010-004&amp;newwindow=1&amp;tbm=isch","Еще фото")</f>
        <v>Еще фото</v>
      </c>
      <c r="F4190" s="13"/>
      <c r="G4190" s="24" t="s">
        <v>3604</v>
      </c>
      <c r="H4190" s="24" t="s">
        <v>27</v>
      </c>
      <c r="I4190" s="24" t="s">
        <v>3599</v>
      </c>
      <c r="J4190" s="14" t="s">
        <v>29</v>
      </c>
      <c r="K4190" s="15" t="s">
        <v>50</v>
      </c>
      <c r="L4190" s="62"/>
      <c r="M4190" s="14"/>
      <c r="N4190" s="14" t="s">
        <v>33</v>
      </c>
      <c r="O4190" s="14"/>
      <c r="P4190" s="15" t="s">
        <v>47</v>
      </c>
      <c r="Q4190" s="16">
        <v>2299</v>
      </c>
      <c r="R4190" s="17">
        <v>43</v>
      </c>
      <c r="S4190" s="18">
        <v>1506.9945</v>
      </c>
      <c r="T4190" s="19" t="s">
        <v>36</v>
      </c>
      <c r="U4190" s="20" t="s">
        <v>71</v>
      </c>
      <c r="V4190" s="21" t="s">
        <v>72</v>
      </c>
      <c r="W4190" s="22">
        <v>14</v>
      </c>
      <c r="X4190" s="23"/>
    </row>
    <row r="4191" spans="1:24" s="1" customFormat="1" ht="32" customHeight="1" x14ac:dyDescent="0.3">
      <c r="A4191" s="24" t="s">
        <v>23</v>
      </c>
      <c r="B4191" s="24" t="s">
        <v>3886</v>
      </c>
      <c r="C4191" s="27" t="s">
        <v>3887</v>
      </c>
      <c r="D4191" s="61"/>
      <c r="E4191" s="41" t="str">
        <f>HYPERLINK("https://www.google.ru/search?q=1383010-004&amp;newwindow=1&amp;tbm=isch","Еще фото")</f>
        <v>Еще фото</v>
      </c>
      <c r="F4191" s="13"/>
      <c r="G4191" s="24" t="s">
        <v>3604</v>
      </c>
      <c r="H4191" s="24" t="s">
        <v>27</v>
      </c>
      <c r="I4191" s="24" t="s">
        <v>3599</v>
      </c>
      <c r="J4191" s="14" t="s">
        <v>29</v>
      </c>
      <c r="K4191" s="15" t="s">
        <v>50</v>
      </c>
      <c r="L4191" s="58"/>
      <c r="M4191" s="14"/>
      <c r="N4191" s="14" t="s">
        <v>33</v>
      </c>
      <c r="O4191" s="14"/>
      <c r="P4191" s="15" t="s">
        <v>47</v>
      </c>
      <c r="Q4191" s="16">
        <v>2299</v>
      </c>
      <c r="R4191" s="17">
        <v>43</v>
      </c>
      <c r="S4191" s="18">
        <v>1506.9945</v>
      </c>
      <c r="T4191" s="19" t="s">
        <v>36</v>
      </c>
      <c r="U4191" s="20" t="s">
        <v>73</v>
      </c>
      <c r="V4191" s="21" t="s">
        <v>74</v>
      </c>
      <c r="W4191" s="22">
        <v>7</v>
      </c>
      <c r="X4191" s="23"/>
    </row>
    <row r="4192" spans="1:24" s="1" customFormat="1" ht="21" customHeight="1" x14ac:dyDescent="0.3">
      <c r="A4192" s="11" t="s">
        <v>23</v>
      </c>
      <c r="B4192" s="11" t="s">
        <v>3886</v>
      </c>
      <c r="C4192" s="26" t="s">
        <v>3889</v>
      </c>
      <c r="D4192" s="59"/>
      <c r="E4192" s="41" t="str">
        <f>HYPERLINK("https://www.google.ru/search?q=1383010-027&amp;newwindow=1&amp;tbm=isch","Еще фото")</f>
        <v>Еще фото</v>
      </c>
      <c r="F4192" s="13"/>
      <c r="G4192" s="11" t="s">
        <v>3604</v>
      </c>
      <c r="H4192" s="11" t="s">
        <v>27</v>
      </c>
      <c r="I4192" s="14" t="s">
        <v>3599</v>
      </c>
      <c r="J4192" s="14" t="s">
        <v>29</v>
      </c>
      <c r="K4192" s="15" t="s">
        <v>50</v>
      </c>
      <c r="L4192" s="57" t="s">
        <v>3888</v>
      </c>
      <c r="M4192" s="14"/>
      <c r="N4192" s="14" t="s">
        <v>62</v>
      </c>
      <c r="O4192" s="14"/>
      <c r="P4192" s="15" t="s">
        <v>47</v>
      </c>
      <c r="Q4192" s="16">
        <v>2299</v>
      </c>
      <c r="R4192" s="17">
        <v>43</v>
      </c>
      <c r="S4192" s="18">
        <v>1506.9945</v>
      </c>
      <c r="T4192" s="19" t="s">
        <v>36</v>
      </c>
      <c r="U4192" s="20" t="s">
        <v>99</v>
      </c>
      <c r="V4192" s="21" t="s">
        <v>100</v>
      </c>
      <c r="W4192" s="22">
        <v>6</v>
      </c>
      <c r="X4192" s="23"/>
    </row>
    <row r="4193" spans="1:24" s="1" customFormat="1" ht="21" customHeight="1" x14ac:dyDescent="0.3">
      <c r="A4193" s="24" t="s">
        <v>23</v>
      </c>
      <c r="B4193" s="24" t="s">
        <v>3886</v>
      </c>
      <c r="C4193" s="27" t="s">
        <v>3889</v>
      </c>
      <c r="D4193" s="60"/>
      <c r="E4193" s="41" t="str">
        <f>HYPERLINK("https://www.google.ru/search?q=1383010-027&amp;newwindow=1&amp;tbm=isch","Еще фото")</f>
        <v>Еще фото</v>
      </c>
      <c r="F4193" s="13"/>
      <c r="G4193" s="24" t="s">
        <v>3604</v>
      </c>
      <c r="H4193" s="24" t="s">
        <v>27</v>
      </c>
      <c r="I4193" s="24" t="s">
        <v>3599</v>
      </c>
      <c r="J4193" s="14" t="s">
        <v>29</v>
      </c>
      <c r="K4193" s="15" t="s">
        <v>50</v>
      </c>
      <c r="L4193" s="62"/>
      <c r="M4193" s="14"/>
      <c r="N4193" s="14" t="s">
        <v>62</v>
      </c>
      <c r="O4193" s="14"/>
      <c r="P4193" s="15" t="s">
        <v>47</v>
      </c>
      <c r="Q4193" s="16">
        <v>2299</v>
      </c>
      <c r="R4193" s="17">
        <v>43</v>
      </c>
      <c r="S4193" s="18">
        <v>1506.9945</v>
      </c>
      <c r="T4193" s="19" t="s">
        <v>36</v>
      </c>
      <c r="U4193" s="20" t="s">
        <v>54</v>
      </c>
      <c r="V4193" s="21" t="s">
        <v>55</v>
      </c>
      <c r="W4193" s="22">
        <v>12</v>
      </c>
      <c r="X4193" s="23"/>
    </row>
    <row r="4194" spans="1:24" s="1" customFormat="1" ht="21" customHeight="1" x14ac:dyDescent="0.3">
      <c r="A4194" s="24" t="s">
        <v>23</v>
      </c>
      <c r="B4194" s="24" t="s">
        <v>3886</v>
      </c>
      <c r="C4194" s="27" t="s">
        <v>3889</v>
      </c>
      <c r="D4194" s="60"/>
      <c r="E4194" s="41" t="str">
        <f>HYPERLINK("https://www.google.ru/search?q=1383010-027&amp;newwindow=1&amp;tbm=isch","Еще фото")</f>
        <v>Еще фото</v>
      </c>
      <c r="F4194" s="13"/>
      <c r="G4194" s="24" t="s">
        <v>3604</v>
      </c>
      <c r="H4194" s="24" t="s">
        <v>27</v>
      </c>
      <c r="I4194" s="24" t="s">
        <v>3599</v>
      </c>
      <c r="J4194" s="14" t="s">
        <v>29</v>
      </c>
      <c r="K4194" s="15" t="s">
        <v>50</v>
      </c>
      <c r="L4194" s="62"/>
      <c r="M4194" s="14"/>
      <c r="N4194" s="14" t="s">
        <v>62</v>
      </c>
      <c r="O4194" s="14"/>
      <c r="P4194" s="15" t="s">
        <v>47</v>
      </c>
      <c r="Q4194" s="16">
        <v>2299</v>
      </c>
      <c r="R4194" s="17">
        <v>43</v>
      </c>
      <c r="S4194" s="18">
        <v>1506.9945</v>
      </c>
      <c r="T4194" s="19" t="s">
        <v>36</v>
      </c>
      <c r="U4194" s="20" t="s">
        <v>234</v>
      </c>
      <c r="V4194" s="21" t="s">
        <v>235</v>
      </c>
      <c r="W4194" s="22">
        <v>11</v>
      </c>
      <c r="X4194" s="23"/>
    </row>
    <row r="4195" spans="1:24" s="1" customFormat="1" ht="21" customHeight="1" x14ac:dyDescent="0.3">
      <c r="A4195" s="24" t="s">
        <v>23</v>
      </c>
      <c r="B4195" s="24" t="s">
        <v>3886</v>
      </c>
      <c r="C4195" s="27" t="s">
        <v>3889</v>
      </c>
      <c r="D4195" s="60"/>
      <c r="E4195" s="41" t="str">
        <f>HYPERLINK("https://www.google.ru/search?q=1383010-027&amp;newwindow=1&amp;tbm=isch","Еще фото")</f>
        <v>Еще фото</v>
      </c>
      <c r="F4195" s="13"/>
      <c r="G4195" s="24" t="s">
        <v>3604</v>
      </c>
      <c r="H4195" s="24" t="s">
        <v>27</v>
      </c>
      <c r="I4195" s="24" t="s">
        <v>3599</v>
      </c>
      <c r="J4195" s="14" t="s">
        <v>29</v>
      </c>
      <c r="K4195" s="15" t="s">
        <v>50</v>
      </c>
      <c r="L4195" s="62"/>
      <c r="M4195" s="14"/>
      <c r="N4195" s="14" t="s">
        <v>62</v>
      </c>
      <c r="O4195" s="14"/>
      <c r="P4195" s="15" t="s">
        <v>47</v>
      </c>
      <c r="Q4195" s="16">
        <v>2299</v>
      </c>
      <c r="R4195" s="17">
        <v>43</v>
      </c>
      <c r="S4195" s="18">
        <v>1506.9945</v>
      </c>
      <c r="T4195" s="19" t="s">
        <v>36</v>
      </c>
      <c r="U4195" s="20" t="s">
        <v>71</v>
      </c>
      <c r="V4195" s="21" t="s">
        <v>72</v>
      </c>
      <c r="W4195" s="22">
        <v>13</v>
      </c>
      <c r="X4195" s="23"/>
    </row>
    <row r="4196" spans="1:24" s="1" customFormat="1" ht="32" customHeight="1" x14ac:dyDescent="0.3">
      <c r="A4196" s="24" t="s">
        <v>23</v>
      </c>
      <c r="B4196" s="24" t="s">
        <v>3886</v>
      </c>
      <c r="C4196" s="27" t="s">
        <v>3889</v>
      </c>
      <c r="D4196" s="61"/>
      <c r="E4196" s="41" t="str">
        <f>HYPERLINK("https://www.google.ru/search?q=1383010-027&amp;newwindow=1&amp;tbm=isch","Еще фото")</f>
        <v>Еще фото</v>
      </c>
      <c r="F4196" s="13"/>
      <c r="G4196" s="24" t="s">
        <v>3604</v>
      </c>
      <c r="H4196" s="24" t="s">
        <v>27</v>
      </c>
      <c r="I4196" s="24" t="s">
        <v>3599</v>
      </c>
      <c r="J4196" s="14" t="s">
        <v>29</v>
      </c>
      <c r="K4196" s="15" t="s">
        <v>50</v>
      </c>
      <c r="L4196" s="58"/>
      <c r="M4196" s="14"/>
      <c r="N4196" s="14" t="s">
        <v>62</v>
      </c>
      <c r="O4196" s="14"/>
      <c r="P4196" s="15" t="s">
        <v>47</v>
      </c>
      <c r="Q4196" s="16">
        <v>2299</v>
      </c>
      <c r="R4196" s="17">
        <v>43</v>
      </c>
      <c r="S4196" s="18">
        <v>1506.9945</v>
      </c>
      <c r="T4196" s="19" t="s">
        <v>36</v>
      </c>
      <c r="U4196" s="20" t="s">
        <v>73</v>
      </c>
      <c r="V4196" s="21" t="s">
        <v>74</v>
      </c>
      <c r="W4196" s="22">
        <v>9</v>
      </c>
      <c r="X4196" s="23"/>
    </row>
    <row r="4197" spans="1:24" s="1" customFormat="1" ht="21" customHeight="1" x14ac:dyDescent="0.3">
      <c r="A4197" s="11" t="s">
        <v>23</v>
      </c>
      <c r="B4197" s="11" t="s">
        <v>3886</v>
      </c>
      <c r="C4197" s="26" t="s">
        <v>3890</v>
      </c>
      <c r="D4197" s="59"/>
      <c r="E4197" s="41" t="str">
        <f>HYPERLINK("https://www.google.ru/search?q=1383010-338&amp;newwindow=1&amp;tbm=isch","Еще фото")</f>
        <v>Еще фото</v>
      </c>
      <c r="F4197" s="13"/>
      <c r="G4197" s="11" t="s">
        <v>3604</v>
      </c>
      <c r="H4197" s="11" t="s">
        <v>27</v>
      </c>
      <c r="I4197" s="14" t="s">
        <v>3599</v>
      </c>
      <c r="J4197" s="14" t="s">
        <v>29</v>
      </c>
      <c r="K4197" s="15" t="s">
        <v>50</v>
      </c>
      <c r="L4197" s="57" t="s">
        <v>3888</v>
      </c>
      <c r="M4197" s="14"/>
      <c r="N4197" s="14" t="s">
        <v>127</v>
      </c>
      <c r="O4197" s="14"/>
      <c r="P4197" s="15" t="s">
        <v>47</v>
      </c>
      <c r="Q4197" s="16">
        <v>2299</v>
      </c>
      <c r="R4197" s="17">
        <v>43</v>
      </c>
      <c r="S4197" s="18">
        <v>1506.9945</v>
      </c>
      <c r="T4197" s="19" t="s">
        <v>36</v>
      </c>
      <c r="U4197" s="20" t="s">
        <v>99</v>
      </c>
      <c r="V4197" s="21" t="s">
        <v>100</v>
      </c>
      <c r="W4197" s="22">
        <v>4</v>
      </c>
      <c r="X4197" s="23"/>
    </row>
    <row r="4198" spans="1:24" s="1" customFormat="1" ht="21" customHeight="1" x14ac:dyDescent="0.3">
      <c r="A4198" s="24" t="s">
        <v>23</v>
      </c>
      <c r="B4198" s="24" t="s">
        <v>3886</v>
      </c>
      <c r="C4198" s="27" t="s">
        <v>3890</v>
      </c>
      <c r="D4198" s="60"/>
      <c r="E4198" s="41" t="str">
        <f>HYPERLINK("https://www.google.ru/search?q=1383010-338&amp;newwindow=1&amp;tbm=isch","Еще фото")</f>
        <v>Еще фото</v>
      </c>
      <c r="F4198" s="13"/>
      <c r="G4198" s="24" t="s">
        <v>3604</v>
      </c>
      <c r="H4198" s="24" t="s">
        <v>27</v>
      </c>
      <c r="I4198" s="24" t="s">
        <v>3599</v>
      </c>
      <c r="J4198" s="14" t="s">
        <v>29</v>
      </c>
      <c r="K4198" s="15" t="s">
        <v>50</v>
      </c>
      <c r="L4198" s="62"/>
      <c r="M4198" s="14"/>
      <c r="N4198" s="14" t="s">
        <v>127</v>
      </c>
      <c r="O4198" s="14"/>
      <c r="P4198" s="15" t="s">
        <v>47</v>
      </c>
      <c r="Q4198" s="16">
        <v>2299</v>
      </c>
      <c r="R4198" s="17">
        <v>43</v>
      </c>
      <c r="S4198" s="18">
        <v>1506.9945</v>
      </c>
      <c r="T4198" s="19" t="s">
        <v>36</v>
      </c>
      <c r="U4198" s="20" t="s">
        <v>54</v>
      </c>
      <c r="V4198" s="21" t="s">
        <v>55</v>
      </c>
      <c r="W4198" s="22">
        <v>12</v>
      </c>
      <c r="X4198" s="23"/>
    </row>
    <row r="4199" spans="1:24" s="1" customFormat="1" ht="21" customHeight="1" x14ac:dyDescent="0.3">
      <c r="A4199" s="24" t="s">
        <v>23</v>
      </c>
      <c r="B4199" s="24" t="s">
        <v>3886</v>
      </c>
      <c r="C4199" s="27" t="s">
        <v>3890</v>
      </c>
      <c r="D4199" s="60"/>
      <c r="E4199" s="41" t="str">
        <f>HYPERLINK("https://www.google.ru/search?q=1383010-338&amp;newwindow=1&amp;tbm=isch","Еще фото")</f>
        <v>Еще фото</v>
      </c>
      <c r="F4199" s="13"/>
      <c r="G4199" s="24" t="s">
        <v>3604</v>
      </c>
      <c r="H4199" s="24" t="s">
        <v>27</v>
      </c>
      <c r="I4199" s="24" t="s">
        <v>3599</v>
      </c>
      <c r="J4199" s="14" t="s">
        <v>29</v>
      </c>
      <c r="K4199" s="15" t="s">
        <v>50</v>
      </c>
      <c r="L4199" s="62"/>
      <c r="M4199" s="14"/>
      <c r="N4199" s="14" t="s">
        <v>127</v>
      </c>
      <c r="O4199" s="14"/>
      <c r="P4199" s="15" t="s">
        <v>47</v>
      </c>
      <c r="Q4199" s="16">
        <v>2299</v>
      </c>
      <c r="R4199" s="17">
        <v>43</v>
      </c>
      <c r="S4199" s="18">
        <v>1506.9945</v>
      </c>
      <c r="T4199" s="19" t="s">
        <v>36</v>
      </c>
      <c r="U4199" s="20" t="s">
        <v>234</v>
      </c>
      <c r="V4199" s="21" t="s">
        <v>235</v>
      </c>
      <c r="W4199" s="22">
        <v>11</v>
      </c>
      <c r="X4199" s="23"/>
    </row>
    <row r="4200" spans="1:24" s="1" customFormat="1" ht="21" customHeight="1" x14ac:dyDescent="0.3">
      <c r="A4200" s="24" t="s">
        <v>23</v>
      </c>
      <c r="B4200" s="24" t="s">
        <v>3886</v>
      </c>
      <c r="C4200" s="27" t="s">
        <v>3890</v>
      </c>
      <c r="D4200" s="60"/>
      <c r="E4200" s="41" t="str">
        <f>HYPERLINK("https://www.google.ru/search?q=1383010-338&amp;newwindow=1&amp;tbm=isch","Еще фото")</f>
        <v>Еще фото</v>
      </c>
      <c r="F4200" s="13"/>
      <c r="G4200" s="24" t="s">
        <v>3604</v>
      </c>
      <c r="H4200" s="24" t="s">
        <v>27</v>
      </c>
      <c r="I4200" s="24" t="s">
        <v>3599</v>
      </c>
      <c r="J4200" s="14" t="s">
        <v>29</v>
      </c>
      <c r="K4200" s="15" t="s">
        <v>50</v>
      </c>
      <c r="L4200" s="62"/>
      <c r="M4200" s="14"/>
      <c r="N4200" s="14" t="s">
        <v>127</v>
      </c>
      <c r="O4200" s="14"/>
      <c r="P4200" s="15" t="s">
        <v>47</v>
      </c>
      <c r="Q4200" s="16">
        <v>2299</v>
      </c>
      <c r="R4200" s="17">
        <v>43</v>
      </c>
      <c r="S4200" s="18">
        <v>1506.9945</v>
      </c>
      <c r="T4200" s="19" t="s">
        <v>36</v>
      </c>
      <c r="U4200" s="20" t="s">
        <v>71</v>
      </c>
      <c r="V4200" s="21" t="s">
        <v>72</v>
      </c>
      <c r="W4200" s="22">
        <v>18</v>
      </c>
      <c r="X4200" s="23"/>
    </row>
    <row r="4201" spans="1:24" s="1" customFormat="1" ht="32" customHeight="1" x14ac:dyDescent="0.3">
      <c r="A4201" s="24" t="s">
        <v>23</v>
      </c>
      <c r="B4201" s="24" t="s">
        <v>3886</v>
      </c>
      <c r="C4201" s="27" t="s">
        <v>3890</v>
      </c>
      <c r="D4201" s="61"/>
      <c r="E4201" s="41" t="str">
        <f>HYPERLINK("https://www.google.ru/search?q=1383010-338&amp;newwindow=1&amp;tbm=isch","Еще фото")</f>
        <v>Еще фото</v>
      </c>
      <c r="F4201" s="13"/>
      <c r="G4201" s="24" t="s">
        <v>3604</v>
      </c>
      <c r="H4201" s="24" t="s">
        <v>27</v>
      </c>
      <c r="I4201" s="24" t="s">
        <v>3599</v>
      </c>
      <c r="J4201" s="14" t="s">
        <v>29</v>
      </c>
      <c r="K4201" s="15" t="s">
        <v>50</v>
      </c>
      <c r="L4201" s="58"/>
      <c r="M4201" s="14"/>
      <c r="N4201" s="14" t="s">
        <v>127</v>
      </c>
      <c r="O4201" s="14"/>
      <c r="P4201" s="15" t="s">
        <v>47</v>
      </c>
      <c r="Q4201" s="16">
        <v>2299</v>
      </c>
      <c r="R4201" s="17">
        <v>43</v>
      </c>
      <c r="S4201" s="18">
        <v>1506.9945</v>
      </c>
      <c r="T4201" s="19" t="s">
        <v>36</v>
      </c>
      <c r="U4201" s="20" t="s">
        <v>73</v>
      </c>
      <c r="V4201" s="21" t="s">
        <v>74</v>
      </c>
      <c r="W4201" s="22">
        <v>10</v>
      </c>
      <c r="X4201" s="23"/>
    </row>
    <row r="4202" spans="1:24" s="1" customFormat="1" ht="26" customHeight="1" x14ac:dyDescent="0.3">
      <c r="A4202" s="11" t="s">
        <v>23</v>
      </c>
      <c r="B4202" s="11" t="s">
        <v>3891</v>
      </c>
      <c r="C4202" s="12" t="s">
        <v>3892</v>
      </c>
      <c r="D4202" s="59"/>
      <c r="E4202" s="41" t="str">
        <f>HYPERLINK("https://www.google.ru/search?q=1384229-703&amp;newwindow=1&amp;tbm=isch","Еще фото")</f>
        <v>Еще фото</v>
      </c>
      <c r="F4202" s="13"/>
      <c r="G4202" s="11" t="s">
        <v>3604</v>
      </c>
      <c r="H4202" s="11" t="s">
        <v>27</v>
      </c>
      <c r="I4202" s="14" t="s">
        <v>3599</v>
      </c>
      <c r="J4202" s="14" t="s">
        <v>29</v>
      </c>
      <c r="K4202" s="15" t="s">
        <v>59</v>
      </c>
      <c r="L4202" s="57" t="s">
        <v>3893</v>
      </c>
      <c r="M4202" s="14"/>
      <c r="N4202" s="14" t="s">
        <v>46</v>
      </c>
      <c r="O4202" s="14"/>
      <c r="P4202" s="15" t="s">
        <v>47</v>
      </c>
      <c r="Q4202" s="16">
        <v>2999</v>
      </c>
      <c r="R4202" s="17">
        <v>43</v>
      </c>
      <c r="S4202" s="18">
        <v>1965.8444999999999</v>
      </c>
      <c r="T4202" s="19" t="s">
        <v>36</v>
      </c>
      <c r="U4202" s="20" t="s">
        <v>63</v>
      </c>
      <c r="V4202" s="21" t="s">
        <v>64</v>
      </c>
      <c r="W4202" s="22">
        <v>9</v>
      </c>
      <c r="X4202" s="23"/>
    </row>
    <row r="4203" spans="1:24" s="1" customFormat="1" ht="26" customHeight="1" x14ac:dyDescent="0.3">
      <c r="A4203" s="24" t="s">
        <v>23</v>
      </c>
      <c r="B4203" s="24" t="s">
        <v>3891</v>
      </c>
      <c r="C4203" s="12" t="s">
        <v>3892</v>
      </c>
      <c r="D4203" s="60"/>
      <c r="E4203" s="41" t="str">
        <f>HYPERLINK("https://www.google.ru/search?q=1384229-703&amp;newwindow=1&amp;tbm=isch","Еще фото")</f>
        <v>Еще фото</v>
      </c>
      <c r="F4203" s="13"/>
      <c r="G4203" s="24" t="s">
        <v>3604</v>
      </c>
      <c r="H4203" s="24" t="s">
        <v>27</v>
      </c>
      <c r="I4203" s="24" t="s">
        <v>3599</v>
      </c>
      <c r="J4203" s="14" t="s">
        <v>29</v>
      </c>
      <c r="K4203" s="15" t="s">
        <v>59</v>
      </c>
      <c r="L4203" s="62"/>
      <c r="M4203" s="14"/>
      <c r="N4203" s="14" t="s">
        <v>46</v>
      </c>
      <c r="O4203" s="14"/>
      <c r="P4203" s="15" t="s">
        <v>47</v>
      </c>
      <c r="Q4203" s="16">
        <v>2999</v>
      </c>
      <c r="R4203" s="17">
        <v>43</v>
      </c>
      <c r="S4203" s="18">
        <v>1965.8444999999999</v>
      </c>
      <c r="T4203" s="19" t="s">
        <v>36</v>
      </c>
      <c r="U4203" s="20" t="s">
        <v>37</v>
      </c>
      <c r="V4203" s="21" t="s">
        <v>106</v>
      </c>
      <c r="W4203" s="22">
        <v>6</v>
      </c>
      <c r="X4203" s="23"/>
    </row>
    <row r="4204" spans="1:24" s="1" customFormat="1" ht="26" customHeight="1" x14ac:dyDescent="0.3">
      <c r="A4204" s="24" t="s">
        <v>23</v>
      </c>
      <c r="B4204" s="24" t="s">
        <v>3891</v>
      </c>
      <c r="C4204" s="12" t="s">
        <v>3892</v>
      </c>
      <c r="D4204" s="60"/>
      <c r="E4204" s="41" t="str">
        <f>HYPERLINK("https://www.google.ru/search?q=1384229-703&amp;newwindow=1&amp;tbm=isch","Еще фото")</f>
        <v>Еще фото</v>
      </c>
      <c r="F4204" s="13"/>
      <c r="G4204" s="24" t="s">
        <v>3604</v>
      </c>
      <c r="H4204" s="24" t="s">
        <v>27</v>
      </c>
      <c r="I4204" s="24" t="s">
        <v>3599</v>
      </c>
      <c r="J4204" s="14" t="s">
        <v>29</v>
      </c>
      <c r="K4204" s="15" t="s">
        <v>59</v>
      </c>
      <c r="L4204" s="62"/>
      <c r="M4204" s="14"/>
      <c r="N4204" s="14" t="s">
        <v>46</v>
      </c>
      <c r="O4204" s="14"/>
      <c r="P4204" s="15" t="s">
        <v>47</v>
      </c>
      <c r="Q4204" s="16">
        <v>2999</v>
      </c>
      <c r="R4204" s="17">
        <v>43</v>
      </c>
      <c r="S4204" s="18">
        <v>1965.8444999999999</v>
      </c>
      <c r="T4204" s="19" t="s">
        <v>36</v>
      </c>
      <c r="U4204" s="20" t="s">
        <v>39</v>
      </c>
      <c r="V4204" s="21" t="s">
        <v>85</v>
      </c>
      <c r="W4204" s="22">
        <v>3</v>
      </c>
      <c r="X4204" s="23"/>
    </row>
    <row r="4205" spans="1:24" s="1" customFormat="1" ht="26" customHeight="1" x14ac:dyDescent="0.3">
      <c r="A4205" s="24" t="s">
        <v>23</v>
      </c>
      <c r="B4205" s="24" t="s">
        <v>3891</v>
      </c>
      <c r="C4205" s="12" t="s">
        <v>3892</v>
      </c>
      <c r="D4205" s="61"/>
      <c r="E4205" s="41" t="str">
        <f>HYPERLINK("https://www.google.ru/search?q=1384229-703&amp;newwindow=1&amp;tbm=isch","Еще фото")</f>
        <v>Еще фото</v>
      </c>
      <c r="F4205" s="13"/>
      <c r="G4205" s="24" t="s">
        <v>3604</v>
      </c>
      <c r="H4205" s="24" t="s">
        <v>27</v>
      </c>
      <c r="I4205" s="24" t="s">
        <v>3599</v>
      </c>
      <c r="J4205" s="14" t="s">
        <v>29</v>
      </c>
      <c r="K4205" s="15" t="s">
        <v>59</v>
      </c>
      <c r="L4205" s="58"/>
      <c r="M4205" s="14"/>
      <c r="N4205" s="14" t="s">
        <v>46</v>
      </c>
      <c r="O4205" s="14"/>
      <c r="P4205" s="15" t="s">
        <v>47</v>
      </c>
      <c r="Q4205" s="16">
        <v>2999</v>
      </c>
      <c r="R4205" s="17">
        <v>43</v>
      </c>
      <c r="S4205" s="18">
        <v>1965.8444999999999</v>
      </c>
      <c r="T4205" s="19" t="s">
        <v>36</v>
      </c>
      <c r="U4205" s="20" t="s">
        <v>86</v>
      </c>
      <c r="V4205" s="21" t="s">
        <v>38</v>
      </c>
      <c r="W4205" s="22">
        <v>5</v>
      </c>
      <c r="X4205" s="23"/>
    </row>
    <row r="4206" spans="1:24" s="1" customFormat="1" ht="35" customHeight="1" x14ac:dyDescent="0.3">
      <c r="A4206" s="11" t="s">
        <v>23</v>
      </c>
      <c r="B4206" s="11" t="s">
        <v>3894</v>
      </c>
      <c r="C4206" s="12" t="s">
        <v>3895</v>
      </c>
      <c r="D4206" s="59"/>
      <c r="E4206" s="41" t="str">
        <f>HYPERLINK("https://www.google.ru/search?q=6005083-279&amp;newwindow=1&amp;tbm=isch","Еще фото")</f>
        <v>Еще фото</v>
      </c>
      <c r="F4206" s="13"/>
      <c r="G4206" s="11" t="s">
        <v>3604</v>
      </c>
      <c r="H4206" s="11" t="s">
        <v>27</v>
      </c>
      <c r="I4206" s="14" t="s">
        <v>3599</v>
      </c>
      <c r="J4206" s="14" t="s">
        <v>43</v>
      </c>
      <c r="K4206" s="15" t="s">
        <v>59</v>
      </c>
      <c r="L4206" s="57" t="s">
        <v>3896</v>
      </c>
      <c r="M4206" s="14"/>
      <c r="N4206" s="14" t="s">
        <v>332</v>
      </c>
      <c r="O4206" s="14"/>
      <c r="P4206" s="15" t="s">
        <v>2951</v>
      </c>
      <c r="Q4206" s="16">
        <v>4899</v>
      </c>
      <c r="R4206" s="17">
        <v>43</v>
      </c>
      <c r="S4206" s="18">
        <v>3211.2944999999995</v>
      </c>
      <c r="T4206" s="19" t="s">
        <v>36</v>
      </c>
      <c r="U4206" s="20" t="s">
        <v>63</v>
      </c>
      <c r="V4206" s="21" t="s">
        <v>64</v>
      </c>
      <c r="W4206" s="22">
        <v>3</v>
      </c>
      <c r="X4206" s="23"/>
    </row>
    <row r="4207" spans="1:24" s="1" customFormat="1" ht="35" customHeight="1" x14ac:dyDescent="0.3">
      <c r="A4207" s="24" t="s">
        <v>23</v>
      </c>
      <c r="B4207" s="24" t="s">
        <v>3894</v>
      </c>
      <c r="C4207" s="12" t="s">
        <v>3895</v>
      </c>
      <c r="D4207" s="60"/>
      <c r="E4207" s="41" t="str">
        <f>HYPERLINK("https://www.google.ru/search?q=6005083-279&amp;newwindow=1&amp;tbm=isch","Еще фото")</f>
        <v>Еще фото</v>
      </c>
      <c r="F4207" s="13"/>
      <c r="G4207" s="24" t="s">
        <v>3604</v>
      </c>
      <c r="H4207" s="24" t="s">
        <v>27</v>
      </c>
      <c r="I4207" s="24" t="s">
        <v>3599</v>
      </c>
      <c r="J4207" s="14" t="s">
        <v>43</v>
      </c>
      <c r="K4207" s="15" t="s">
        <v>59</v>
      </c>
      <c r="L4207" s="62"/>
      <c r="M4207" s="14"/>
      <c r="N4207" s="14" t="s">
        <v>332</v>
      </c>
      <c r="O4207" s="14"/>
      <c r="P4207" s="15" t="s">
        <v>2951</v>
      </c>
      <c r="Q4207" s="16">
        <v>4899</v>
      </c>
      <c r="R4207" s="17">
        <v>43</v>
      </c>
      <c r="S4207" s="18">
        <v>3211.2944999999995</v>
      </c>
      <c r="T4207" s="19" t="s">
        <v>36</v>
      </c>
      <c r="U4207" s="20" t="s">
        <v>37</v>
      </c>
      <c r="V4207" s="21" t="s">
        <v>106</v>
      </c>
      <c r="W4207" s="22">
        <v>4</v>
      </c>
      <c r="X4207" s="23"/>
    </row>
    <row r="4208" spans="1:24" s="1" customFormat="1" ht="37.049999999999997" customHeight="1" x14ac:dyDescent="0.3">
      <c r="A4208" s="24" t="s">
        <v>23</v>
      </c>
      <c r="B4208" s="24" t="s">
        <v>3894</v>
      </c>
      <c r="C4208" s="12" t="s">
        <v>3895</v>
      </c>
      <c r="D4208" s="61"/>
      <c r="E4208" s="41" t="str">
        <f>HYPERLINK("https://www.google.ru/search?q=6005083-279&amp;newwindow=1&amp;tbm=isch","Еще фото")</f>
        <v>Еще фото</v>
      </c>
      <c r="F4208" s="13"/>
      <c r="G4208" s="24" t="s">
        <v>3604</v>
      </c>
      <c r="H4208" s="24" t="s">
        <v>27</v>
      </c>
      <c r="I4208" s="24" t="s">
        <v>3599</v>
      </c>
      <c r="J4208" s="14" t="s">
        <v>43</v>
      </c>
      <c r="K4208" s="15" t="s">
        <v>59</v>
      </c>
      <c r="L4208" s="58"/>
      <c r="M4208" s="14"/>
      <c r="N4208" s="14" t="s">
        <v>332</v>
      </c>
      <c r="O4208" s="14"/>
      <c r="P4208" s="15" t="s">
        <v>2951</v>
      </c>
      <c r="Q4208" s="16">
        <v>4899</v>
      </c>
      <c r="R4208" s="17">
        <v>43</v>
      </c>
      <c r="S4208" s="18">
        <v>3211.2944999999995</v>
      </c>
      <c r="T4208" s="19" t="s">
        <v>36</v>
      </c>
      <c r="U4208" s="20" t="s">
        <v>39</v>
      </c>
      <c r="V4208" s="21" t="s">
        <v>85</v>
      </c>
      <c r="W4208" s="22">
        <v>6</v>
      </c>
      <c r="X4208" s="23"/>
    </row>
    <row r="4209" spans="1:24" s="1" customFormat="1" ht="35" customHeight="1" x14ac:dyDescent="0.3">
      <c r="A4209" s="11" t="s">
        <v>23</v>
      </c>
      <c r="B4209" s="11" t="s">
        <v>3897</v>
      </c>
      <c r="C4209" s="12" t="s">
        <v>3898</v>
      </c>
      <c r="D4209" s="59"/>
      <c r="E4209" s="41" t="str">
        <f>HYPERLINK("https://www.google.ru/search?q=1290140-040&amp;newwindow=1&amp;tbm=isch","Еще фото")</f>
        <v>Еще фото</v>
      </c>
      <c r="F4209" s="13" t="s">
        <v>103</v>
      </c>
      <c r="G4209" s="11" t="s">
        <v>3632</v>
      </c>
      <c r="H4209" s="11" t="s">
        <v>27</v>
      </c>
      <c r="I4209" s="14" t="s">
        <v>3599</v>
      </c>
      <c r="J4209" s="14" t="s">
        <v>211</v>
      </c>
      <c r="K4209" s="15" t="s">
        <v>30</v>
      </c>
      <c r="L4209" s="57" t="s">
        <v>3899</v>
      </c>
      <c r="M4209" s="14" t="s">
        <v>3209</v>
      </c>
      <c r="N4209" s="14" t="s">
        <v>62</v>
      </c>
      <c r="O4209" s="14" t="s">
        <v>34</v>
      </c>
      <c r="P4209" s="15" t="s">
        <v>47</v>
      </c>
      <c r="Q4209" s="16">
        <v>4299</v>
      </c>
      <c r="R4209" s="17">
        <v>40</v>
      </c>
      <c r="S4209" s="18">
        <v>2966.31</v>
      </c>
      <c r="T4209" s="19" t="s">
        <v>36</v>
      </c>
      <c r="U4209" s="20" t="s">
        <v>37</v>
      </c>
      <c r="V4209" s="21" t="s">
        <v>38</v>
      </c>
      <c r="W4209" s="22">
        <v>3</v>
      </c>
      <c r="X4209" s="23"/>
    </row>
    <row r="4210" spans="1:24" s="1" customFormat="1" ht="35" customHeight="1" x14ac:dyDescent="0.3">
      <c r="A4210" s="24" t="s">
        <v>23</v>
      </c>
      <c r="B4210" s="24" t="s">
        <v>3897</v>
      </c>
      <c r="C4210" s="12" t="s">
        <v>3898</v>
      </c>
      <c r="D4210" s="60"/>
      <c r="E4210" s="41" t="str">
        <f>HYPERLINK("https://www.google.ru/search?q=1290140-040&amp;newwindow=1&amp;tbm=isch","Еще фото")</f>
        <v>Еще фото</v>
      </c>
      <c r="F4210" s="13" t="s">
        <v>103</v>
      </c>
      <c r="G4210" s="24" t="s">
        <v>3632</v>
      </c>
      <c r="H4210" s="24" t="s">
        <v>27</v>
      </c>
      <c r="I4210" s="24" t="s">
        <v>3599</v>
      </c>
      <c r="J4210" s="14" t="s">
        <v>211</v>
      </c>
      <c r="K4210" s="15" t="s">
        <v>30</v>
      </c>
      <c r="L4210" s="62"/>
      <c r="M4210" s="14" t="s">
        <v>3209</v>
      </c>
      <c r="N4210" s="14" t="s">
        <v>62</v>
      </c>
      <c r="O4210" s="14" t="s">
        <v>34</v>
      </c>
      <c r="P4210" s="15" t="s">
        <v>47</v>
      </c>
      <c r="Q4210" s="16">
        <v>4299</v>
      </c>
      <c r="R4210" s="17">
        <v>40</v>
      </c>
      <c r="S4210" s="18">
        <v>2966.31</v>
      </c>
      <c r="T4210" s="19" t="s">
        <v>36</v>
      </c>
      <c r="U4210" s="20" t="s">
        <v>39</v>
      </c>
      <c r="V4210" s="21" t="s">
        <v>40</v>
      </c>
      <c r="W4210" s="22">
        <v>14</v>
      </c>
      <c r="X4210" s="23"/>
    </row>
    <row r="4211" spans="1:24" s="1" customFormat="1" ht="37.049999999999997" customHeight="1" x14ac:dyDescent="0.3">
      <c r="A4211" s="24" t="s">
        <v>23</v>
      </c>
      <c r="B4211" s="24" t="s">
        <v>3897</v>
      </c>
      <c r="C4211" s="12" t="s">
        <v>3898</v>
      </c>
      <c r="D4211" s="61"/>
      <c r="E4211" s="41" t="str">
        <f>HYPERLINK("https://www.google.ru/search?q=1290140-040&amp;newwindow=1&amp;tbm=isch","Еще фото")</f>
        <v>Еще фото</v>
      </c>
      <c r="F4211" s="13" t="s">
        <v>103</v>
      </c>
      <c r="G4211" s="24" t="s">
        <v>3632</v>
      </c>
      <c r="H4211" s="24" t="s">
        <v>27</v>
      </c>
      <c r="I4211" s="24" t="s">
        <v>3599</v>
      </c>
      <c r="J4211" s="14" t="s">
        <v>211</v>
      </c>
      <c r="K4211" s="15" t="s">
        <v>30</v>
      </c>
      <c r="L4211" s="58"/>
      <c r="M4211" s="14" t="s">
        <v>3209</v>
      </c>
      <c r="N4211" s="14" t="s">
        <v>62</v>
      </c>
      <c r="O4211" s="14" t="s">
        <v>34</v>
      </c>
      <c r="P4211" s="15" t="s">
        <v>47</v>
      </c>
      <c r="Q4211" s="16">
        <v>4299</v>
      </c>
      <c r="R4211" s="17">
        <v>40</v>
      </c>
      <c r="S4211" s="18">
        <v>2966.31</v>
      </c>
      <c r="T4211" s="19" t="s">
        <v>36</v>
      </c>
      <c r="U4211" s="20" t="s">
        <v>86</v>
      </c>
      <c r="V4211" s="21" t="s">
        <v>87</v>
      </c>
      <c r="W4211" s="22">
        <v>17</v>
      </c>
      <c r="X4211" s="23"/>
    </row>
    <row r="4212" spans="1:24" s="1" customFormat="1" ht="52.05" customHeight="1" x14ac:dyDescent="0.3">
      <c r="A4212" s="11" t="s">
        <v>23</v>
      </c>
      <c r="B4212" s="11" t="s">
        <v>3900</v>
      </c>
      <c r="C4212" s="12" t="s">
        <v>3901</v>
      </c>
      <c r="D4212" s="55"/>
      <c r="E4212" s="41" t="str">
        <f>HYPERLINK("https://www.google.ru/search?q=1290140-069&amp;newwindow=1&amp;tbm=isch","Еще фото")</f>
        <v>Еще фото</v>
      </c>
      <c r="F4212" s="13" t="s">
        <v>103</v>
      </c>
      <c r="G4212" s="11" t="s">
        <v>3632</v>
      </c>
      <c r="H4212" s="11" t="s">
        <v>27</v>
      </c>
      <c r="I4212" s="14" t="s">
        <v>3599</v>
      </c>
      <c r="J4212" s="14" t="s">
        <v>211</v>
      </c>
      <c r="K4212" s="15" t="s">
        <v>30</v>
      </c>
      <c r="L4212" s="57" t="s">
        <v>3902</v>
      </c>
      <c r="M4212" s="14"/>
      <c r="N4212" s="14" t="s">
        <v>62</v>
      </c>
      <c r="O4212" s="14"/>
      <c r="P4212" s="15" t="s">
        <v>47</v>
      </c>
      <c r="Q4212" s="16">
        <v>4299</v>
      </c>
      <c r="R4212" s="17">
        <v>40</v>
      </c>
      <c r="S4212" s="18">
        <v>2966.31</v>
      </c>
      <c r="T4212" s="19" t="s">
        <v>36</v>
      </c>
      <c r="U4212" s="20" t="s">
        <v>37</v>
      </c>
      <c r="V4212" s="21" t="s">
        <v>38</v>
      </c>
      <c r="W4212" s="22">
        <v>3</v>
      </c>
      <c r="X4212" s="23"/>
    </row>
    <row r="4213" spans="1:24" s="1" customFormat="1" ht="61.05" customHeight="1" x14ac:dyDescent="0.3">
      <c r="A4213" s="24" t="s">
        <v>23</v>
      </c>
      <c r="B4213" s="24" t="s">
        <v>3900</v>
      </c>
      <c r="C4213" s="12" t="s">
        <v>3901</v>
      </c>
      <c r="D4213" s="56"/>
      <c r="E4213" s="41" t="str">
        <f>HYPERLINK("https://www.google.ru/search?q=1290140-069&amp;newwindow=1&amp;tbm=isch","Еще фото")</f>
        <v>Еще фото</v>
      </c>
      <c r="F4213" s="13" t="s">
        <v>103</v>
      </c>
      <c r="G4213" s="24" t="s">
        <v>3632</v>
      </c>
      <c r="H4213" s="24" t="s">
        <v>27</v>
      </c>
      <c r="I4213" s="24" t="s">
        <v>3599</v>
      </c>
      <c r="J4213" s="14" t="s">
        <v>211</v>
      </c>
      <c r="K4213" s="15" t="s">
        <v>30</v>
      </c>
      <c r="L4213" s="58"/>
      <c r="M4213" s="14"/>
      <c r="N4213" s="14" t="s">
        <v>62</v>
      </c>
      <c r="O4213" s="14"/>
      <c r="P4213" s="15" t="s">
        <v>47</v>
      </c>
      <c r="Q4213" s="16">
        <v>4299</v>
      </c>
      <c r="R4213" s="17">
        <v>40</v>
      </c>
      <c r="S4213" s="18">
        <v>2966.31</v>
      </c>
      <c r="T4213" s="19" t="s">
        <v>36</v>
      </c>
      <c r="U4213" s="20" t="s">
        <v>39</v>
      </c>
      <c r="V4213" s="21" t="s">
        <v>40</v>
      </c>
      <c r="W4213" s="22">
        <v>1</v>
      </c>
      <c r="X4213" s="23"/>
    </row>
    <row r="4214" spans="1:24" s="1" customFormat="1" ht="35" customHeight="1" x14ac:dyDescent="0.3">
      <c r="A4214" s="11" t="s">
        <v>23</v>
      </c>
      <c r="B4214" s="11" t="s">
        <v>3897</v>
      </c>
      <c r="C4214" s="12" t="s">
        <v>3903</v>
      </c>
      <c r="D4214" s="59"/>
      <c r="E4214" s="41" t="str">
        <f>HYPERLINK("https://www.google.ru/search?q=1290140-100&amp;newwindow=1&amp;tbm=isch","Еще фото")</f>
        <v>Еще фото</v>
      </c>
      <c r="F4214" s="13" t="s">
        <v>103</v>
      </c>
      <c r="G4214" s="11" t="s">
        <v>3632</v>
      </c>
      <c r="H4214" s="11" t="s">
        <v>27</v>
      </c>
      <c r="I4214" s="14" t="s">
        <v>3599</v>
      </c>
      <c r="J4214" s="14" t="s">
        <v>211</v>
      </c>
      <c r="K4214" s="15" t="s">
        <v>30</v>
      </c>
      <c r="L4214" s="57" t="s">
        <v>3902</v>
      </c>
      <c r="M4214" s="14" t="s">
        <v>3209</v>
      </c>
      <c r="N4214" s="14" t="s">
        <v>84</v>
      </c>
      <c r="O4214" s="14" t="s">
        <v>34</v>
      </c>
      <c r="P4214" s="15" t="s">
        <v>47</v>
      </c>
      <c r="Q4214" s="16">
        <v>4299</v>
      </c>
      <c r="R4214" s="17">
        <v>40</v>
      </c>
      <c r="S4214" s="18">
        <v>2966.31</v>
      </c>
      <c r="T4214" s="19" t="s">
        <v>36</v>
      </c>
      <c r="U4214" s="20" t="s">
        <v>39</v>
      </c>
      <c r="V4214" s="21" t="s">
        <v>40</v>
      </c>
      <c r="W4214" s="22">
        <v>9</v>
      </c>
      <c r="X4214" s="23"/>
    </row>
    <row r="4215" spans="1:24" s="1" customFormat="1" ht="35" customHeight="1" x14ac:dyDescent="0.3">
      <c r="A4215" s="24" t="s">
        <v>23</v>
      </c>
      <c r="B4215" s="24" t="s">
        <v>3897</v>
      </c>
      <c r="C4215" s="12" t="s">
        <v>3903</v>
      </c>
      <c r="D4215" s="60"/>
      <c r="E4215" s="41" t="str">
        <f>HYPERLINK("https://www.google.ru/search?q=1290140-100&amp;newwindow=1&amp;tbm=isch","Еще фото")</f>
        <v>Еще фото</v>
      </c>
      <c r="F4215" s="13" t="s">
        <v>103</v>
      </c>
      <c r="G4215" s="24" t="s">
        <v>3632</v>
      </c>
      <c r="H4215" s="24" t="s">
        <v>27</v>
      </c>
      <c r="I4215" s="24" t="s">
        <v>3599</v>
      </c>
      <c r="J4215" s="14" t="s">
        <v>211</v>
      </c>
      <c r="K4215" s="15" t="s">
        <v>30</v>
      </c>
      <c r="L4215" s="62"/>
      <c r="M4215" s="14" t="s">
        <v>3209</v>
      </c>
      <c r="N4215" s="14" t="s">
        <v>84</v>
      </c>
      <c r="O4215" s="14" t="s">
        <v>34</v>
      </c>
      <c r="P4215" s="15" t="s">
        <v>47</v>
      </c>
      <c r="Q4215" s="16">
        <v>4299</v>
      </c>
      <c r="R4215" s="17">
        <v>40</v>
      </c>
      <c r="S4215" s="18">
        <v>2966.31</v>
      </c>
      <c r="T4215" s="19" t="s">
        <v>36</v>
      </c>
      <c r="U4215" s="20" t="s">
        <v>86</v>
      </c>
      <c r="V4215" s="21" t="s">
        <v>87</v>
      </c>
      <c r="W4215" s="22">
        <v>10</v>
      </c>
      <c r="X4215" s="23"/>
    </row>
    <row r="4216" spans="1:24" s="1" customFormat="1" ht="37.049999999999997" customHeight="1" x14ac:dyDescent="0.3">
      <c r="A4216" s="24" t="s">
        <v>23</v>
      </c>
      <c r="B4216" s="24" t="s">
        <v>3897</v>
      </c>
      <c r="C4216" s="12" t="s">
        <v>3903</v>
      </c>
      <c r="D4216" s="61"/>
      <c r="E4216" s="41" t="str">
        <f>HYPERLINK("https://www.google.ru/search?q=1290140-100&amp;newwindow=1&amp;tbm=isch","Еще фото")</f>
        <v>Еще фото</v>
      </c>
      <c r="F4216" s="13" t="s">
        <v>103</v>
      </c>
      <c r="G4216" s="24" t="s">
        <v>3632</v>
      </c>
      <c r="H4216" s="24" t="s">
        <v>27</v>
      </c>
      <c r="I4216" s="24" t="s">
        <v>3599</v>
      </c>
      <c r="J4216" s="14" t="s">
        <v>211</v>
      </c>
      <c r="K4216" s="15" t="s">
        <v>30</v>
      </c>
      <c r="L4216" s="58"/>
      <c r="M4216" s="14" t="s">
        <v>3209</v>
      </c>
      <c r="N4216" s="14" t="s">
        <v>84</v>
      </c>
      <c r="O4216" s="14" t="s">
        <v>34</v>
      </c>
      <c r="P4216" s="15" t="s">
        <v>47</v>
      </c>
      <c r="Q4216" s="16">
        <v>4299</v>
      </c>
      <c r="R4216" s="17">
        <v>40</v>
      </c>
      <c r="S4216" s="18">
        <v>2966.31</v>
      </c>
      <c r="T4216" s="19" t="s">
        <v>36</v>
      </c>
      <c r="U4216" s="20" t="s">
        <v>90</v>
      </c>
      <c r="V4216" s="21" t="s">
        <v>91</v>
      </c>
      <c r="W4216" s="22">
        <v>7</v>
      </c>
      <c r="X4216" s="23"/>
    </row>
    <row r="4217" spans="1:24" s="1" customFormat="1" ht="26" customHeight="1" x14ac:dyDescent="0.3">
      <c r="A4217" s="11" t="s">
        <v>23</v>
      </c>
      <c r="B4217" s="11" t="s">
        <v>3900</v>
      </c>
      <c r="C4217" s="12" t="s">
        <v>3904</v>
      </c>
      <c r="D4217" s="59"/>
      <c r="E4217" s="41" t="str">
        <f>HYPERLINK("https://www.google.ru/search?q=1290140-338&amp;newwindow=1&amp;tbm=isch","Еще фото")</f>
        <v>Еще фото</v>
      </c>
      <c r="F4217" s="13" t="s">
        <v>103</v>
      </c>
      <c r="G4217" s="11" t="s">
        <v>3632</v>
      </c>
      <c r="H4217" s="11" t="s">
        <v>27</v>
      </c>
      <c r="I4217" s="14" t="s">
        <v>3599</v>
      </c>
      <c r="J4217" s="14" t="s">
        <v>211</v>
      </c>
      <c r="K4217" s="15" t="s">
        <v>30</v>
      </c>
      <c r="L4217" s="57" t="s">
        <v>3902</v>
      </c>
      <c r="M4217" s="14"/>
      <c r="N4217" s="14" t="s">
        <v>127</v>
      </c>
      <c r="O4217" s="14"/>
      <c r="P4217" s="15" t="s">
        <v>47</v>
      </c>
      <c r="Q4217" s="16">
        <v>4299</v>
      </c>
      <c r="R4217" s="17">
        <v>40</v>
      </c>
      <c r="S4217" s="18">
        <v>2966.31</v>
      </c>
      <c r="T4217" s="19" t="s">
        <v>36</v>
      </c>
      <c r="U4217" s="20" t="s">
        <v>37</v>
      </c>
      <c r="V4217" s="21" t="s">
        <v>38</v>
      </c>
      <c r="W4217" s="22">
        <v>4</v>
      </c>
      <c r="X4217" s="23"/>
    </row>
    <row r="4218" spans="1:24" s="1" customFormat="1" ht="26" customHeight="1" x14ac:dyDescent="0.3">
      <c r="A4218" s="24" t="s">
        <v>23</v>
      </c>
      <c r="B4218" s="24" t="s">
        <v>3900</v>
      </c>
      <c r="C4218" s="12" t="s">
        <v>3904</v>
      </c>
      <c r="D4218" s="60"/>
      <c r="E4218" s="41" t="str">
        <f>HYPERLINK("https://www.google.ru/search?q=1290140-338&amp;newwindow=1&amp;tbm=isch","Еще фото")</f>
        <v>Еще фото</v>
      </c>
      <c r="F4218" s="13" t="s">
        <v>103</v>
      </c>
      <c r="G4218" s="24" t="s">
        <v>3632</v>
      </c>
      <c r="H4218" s="24" t="s">
        <v>27</v>
      </c>
      <c r="I4218" s="24" t="s">
        <v>3599</v>
      </c>
      <c r="J4218" s="14" t="s">
        <v>211</v>
      </c>
      <c r="K4218" s="15" t="s">
        <v>30</v>
      </c>
      <c r="L4218" s="62"/>
      <c r="M4218" s="14"/>
      <c r="N4218" s="14" t="s">
        <v>127</v>
      </c>
      <c r="O4218" s="14"/>
      <c r="P4218" s="15" t="s">
        <v>47</v>
      </c>
      <c r="Q4218" s="16">
        <v>4299</v>
      </c>
      <c r="R4218" s="17">
        <v>40</v>
      </c>
      <c r="S4218" s="18">
        <v>2966.31</v>
      </c>
      <c r="T4218" s="19" t="s">
        <v>36</v>
      </c>
      <c r="U4218" s="20" t="s">
        <v>39</v>
      </c>
      <c r="V4218" s="21" t="s">
        <v>40</v>
      </c>
      <c r="W4218" s="22">
        <v>8</v>
      </c>
      <c r="X4218" s="23"/>
    </row>
    <row r="4219" spans="1:24" s="1" customFormat="1" ht="26" customHeight="1" x14ac:dyDescent="0.3">
      <c r="A4219" s="24" t="s">
        <v>23</v>
      </c>
      <c r="B4219" s="24" t="s">
        <v>3900</v>
      </c>
      <c r="C4219" s="12" t="s">
        <v>3904</v>
      </c>
      <c r="D4219" s="60"/>
      <c r="E4219" s="41" t="str">
        <f>HYPERLINK("https://www.google.ru/search?q=1290140-338&amp;newwindow=1&amp;tbm=isch","Еще фото")</f>
        <v>Еще фото</v>
      </c>
      <c r="F4219" s="13" t="s">
        <v>103</v>
      </c>
      <c r="G4219" s="24" t="s">
        <v>3632</v>
      </c>
      <c r="H4219" s="24" t="s">
        <v>27</v>
      </c>
      <c r="I4219" s="24" t="s">
        <v>3599</v>
      </c>
      <c r="J4219" s="14" t="s">
        <v>211</v>
      </c>
      <c r="K4219" s="15" t="s">
        <v>30</v>
      </c>
      <c r="L4219" s="62"/>
      <c r="M4219" s="14"/>
      <c r="N4219" s="14" t="s">
        <v>127</v>
      </c>
      <c r="O4219" s="14"/>
      <c r="P4219" s="15" t="s">
        <v>47</v>
      </c>
      <c r="Q4219" s="16">
        <v>4299</v>
      </c>
      <c r="R4219" s="17">
        <v>40</v>
      </c>
      <c r="S4219" s="18">
        <v>2966.31</v>
      </c>
      <c r="T4219" s="19" t="s">
        <v>36</v>
      </c>
      <c r="U4219" s="20" t="s">
        <v>86</v>
      </c>
      <c r="V4219" s="21" t="s">
        <v>87</v>
      </c>
      <c r="W4219" s="22">
        <v>11</v>
      </c>
      <c r="X4219" s="23"/>
    </row>
    <row r="4220" spans="1:24" s="1" customFormat="1" ht="26" customHeight="1" x14ac:dyDescent="0.3">
      <c r="A4220" s="24" t="s">
        <v>23</v>
      </c>
      <c r="B4220" s="24" t="s">
        <v>3900</v>
      </c>
      <c r="C4220" s="12" t="s">
        <v>3904</v>
      </c>
      <c r="D4220" s="61"/>
      <c r="E4220" s="41" t="str">
        <f>HYPERLINK("https://www.google.ru/search?q=1290140-338&amp;newwindow=1&amp;tbm=isch","Еще фото")</f>
        <v>Еще фото</v>
      </c>
      <c r="F4220" s="13" t="s">
        <v>103</v>
      </c>
      <c r="G4220" s="24" t="s">
        <v>3632</v>
      </c>
      <c r="H4220" s="24" t="s">
        <v>27</v>
      </c>
      <c r="I4220" s="24" t="s">
        <v>3599</v>
      </c>
      <c r="J4220" s="14" t="s">
        <v>211</v>
      </c>
      <c r="K4220" s="15" t="s">
        <v>30</v>
      </c>
      <c r="L4220" s="58"/>
      <c r="M4220" s="14"/>
      <c r="N4220" s="14" t="s">
        <v>127</v>
      </c>
      <c r="O4220" s="14"/>
      <c r="P4220" s="15" t="s">
        <v>47</v>
      </c>
      <c r="Q4220" s="16">
        <v>4299</v>
      </c>
      <c r="R4220" s="17">
        <v>40</v>
      </c>
      <c r="S4220" s="18">
        <v>2966.31</v>
      </c>
      <c r="T4220" s="19" t="s">
        <v>36</v>
      </c>
      <c r="U4220" s="20" t="s">
        <v>88</v>
      </c>
      <c r="V4220" s="21" t="s">
        <v>89</v>
      </c>
      <c r="W4220" s="22">
        <v>3</v>
      </c>
      <c r="X4220" s="23"/>
    </row>
    <row r="4221" spans="1:24" s="1" customFormat="1" ht="21" customHeight="1" x14ac:dyDescent="0.3">
      <c r="A4221" s="11" t="s">
        <v>23</v>
      </c>
      <c r="B4221" s="11" t="s">
        <v>3897</v>
      </c>
      <c r="C4221" s="26" t="s">
        <v>3905</v>
      </c>
      <c r="D4221" s="59"/>
      <c r="E4221" s="41" t="str">
        <f>HYPERLINK("https://www.google.ru/search?q=1290140-410&amp;newwindow=1&amp;tbm=isch","Еще фото")</f>
        <v>Еще фото</v>
      </c>
      <c r="F4221" s="13" t="s">
        <v>103</v>
      </c>
      <c r="G4221" s="11" t="s">
        <v>3632</v>
      </c>
      <c r="H4221" s="11" t="s">
        <v>27</v>
      </c>
      <c r="I4221" s="14" t="s">
        <v>3599</v>
      </c>
      <c r="J4221" s="14" t="s">
        <v>211</v>
      </c>
      <c r="K4221" s="15" t="s">
        <v>30</v>
      </c>
      <c r="L4221" s="57" t="s">
        <v>3906</v>
      </c>
      <c r="M4221" s="14" t="s">
        <v>3209</v>
      </c>
      <c r="N4221" s="14" t="s">
        <v>115</v>
      </c>
      <c r="O4221" s="14" t="s">
        <v>34</v>
      </c>
      <c r="P4221" s="15" t="s">
        <v>47</v>
      </c>
      <c r="Q4221" s="16">
        <v>4299</v>
      </c>
      <c r="R4221" s="17">
        <v>40</v>
      </c>
      <c r="S4221" s="18">
        <v>2966.31</v>
      </c>
      <c r="T4221" s="19" t="s">
        <v>36</v>
      </c>
      <c r="U4221" s="20" t="s">
        <v>37</v>
      </c>
      <c r="V4221" s="21" t="s">
        <v>38</v>
      </c>
      <c r="W4221" s="22">
        <v>22</v>
      </c>
      <c r="X4221" s="23"/>
    </row>
    <row r="4222" spans="1:24" s="1" customFormat="1" ht="21" customHeight="1" x14ac:dyDescent="0.3">
      <c r="A4222" s="24" t="s">
        <v>23</v>
      </c>
      <c r="B4222" s="24" t="s">
        <v>3897</v>
      </c>
      <c r="C4222" s="27" t="s">
        <v>3905</v>
      </c>
      <c r="D4222" s="60"/>
      <c r="E4222" s="41" t="str">
        <f>HYPERLINK("https://www.google.ru/search?q=1290140-410&amp;newwindow=1&amp;tbm=isch","Еще фото")</f>
        <v>Еще фото</v>
      </c>
      <c r="F4222" s="13" t="s">
        <v>103</v>
      </c>
      <c r="G4222" s="24" t="s">
        <v>3632</v>
      </c>
      <c r="H4222" s="24" t="s">
        <v>27</v>
      </c>
      <c r="I4222" s="24" t="s">
        <v>3599</v>
      </c>
      <c r="J4222" s="14" t="s">
        <v>211</v>
      </c>
      <c r="K4222" s="15" t="s">
        <v>30</v>
      </c>
      <c r="L4222" s="62"/>
      <c r="M4222" s="14" t="s">
        <v>3209</v>
      </c>
      <c r="N4222" s="14" t="s">
        <v>115</v>
      </c>
      <c r="O4222" s="14" t="s">
        <v>34</v>
      </c>
      <c r="P4222" s="15" t="s">
        <v>47</v>
      </c>
      <c r="Q4222" s="16">
        <v>4299</v>
      </c>
      <c r="R4222" s="17">
        <v>40</v>
      </c>
      <c r="S4222" s="18">
        <v>2966.31</v>
      </c>
      <c r="T4222" s="19" t="s">
        <v>36</v>
      </c>
      <c r="U4222" s="20" t="s">
        <v>39</v>
      </c>
      <c r="V4222" s="21" t="s">
        <v>40</v>
      </c>
      <c r="W4222" s="22">
        <v>23</v>
      </c>
      <c r="X4222" s="23"/>
    </row>
    <row r="4223" spans="1:24" s="1" customFormat="1" ht="21" customHeight="1" x14ac:dyDescent="0.3">
      <c r="A4223" s="24" t="s">
        <v>23</v>
      </c>
      <c r="B4223" s="24" t="s">
        <v>3897</v>
      </c>
      <c r="C4223" s="27" t="s">
        <v>3905</v>
      </c>
      <c r="D4223" s="60"/>
      <c r="E4223" s="41" t="str">
        <f>HYPERLINK("https://www.google.ru/search?q=1290140-410&amp;newwindow=1&amp;tbm=isch","Еще фото")</f>
        <v>Еще фото</v>
      </c>
      <c r="F4223" s="13" t="s">
        <v>103</v>
      </c>
      <c r="G4223" s="24" t="s">
        <v>3632</v>
      </c>
      <c r="H4223" s="24" t="s">
        <v>27</v>
      </c>
      <c r="I4223" s="24" t="s">
        <v>3599</v>
      </c>
      <c r="J4223" s="14" t="s">
        <v>211</v>
      </c>
      <c r="K4223" s="15" t="s">
        <v>30</v>
      </c>
      <c r="L4223" s="62"/>
      <c r="M4223" s="14" t="s">
        <v>3209</v>
      </c>
      <c r="N4223" s="14" t="s">
        <v>115</v>
      </c>
      <c r="O4223" s="14" t="s">
        <v>34</v>
      </c>
      <c r="P4223" s="15" t="s">
        <v>47</v>
      </c>
      <c r="Q4223" s="16">
        <v>4299</v>
      </c>
      <c r="R4223" s="17">
        <v>40</v>
      </c>
      <c r="S4223" s="18">
        <v>2966.31</v>
      </c>
      <c r="T4223" s="19" t="s">
        <v>36</v>
      </c>
      <c r="U4223" s="20" t="s">
        <v>86</v>
      </c>
      <c r="V4223" s="21" t="s">
        <v>87</v>
      </c>
      <c r="W4223" s="22">
        <v>11</v>
      </c>
      <c r="X4223" s="23"/>
    </row>
    <row r="4224" spans="1:24" s="1" customFormat="1" ht="21" customHeight="1" x14ac:dyDescent="0.3">
      <c r="A4224" s="24" t="s">
        <v>23</v>
      </c>
      <c r="B4224" s="24" t="s">
        <v>3897</v>
      </c>
      <c r="C4224" s="27" t="s">
        <v>3905</v>
      </c>
      <c r="D4224" s="60"/>
      <c r="E4224" s="41" t="str">
        <f>HYPERLINK("https://www.google.ru/search?q=1290140-410&amp;newwindow=1&amp;tbm=isch","Еще фото")</f>
        <v>Еще фото</v>
      </c>
      <c r="F4224" s="13" t="s">
        <v>103</v>
      </c>
      <c r="G4224" s="24" t="s">
        <v>3632</v>
      </c>
      <c r="H4224" s="24" t="s">
        <v>27</v>
      </c>
      <c r="I4224" s="24" t="s">
        <v>3599</v>
      </c>
      <c r="J4224" s="14" t="s">
        <v>211</v>
      </c>
      <c r="K4224" s="15" t="s">
        <v>30</v>
      </c>
      <c r="L4224" s="62"/>
      <c r="M4224" s="14" t="s">
        <v>3209</v>
      </c>
      <c r="N4224" s="14" t="s">
        <v>115</v>
      </c>
      <c r="O4224" s="14" t="s">
        <v>34</v>
      </c>
      <c r="P4224" s="15" t="s">
        <v>47</v>
      </c>
      <c r="Q4224" s="16">
        <v>4299</v>
      </c>
      <c r="R4224" s="17">
        <v>40</v>
      </c>
      <c r="S4224" s="18">
        <v>2966.31</v>
      </c>
      <c r="T4224" s="19" t="s">
        <v>36</v>
      </c>
      <c r="U4224" s="20" t="s">
        <v>88</v>
      </c>
      <c r="V4224" s="21" t="s">
        <v>89</v>
      </c>
      <c r="W4224" s="22">
        <v>3</v>
      </c>
      <c r="X4224" s="23"/>
    </row>
    <row r="4225" spans="1:24" s="1" customFormat="1" ht="32" customHeight="1" x14ac:dyDescent="0.3">
      <c r="A4225" s="24" t="s">
        <v>23</v>
      </c>
      <c r="B4225" s="24" t="s">
        <v>3897</v>
      </c>
      <c r="C4225" s="27" t="s">
        <v>3905</v>
      </c>
      <c r="D4225" s="61"/>
      <c r="E4225" s="41" t="str">
        <f>HYPERLINK("https://www.google.ru/search?q=1290140-410&amp;newwindow=1&amp;tbm=isch","Еще фото")</f>
        <v>Еще фото</v>
      </c>
      <c r="F4225" s="13" t="s">
        <v>103</v>
      </c>
      <c r="G4225" s="24" t="s">
        <v>3632</v>
      </c>
      <c r="H4225" s="24" t="s">
        <v>27</v>
      </c>
      <c r="I4225" s="24" t="s">
        <v>3599</v>
      </c>
      <c r="J4225" s="14" t="s">
        <v>211</v>
      </c>
      <c r="K4225" s="15" t="s">
        <v>30</v>
      </c>
      <c r="L4225" s="58"/>
      <c r="M4225" s="14" t="s">
        <v>3209</v>
      </c>
      <c r="N4225" s="14" t="s">
        <v>115</v>
      </c>
      <c r="O4225" s="14" t="s">
        <v>34</v>
      </c>
      <c r="P4225" s="15" t="s">
        <v>47</v>
      </c>
      <c r="Q4225" s="16">
        <v>4299</v>
      </c>
      <c r="R4225" s="17">
        <v>40</v>
      </c>
      <c r="S4225" s="18">
        <v>2966.31</v>
      </c>
      <c r="T4225" s="19" t="s">
        <v>36</v>
      </c>
      <c r="U4225" s="20" t="s">
        <v>408</v>
      </c>
      <c r="V4225" s="21" t="s">
        <v>409</v>
      </c>
      <c r="W4225" s="22">
        <v>1</v>
      </c>
      <c r="X4225" s="23"/>
    </row>
    <row r="4226" spans="1:24" s="1" customFormat="1" ht="26" customHeight="1" x14ac:dyDescent="0.3">
      <c r="A4226" s="11" t="s">
        <v>23</v>
      </c>
      <c r="B4226" s="11" t="s">
        <v>3900</v>
      </c>
      <c r="C4226" s="12" t="s">
        <v>3907</v>
      </c>
      <c r="D4226" s="59"/>
      <c r="E4226" s="41" t="str">
        <f>HYPERLINK("https://www.google.ru/search?q=1290140-427&amp;newwindow=1&amp;tbm=isch","Еще фото")</f>
        <v>Еще фото</v>
      </c>
      <c r="F4226" s="13" t="s">
        <v>103</v>
      </c>
      <c r="G4226" s="11" t="s">
        <v>3632</v>
      </c>
      <c r="H4226" s="11" t="s">
        <v>27</v>
      </c>
      <c r="I4226" s="14" t="s">
        <v>3599</v>
      </c>
      <c r="J4226" s="14" t="s">
        <v>211</v>
      </c>
      <c r="K4226" s="15" t="s">
        <v>30</v>
      </c>
      <c r="L4226" s="57" t="s">
        <v>3908</v>
      </c>
      <c r="M4226" s="14"/>
      <c r="N4226" s="14" t="s">
        <v>115</v>
      </c>
      <c r="O4226" s="14"/>
      <c r="P4226" s="15" t="s">
        <v>47</v>
      </c>
      <c r="Q4226" s="16">
        <v>4299</v>
      </c>
      <c r="R4226" s="17">
        <v>40</v>
      </c>
      <c r="S4226" s="18">
        <v>2966.31</v>
      </c>
      <c r="T4226" s="19" t="s">
        <v>36</v>
      </c>
      <c r="U4226" s="20" t="s">
        <v>37</v>
      </c>
      <c r="V4226" s="21" t="s">
        <v>38</v>
      </c>
      <c r="W4226" s="22">
        <v>7</v>
      </c>
      <c r="X4226" s="23"/>
    </row>
    <row r="4227" spans="1:24" s="1" customFormat="1" ht="26" customHeight="1" x14ac:dyDescent="0.3">
      <c r="A4227" s="24" t="s">
        <v>23</v>
      </c>
      <c r="B4227" s="24" t="s">
        <v>3900</v>
      </c>
      <c r="C4227" s="12" t="s">
        <v>3907</v>
      </c>
      <c r="D4227" s="60"/>
      <c r="E4227" s="41" t="str">
        <f>HYPERLINK("https://www.google.ru/search?q=1290140-427&amp;newwindow=1&amp;tbm=isch","Еще фото")</f>
        <v>Еще фото</v>
      </c>
      <c r="F4227" s="13" t="s">
        <v>103</v>
      </c>
      <c r="G4227" s="24" t="s">
        <v>3632</v>
      </c>
      <c r="H4227" s="24" t="s">
        <v>27</v>
      </c>
      <c r="I4227" s="24" t="s">
        <v>3599</v>
      </c>
      <c r="J4227" s="14" t="s">
        <v>211</v>
      </c>
      <c r="K4227" s="15" t="s">
        <v>30</v>
      </c>
      <c r="L4227" s="62"/>
      <c r="M4227" s="14"/>
      <c r="N4227" s="14" t="s">
        <v>115</v>
      </c>
      <c r="O4227" s="14"/>
      <c r="P4227" s="15" t="s">
        <v>47</v>
      </c>
      <c r="Q4227" s="16">
        <v>4299</v>
      </c>
      <c r="R4227" s="17">
        <v>40</v>
      </c>
      <c r="S4227" s="18">
        <v>2966.31</v>
      </c>
      <c r="T4227" s="19" t="s">
        <v>36</v>
      </c>
      <c r="U4227" s="20" t="s">
        <v>39</v>
      </c>
      <c r="V4227" s="21" t="s">
        <v>40</v>
      </c>
      <c r="W4227" s="22">
        <v>7</v>
      </c>
      <c r="X4227" s="23"/>
    </row>
    <row r="4228" spans="1:24" s="1" customFormat="1" ht="26" customHeight="1" x14ac:dyDescent="0.3">
      <c r="A4228" s="24" t="s">
        <v>23</v>
      </c>
      <c r="B4228" s="24" t="s">
        <v>3900</v>
      </c>
      <c r="C4228" s="12" t="s">
        <v>3907</v>
      </c>
      <c r="D4228" s="60"/>
      <c r="E4228" s="41" t="str">
        <f>HYPERLINK("https://www.google.ru/search?q=1290140-427&amp;newwindow=1&amp;tbm=isch","Еще фото")</f>
        <v>Еще фото</v>
      </c>
      <c r="F4228" s="13" t="s">
        <v>103</v>
      </c>
      <c r="G4228" s="24" t="s">
        <v>3632</v>
      </c>
      <c r="H4228" s="24" t="s">
        <v>27</v>
      </c>
      <c r="I4228" s="24" t="s">
        <v>3599</v>
      </c>
      <c r="J4228" s="14" t="s">
        <v>211</v>
      </c>
      <c r="K4228" s="15" t="s">
        <v>30</v>
      </c>
      <c r="L4228" s="62"/>
      <c r="M4228" s="14"/>
      <c r="N4228" s="14" t="s">
        <v>115</v>
      </c>
      <c r="O4228" s="14"/>
      <c r="P4228" s="15" t="s">
        <v>47</v>
      </c>
      <c r="Q4228" s="16">
        <v>4299</v>
      </c>
      <c r="R4228" s="17">
        <v>40</v>
      </c>
      <c r="S4228" s="18">
        <v>2966.31</v>
      </c>
      <c r="T4228" s="19" t="s">
        <v>36</v>
      </c>
      <c r="U4228" s="20" t="s">
        <v>86</v>
      </c>
      <c r="V4228" s="21" t="s">
        <v>87</v>
      </c>
      <c r="W4228" s="22">
        <v>11</v>
      </c>
      <c r="X4228" s="23"/>
    </row>
    <row r="4229" spans="1:24" s="1" customFormat="1" ht="26" customHeight="1" x14ac:dyDescent="0.3">
      <c r="A4229" s="24" t="s">
        <v>23</v>
      </c>
      <c r="B4229" s="24" t="s">
        <v>3900</v>
      </c>
      <c r="C4229" s="12" t="s">
        <v>3907</v>
      </c>
      <c r="D4229" s="61"/>
      <c r="E4229" s="41" t="str">
        <f>HYPERLINK("https://www.google.ru/search?q=1290140-427&amp;newwindow=1&amp;tbm=isch","Еще фото")</f>
        <v>Еще фото</v>
      </c>
      <c r="F4229" s="13" t="s">
        <v>103</v>
      </c>
      <c r="G4229" s="24" t="s">
        <v>3632</v>
      </c>
      <c r="H4229" s="24" t="s">
        <v>27</v>
      </c>
      <c r="I4229" s="24" t="s">
        <v>3599</v>
      </c>
      <c r="J4229" s="14" t="s">
        <v>211</v>
      </c>
      <c r="K4229" s="15" t="s">
        <v>30</v>
      </c>
      <c r="L4229" s="58"/>
      <c r="M4229" s="14"/>
      <c r="N4229" s="14" t="s">
        <v>115</v>
      </c>
      <c r="O4229" s="14"/>
      <c r="P4229" s="15" t="s">
        <v>47</v>
      </c>
      <c r="Q4229" s="16">
        <v>4299</v>
      </c>
      <c r="R4229" s="17">
        <v>40</v>
      </c>
      <c r="S4229" s="18">
        <v>2966.31</v>
      </c>
      <c r="T4229" s="19" t="s">
        <v>36</v>
      </c>
      <c r="U4229" s="20" t="s">
        <v>90</v>
      </c>
      <c r="V4229" s="21" t="s">
        <v>91</v>
      </c>
      <c r="W4229" s="22">
        <v>2</v>
      </c>
      <c r="X4229" s="23"/>
    </row>
    <row r="4230" spans="1:24" s="1" customFormat="1" ht="108" customHeight="1" x14ac:dyDescent="0.3">
      <c r="A4230" s="11" t="s">
        <v>23</v>
      </c>
      <c r="B4230" s="11" t="s">
        <v>3900</v>
      </c>
      <c r="C4230" s="12" t="s">
        <v>3909</v>
      </c>
      <c r="D4230" s="25"/>
      <c r="E4230" s="41" t="str">
        <f>HYPERLINK("https://www.google.ru/search?q=1290140-453&amp;newwindow=1&amp;tbm=isch","Еще фото")</f>
        <v>Еще фото</v>
      </c>
      <c r="F4230" s="13"/>
      <c r="G4230" s="11" t="s">
        <v>3632</v>
      </c>
      <c r="H4230" s="11" t="s">
        <v>27</v>
      </c>
      <c r="I4230" s="14" t="s">
        <v>3599</v>
      </c>
      <c r="J4230" s="14" t="s">
        <v>211</v>
      </c>
      <c r="K4230" s="15" t="s">
        <v>30</v>
      </c>
      <c r="L4230" s="14" t="s">
        <v>3908</v>
      </c>
      <c r="M4230" s="14"/>
      <c r="N4230" s="14" t="s">
        <v>115</v>
      </c>
      <c r="O4230" s="14"/>
      <c r="P4230" s="15" t="s">
        <v>47</v>
      </c>
      <c r="Q4230" s="16">
        <v>4799</v>
      </c>
      <c r="R4230" s="17">
        <v>40</v>
      </c>
      <c r="S4230" s="18">
        <v>3311.31</v>
      </c>
      <c r="T4230" s="19" t="s">
        <v>36</v>
      </c>
      <c r="U4230" s="20" t="s">
        <v>39</v>
      </c>
      <c r="V4230" s="21" t="s">
        <v>40</v>
      </c>
      <c r="W4230" s="22">
        <v>1</v>
      </c>
      <c r="X4230" s="23"/>
    </row>
    <row r="4231" spans="1:24" s="1" customFormat="1" ht="35" customHeight="1" x14ac:dyDescent="0.3">
      <c r="A4231" s="11" t="s">
        <v>23</v>
      </c>
      <c r="B4231" s="11" t="s">
        <v>3900</v>
      </c>
      <c r="C4231" s="12" t="s">
        <v>3910</v>
      </c>
      <c r="D4231" s="59"/>
      <c r="E4231" s="41" t="str">
        <f>HYPERLINK("https://www.google.ru/search?q=1290140-714&amp;newwindow=1&amp;tbm=isch","Еще фото")</f>
        <v>Еще фото</v>
      </c>
      <c r="F4231" s="13"/>
      <c r="G4231" s="11" t="s">
        <v>3632</v>
      </c>
      <c r="H4231" s="11" t="s">
        <v>27</v>
      </c>
      <c r="I4231" s="14" t="s">
        <v>3599</v>
      </c>
      <c r="J4231" s="14" t="s">
        <v>211</v>
      </c>
      <c r="K4231" s="15" t="s">
        <v>30</v>
      </c>
      <c r="L4231" s="57" t="s">
        <v>3908</v>
      </c>
      <c r="M4231" s="14"/>
      <c r="N4231" s="14" t="s">
        <v>198</v>
      </c>
      <c r="O4231" s="14"/>
      <c r="P4231" s="15" t="s">
        <v>47</v>
      </c>
      <c r="Q4231" s="16">
        <v>4699</v>
      </c>
      <c r="R4231" s="17">
        <v>40</v>
      </c>
      <c r="S4231" s="18">
        <v>3242.31</v>
      </c>
      <c r="T4231" s="19" t="s">
        <v>36</v>
      </c>
      <c r="U4231" s="20" t="s">
        <v>37</v>
      </c>
      <c r="V4231" s="21" t="s">
        <v>38</v>
      </c>
      <c r="W4231" s="22">
        <v>4</v>
      </c>
      <c r="X4231" s="23"/>
    </row>
    <row r="4232" spans="1:24" s="1" customFormat="1" ht="35" customHeight="1" x14ac:dyDescent="0.3">
      <c r="A4232" s="24" t="s">
        <v>23</v>
      </c>
      <c r="B4232" s="24" t="s">
        <v>3900</v>
      </c>
      <c r="C4232" s="12" t="s">
        <v>3910</v>
      </c>
      <c r="D4232" s="60"/>
      <c r="E4232" s="41" t="str">
        <f>HYPERLINK("https://www.google.ru/search?q=1290140-714&amp;newwindow=1&amp;tbm=isch","Еще фото")</f>
        <v>Еще фото</v>
      </c>
      <c r="F4232" s="13"/>
      <c r="G4232" s="24" t="s">
        <v>3632</v>
      </c>
      <c r="H4232" s="24" t="s">
        <v>27</v>
      </c>
      <c r="I4232" s="24" t="s">
        <v>3599</v>
      </c>
      <c r="J4232" s="14" t="s">
        <v>211</v>
      </c>
      <c r="K4232" s="15" t="s">
        <v>30</v>
      </c>
      <c r="L4232" s="62"/>
      <c r="M4232" s="14"/>
      <c r="N4232" s="14" t="s">
        <v>198</v>
      </c>
      <c r="O4232" s="14"/>
      <c r="P4232" s="15" t="s">
        <v>47</v>
      </c>
      <c r="Q4232" s="16">
        <v>4699</v>
      </c>
      <c r="R4232" s="17">
        <v>40</v>
      </c>
      <c r="S4232" s="18">
        <v>3242.31</v>
      </c>
      <c r="T4232" s="19" t="s">
        <v>36</v>
      </c>
      <c r="U4232" s="20" t="s">
        <v>39</v>
      </c>
      <c r="V4232" s="21" t="s">
        <v>40</v>
      </c>
      <c r="W4232" s="22">
        <v>7</v>
      </c>
      <c r="X4232" s="23"/>
    </row>
    <row r="4233" spans="1:24" s="1" customFormat="1" ht="37.049999999999997" customHeight="1" x14ac:dyDescent="0.3">
      <c r="A4233" s="24" t="s">
        <v>23</v>
      </c>
      <c r="B4233" s="24" t="s">
        <v>3900</v>
      </c>
      <c r="C4233" s="12" t="s">
        <v>3910</v>
      </c>
      <c r="D4233" s="61"/>
      <c r="E4233" s="41" t="str">
        <f>HYPERLINK("https://www.google.ru/search?q=1290140-714&amp;newwindow=1&amp;tbm=isch","Еще фото")</f>
        <v>Еще фото</v>
      </c>
      <c r="F4233" s="13"/>
      <c r="G4233" s="24" t="s">
        <v>3632</v>
      </c>
      <c r="H4233" s="24" t="s">
        <v>27</v>
      </c>
      <c r="I4233" s="24" t="s">
        <v>3599</v>
      </c>
      <c r="J4233" s="14" t="s">
        <v>211</v>
      </c>
      <c r="K4233" s="15" t="s">
        <v>30</v>
      </c>
      <c r="L4233" s="58"/>
      <c r="M4233" s="14"/>
      <c r="N4233" s="14" t="s">
        <v>198</v>
      </c>
      <c r="O4233" s="14"/>
      <c r="P4233" s="15" t="s">
        <v>47</v>
      </c>
      <c r="Q4233" s="16">
        <v>4699</v>
      </c>
      <c r="R4233" s="17">
        <v>40</v>
      </c>
      <c r="S4233" s="18">
        <v>3242.31</v>
      </c>
      <c r="T4233" s="19" t="s">
        <v>36</v>
      </c>
      <c r="U4233" s="20" t="s">
        <v>86</v>
      </c>
      <c r="V4233" s="21" t="s">
        <v>87</v>
      </c>
      <c r="W4233" s="22">
        <v>6</v>
      </c>
      <c r="X4233" s="23"/>
    </row>
    <row r="4234" spans="1:24" s="1" customFormat="1" ht="52.05" customHeight="1" x14ac:dyDescent="0.3">
      <c r="A4234" s="11" t="s">
        <v>23</v>
      </c>
      <c r="B4234" s="11" t="s">
        <v>3727</v>
      </c>
      <c r="C4234" s="12" t="s">
        <v>3911</v>
      </c>
      <c r="D4234" s="55"/>
      <c r="E4234" s="41" t="str">
        <f>HYPERLINK("https://www.google.ru/search?q=1326413-600&amp;newwindow=1&amp;tbm=isch","Еще фото")</f>
        <v>Еще фото</v>
      </c>
      <c r="F4234" s="13" t="s">
        <v>103</v>
      </c>
      <c r="G4234" s="11" t="s">
        <v>3604</v>
      </c>
      <c r="H4234" s="11" t="s">
        <v>27</v>
      </c>
      <c r="I4234" s="14" t="s">
        <v>3599</v>
      </c>
      <c r="J4234" s="14" t="s">
        <v>29</v>
      </c>
      <c r="K4234" s="15" t="s">
        <v>30</v>
      </c>
      <c r="L4234" s="57" t="s">
        <v>3729</v>
      </c>
      <c r="M4234" s="14" t="s">
        <v>3209</v>
      </c>
      <c r="N4234" s="14" t="s">
        <v>198</v>
      </c>
      <c r="O4234" s="14" t="s">
        <v>34</v>
      </c>
      <c r="P4234" s="15" t="s">
        <v>47</v>
      </c>
      <c r="Q4234" s="16">
        <v>3399</v>
      </c>
      <c r="R4234" s="17">
        <v>40</v>
      </c>
      <c r="S4234" s="18">
        <v>2345.31</v>
      </c>
      <c r="T4234" s="19" t="s">
        <v>36</v>
      </c>
      <c r="U4234" s="20" t="s">
        <v>37</v>
      </c>
      <c r="V4234" s="21" t="s">
        <v>38</v>
      </c>
      <c r="W4234" s="22">
        <v>16</v>
      </c>
      <c r="X4234" s="23"/>
    </row>
    <row r="4235" spans="1:24" s="1" customFormat="1" ht="61.05" customHeight="1" x14ac:dyDescent="0.3">
      <c r="A4235" s="24" t="s">
        <v>23</v>
      </c>
      <c r="B4235" s="24" t="s">
        <v>3727</v>
      </c>
      <c r="C4235" s="12" t="s">
        <v>3911</v>
      </c>
      <c r="D4235" s="56"/>
      <c r="E4235" s="41" t="str">
        <f>HYPERLINK("https://www.google.ru/search?q=1326413-600&amp;newwindow=1&amp;tbm=isch","Еще фото")</f>
        <v>Еще фото</v>
      </c>
      <c r="F4235" s="13" t="s">
        <v>103</v>
      </c>
      <c r="G4235" s="24" t="s">
        <v>3604</v>
      </c>
      <c r="H4235" s="24" t="s">
        <v>27</v>
      </c>
      <c r="I4235" s="24" t="s">
        <v>3599</v>
      </c>
      <c r="J4235" s="14" t="s">
        <v>29</v>
      </c>
      <c r="K4235" s="15" t="s">
        <v>30</v>
      </c>
      <c r="L4235" s="58"/>
      <c r="M4235" s="14" t="s">
        <v>3209</v>
      </c>
      <c r="N4235" s="14" t="s">
        <v>198</v>
      </c>
      <c r="O4235" s="14" t="s">
        <v>34</v>
      </c>
      <c r="P4235" s="15" t="s">
        <v>47</v>
      </c>
      <c r="Q4235" s="16">
        <v>3399</v>
      </c>
      <c r="R4235" s="17">
        <v>40</v>
      </c>
      <c r="S4235" s="18">
        <v>2345.31</v>
      </c>
      <c r="T4235" s="19" t="s">
        <v>36</v>
      </c>
      <c r="U4235" s="20" t="s">
        <v>39</v>
      </c>
      <c r="V4235" s="21" t="s">
        <v>40</v>
      </c>
      <c r="W4235" s="22">
        <v>6</v>
      </c>
      <c r="X4235" s="23"/>
    </row>
    <row r="4236" spans="1:24" s="1" customFormat="1" ht="108" customHeight="1" x14ac:dyDescent="0.3">
      <c r="A4236" s="11" t="s">
        <v>23</v>
      </c>
      <c r="B4236" s="11" t="s">
        <v>3912</v>
      </c>
      <c r="C4236" s="12" t="s">
        <v>3913</v>
      </c>
      <c r="D4236" s="25"/>
      <c r="E4236" s="41" t="str">
        <f>HYPERLINK("https://www.google.ru/search?q=1326799-001&amp;newwindow=1&amp;tbm=isch","Еще фото")</f>
        <v>Еще фото</v>
      </c>
      <c r="F4236" s="13" t="s">
        <v>103</v>
      </c>
      <c r="G4236" s="11" t="s">
        <v>3604</v>
      </c>
      <c r="H4236" s="11" t="s">
        <v>27</v>
      </c>
      <c r="I4236" s="14" t="s">
        <v>3599</v>
      </c>
      <c r="J4236" s="14" t="s">
        <v>29</v>
      </c>
      <c r="K4236" s="15" t="s">
        <v>30</v>
      </c>
      <c r="L4236" s="14" t="s">
        <v>3914</v>
      </c>
      <c r="M4236" s="14" t="s">
        <v>45</v>
      </c>
      <c r="N4236" s="14" t="s">
        <v>33</v>
      </c>
      <c r="O4236" s="14" t="s">
        <v>34</v>
      </c>
      <c r="P4236" s="15" t="s">
        <v>2951</v>
      </c>
      <c r="Q4236" s="16">
        <v>2499</v>
      </c>
      <c r="R4236" s="17">
        <v>40</v>
      </c>
      <c r="S4236" s="18">
        <v>1724.31</v>
      </c>
      <c r="T4236" s="19" t="s">
        <v>36</v>
      </c>
      <c r="U4236" s="20" t="s">
        <v>88</v>
      </c>
      <c r="V4236" s="21" t="s">
        <v>89</v>
      </c>
      <c r="W4236" s="22">
        <v>1</v>
      </c>
      <c r="X4236" s="23"/>
    </row>
    <row r="4237" spans="1:24" s="1" customFormat="1" ht="52.05" customHeight="1" x14ac:dyDescent="0.3">
      <c r="A4237" s="11" t="s">
        <v>23</v>
      </c>
      <c r="B4237" s="11" t="s">
        <v>3651</v>
      </c>
      <c r="C4237" s="12" t="s">
        <v>3915</v>
      </c>
      <c r="D4237" s="55"/>
      <c r="E4237" s="41" t="str">
        <f>HYPERLINK("https://www.google.ru/search?q=1326799-025&amp;newwindow=1&amp;tbm=isch","Еще фото")</f>
        <v>Еще фото</v>
      </c>
      <c r="F4237" s="13" t="s">
        <v>152</v>
      </c>
      <c r="G4237" s="11" t="s">
        <v>3604</v>
      </c>
      <c r="H4237" s="11" t="s">
        <v>27</v>
      </c>
      <c r="I4237" s="14" t="s">
        <v>3599</v>
      </c>
      <c r="J4237" s="14" t="s">
        <v>29</v>
      </c>
      <c r="K4237" s="15" t="s">
        <v>30</v>
      </c>
      <c r="L4237" s="57" t="s">
        <v>3653</v>
      </c>
      <c r="M4237" s="14" t="s">
        <v>45</v>
      </c>
      <c r="N4237" s="14" t="s">
        <v>62</v>
      </c>
      <c r="O4237" s="14"/>
      <c r="P4237" s="15" t="s">
        <v>2951</v>
      </c>
      <c r="Q4237" s="16">
        <v>2199</v>
      </c>
      <c r="R4237" s="17">
        <v>40</v>
      </c>
      <c r="S4237" s="18">
        <v>1517.31</v>
      </c>
      <c r="T4237" s="19" t="s">
        <v>36</v>
      </c>
      <c r="U4237" s="20" t="s">
        <v>63</v>
      </c>
      <c r="V4237" s="21" t="s">
        <v>85</v>
      </c>
      <c r="W4237" s="22">
        <v>4</v>
      </c>
      <c r="X4237" s="23"/>
    </row>
    <row r="4238" spans="1:24" s="1" customFormat="1" ht="61.05" customHeight="1" x14ac:dyDescent="0.3">
      <c r="A4238" s="24" t="s">
        <v>23</v>
      </c>
      <c r="B4238" s="24" t="s">
        <v>3651</v>
      </c>
      <c r="C4238" s="12" t="s">
        <v>3915</v>
      </c>
      <c r="D4238" s="56"/>
      <c r="E4238" s="41" t="str">
        <f>HYPERLINK("https://www.google.ru/search?q=1326799-025&amp;newwindow=1&amp;tbm=isch","Еще фото")</f>
        <v>Еще фото</v>
      </c>
      <c r="F4238" s="13" t="s">
        <v>152</v>
      </c>
      <c r="G4238" s="24" t="s">
        <v>3604</v>
      </c>
      <c r="H4238" s="24" t="s">
        <v>27</v>
      </c>
      <c r="I4238" s="24" t="s">
        <v>3599</v>
      </c>
      <c r="J4238" s="14" t="s">
        <v>29</v>
      </c>
      <c r="K4238" s="15" t="s">
        <v>30</v>
      </c>
      <c r="L4238" s="58"/>
      <c r="M4238" s="14" t="s">
        <v>45</v>
      </c>
      <c r="N4238" s="14" t="s">
        <v>62</v>
      </c>
      <c r="O4238" s="14"/>
      <c r="P4238" s="15" t="s">
        <v>2951</v>
      </c>
      <c r="Q4238" s="16">
        <v>2199</v>
      </c>
      <c r="R4238" s="17">
        <v>40</v>
      </c>
      <c r="S4238" s="18">
        <v>1517.31</v>
      </c>
      <c r="T4238" s="19" t="s">
        <v>36</v>
      </c>
      <c r="U4238" s="20" t="s">
        <v>37</v>
      </c>
      <c r="V4238" s="21" t="s">
        <v>38</v>
      </c>
      <c r="W4238" s="22">
        <v>4</v>
      </c>
      <c r="X4238" s="23"/>
    </row>
    <row r="4239" spans="1:24" s="1" customFormat="1" ht="21" customHeight="1" x14ac:dyDescent="0.3">
      <c r="A4239" s="11" t="s">
        <v>23</v>
      </c>
      <c r="B4239" s="11" t="s">
        <v>3912</v>
      </c>
      <c r="C4239" s="26" t="s">
        <v>3916</v>
      </c>
      <c r="D4239" s="59"/>
      <c r="E4239" s="41" t="str">
        <f>HYPERLINK("https://www.google.ru/search?q=1326799-036&amp;newwindow=1&amp;tbm=isch","Еще фото")</f>
        <v>Еще фото</v>
      </c>
      <c r="F4239" s="13" t="s">
        <v>103</v>
      </c>
      <c r="G4239" s="11" t="s">
        <v>3604</v>
      </c>
      <c r="H4239" s="11" t="s">
        <v>27</v>
      </c>
      <c r="I4239" s="14" t="s">
        <v>3599</v>
      </c>
      <c r="J4239" s="14" t="s">
        <v>29</v>
      </c>
      <c r="K4239" s="15" t="s">
        <v>30</v>
      </c>
      <c r="L4239" s="57" t="s">
        <v>3914</v>
      </c>
      <c r="M4239" s="14" t="s">
        <v>45</v>
      </c>
      <c r="N4239" s="14" t="s">
        <v>62</v>
      </c>
      <c r="O4239" s="14" t="s">
        <v>34</v>
      </c>
      <c r="P4239" s="15" t="s">
        <v>2951</v>
      </c>
      <c r="Q4239" s="16">
        <v>2699</v>
      </c>
      <c r="R4239" s="17">
        <v>40</v>
      </c>
      <c r="S4239" s="18">
        <v>1862.31</v>
      </c>
      <c r="T4239" s="19" t="s">
        <v>36</v>
      </c>
      <c r="U4239" s="20" t="s">
        <v>63</v>
      </c>
      <c r="V4239" s="21" t="s">
        <v>85</v>
      </c>
      <c r="W4239" s="22">
        <v>4</v>
      </c>
      <c r="X4239" s="23"/>
    </row>
    <row r="4240" spans="1:24" s="1" customFormat="1" ht="21" customHeight="1" x14ac:dyDescent="0.3">
      <c r="A4240" s="24" t="s">
        <v>23</v>
      </c>
      <c r="B4240" s="24" t="s">
        <v>3912</v>
      </c>
      <c r="C4240" s="27" t="s">
        <v>3916</v>
      </c>
      <c r="D4240" s="60"/>
      <c r="E4240" s="41" t="str">
        <f>HYPERLINK("https://www.google.ru/search?q=1326799-036&amp;newwindow=1&amp;tbm=isch","Еще фото")</f>
        <v>Еще фото</v>
      </c>
      <c r="F4240" s="13" t="s">
        <v>103</v>
      </c>
      <c r="G4240" s="24" t="s">
        <v>3604</v>
      </c>
      <c r="H4240" s="24" t="s">
        <v>27</v>
      </c>
      <c r="I4240" s="24" t="s">
        <v>3599</v>
      </c>
      <c r="J4240" s="14" t="s">
        <v>29</v>
      </c>
      <c r="K4240" s="15" t="s">
        <v>30</v>
      </c>
      <c r="L4240" s="62"/>
      <c r="M4240" s="14" t="s">
        <v>45</v>
      </c>
      <c r="N4240" s="14" t="s">
        <v>62</v>
      </c>
      <c r="O4240" s="14" t="s">
        <v>34</v>
      </c>
      <c r="P4240" s="15" t="s">
        <v>2951</v>
      </c>
      <c r="Q4240" s="16">
        <v>2699</v>
      </c>
      <c r="R4240" s="17">
        <v>40</v>
      </c>
      <c r="S4240" s="18">
        <v>1862.31</v>
      </c>
      <c r="T4240" s="19" t="s">
        <v>36</v>
      </c>
      <c r="U4240" s="20" t="s">
        <v>37</v>
      </c>
      <c r="V4240" s="21" t="s">
        <v>38</v>
      </c>
      <c r="W4240" s="22">
        <v>60</v>
      </c>
      <c r="X4240" s="23"/>
    </row>
    <row r="4241" spans="1:24" s="1" customFormat="1" ht="21" customHeight="1" x14ac:dyDescent="0.3">
      <c r="A4241" s="24" t="s">
        <v>23</v>
      </c>
      <c r="B4241" s="24" t="s">
        <v>3912</v>
      </c>
      <c r="C4241" s="27" t="s">
        <v>3916</v>
      </c>
      <c r="D4241" s="60"/>
      <c r="E4241" s="41" t="str">
        <f>HYPERLINK("https://www.google.ru/search?q=1326799-036&amp;newwindow=1&amp;tbm=isch","Еще фото")</f>
        <v>Еще фото</v>
      </c>
      <c r="F4241" s="13" t="s">
        <v>103</v>
      </c>
      <c r="G4241" s="24" t="s">
        <v>3604</v>
      </c>
      <c r="H4241" s="24" t="s">
        <v>27</v>
      </c>
      <c r="I4241" s="24" t="s">
        <v>3599</v>
      </c>
      <c r="J4241" s="14" t="s">
        <v>29</v>
      </c>
      <c r="K4241" s="15" t="s">
        <v>30</v>
      </c>
      <c r="L4241" s="62"/>
      <c r="M4241" s="14" t="s">
        <v>45</v>
      </c>
      <c r="N4241" s="14" t="s">
        <v>62</v>
      </c>
      <c r="O4241" s="14" t="s">
        <v>34</v>
      </c>
      <c r="P4241" s="15" t="s">
        <v>2951</v>
      </c>
      <c r="Q4241" s="16">
        <v>2699</v>
      </c>
      <c r="R4241" s="17">
        <v>40</v>
      </c>
      <c r="S4241" s="18">
        <v>1862.31</v>
      </c>
      <c r="T4241" s="19" t="s">
        <v>36</v>
      </c>
      <c r="U4241" s="20" t="s">
        <v>39</v>
      </c>
      <c r="V4241" s="21" t="s">
        <v>40</v>
      </c>
      <c r="W4241" s="22">
        <v>35</v>
      </c>
      <c r="X4241" s="23"/>
    </row>
    <row r="4242" spans="1:24" s="1" customFormat="1" ht="21" customHeight="1" x14ac:dyDescent="0.3">
      <c r="A4242" s="24" t="s">
        <v>23</v>
      </c>
      <c r="B4242" s="24" t="s">
        <v>3912</v>
      </c>
      <c r="C4242" s="27" t="s">
        <v>3916</v>
      </c>
      <c r="D4242" s="60"/>
      <c r="E4242" s="41" t="str">
        <f>HYPERLINK("https://www.google.ru/search?q=1326799-036&amp;newwindow=1&amp;tbm=isch","Еще фото")</f>
        <v>Еще фото</v>
      </c>
      <c r="F4242" s="13" t="s">
        <v>103</v>
      </c>
      <c r="G4242" s="24" t="s">
        <v>3604</v>
      </c>
      <c r="H4242" s="24" t="s">
        <v>27</v>
      </c>
      <c r="I4242" s="24" t="s">
        <v>3599</v>
      </c>
      <c r="J4242" s="14" t="s">
        <v>29</v>
      </c>
      <c r="K4242" s="15" t="s">
        <v>30</v>
      </c>
      <c r="L4242" s="62"/>
      <c r="M4242" s="14" t="s">
        <v>45</v>
      </c>
      <c r="N4242" s="14" t="s">
        <v>62</v>
      </c>
      <c r="O4242" s="14" t="s">
        <v>34</v>
      </c>
      <c r="P4242" s="15" t="s">
        <v>2951</v>
      </c>
      <c r="Q4242" s="16">
        <v>2699</v>
      </c>
      <c r="R4242" s="17">
        <v>40</v>
      </c>
      <c r="S4242" s="18">
        <v>1862.31</v>
      </c>
      <c r="T4242" s="19" t="s">
        <v>36</v>
      </c>
      <c r="U4242" s="20" t="s">
        <v>86</v>
      </c>
      <c r="V4242" s="21" t="s">
        <v>87</v>
      </c>
      <c r="W4242" s="22">
        <v>10</v>
      </c>
      <c r="X4242" s="23"/>
    </row>
    <row r="4243" spans="1:24" s="1" customFormat="1" ht="32" customHeight="1" x14ac:dyDescent="0.3">
      <c r="A4243" s="24" t="s">
        <v>23</v>
      </c>
      <c r="B4243" s="24" t="s">
        <v>3912</v>
      </c>
      <c r="C4243" s="27" t="s">
        <v>3916</v>
      </c>
      <c r="D4243" s="61"/>
      <c r="E4243" s="41" t="str">
        <f>HYPERLINK("https://www.google.ru/search?q=1326799-036&amp;newwindow=1&amp;tbm=isch","Еще фото")</f>
        <v>Еще фото</v>
      </c>
      <c r="F4243" s="13" t="s">
        <v>103</v>
      </c>
      <c r="G4243" s="24" t="s">
        <v>3604</v>
      </c>
      <c r="H4243" s="24" t="s">
        <v>27</v>
      </c>
      <c r="I4243" s="24" t="s">
        <v>3599</v>
      </c>
      <c r="J4243" s="14" t="s">
        <v>29</v>
      </c>
      <c r="K4243" s="15" t="s">
        <v>30</v>
      </c>
      <c r="L4243" s="58"/>
      <c r="M4243" s="14" t="s">
        <v>45</v>
      </c>
      <c r="N4243" s="14" t="s">
        <v>62</v>
      </c>
      <c r="O4243" s="14" t="s">
        <v>34</v>
      </c>
      <c r="P4243" s="15" t="s">
        <v>2951</v>
      </c>
      <c r="Q4243" s="16">
        <v>2699</v>
      </c>
      <c r="R4243" s="17">
        <v>40</v>
      </c>
      <c r="S4243" s="18">
        <v>1862.31</v>
      </c>
      <c r="T4243" s="19" t="s">
        <v>36</v>
      </c>
      <c r="U4243" s="20" t="s">
        <v>88</v>
      </c>
      <c r="V4243" s="21" t="s">
        <v>89</v>
      </c>
      <c r="W4243" s="22">
        <v>4</v>
      </c>
      <c r="X4243" s="23"/>
    </row>
    <row r="4244" spans="1:24" s="1" customFormat="1" ht="52.05" customHeight="1" x14ac:dyDescent="0.3">
      <c r="A4244" s="11" t="s">
        <v>23</v>
      </c>
      <c r="B4244" s="11" t="s">
        <v>3917</v>
      </c>
      <c r="C4244" s="12" t="s">
        <v>3918</v>
      </c>
      <c r="D4244" s="55"/>
      <c r="E4244" s="41" t="str">
        <f>HYPERLINK("https://www.google.ru/search?q=1326799-408&amp;newwindow=1&amp;tbm=isch","Еще фото")</f>
        <v>Еще фото</v>
      </c>
      <c r="F4244" s="13" t="s">
        <v>103</v>
      </c>
      <c r="G4244" s="11" t="s">
        <v>3604</v>
      </c>
      <c r="H4244" s="11" t="s">
        <v>27</v>
      </c>
      <c r="I4244" s="14" t="s">
        <v>3599</v>
      </c>
      <c r="J4244" s="14" t="s">
        <v>29</v>
      </c>
      <c r="K4244" s="15" t="s">
        <v>30</v>
      </c>
      <c r="L4244" s="57" t="s">
        <v>3919</v>
      </c>
      <c r="M4244" s="14" t="s">
        <v>45</v>
      </c>
      <c r="N4244" s="14" t="s">
        <v>115</v>
      </c>
      <c r="O4244" s="14" t="s">
        <v>34</v>
      </c>
      <c r="P4244" s="15" t="s">
        <v>2951</v>
      </c>
      <c r="Q4244" s="16">
        <v>2199</v>
      </c>
      <c r="R4244" s="17">
        <v>40</v>
      </c>
      <c r="S4244" s="18">
        <v>1517.31</v>
      </c>
      <c r="T4244" s="19" t="s">
        <v>36</v>
      </c>
      <c r="U4244" s="20" t="s">
        <v>37</v>
      </c>
      <c r="V4244" s="21" t="s">
        <v>38</v>
      </c>
      <c r="W4244" s="22">
        <v>43</v>
      </c>
      <c r="X4244" s="23"/>
    </row>
    <row r="4245" spans="1:24" s="1" customFormat="1" ht="61.05" customHeight="1" x14ac:dyDescent="0.3">
      <c r="A4245" s="24" t="s">
        <v>23</v>
      </c>
      <c r="B4245" s="24" t="s">
        <v>3917</v>
      </c>
      <c r="C4245" s="12" t="s">
        <v>3918</v>
      </c>
      <c r="D4245" s="56"/>
      <c r="E4245" s="41" t="str">
        <f>HYPERLINK("https://www.google.ru/search?q=1326799-408&amp;newwindow=1&amp;tbm=isch","Еще фото")</f>
        <v>Еще фото</v>
      </c>
      <c r="F4245" s="13" t="s">
        <v>103</v>
      </c>
      <c r="G4245" s="24" t="s">
        <v>3604</v>
      </c>
      <c r="H4245" s="24" t="s">
        <v>27</v>
      </c>
      <c r="I4245" s="24" t="s">
        <v>3599</v>
      </c>
      <c r="J4245" s="14" t="s">
        <v>29</v>
      </c>
      <c r="K4245" s="15" t="s">
        <v>30</v>
      </c>
      <c r="L4245" s="58"/>
      <c r="M4245" s="14" t="s">
        <v>45</v>
      </c>
      <c r="N4245" s="14" t="s">
        <v>115</v>
      </c>
      <c r="O4245" s="14" t="s">
        <v>34</v>
      </c>
      <c r="P4245" s="15" t="s">
        <v>2951</v>
      </c>
      <c r="Q4245" s="16">
        <v>2199</v>
      </c>
      <c r="R4245" s="17">
        <v>40</v>
      </c>
      <c r="S4245" s="18">
        <v>1517.31</v>
      </c>
      <c r="T4245" s="19" t="s">
        <v>36</v>
      </c>
      <c r="U4245" s="20" t="s">
        <v>39</v>
      </c>
      <c r="V4245" s="21" t="s">
        <v>40</v>
      </c>
      <c r="W4245" s="22">
        <v>45</v>
      </c>
      <c r="X4245" s="23"/>
    </row>
    <row r="4246" spans="1:24" s="1" customFormat="1" ht="108" customHeight="1" x14ac:dyDescent="0.3">
      <c r="A4246" s="11" t="s">
        <v>23</v>
      </c>
      <c r="B4246" s="11" t="s">
        <v>3651</v>
      </c>
      <c r="C4246" s="12" t="s">
        <v>3920</v>
      </c>
      <c r="D4246" s="25"/>
      <c r="E4246" s="41" t="str">
        <f>HYPERLINK("https://www.google.ru/search?q=1326799-587&amp;newwindow=1&amp;tbm=isch","Еще фото")</f>
        <v>Еще фото</v>
      </c>
      <c r="F4246" s="13"/>
      <c r="G4246" s="11" t="s">
        <v>3604</v>
      </c>
      <c r="H4246" s="11" t="s">
        <v>27</v>
      </c>
      <c r="I4246" s="14" t="s">
        <v>3599</v>
      </c>
      <c r="J4246" s="14" t="s">
        <v>43</v>
      </c>
      <c r="K4246" s="15" t="s">
        <v>30</v>
      </c>
      <c r="L4246" s="14" t="s">
        <v>3914</v>
      </c>
      <c r="M4246" s="14" t="s">
        <v>45</v>
      </c>
      <c r="N4246" s="14" t="s">
        <v>115</v>
      </c>
      <c r="O4246" s="14"/>
      <c r="P4246" s="15" t="s">
        <v>2951</v>
      </c>
      <c r="Q4246" s="16">
        <v>2299</v>
      </c>
      <c r="R4246" s="17">
        <v>40</v>
      </c>
      <c r="S4246" s="18">
        <v>1586.31</v>
      </c>
      <c r="T4246" s="19" t="s">
        <v>36</v>
      </c>
      <c r="U4246" s="20" t="s">
        <v>39</v>
      </c>
      <c r="V4246" s="21" t="s">
        <v>40</v>
      </c>
      <c r="W4246" s="22">
        <v>1</v>
      </c>
      <c r="X4246" s="23"/>
    </row>
    <row r="4247" spans="1:24" s="1" customFormat="1" ht="52.05" customHeight="1" x14ac:dyDescent="0.3">
      <c r="A4247" s="11" t="s">
        <v>23</v>
      </c>
      <c r="B4247" s="11" t="s">
        <v>3912</v>
      </c>
      <c r="C4247" s="12" t="s">
        <v>3921</v>
      </c>
      <c r="D4247" s="55"/>
      <c r="E4247" s="41" t="str">
        <f>HYPERLINK("https://www.google.ru/search?q=1326799-600&amp;newwindow=1&amp;tbm=isch","Еще фото")</f>
        <v>Еще фото</v>
      </c>
      <c r="F4247" s="13" t="s">
        <v>103</v>
      </c>
      <c r="G4247" s="11" t="s">
        <v>3604</v>
      </c>
      <c r="H4247" s="11" t="s">
        <v>27</v>
      </c>
      <c r="I4247" s="14" t="s">
        <v>3599</v>
      </c>
      <c r="J4247" s="14" t="s">
        <v>29</v>
      </c>
      <c r="K4247" s="15" t="s">
        <v>30</v>
      </c>
      <c r="L4247" s="57" t="s">
        <v>3919</v>
      </c>
      <c r="M4247" s="14" t="s">
        <v>45</v>
      </c>
      <c r="N4247" s="14" t="s">
        <v>198</v>
      </c>
      <c r="O4247" s="14" t="s">
        <v>34</v>
      </c>
      <c r="P4247" s="15" t="s">
        <v>2951</v>
      </c>
      <c r="Q4247" s="16">
        <v>2199</v>
      </c>
      <c r="R4247" s="17">
        <v>40</v>
      </c>
      <c r="S4247" s="18">
        <v>1517.31</v>
      </c>
      <c r="T4247" s="19" t="s">
        <v>36</v>
      </c>
      <c r="U4247" s="20" t="s">
        <v>37</v>
      </c>
      <c r="V4247" s="21" t="s">
        <v>38</v>
      </c>
      <c r="W4247" s="22">
        <v>108</v>
      </c>
      <c r="X4247" s="23"/>
    </row>
    <row r="4248" spans="1:24" s="1" customFormat="1" ht="61.05" customHeight="1" x14ac:dyDescent="0.3">
      <c r="A4248" s="24" t="s">
        <v>23</v>
      </c>
      <c r="B4248" s="24" t="s">
        <v>3912</v>
      </c>
      <c r="C4248" s="12" t="s">
        <v>3921</v>
      </c>
      <c r="D4248" s="56"/>
      <c r="E4248" s="41" t="str">
        <f>HYPERLINK("https://www.google.ru/search?q=1326799-600&amp;newwindow=1&amp;tbm=isch","Еще фото")</f>
        <v>Еще фото</v>
      </c>
      <c r="F4248" s="13" t="s">
        <v>103</v>
      </c>
      <c r="G4248" s="24" t="s">
        <v>3604</v>
      </c>
      <c r="H4248" s="24" t="s">
        <v>27</v>
      </c>
      <c r="I4248" s="24" t="s">
        <v>3599</v>
      </c>
      <c r="J4248" s="14" t="s">
        <v>29</v>
      </c>
      <c r="K4248" s="15" t="s">
        <v>30</v>
      </c>
      <c r="L4248" s="58"/>
      <c r="M4248" s="14" t="s">
        <v>45</v>
      </c>
      <c r="N4248" s="14" t="s">
        <v>198</v>
      </c>
      <c r="O4248" s="14" t="s">
        <v>34</v>
      </c>
      <c r="P4248" s="15" t="s">
        <v>2951</v>
      </c>
      <c r="Q4248" s="16">
        <v>2199</v>
      </c>
      <c r="R4248" s="17">
        <v>40</v>
      </c>
      <c r="S4248" s="18">
        <v>1517.31</v>
      </c>
      <c r="T4248" s="19" t="s">
        <v>36</v>
      </c>
      <c r="U4248" s="20" t="s">
        <v>88</v>
      </c>
      <c r="V4248" s="21" t="s">
        <v>89</v>
      </c>
      <c r="W4248" s="22">
        <v>1</v>
      </c>
      <c r="X4248" s="23"/>
    </row>
    <row r="4249" spans="1:24" s="1" customFormat="1" ht="52.05" customHeight="1" x14ac:dyDescent="0.3">
      <c r="A4249" s="11" t="s">
        <v>23</v>
      </c>
      <c r="B4249" s="11" t="s">
        <v>3922</v>
      </c>
      <c r="C4249" s="12" t="s">
        <v>3923</v>
      </c>
      <c r="D4249" s="55"/>
      <c r="E4249" s="41" t="str">
        <f>HYPERLINK("https://www.google.ru/search?q=1328964-402&amp;newwindow=1&amp;tbm=isch","Еще фото")</f>
        <v>Еще фото</v>
      </c>
      <c r="F4249" s="13" t="s">
        <v>152</v>
      </c>
      <c r="G4249" s="11" t="s">
        <v>3604</v>
      </c>
      <c r="H4249" s="11" t="s">
        <v>27</v>
      </c>
      <c r="I4249" s="14" t="s">
        <v>3599</v>
      </c>
      <c r="J4249" s="14" t="s">
        <v>29</v>
      </c>
      <c r="K4249" s="15" t="s">
        <v>59</v>
      </c>
      <c r="L4249" s="57" t="s">
        <v>3924</v>
      </c>
      <c r="M4249" s="14"/>
      <c r="N4249" s="14" t="s">
        <v>115</v>
      </c>
      <c r="O4249" s="14"/>
      <c r="P4249" s="15" t="s">
        <v>2662</v>
      </c>
      <c r="Q4249" s="16">
        <v>3899</v>
      </c>
      <c r="R4249" s="17">
        <v>40</v>
      </c>
      <c r="S4249" s="18">
        <v>2690.31</v>
      </c>
      <c r="T4249" s="19" t="s">
        <v>36</v>
      </c>
      <c r="U4249" s="20" t="s">
        <v>63</v>
      </c>
      <c r="V4249" s="21" t="s">
        <v>64</v>
      </c>
      <c r="W4249" s="22">
        <v>3</v>
      </c>
      <c r="X4249" s="23"/>
    </row>
    <row r="4250" spans="1:24" s="1" customFormat="1" ht="61.05" customHeight="1" x14ac:dyDescent="0.3">
      <c r="A4250" s="24" t="s">
        <v>23</v>
      </c>
      <c r="B4250" s="24" t="s">
        <v>3922</v>
      </c>
      <c r="C4250" s="12" t="s">
        <v>3923</v>
      </c>
      <c r="D4250" s="56"/>
      <c r="E4250" s="41" t="str">
        <f>HYPERLINK("https://www.google.ru/search?q=1328964-402&amp;newwindow=1&amp;tbm=isch","Еще фото")</f>
        <v>Еще фото</v>
      </c>
      <c r="F4250" s="13" t="s">
        <v>152</v>
      </c>
      <c r="G4250" s="24" t="s">
        <v>3604</v>
      </c>
      <c r="H4250" s="24" t="s">
        <v>27</v>
      </c>
      <c r="I4250" s="24" t="s">
        <v>3599</v>
      </c>
      <c r="J4250" s="14" t="s">
        <v>29</v>
      </c>
      <c r="K4250" s="15" t="s">
        <v>59</v>
      </c>
      <c r="L4250" s="58"/>
      <c r="M4250" s="14"/>
      <c r="N4250" s="14" t="s">
        <v>115</v>
      </c>
      <c r="O4250" s="14"/>
      <c r="P4250" s="15" t="s">
        <v>2662</v>
      </c>
      <c r="Q4250" s="16">
        <v>3899</v>
      </c>
      <c r="R4250" s="17">
        <v>40</v>
      </c>
      <c r="S4250" s="18">
        <v>2690.31</v>
      </c>
      <c r="T4250" s="19" t="s">
        <v>36</v>
      </c>
      <c r="U4250" s="20" t="s">
        <v>37</v>
      </c>
      <c r="V4250" s="21" t="s">
        <v>106</v>
      </c>
      <c r="W4250" s="22">
        <v>1</v>
      </c>
      <c r="X4250" s="23"/>
    </row>
    <row r="4251" spans="1:24" s="1" customFormat="1" ht="108" customHeight="1" x14ac:dyDescent="0.3">
      <c r="A4251" s="11" t="s">
        <v>23</v>
      </c>
      <c r="B4251" s="11" t="s">
        <v>3925</v>
      </c>
      <c r="C4251" s="12" t="s">
        <v>3926</v>
      </c>
      <c r="D4251" s="25"/>
      <c r="E4251" s="41" t="str">
        <f>HYPERLINK("https://www.google.ru/search?q=1329581-600&amp;newwindow=1&amp;tbm=isch","Еще фото")</f>
        <v>Еще фото</v>
      </c>
      <c r="F4251" s="13"/>
      <c r="G4251" s="11" t="s">
        <v>3604</v>
      </c>
      <c r="H4251" s="11" t="s">
        <v>27</v>
      </c>
      <c r="I4251" s="14" t="s">
        <v>3599</v>
      </c>
      <c r="J4251" s="14" t="s">
        <v>29</v>
      </c>
      <c r="K4251" s="15" t="s">
        <v>30</v>
      </c>
      <c r="L4251" s="14" t="s">
        <v>3927</v>
      </c>
      <c r="M4251" s="14" t="s">
        <v>1283</v>
      </c>
      <c r="N4251" s="14" t="s">
        <v>198</v>
      </c>
      <c r="O4251" s="14" t="s">
        <v>34</v>
      </c>
      <c r="P4251" s="15" t="s">
        <v>2951</v>
      </c>
      <c r="Q4251" s="16">
        <v>3599</v>
      </c>
      <c r="R4251" s="17">
        <v>40</v>
      </c>
      <c r="S4251" s="18">
        <v>2483.31</v>
      </c>
      <c r="T4251" s="19" t="s">
        <v>36</v>
      </c>
      <c r="U4251" s="20" t="s">
        <v>37</v>
      </c>
      <c r="V4251" s="21" t="s">
        <v>38</v>
      </c>
      <c r="W4251" s="22">
        <v>4</v>
      </c>
      <c r="X4251" s="23"/>
    </row>
    <row r="4252" spans="1:24" s="1" customFormat="1" ht="52.05" customHeight="1" x14ac:dyDescent="0.3">
      <c r="A4252" s="11" t="s">
        <v>23</v>
      </c>
      <c r="B4252" s="11" t="s">
        <v>3928</v>
      </c>
      <c r="C4252" s="12" t="s">
        <v>3929</v>
      </c>
      <c r="D4252" s="55"/>
      <c r="E4252" s="41" t="str">
        <f>HYPERLINK("https://www.google.ru/search?q=1329583-600&amp;newwindow=1&amp;tbm=isch","Еще фото")</f>
        <v>Еще фото</v>
      </c>
      <c r="F4252" s="13"/>
      <c r="G4252" s="11" t="s">
        <v>3604</v>
      </c>
      <c r="H4252" s="11" t="s">
        <v>27</v>
      </c>
      <c r="I4252" s="14" t="s">
        <v>3599</v>
      </c>
      <c r="J4252" s="14" t="s">
        <v>29</v>
      </c>
      <c r="K4252" s="15" t="s">
        <v>30</v>
      </c>
      <c r="L4252" s="57" t="s">
        <v>3930</v>
      </c>
      <c r="M4252" s="14" t="s">
        <v>45</v>
      </c>
      <c r="N4252" s="14" t="s">
        <v>198</v>
      </c>
      <c r="O4252" s="14" t="s">
        <v>306</v>
      </c>
      <c r="P4252" s="15" t="s">
        <v>3931</v>
      </c>
      <c r="Q4252" s="16">
        <v>3099</v>
      </c>
      <c r="R4252" s="17">
        <v>40</v>
      </c>
      <c r="S4252" s="18">
        <v>2138.31</v>
      </c>
      <c r="T4252" s="19" t="s">
        <v>36</v>
      </c>
      <c r="U4252" s="20" t="s">
        <v>37</v>
      </c>
      <c r="V4252" s="21" t="s">
        <v>38</v>
      </c>
      <c r="W4252" s="22">
        <v>1</v>
      </c>
      <c r="X4252" s="23"/>
    </row>
    <row r="4253" spans="1:24" s="1" customFormat="1" ht="61.05" customHeight="1" x14ac:dyDescent="0.3">
      <c r="A4253" s="24" t="s">
        <v>23</v>
      </c>
      <c r="B4253" s="24" t="s">
        <v>3928</v>
      </c>
      <c r="C4253" s="12" t="s">
        <v>3929</v>
      </c>
      <c r="D4253" s="56"/>
      <c r="E4253" s="41" t="str">
        <f>HYPERLINK("https://www.google.ru/search?q=1329583-600&amp;newwindow=1&amp;tbm=isch","Еще фото")</f>
        <v>Еще фото</v>
      </c>
      <c r="F4253" s="13"/>
      <c r="G4253" s="24" t="s">
        <v>3604</v>
      </c>
      <c r="H4253" s="24" t="s">
        <v>27</v>
      </c>
      <c r="I4253" s="24" t="s">
        <v>3599</v>
      </c>
      <c r="J4253" s="14" t="s">
        <v>29</v>
      </c>
      <c r="K4253" s="15" t="s">
        <v>30</v>
      </c>
      <c r="L4253" s="58"/>
      <c r="M4253" s="14" t="s">
        <v>45</v>
      </c>
      <c r="N4253" s="14" t="s">
        <v>198</v>
      </c>
      <c r="O4253" s="14" t="s">
        <v>306</v>
      </c>
      <c r="P4253" s="15" t="s">
        <v>3931</v>
      </c>
      <c r="Q4253" s="16">
        <v>3099</v>
      </c>
      <c r="R4253" s="17">
        <v>40</v>
      </c>
      <c r="S4253" s="18">
        <v>2138.31</v>
      </c>
      <c r="T4253" s="19" t="s">
        <v>36</v>
      </c>
      <c r="U4253" s="20" t="s">
        <v>86</v>
      </c>
      <c r="V4253" s="21" t="s">
        <v>87</v>
      </c>
      <c r="W4253" s="22">
        <v>1</v>
      </c>
      <c r="X4253" s="23"/>
    </row>
    <row r="4254" spans="1:24" s="1" customFormat="1" ht="52.05" customHeight="1" x14ac:dyDescent="0.3">
      <c r="A4254" s="11" t="s">
        <v>23</v>
      </c>
      <c r="B4254" s="11" t="s">
        <v>3932</v>
      </c>
      <c r="C4254" s="12" t="s">
        <v>3933</v>
      </c>
      <c r="D4254" s="55"/>
      <c r="E4254" s="41" t="str">
        <f>HYPERLINK("https://www.google.ru/search?q=1356305-001&amp;newwindow=1&amp;tbm=isch","Еще фото")</f>
        <v>Еще фото</v>
      </c>
      <c r="F4254" s="13" t="s">
        <v>103</v>
      </c>
      <c r="G4254" s="11" t="s">
        <v>3604</v>
      </c>
      <c r="H4254" s="11" t="s">
        <v>27</v>
      </c>
      <c r="I4254" s="14" t="s">
        <v>3599</v>
      </c>
      <c r="J4254" s="14" t="s">
        <v>29</v>
      </c>
      <c r="K4254" s="15" t="s">
        <v>59</v>
      </c>
      <c r="L4254" s="57" t="s">
        <v>3934</v>
      </c>
      <c r="M4254" s="14" t="s">
        <v>45</v>
      </c>
      <c r="N4254" s="14" t="s">
        <v>33</v>
      </c>
      <c r="O4254" s="14"/>
      <c r="P4254" s="15" t="s">
        <v>2951</v>
      </c>
      <c r="Q4254" s="16">
        <v>2699</v>
      </c>
      <c r="R4254" s="17">
        <v>40</v>
      </c>
      <c r="S4254" s="18">
        <v>1862.31</v>
      </c>
      <c r="T4254" s="19" t="s">
        <v>36</v>
      </c>
      <c r="U4254" s="20" t="s">
        <v>63</v>
      </c>
      <c r="V4254" s="21" t="s">
        <v>64</v>
      </c>
      <c r="W4254" s="22">
        <v>8</v>
      </c>
      <c r="X4254" s="23"/>
    </row>
    <row r="4255" spans="1:24" s="1" customFormat="1" ht="61.05" customHeight="1" x14ac:dyDescent="0.3">
      <c r="A4255" s="24" t="s">
        <v>23</v>
      </c>
      <c r="B4255" s="24" t="s">
        <v>3932</v>
      </c>
      <c r="C4255" s="12" t="s">
        <v>3933</v>
      </c>
      <c r="D4255" s="56"/>
      <c r="E4255" s="41" t="str">
        <f>HYPERLINK("https://www.google.ru/search?q=1356305-001&amp;newwindow=1&amp;tbm=isch","Еще фото")</f>
        <v>Еще фото</v>
      </c>
      <c r="F4255" s="13" t="s">
        <v>103</v>
      </c>
      <c r="G4255" s="24" t="s">
        <v>3604</v>
      </c>
      <c r="H4255" s="24" t="s">
        <v>27</v>
      </c>
      <c r="I4255" s="24" t="s">
        <v>3599</v>
      </c>
      <c r="J4255" s="14" t="s">
        <v>29</v>
      </c>
      <c r="K4255" s="15" t="s">
        <v>59</v>
      </c>
      <c r="L4255" s="58"/>
      <c r="M4255" s="14" t="s">
        <v>45</v>
      </c>
      <c r="N4255" s="14" t="s">
        <v>33</v>
      </c>
      <c r="O4255" s="14"/>
      <c r="P4255" s="15" t="s">
        <v>2951</v>
      </c>
      <c r="Q4255" s="16">
        <v>2699</v>
      </c>
      <c r="R4255" s="17">
        <v>40</v>
      </c>
      <c r="S4255" s="18">
        <v>1862.31</v>
      </c>
      <c r="T4255" s="19" t="s">
        <v>36</v>
      </c>
      <c r="U4255" s="20" t="s">
        <v>37</v>
      </c>
      <c r="V4255" s="21" t="s">
        <v>106</v>
      </c>
      <c r="W4255" s="22">
        <v>4</v>
      </c>
      <c r="X4255" s="23"/>
    </row>
    <row r="4256" spans="1:24" s="1" customFormat="1" ht="35" customHeight="1" x14ac:dyDescent="0.3">
      <c r="A4256" s="11" t="s">
        <v>23</v>
      </c>
      <c r="B4256" s="11" t="s">
        <v>3932</v>
      </c>
      <c r="C4256" s="12" t="s">
        <v>3935</v>
      </c>
      <c r="D4256" s="59"/>
      <c r="E4256" s="41" t="str">
        <f>HYPERLINK("https://www.google.ru/search?q=1356305-002&amp;newwindow=1&amp;tbm=isch","Еще фото")</f>
        <v>Еще фото</v>
      </c>
      <c r="F4256" s="13"/>
      <c r="G4256" s="11" t="s">
        <v>3604</v>
      </c>
      <c r="H4256" s="11" t="s">
        <v>27</v>
      </c>
      <c r="I4256" s="14" t="s">
        <v>3599</v>
      </c>
      <c r="J4256" s="14" t="s">
        <v>29</v>
      </c>
      <c r="K4256" s="15" t="s">
        <v>59</v>
      </c>
      <c r="L4256" s="57" t="s">
        <v>3934</v>
      </c>
      <c r="M4256" s="14" t="s">
        <v>45</v>
      </c>
      <c r="N4256" s="14" t="s">
        <v>33</v>
      </c>
      <c r="O4256" s="14" t="s">
        <v>34</v>
      </c>
      <c r="P4256" s="15" t="s">
        <v>2951</v>
      </c>
      <c r="Q4256" s="16">
        <v>3399</v>
      </c>
      <c r="R4256" s="17">
        <v>40</v>
      </c>
      <c r="S4256" s="18">
        <v>2345.31</v>
      </c>
      <c r="T4256" s="19" t="s">
        <v>36</v>
      </c>
      <c r="U4256" s="20" t="s">
        <v>63</v>
      </c>
      <c r="V4256" s="21" t="s">
        <v>64</v>
      </c>
      <c r="W4256" s="22">
        <v>4</v>
      </c>
      <c r="X4256" s="23"/>
    </row>
    <row r="4257" spans="1:24" s="1" customFormat="1" ht="35" customHeight="1" x14ac:dyDescent="0.3">
      <c r="A4257" s="24" t="s">
        <v>23</v>
      </c>
      <c r="B4257" s="24" t="s">
        <v>3932</v>
      </c>
      <c r="C4257" s="12" t="s">
        <v>3935</v>
      </c>
      <c r="D4257" s="60"/>
      <c r="E4257" s="41" t="str">
        <f>HYPERLINK("https://www.google.ru/search?q=1356305-002&amp;newwindow=1&amp;tbm=isch","Еще фото")</f>
        <v>Еще фото</v>
      </c>
      <c r="F4257" s="13"/>
      <c r="G4257" s="24" t="s">
        <v>3604</v>
      </c>
      <c r="H4257" s="24" t="s">
        <v>27</v>
      </c>
      <c r="I4257" s="24" t="s">
        <v>3599</v>
      </c>
      <c r="J4257" s="14" t="s">
        <v>29</v>
      </c>
      <c r="K4257" s="15" t="s">
        <v>59</v>
      </c>
      <c r="L4257" s="62"/>
      <c r="M4257" s="14" t="s">
        <v>45</v>
      </c>
      <c r="N4257" s="14" t="s">
        <v>33</v>
      </c>
      <c r="O4257" s="14" t="s">
        <v>34</v>
      </c>
      <c r="P4257" s="15" t="s">
        <v>2951</v>
      </c>
      <c r="Q4257" s="16">
        <v>3399</v>
      </c>
      <c r="R4257" s="17">
        <v>40</v>
      </c>
      <c r="S4257" s="18">
        <v>2345.31</v>
      </c>
      <c r="T4257" s="19" t="s">
        <v>36</v>
      </c>
      <c r="U4257" s="20" t="s">
        <v>37</v>
      </c>
      <c r="V4257" s="21" t="s">
        <v>106</v>
      </c>
      <c r="W4257" s="22">
        <v>5</v>
      </c>
      <c r="X4257" s="23"/>
    </row>
    <row r="4258" spans="1:24" s="1" customFormat="1" ht="37.049999999999997" customHeight="1" x14ac:dyDescent="0.3">
      <c r="A4258" s="24" t="s">
        <v>23</v>
      </c>
      <c r="B4258" s="24" t="s">
        <v>3932</v>
      </c>
      <c r="C4258" s="12" t="s">
        <v>3935</v>
      </c>
      <c r="D4258" s="61"/>
      <c r="E4258" s="41" t="str">
        <f>HYPERLINK("https://www.google.ru/search?q=1356305-002&amp;newwindow=1&amp;tbm=isch","Еще фото")</f>
        <v>Еще фото</v>
      </c>
      <c r="F4258" s="13"/>
      <c r="G4258" s="24" t="s">
        <v>3604</v>
      </c>
      <c r="H4258" s="24" t="s">
        <v>27</v>
      </c>
      <c r="I4258" s="24" t="s">
        <v>3599</v>
      </c>
      <c r="J4258" s="14" t="s">
        <v>29</v>
      </c>
      <c r="K4258" s="15" t="s">
        <v>59</v>
      </c>
      <c r="L4258" s="58"/>
      <c r="M4258" s="14" t="s">
        <v>45</v>
      </c>
      <c r="N4258" s="14" t="s">
        <v>33</v>
      </c>
      <c r="O4258" s="14" t="s">
        <v>34</v>
      </c>
      <c r="P4258" s="15" t="s">
        <v>2951</v>
      </c>
      <c r="Q4258" s="16">
        <v>3399</v>
      </c>
      <c r="R4258" s="17">
        <v>40</v>
      </c>
      <c r="S4258" s="18">
        <v>2345.31</v>
      </c>
      <c r="T4258" s="19" t="s">
        <v>36</v>
      </c>
      <c r="U4258" s="20" t="s">
        <v>39</v>
      </c>
      <c r="V4258" s="21" t="s">
        <v>85</v>
      </c>
      <c r="W4258" s="22">
        <v>1</v>
      </c>
      <c r="X4258" s="23"/>
    </row>
    <row r="4259" spans="1:24" s="1" customFormat="1" ht="52.05" customHeight="1" x14ac:dyDescent="0.3">
      <c r="A4259" s="11" t="s">
        <v>23</v>
      </c>
      <c r="B4259" s="11" t="s">
        <v>3936</v>
      </c>
      <c r="C4259" s="12" t="s">
        <v>3937</v>
      </c>
      <c r="D4259" s="55"/>
      <c r="E4259" s="41" t="str">
        <f>HYPERLINK("https://www.google.ru/search?q=1356305-009&amp;newwindow=1&amp;tbm=isch","Еще фото")</f>
        <v>Еще фото</v>
      </c>
      <c r="F4259" s="13"/>
      <c r="G4259" s="11" t="s">
        <v>3604</v>
      </c>
      <c r="H4259" s="11" t="s">
        <v>27</v>
      </c>
      <c r="I4259" s="14" t="s">
        <v>3599</v>
      </c>
      <c r="J4259" s="14" t="s">
        <v>43</v>
      </c>
      <c r="K4259" s="15" t="s">
        <v>59</v>
      </c>
      <c r="L4259" s="57" t="s">
        <v>3938</v>
      </c>
      <c r="M4259" s="14"/>
      <c r="N4259" s="14" t="s">
        <v>62</v>
      </c>
      <c r="O4259" s="14"/>
      <c r="P4259" s="15" t="s">
        <v>2951</v>
      </c>
      <c r="Q4259" s="16">
        <v>2899</v>
      </c>
      <c r="R4259" s="17">
        <v>40</v>
      </c>
      <c r="S4259" s="18">
        <v>2000.31</v>
      </c>
      <c r="T4259" s="19" t="s">
        <v>36</v>
      </c>
      <c r="U4259" s="20" t="s">
        <v>63</v>
      </c>
      <c r="V4259" s="21" t="s">
        <v>64</v>
      </c>
      <c r="W4259" s="22">
        <v>3</v>
      </c>
      <c r="X4259" s="23"/>
    </row>
    <row r="4260" spans="1:24" s="1" customFormat="1" ht="61.05" customHeight="1" x14ac:dyDescent="0.3">
      <c r="A4260" s="24" t="s">
        <v>23</v>
      </c>
      <c r="B4260" s="24" t="s">
        <v>3936</v>
      </c>
      <c r="C4260" s="12" t="s">
        <v>3937</v>
      </c>
      <c r="D4260" s="56"/>
      <c r="E4260" s="41" t="str">
        <f>HYPERLINK("https://www.google.ru/search?q=1356305-009&amp;newwindow=1&amp;tbm=isch","Еще фото")</f>
        <v>Еще фото</v>
      </c>
      <c r="F4260" s="13"/>
      <c r="G4260" s="24" t="s">
        <v>3604</v>
      </c>
      <c r="H4260" s="24" t="s">
        <v>27</v>
      </c>
      <c r="I4260" s="24" t="s">
        <v>3599</v>
      </c>
      <c r="J4260" s="14" t="s">
        <v>43</v>
      </c>
      <c r="K4260" s="15" t="s">
        <v>59</v>
      </c>
      <c r="L4260" s="58"/>
      <c r="M4260" s="14"/>
      <c r="N4260" s="14" t="s">
        <v>62</v>
      </c>
      <c r="O4260" s="14"/>
      <c r="P4260" s="15" t="s">
        <v>2951</v>
      </c>
      <c r="Q4260" s="16">
        <v>2899</v>
      </c>
      <c r="R4260" s="17">
        <v>40</v>
      </c>
      <c r="S4260" s="18">
        <v>2000.31</v>
      </c>
      <c r="T4260" s="19" t="s">
        <v>36</v>
      </c>
      <c r="U4260" s="20" t="s">
        <v>37</v>
      </c>
      <c r="V4260" s="21" t="s">
        <v>106</v>
      </c>
      <c r="W4260" s="22">
        <v>5</v>
      </c>
      <c r="X4260" s="23"/>
    </row>
    <row r="4261" spans="1:24" s="1" customFormat="1" ht="108" customHeight="1" x14ac:dyDescent="0.3">
      <c r="A4261" s="11" t="s">
        <v>23</v>
      </c>
      <c r="B4261" s="11" t="s">
        <v>3932</v>
      </c>
      <c r="C4261" s="12" t="s">
        <v>3939</v>
      </c>
      <c r="D4261" s="25"/>
      <c r="E4261" s="41" t="str">
        <f>HYPERLINK("https://www.google.ru/search?q=1356305-107&amp;newwindow=1&amp;tbm=isch","Еще фото")</f>
        <v>Еще фото</v>
      </c>
      <c r="F4261" s="13"/>
      <c r="G4261" s="11" t="s">
        <v>3604</v>
      </c>
      <c r="H4261" s="11" t="s">
        <v>27</v>
      </c>
      <c r="I4261" s="14" t="s">
        <v>3599</v>
      </c>
      <c r="J4261" s="14" t="s">
        <v>29</v>
      </c>
      <c r="K4261" s="15" t="s">
        <v>59</v>
      </c>
      <c r="L4261" s="14" t="s">
        <v>3934</v>
      </c>
      <c r="M4261" s="14" t="s">
        <v>45</v>
      </c>
      <c r="N4261" s="14" t="s">
        <v>84</v>
      </c>
      <c r="O4261" s="14"/>
      <c r="P4261" s="15" t="s">
        <v>2951</v>
      </c>
      <c r="Q4261" s="16">
        <v>3599</v>
      </c>
      <c r="R4261" s="17">
        <v>40</v>
      </c>
      <c r="S4261" s="18">
        <v>2483.31</v>
      </c>
      <c r="T4261" s="19" t="s">
        <v>36</v>
      </c>
      <c r="U4261" s="20" t="s">
        <v>37</v>
      </c>
      <c r="V4261" s="21" t="s">
        <v>106</v>
      </c>
      <c r="W4261" s="22">
        <v>1</v>
      </c>
      <c r="X4261" s="23"/>
    </row>
    <row r="4262" spans="1:24" s="1" customFormat="1" ht="35" customHeight="1" x14ac:dyDescent="0.3">
      <c r="A4262" s="11" t="s">
        <v>23</v>
      </c>
      <c r="B4262" s="11" t="s">
        <v>3940</v>
      </c>
      <c r="C4262" s="12" t="s">
        <v>3941</v>
      </c>
      <c r="D4262" s="59"/>
      <c r="E4262" s="41" t="str">
        <f>HYPERLINK("https://www.google.ru/search?q=1356305-111&amp;newwindow=1&amp;tbm=isch","Еще фото")</f>
        <v>Еще фото</v>
      </c>
      <c r="F4262" s="13" t="s">
        <v>103</v>
      </c>
      <c r="G4262" s="11" t="s">
        <v>3604</v>
      </c>
      <c r="H4262" s="11" t="s">
        <v>27</v>
      </c>
      <c r="I4262" s="14" t="s">
        <v>3599</v>
      </c>
      <c r="J4262" s="14" t="s">
        <v>29</v>
      </c>
      <c r="K4262" s="15" t="s">
        <v>59</v>
      </c>
      <c r="L4262" s="57" t="s">
        <v>3942</v>
      </c>
      <c r="M4262" s="14" t="s">
        <v>45</v>
      </c>
      <c r="N4262" s="14" t="s">
        <v>84</v>
      </c>
      <c r="O4262" s="14"/>
      <c r="P4262" s="15" t="s">
        <v>2951</v>
      </c>
      <c r="Q4262" s="16">
        <v>2699</v>
      </c>
      <c r="R4262" s="17">
        <v>40</v>
      </c>
      <c r="S4262" s="18">
        <v>1862.31</v>
      </c>
      <c r="T4262" s="19" t="s">
        <v>36</v>
      </c>
      <c r="U4262" s="20" t="s">
        <v>63</v>
      </c>
      <c r="V4262" s="21" t="s">
        <v>64</v>
      </c>
      <c r="W4262" s="22">
        <v>11</v>
      </c>
      <c r="X4262" s="23"/>
    </row>
    <row r="4263" spans="1:24" s="1" customFormat="1" ht="35" customHeight="1" x14ac:dyDescent="0.3">
      <c r="A4263" s="24" t="s">
        <v>23</v>
      </c>
      <c r="B4263" s="24" t="s">
        <v>3940</v>
      </c>
      <c r="C4263" s="12" t="s">
        <v>3941</v>
      </c>
      <c r="D4263" s="60"/>
      <c r="E4263" s="41" t="str">
        <f>HYPERLINK("https://www.google.ru/search?q=1356305-111&amp;newwindow=1&amp;tbm=isch","Еще фото")</f>
        <v>Еще фото</v>
      </c>
      <c r="F4263" s="13" t="s">
        <v>103</v>
      </c>
      <c r="G4263" s="24" t="s">
        <v>3604</v>
      </c>
      <c r="H4263" s="24" t="s">
        <v>27</v>
      </c>
      <c r="I4263" s="24" t="s">
        <v>3599</v>
      </c>
      <c r="J4263" s="14" t="s">
        <v>29</v>
      </c>
      <c r="K4263" s="15" t="s">
        <v>59</v>
      </c>
      <c r="L4263" s="62"/>
      <c r="M4263" s="14" t="s">
        <v>45</v>
      </c>
      <c r="N4263" s="14" t="s">
        <v>84</v>
      </c>
      <c r="O4263" s="14"/>
      <c r="P4263" s="15" t="s">
        <v>2951</v>
      </c>
      <c r="Q4263" s="16">
        <v>2699</v>
      </c>
      <c r="R4263" s="17">
        <v>40</v>
      </c>
      <c r="S4263" s="18">
        <v>1862.31</v>
      </c>
      <c r="T4263" s="19" t="s">
        <v>36</v>
      </c>
      <c r="U4263" s="20" t="s">
        <v>37</v>
      </c>
      <c r="V4263" s="21" t="s">
        <v>106</v>
      </c>
      <c r="W4263" s="22">
        <v>14</v>
      </c>
      <c r="X4263" s="23"/>
    </row>
    <row r="4264" spans="1:24" s="1" customFormat="1" ht="37.049999999999997" customHeight="1" x14ac:dyDescent="0.3">
      <c r="A4264" s="24" t="s">
        <v>23</v>
      </c>
      <c r="B4264" s="24" t="s">
        <v>3940</v>
      </c>
      <c r="C4264" s="12" t="s">
        <v>3941</v>
      </c>
      <c r="D4264" s="61"/>
      <c r="E4264" s="41" t="str">
        <f>HYPERLINK("https://www.google.ru/search?q=1356305-111&amp;newwindow=1&amp;tbm=isch","Еще фото")</f>
        <v>Еще фото</v>
      </c>
      <c r="F4264" s="13" t="s">
        <v>103</v>
      </c>
      <c r="G4264" s="24" t="s">
        <v>3604</v>
      </c>
      <c r="H4264" s="24" t="s">
        <v>27</v>
      </c>
      <c r="I4264" s="24" t="s">
        <v>3599</v>
      </c>
      <c r="J4264" s="14" t="s">
        <v>29</v>
      </c>
      <c r="K4264" s="15" t="s">
        <v>59</v>
      </c>
      <c r="L4264" s="58"/>
      <c r="M4264" s="14" t="s">
        <v>45</v>
      </c>
      <c r="N4264" s="14" t="s">
        <v>84</v>
      </c>
      <c r="O4264" s="14"/>
      <c r="P4264" s="15" t="s">
        <v>2951</v>
      </c>
      <c r="Q4264" s="16">
        <v>2699</v>
      </c>
      <c r="R4264" s="17">
        <v>40</v>
      </c>
      <c r="S4264" s="18">
        <v>1862.31</v>
      </c>
      <c r="T4264" s="19" t="s">
        <v>36</v>
      </c>
      <c r="U4264" s="20" t="s">
        <v>39</v>
      </c>
      <c r="V4264" s="21" t="s">
        <v>85</v>
      </c>
      <c r="W4264" s="22">
        <v>11</v>
      </c>
      <c r="X4264" s="23"/>
    </row>
    <row r="4265" spans="1:24" s="1" customFormat="1" ht="52.05" customHeight="1" x14ac:dyDescent="0.3">
      <c r="A4265" s="11" t="s">
        <v>23</v>
      </c>
      <c r="B4265" s="11" t="s">
        <v>3943</v>
      </c>
      <c r="C4265" s="12" t="s">
        <v>3944</v>
      </c>
      <c r="D4265" s="55"/>
      <c r="E4265" s="41" t="str">
        <f>HYPERLINK("https://www.google.ru/search?q=1356305-402&amp;newwindow=1&amp;tbm=isch","Еще фото")</f>
        <v>Еще фото</v>
      </c>
      <c r="F4265" s="13"/>
      <c r="G4265" s="11" t="s">
        <v>3604</v>
      </c>
      <c r="H4265" s="11" t="s">
        <v>27</v>
      </c>
      <c r="I4265" s="14" t="s">
        <v>3599</v>
      </c>
      <c r="J4265" s="14" t="s">
        <v>43</v>
      </c>
      <c r="K4265" s="15" t="s">
        <v>59</v>
      </c>
      <c r="L4265" s="57" t="s">
        <v>3938</v>
      </c>
      <c r="M4265" s="14"/>
      <c r="N4265" s="14" t="s">
        <v>115</v>
      </c>
      <c r="O4265" s="14"/>
      <c r="P4265" s="15" t="s">
        <v>2951</v>
      </c>
      <c r="Q4265" s="16">
        <v>2699</v>
      </c>
      <c r="R4265" s="17">
        <v>40</v>
      </c>
      <c r="S4265" s="18">
        <v>1862.31</v>
      </c>
      <c r="T4265" s="19" t="s">
        <v>36</v>
      </c>
      <c r="U4265" s="20" t="s">
        <v>63</v>
      </c>
      <c r="V4265" s="21" t="s">
        <v>64</v>
      </c>
      <c r="W4265" s="22">
        <v>2</v>
      </c>
      <c r="X4265" s="23"/>
    </row>
    <row r="4266" spans="1:24" s="1" customFormat="1" ht="61.05" customHeight="1" x14ac:dyDescent="0.3">
      <c r="A4266" s="24" t="s">
        <v>23</v>
      </c>
      <c r="B4266" s="24" t="s">
        <v>3943</v>
      </c>
      <c r="C4266" s="12" t="s">
        <v>3944</v>
      </c>
      <c r="D4266" s="56"/>
      <c r="E4266" s="41" t="str">
        <f>HYPERLINK("https://www.google.ru/search?q=1356305-402&amp;newwindow=1&amp;tbm=isch","Еще фото")</f>
        <v>Еще фото</v>
      </c>
      <c r="F4266" s="13"/>
      <c r="G4266" s="24" t="s">
        <v>3604</v>
      </c>
      <c r="H4266" s="24" t="s">
        <v>27</v>
      </c>
      <c r="I4266" s="24" t="s">
        <v>3599</v>
      </c>
      <c r="J4266" s="14" t="s">
        <v>43</v>
      </c>
      <c r="K4266" s="15" t="s">
        <v>59</v>
      </c>
      <c r="L4266" s="58"/>
      <c r="M4266" s="14"/>
      <c r="N4266" s="14" t="s">
        <v>115</v>
      </c>
      <c r="O4266" s="14"/>
      <c r="P4266" s="15" t="s">
        <v>2951</v>
      </c>
      <c r="Q4266" s="16">
        <v>2699</v>
      </c>
      <c r="R4266" s="17">
        <v>40</v>
      </c>
      <c r="S4266" s="18">
        <v>1862.31</v>
      </c>
      <c r="T4266" s="19" t="s">
        <v>36</v>
      </c>
      <c r="U4266" s="20" t="s">
        <v>39</v>
      </c>
      <c r="V4266" s="21" t="s">
        <v>85</v>
      </c>
      <c r="W4266" s="22">
        <v>1</v>
      </c>
      <c r="X4266" s="23"/>
    </row>
    <row r="4267" spans="1:24" s="1" customFormat="1" ht="108" customHeight="1" x14ac:dyDescent="0.3">
      <c r="A4267" s="11" t="s">
        <v>23</v>
      </c>
      <c r="B4267" s="11" t="s">
        <v>3940</v>
      </c>
      <c r="C4267" s="12" t="s">
        <v>3945</v>
      </c>
      <c r="D4267" s="25"/>
      <c r="E4267" s="41" t="str">
        <f>HYPERLINK("https://www.google.ru/search?q=1356305-465&amp;newwindow=1&amp;tbm=isch","Еще фото")</f>
        <v>Еще фото</v>
      </c>
      <c r="F4267" s="13"/>
      <c r="G4267" s="11" t="s">
        <v>3604</v>
      </c>
      <c r="H4267" s="11" t="s">
        <v>27</v>
      </c>
      <c r="I4267" s="14" t="s">
        <v>3599</v>
      </c>
      <c r="J4267" s="14" t="s">
        <v>29</v>
      </c>
      <c r="K4267" s="15" t="s">
        <v>59</v>
      </c>
      <c r="L4267" s="14" t="s">
        <v>3938</v>
      </c>
      <c r="M4267" s="14"/>
      <c r="N4267" s="14" t="s">
        <v>46</v>
      </c>
      <c r="O4267" s="14"/>
      <c r="P4267" s="15" t="s">
        <v>2951</v>
      </c>
      <c r="Q4267" s="16">
        <v>3899</v>
      </c>
      <c r="R4267" s="17">
        <v>40</v>
      </c>
      <c r="S4267" s="18">
        <v>2690.31</v>
      </c>
      <c r="T4267" s="19" t="s">
        <v>36</v>
      </c>
      <c r="U4267" s="20" t="s">
        <v>63</v>
      </c>
      <c r="V4267" s="21" t="s">
        <v>64</v>
      </c>
      <c r="W4267" s="22">
        <v>1</v>
      </c>
      <c r="X4267" s="23"/>
    </row>
    <row r="4268" spans="1:24" s="1" customFormat="1" ht="108" customHeight="1" x14ac:dyDescent="0.3">
      <c r="A4268" s="11" t="s">
        <v>23</v>
      </c>
      <c r="B4268" s="11" t="s">
        <v>3657</v>
      </c>
      <c r="C4268" s="12" t="s">
        <v>3946</v>
      </c>
      <c r="D4268" s="25"/>
      <c r="E4268" s="41" t="str">
        <f>HYPERLINK("https://www.google.ru/search?q=1361034-001&amp;newwindow=1&amp;tbm=isch","Еще фото")</f>
        <v>Еще фото</v>
      </c>
      <c r="F4268" s="13" t="s">
        <v>103</v>
      </c>
      <c r="G4268" s="11" t="s">
        <v>3609</v>
      </c>
      <c r="H4268" s="11" t="s">
        <v>27</v>
      </c>
      <c r="I4268" s="14" t="s">
        <v>3599</v>
      </c>
      <c r="J4268" s="14" t="s">
        <v>29</v>
      </c>
      <c r="K4268" s="15" t="s">
        <v>59</v>
      </c>
      <c r="L4268" s="14" t="s">
        <v>3659</v>
      </c>
      <c r="M4268" s="14" t="s">
        <v>61</v>
      </c>
      <c r="N4268" s="14" t="s">
        <v>33</v>
      </c>
      <c r="O4268" s="14" t="s">
        <v>34</v>
      </c>
      <c r="P4268" s="15" t="s">
        <v>53</v>
      </c>
      <c r="Q4268" s="16">
        <v>3899</v>
      </c>
      <c r="R4268" s="17">
        <v>40</v>
      </c>
      <c r="S4268" s="18">
        <v>2690.31</v>
      </c>
      <c r="T4268" s="19" t="s">
        <v>36</v>
      </c>
      <c r="U4268" s="20" t="s">
        <v>63</v>
      </c>
      <c r="V4268" s="21" t="s">
        <v>64</v>
      </c>
      <c r="W4268" s="22">
        <v>51</v>
      </c>
      <c r="X4268" s="23"/>
    </row>
    <row r="4269" spans="1:24" s="1" customFormat="1" ht="108" customHeight="1" x14ac:dyDescent="0.3">
      <c r="A4269" s="11" t="s">
        <v>23</v>
      </c>
      <c r="B4269" s="11" t="s">
        <v>3682</v>
      </c>
      <c r="C4269" s="12" t="s">
        <v>3947</v>
      </c>
      <c r="D4269" s="25"/>
      <c r="E4269" s="41" t="str">
        <f>HYPERLINK("https://www.google.ru/search?q=1361034-007&amp;newwindow=1&amp;tbm=isch","Еще фото")</f>
        <v>Еще фото</v>
      </c>
      <c r="F4269" s="13" t="s">
        <v>103</v>
      </c>
      <c r="G4269" s="11" t="s">
        <v>3609</v>
      </c>
      <c r="H4269" s="11" t="s">
        <v>27</v>
      </c>
      <c r="I4269" s="14" t="s">
        <v>3599</v>
      </c>
      <c r="J4269" s="14" t="s">
        <v>29</v>
      </c>
      <c r="K4269" s="15" t="s">
        <v>59</v>
      </c>
      <c r="L4269" s="14" t="s">
        <v>3867</v>
      </c>
      <c r="M4269" s="14"/>
      <c r="N4269" s="14" t="s">
        <v>33</v>
      </c>
      <c r="O4269" s="14"/>
      <c r="P4269" s="15" t="s">
        <v>53</v>
      </c>
      <c r="Q4269" s="16">
        <v>4199</v>
      </c>
      <c r="R4269" s="17">
        <v>40</v>
      </c>
      <c r="S4269" s="18">
        <v>2897.31</v>
      </c>
      <c r="T4269" s="19" t="s">
        <v>36</v>
      </c>
      <c r="U4269" s="20" t="s">
        <v>63</v>
      </c>
      <c r="V4269" s="21" t="s">
        <v>64</v>
      </c>
      <c r="W4269" s="22">
        <v>4</v>
      </c>
      <c r="X4269" s="23"/>
    </row>
    <row r="4270" spans="1:24" s="1" customFormat="1" ht="26" customHeight="1" x14ac:dyDescent="0.3">
      <c r="A4270" s="11" t="s">
        <v>23</v>
      </c>
      <c r="B4270" s="11" t="s">
        <v>3682</v>
      </c>
      <c r="C4270" s="12" t="s">
        <v>3948</v>
      </c>
      <c r="D4270" s="59"/>
      <c r="E4270" s="41" t="str">
        <f>HYPERLINK("https://www.google.ru/search?q=1361034-011&amp;newwindow=1&amp;tbm=isch","Еще фото")</f>
        <v>Еще фото</v>
      </c>
      <c r="F4270" s="13" t="s">
        <v>103</v>
      </c>
      <c r="G4270" s="11" t="s">
        <v>3609</v>
      </c>
      <c r="H4270" s="11" t="s">
        <v>27</v>
      </c>
      <c r="I4270" s="14" t="s">
        <v>3599</v>
      </c>
      <c r="J4270" s="14" t="s">
        <v>29</v>
      </c>
      <c r="K4270" s="15" t="s">
        <v>59</v>
      </c>
      <c r="L4270" s="57" t="s">
        <v>3659</v>
      </c>
      <c r="M4270" s="14"/>
      <c r="N4270" s="14" t="s">
        <v>33</v>
      </c>
      <c r="O4270" s="14"/>
      <c r="P4270" s="15" t="s">
        <v>3949</v>
      </c>
      <c r="Q4270" s="16">
        <v>3899</v>
      </c>
      <c r="R4270" s="17">
        <v>40</v>
      </c>
      <c r="S4270" s="18">
        <v>2690.31</v>
      </c>
      <c r="T4270" s="19" t="s">
        <v>36</v>
      </c>
      <c r="U4270" s="20" t="s">
        <v>63</v>
      </c>
      <c r="V4270" s="21" t="s">
        <v>64</v>
      </c>
      <c r="W4270" s="22">
        <v>10</v>
      </c>
      <c r="X4270" s="23"/>
    </row>
    <row r="4271" spans="1:24" s="1" customFormat="1" ht="26" customHeight="1" x14ac:dyDescent="0.3">
      <c r="A4271" s="24" t="s">
        <v>23</v>
      </c>
      <c r="B4271" s="24" t="s">
        <v>3682</v>
      </c>
      <c r="C4271" s="12" t="s">
        <v>3948</v>
      </c>
      <c r="D4271" s="60"/>
      <c r="E4271" s="41" t="str">
        <f>HYPERLINK("https://www.google.ru/search?q=1361034-011&amp;newwindow=1&amp;tbm=isch","Еще фото")</f>
        <v>Еще фото</v>
      </c>
      <c r="F4271" s="13" t="s">
        <v>103</v>
      </c>
      <c r="G4271" s="24" t="s">
        <v>3609</v>
      </c>
      <c r="H4271" s="24" t="s">
        <v>27</v>
      </c>
      <c r="I4271" s="24" t="s">
        <v>3599</v>
      </c>
      <c r="J4271" s="14" t="s">
        <v>29</v>
      </c>
      <c r="K4271" s="15" t="s">
        <v>59</v>
      </c>
      <c r="L4271" s="62"/>
      <c r="M4271" s="14"/>
      <c r="N4271" s="14" t="s">
        <v>33</v>
      </c>
      <c r="O4271" s="14"/>
      <c r="P4271" s="15" t="s">
        <v>3949</v>
      </c>
      <c r="Q4271" s="16">
        <v>3899</v>
      </c>
      <c r="R4271" s="17">
        <v>40</v>
      </c>
      <c r="S4271" s="18">
        <v>2690.31</v>
      </c>
      <c r="T4271" s="19" t="s">
        <v>36</v>
      </c>
      <c r="U4271" s="20" t="s">
        <v>37</v>
      </c>
      <c r="V4271" s="21" t="s">
        <v>106</v>
      </c>
      <c r="W4271" s="22">
        <v>9</v>
      </c>
      <c r="X4271" s="23"/>
    </row>
    <row r="4272" spans="1:24" s="1" customFormat="1" ht="26" customHeight="1" x14ac:dyDescent="0.3">
      <c r="A4272" s="24" t="s">
        <v>23</v>
      </c>
      <c r="B4272" s="24" t="s">
        <v>3682</v>
      </c>
      <c r="C4272" s="12" t="s">
        <v>3948</v>
      </c>
      <c r="D4272" s="60"/>
      <c r="E4272" s="41" t="str">
        <f>HYPERLINK("https://www.google.ru/search?q=1361034-011&amp;newwindow=1&amp;tbm=isch","Еще фото")</f>
        <v>Еще фото</v>
      </c>
      <c r="F4272" s="13" t="s">
        <v>103</v>
      </c>
      <c r="G4272" s="24" t="s">
        <v>3609</v>
      </c>
      <c r="H4272" s="24" t="s">
        <v>27</v>
      </c>
      <c r="I4272" s="24" t="s">
        <v>3599</v>
      </c>
      <c r="J4272" s="14" t="s">
        <v>29</v>
      </c>
      <c r="K4272" s="15" t="s">
        <v>59</v>
      </c>
      <c r="L4272" s="62"/>
      <c r="M4272" s="14"/>
      <c r="N4272" s="14" t="s">
        <v>33</v>
      </c>
      <c r="O4272" s="14"/>
      <c r="P4272" s="15" t="s">
        <v>3949</v>
      </c>
      <c r="Q4272" s="16">
        <v>3899</v>
      </c>
      <c r="R4272" s="17">
        <v>40</v>
      </c>
      <c r="S4272" s="18">
        <v>2690.31</v>
      </c>
      <c r="T4272" s="19" t="s">
        <v>36</v>
      </c>
      <c r="U4272" s="20" t="s">
        <v>39</v>
      </c>
      <c r="V4272" s="21" t="s">
        <v>85</v>
      </c>
      <c r="W4272" s="22">
        <v>10</v>
      </c>
      <c r="X4272" s="23"/>
    </row>
    <row r="4273" spans="1:24" s="1" customFormat="1" ht="26" customHeight="1" x14ac:dyDescent="0.3">
      <c r="A4273" s="24" t="s">
        <v>23</v>
      </c>
      <c r="B4273" s="24" t="s">
        <v>3682</v>
      </c>
      <c r="C4273" s="12" t="s">
        <v>3948</v>
      </c>
      <c r="D4273" s="61"/>
      <c r="E4273" s="41" t="str">
        <f>HYPERLINK("https://www.google.ru/search?q=1361034-011&amp;newwindow=1&amp;tbm=isch","Еще фото")</f>
        <v>Еще фото</v>
      </c>
      <c r="F4273" s="13" t="s">
        <v>103</v>
      </c>
      <c r="G4273" s="24" t="s">
        <v>3609</v>
      </c>
      <c r="H4273" s="24" t="s">
        <v>27</v>
      </c>
      <c r="I4273" s="24" t="s">
        <v>3599</v>
      </c>
      <c r="J4273" s="14" t="s">
        <v>29</v>
      </c>
      <c r="K4273" s="15" t="s">
        <v>59</v>
      </c>
      <c r="L4273" s="58"/>
      <c r="M4273" s="14"/>
      <c r="N4273" s="14" t="s">
        <v>33</v>
      </c>
      <c r="O4273" s="14"/>
      <c r="P4273" s="15" t="s">
        <v>3949</v>
      </c>
      <c r="Q4273" s="16">
        <v>3899</v>
      </c>
      <c r="R4273" s="17">
        <v>40</v>
      </c>
      <c r="S4273" s="18">
        <v>2690.31</v>
      </c>
      <c r="T4273" s="19" t="s">
        <v>36</v>
      </c>
      <c r="U4273" s="20" t="s">
        <v>86</v>
      </c>
      <c r="V4273" s="21" t="s">
        <v>38</v>
      </c>
      <c r="W4273" s="22">
        <v>2</v>
      </c>
      <c r="X4273" s="23"/>
    </row>
    <row r="4274" spans="1:24" s="1" customFormat="1" ht="108" customHeight="1" x14ac:dyDescent="0.3">
      <c r="A4274" s="11" t="s">
        <v>23</v>
      </c>
      <c r="B4274" s="11" t="s">
        <v>3657</v>
      </c>
      <c r="C4274" s="12" t="s">
        <v>3950</v>
      </c>
      <c r="D4274" s="25"/>
      <c r="E4274" s="41" t="str">
        <f>HYPERLINK("https://www.google.ru/search?q=1361034-100&amp;newwindow=1&amp;tbm=isch","Еще фото")</f>
        <v>Еще фото</v>
      </c>
      <c r="F4274" s="13" t="s">
        <v>103</v>
      </c>
      <c r="G4274" s="11" t="s">
        <v>3609</v>
      </c>
      <c r="H4274" s="11" t="s">
        <v>27</v>
      </c>
      <c r="I4274" s="14" t="s">
        <v>3599</v>
      </c>
      <c r="J4274" s="14" t="s">
        <v>29</v>
      </c>
      <c r="K4274" s="15" t="s">
        <v>59</v>
      </c>
      <c r="L4274" s="14" t="s">
        <v>3659</v>
      </c>
      <c r="M4274" s="14"/>
      <c r="N4274" s="14" t="s">
        <v>84</v>
      </c>
      <c r="O4274" s="14"/>
      <c r="P4274" s="15" t="s">
        <v>53</v>
      </c>
      <c r="Q4274" s="16">
        <v>3899</v>
      </c>
      <c r="R4274" s="17">
        <v>40</v>
      </c>
      <c r="S4274" s="18">
        <v>2690.31</v>
      </c>
      <c r="T4274" s="19" t="s">
        <v>36</v>
      </c>
      <c r="U4274" s="20" t="s">
        <v>63</v>
      </c>
      <c r="V4274" s="21" t="s">
        <v>64</v>
      </c>
      <c r="W4274" s="22">
        <v>4</v>
      </c>
      <c r="X4274" s="23"/>
    </row>
    <row r="4275" spans="1:24" s="1" customFormat="1" ht="108" customHeight="1" x14ac:dyDescent="0.3">
      <c r="A4275" s="11" t="s">
        <v>23</v>
      </c>
      <c r="B4275" s="11" t="s">
        <v>3682</v>
      </c>
      <c r="C4275" s="12" t="s">
        <v>3951</v>
      </c>
      <c r="D4275" s="25"/>
      <c r="E4275" s="41" t="str">
        <f>HYPERLINK("https://www.google.ru/search?q=1361034-338&amp;newwindow=1&amp;tbm=isch","Еще фото")</f>
        <v>Еще фото</v>
      </c>
      <c r="F4275" s="13"/>
      <c r="G4275" s="11" t="s">
        <v>3609</v>
      </c>
      <c r="H4275" s="11" t="s">
        <v>27</v>
      </c>
      <c r="I4275" s="14" t="s">
        <v>3599</v>
      </c>
      <c r="J4275" s="14" t="s">
        <v>29</v>
      </c>
      <c r="K4275" s="15" t="s">
        <v>59</v>
      </c>
      <c r="L4275" s="14" t="s">
        <v>3867</v>
      </c>
      <c r="M4275" s="14"/>
      <c r="N4275" s="14" t="s">
        <v>127</v>
      </c>
      <c r="O4275" s="14"/>
      <c r="P4275" s="15" t="s">
        <v>1008</v>
      </c>
      <c r="Q4275" s="16">
        <v>3899</v>
      </c>
      <c r="R4275" s="17">
        <v>40</v>
      </c>
      <c r="S4275" s="18">
        <v>2690.31</v>
      </c>
      <c r="T4275" s="19" t="s">
        <v>36</v>
      </c>
      <c r="U4275" s="20" t="s">
        <v>63</v>
      </c>
      <c r="V4275" s="21" t="s">
        <v>64</v>
      </c>
      <c r="W4275" s="22">
        <v>9</v>
      </c>
      <c r="X4275" s="23"/>
    </row>
    <row r="4276" spans="1:24" s="1" customFormat="1" ht="108" customHeight="1" x14ac:dyDescent="0.3">
      <c r="A4276" s="11" t="s">
        <v>23</v>
      </c>
      <c r="B4276" s="11" t="s">
        <v>3682</v>
      </c>
      <c r="C4276" s="12" t="s">
        <v>3952</v>
      </c>
      <c r="D4276" s="25"/>
      <c r="E4276" s="41" t="str">
        <f>HYPERLINK("https://www.google.ru/search?q=1361034-402&amp;newwindow=1&amp;tbm=isch","Еще фото")</f>
        <v>Еще фото</v>
      </c>
      <c r="F4276" s="13"/>
      <c r="G4276" s="11" t="s">
        <v>3609</v>
      </c>
      <c r="H4276" s="11" t="s">
        <v>27</v>
      </c>
      <c r="I4276" s="14" t="s">
        <v>3599</v>
      </c>
      <c r="J4276" s="14" t="s">
        <v>29</v>
      </c>
      <c r="K4276" s="15" t="s">
        <v>59</v>
      </c>
      <c r="L4276" s="14" t="s">
        <v>3870</v>
      </c>
      <c r="M4276" s="14"/>
      <c r="N4276" s="14" t="s">
        <v>115</v>
      </c>
      <c r="O4276" s="14"/>
      <c r="P4276" s="15" t="s">
        <v>53</v>
      </c>
      <c r="Q4276" s="16">
        <v>4199</v>
      </c>
      <c r="R4276" s="17">
        <v>40</v>
      </c>
      <c r="S4276" s="18">
        <v>2897.31</v>
      </c>
      <c r="T4276" s="19" t="s">
        <v>36</v>
      </c>
      <c r="U4276" s="20" t="s">
        <v>63</v>
      </c>
      <c r="V4276" s="21" t="s">
        <v>64</v>
      </c>
      <c r="W4276" s="22">
        <v>1</v>
      </c>
      <c r="X4276" s="23"/>
    </row>
    <row r="4277" spans="1:24" s="1" customFormat="1" ht="26" customHeight="1" x14ac:dyDescent="0.3">
      <c r="A4277" s="11" t="s">
        <v>23</v>
      </c>
      <c r="B4277" s="11" t="s">
        <v>3682</v>
      </c>
      <c r="C4277" s="12" t="s">
        <v>3953</v>
      </c>
      <c r="D4277" s="59"/>
      <c r="E4277" s="41" t="str">
        <f>HYPERLINK("https://www.google.ru/search?q=1361034-690&amp;newwindow=1&amp;tbm=isch","Еще фото")</f>
        <v>Еще фото</v>
      </c>
      <c r="F4277" s="13"/>
      <c r="G4277" s="11" t="s">
        <v>3609</v>
      </c>
      <c r="H4277" s="11" t="s">
        <v>27</v>
      </c>
      <c r="I4277" s="14" t="s">
        <v>3599</v>
      </c>
      <c r="J4277" s="14" t="s">
        <v>29</v>
      </c>
      <c r="K4277" s="15" t="s">
        <v>59</v>
      </c>
      <c r="L4277" s="57" t="s">
        <v>3659</v>
      </c>
      <c r="M4277" s="14"/>
      <c r="N4277" s="14" t="s">
        <v>198</v>
      </c>
      <c r="O4277" s="14"/>
      <c r="P4277" s="15" t="s">
        <v>1008</v>
      </c>
      <c r="Q4277" s="16">
        <v>3899</v>
      </c>
      <c r="R4277" s="17">
        <v>40</v>
      </c>
      <c r="S4277" s="18">
        <v>2690.31</v>
      </c>
      <c r="T4277" s="19" t="s">
        <v>36</v>
      </c>
      <c r="U4277" s="20" t="s">
        <v>63</v>
      </c>
      <c r="V4277" s="21" t="s">
        <v>64</v>
      </c>
      <c r="W4277" s="22">
        <v>11</v>
      </c>
      <c r="X4277" s="23"/>
    </row>
    <row r="4278" spans="1:24" s="1" customFormat="1" ht="26" customHeight="1" x14ac:dyDescent="0.3">
      <c r="A4278" s="24" t="s">
        <v>23</v>
      </c>
      <c r="B4278" s="24" t="s">
        <v>3682</v>
      </c>
      <c r="C4278" s="12" t="s">
        <v>3953</v>
      </c>
      <c r="D4278" s="60"/>
      <c r="E4278" s="41" t="str">
        <f>HYPERLINK("https://www.google.ru/search?q=1361034-690&amp;newwindow=1&amp;tbm=isch","Еще фото")</f>
        <v>Еще фото</v>
      </c>
      <c r="F4278" s="13"/>
      <c r="G4278" s="24" t="s">
        <v>3609</v>
      </c>
      <c r="H4278" s="24" t="s">
        <v>27</v>
      </c>
      <c r="I4278" s="24" t="s">
        <v>3599</v>
      </c>
      <c r="J4278" s="14" t="s">
        <v>29</v>
      </c>
      <c r="K4278" s="15" t="s">
        <v>59</v>
      </c>
      <c r="L4278" s="62"/>
      <c r="M4278" s="14"/>
      <c r="N4278" s="14" t="s">
        <v>198</v>
      </c>
      <c r="O4278" s="14"/>
      <c r="P4278" s="15" t="s">
        <v>1008</v>
      </c>
      <c r="Q4278" s="16">
        <v>3899</v>
      </c>
      <c r="R4278" s="17">
        <v>40</v>
      </c>
      <c r="S4278" s="18">
        <v>2690.31</v>
      </c>
      <c r="T4278" s="19" t="s">
        <v>36</v>
      </c>
      <c r="U4278" s="20" t="s">
        <v>37</v>
      </c>
      <c r="V4278" s="21" t="s">
        <v>106</v>
      </c>
      <c r="W4278" s="22">
        <v>8</v>
      </c>
      <c r="X4278" s="23"/>
    </row>
    <row r="4279" spans="1:24" s="1" customFormat="1" ht="26" customHeight="1" x14ac:dyDescent="0.3">
      <c r="A4279" s="24" t="s">
        <v>23</v>
      </c>
      <c r="B4279" s="24" t="s">
        <v>3682</v>
      </c>
      <c r="C4279" s="12" t="s">
        <v>3953</v>
      </c>
      <c r="D4279" s="60"/>
      <c r="E4279" s="41" t="str">
        <f>HYPERLINK("https://www.google.ru/search?q=1361034-690&amp;newwindow=1&amp;tbm=isch","Еще фото")</f>
        <v>Еще фото</v>
      </c>
      <c r="F4279" s="13"/>
      <c r="G4279" s="24" t="s">
        <v>3609</v>
      </c>
      <c r="H4279" s="24" t="s">
        <v>27</v>
      </c>
      <c r="I4279" s="24" t="s">
        <v>3599</v>
      </c>
      <c r="J4279" s="14" t="s">
        <v>29</v>
      </c>
      <c r="K4279" s="15" t="s">
        <v>59</v>
      </c>
      <c r="L4279" s="62"/>
      <c r="M4279" s="14"/>
      <c r="N4279" s="14" t="s">
        <v>198</v>
      </c>
      <c r="O4279" s="14"/>
      <c r="P4279" s="15" t="s">
        <v>1008</v>
      </c>
      <c r="Q4279" s="16">
        <v>3899</v>
      </c>
      <c r="R4279" s="17">
        <v>40</v>
      </c>
      <c r="S4279" s="18">
        <v>2690.31</v>
      </c>
      <c r="T4279" s="19" t="s">
        <v>36</v>
      </c>
      <c r="U4279" s="20" t="s">
        <v>39</v>
      </c>
      <c r="V4279" s="21" t="s">
        <v>85</v>
      </c>
      <c r="W4279" s="22">
        <v>6</v>
      </c>
      <c r="X4279" s="23"/>
    </row>
    <row r="4280" spans="1:24" s="1" customFormat="1" ht="26" customHeight="1" x14ac:dyDescent="0.3">
      <c r="A4280" s="24" t="s">
        <v>23</v>
      </c>
      <c r="B4280" s="24" t="s">
        <v>3682</v>
      </c>
      <c r="C4280" s="12" t="s">
        <v>3953</v>
      </c>
      <c r="D4280" s="61"/>
      <c r="E4280" s="41" t="str">
        <f>HYPERLINK("https://www.google.ru/search?q=1361034-690&amp;newwindow=1&amp;tbm=isch","Еще фото")</f>
        <v>Еще фото</v>
      </c>
      <c r="F4280" s="13"/>
      <c r="G4280" s="24" t="s">
        <v>3609</v>
      </c>
      <c r="H4280" s="24" t="s">
        <v>27</v>
      </c>
      <c r="I4280" s="24" t="s">
        <v>3599</v>
      </c>
      <c r="J4280" s="14" t="s">
        <v>29</v>
      </c>
      <c r="K4280" s="15" t="s">
        <v>59</v>
      </c>
      <c r="L4280" s="58"/>
      <c r="M4280" s="14"/>
      <c r="N4280" s="14" t="s">
        <v>198</v>
      </c>
      <c r="O4280" s="14"/>
      <c r="P4280" s="15" t="s">
        <v>1008</v>
      </c>
      <c r="Q4280" s="16">
        <v>3899</v>
      </c>
      <c r="R4280" s="17">
        <v>40</v>
      </c>
      <c r="S4280" s="18">
        <v>2690.31</v>
      </c>
      <c r="T4280" s="19" t="s">
        <v>36</v>
      </c>
      <c r="U4280" s="20" t="s">
        <v>86</v>
      </c>
      <c r="V4280" s="21" t="s">
        <v>38</v>
      </c>
      <c r="W4280" s="22">
        <v>11</v>
      </c>
      <c r="X4280" s="23"/>
    </row>
    <row r="4281" spans="1:24" s="1" customFormat="1" ht="26" customHeight="1" x14ac:dyDescent="0.3">
      <c r="A4281" s="11" t="s">
        <v>23</v>
      </c>
      <c r="B4281" s="11" t="s">
        <v>3682</v>
      </c>
      <c r="C4281" s="12" t="s">
        <v>3954</v>
      </c>
      <c r="D4281" s="59"/>
      <c r="E4281" s="41" t="str">
        <f>HYPERLINK("https://www.google.ru/search?q=1361034-703&amp;newwindow=1&amp;tbm=isch","Еще фото")</f>
        <v>Еще фото</v>
      </c>
      <c r="F4281" s="13"/>
      <c r="G4281" s="11" t="s">
        <v>3609</v>
      </c>
      <c r="H4281" s="11" t="s">
        <v>27</v>
      </c>
      <c r="I4281" s="14" t="s">
        <v>3599</v>
      </c>
      <c r="J4281" s="14" t="s">
        <v>29</v>
      </c>
      <c r="K4281" s="15" t="s">
        <v>59</v>
      </c>
      <c r="L4281" s="57" t="s">
        <v>3659</v>
      </c>
      <c r="M4281" s="14"/>
      <c r="N4281" s="14" t="s">
        <v>46</v>
      </c>
      <c r="O4281" s="14"/>
      <c r="P4281" s="15" t="s">
        <v>1008</v>
      </c>
      <c r="Q4281" s="16">
        <v>3899</v>
      </c>
      <c r="R4281" s="17">
        <v>40</v>
      </c>
      <c r="S4281" s="18">
        <v>2690.31</v>
      </c>
      <c r="T4281" s="19" t="s">
        <v>36</v>
      </c>
      <c r="U4281" s="20" t="s">
        <v>63</v>
      </c>
      <c r="V4281" s="21" t="s">
        <v>64</v>
      </c>
      <c r="W4281" s="22">
        <v>13</v>
      </c>
      <c r="X4281" s="23"/>
    </row>
    <row r="4282" spans="1:24" s="1" customFormat="1" ht="26" customHeight="1" x14ac:dyDescent="0.3">
      <c r="A4282" s="24" t="s">
        <v>23</v>
      </c>
      <c r="B4282" s="24" t="s">
        <v>3682</v>
      </c>
      <c r="C4282" s="12" t="s">
        <v>3954</v>
      </c>
      <c r="D4282" s="60"/>
      <c r="E4282" s="41" t="str">
        <f>HYPERLINK("https://www.google.ru/search?q=1361034-703&amp;newwindow=1&amp;tbm=isch","Еще фото")</f>
        <v>Еще фото</v>
      </c>
      <c r="F4282" s="13"/>
      <c r="G4282" s="24" t="s">
        <v>3609</v>
      </c>
      <c r="H4282" s="24" t="s">
        <v>27</v>
      </c>
      <c r="I4282" s="24" t="s">
        <v>3599</v>
      </c>
      <c r="J4282" s="14" t="s">
        <v>29</v>
      </c>
      <c r="K4282" s="15" t="s">
        <v>59</v>
      </c>
      <c r="L4282" s="62"/>
      <c r="M4282" s="14"/>
      <c r="N4282" s="14" t="s">
        <v>46</v>
      </c>
      <c r="O4282" s="14"/>
      <c r="P4282" s="15" t="s">
        <v>1008</v>
      </c>
      <c r="Q4282" s="16">
        <v>3899</v>
      </c>
      <c r="R4282" s="17">
        <v>40</v>
      </c>
      <c r="S4282" s="18">
        <v>2690.31</v>
      </c>
      <c r="T4282" s="19" t="s">
        <v>36</v>
      </c>
      <c r="U4282" s="20" t="s">
        <v>37</v>
      </c>
      <c r="V4282" s="21" t="s">
        <v>106</v>
      </c>
      <c r="W4282" s="22">
        <v>6</v>
      </c>
      <c r="X4282" s="23"/>
    </row>
    <row r="4283" spans="1:24" s="1" customFormat="1" ht="26" customHeight="1" x14ac:dyDescent="0.3">
      <c r="A4283" s="24" t="s">
        <v>23</v>
      </c>
      <c r="B4283" s="24" t="s">
        <v>3682</v>
      </c>
      <c r="C4283" s="12" t="s">
        <v>3954</v>
      </c>
      <c r="D4283" s="60"/>
      <c r="E4283" s="41" t="str">
        <f>HYPERLINK("https://www.google.ru/search?q=1361034-703&amp;newwindow=1&amp;tbm=isch","Еще фото")</f>
        <v>Еще фото</v>
      </c>
      <c r="F4283" s="13"/>
      <c r="G4283" s="24" t="s">
        <v>3609</v>
      </c>
      <c r="H4283" s="24" t="s">
        <v>27</v>
      </c>
      <c r="I4283" s="24" t="s">
        <v>3599</v>
      </c>
      <c r="J4283" s="14" t="s">
        <v>29</v>
      </c>
      <c r="K4283" s="15" t="s">
        <v>59</v>
      </c>
      <c r="L4283" s="62"/>
      <c r="M4283" s="14"/>
      <c r="N4283" s="14" t="s">
        <v>46</v>
      </c>
      <c r="O4283" s="14"/>
      <c r="P4283" s="15" t="s">
        <v>1008</v>
      </c>
      <c r="Q4283" s="16">
        <v>3899</v>
      </c>
      <c r="R4283" s="17">
        <v>40</v>
      </c>
      <c r="S4283" s="18">
        <v>2690.31</v>
      </c>
      <c r="T4283" s="19" t="s">
        <v>36</v>
      </c>
      <c r="U4283" s="20" t="s">
        <v>39</v>
      </c>
      <c r="V4283" s="21" t="s">
        <v>85</v>
      </c>
      <c r="W4283" s="22">
        <v>7</v>
      </c>
      <c r="X4283" s="23"/>
    </row>
    <row r="4284" spans="1:24" s="1" customFormat="1" ht="26" customHeight="1" x14ac:dyDescent="0.3">
      <c r="A4284" s="24" t="s">
        <v>23</v>
      </c>
      <c r="B4284" s="24" t="s">
        <v>3682</v>
      </c>
      <c r="C4284" s="12" t="s">
        <v>3954</v>
      </c>
      <c r="D4284" s="61"/>
      <c r="E4284" s="41" t="str">
        <f>HYPERLINK("https://www.google.ru/search?q=1361034-703&amp;newwindow=1&amp;tbm=isch","Еще фото")</f>
        <v>Еще фото</v>
      </c>
      <c r="F4284" s="13"/>
      <c r="G4284" s="24" t="s">
        <v>3609</v>
      </c>
      <c r="H4284" s="24" t="s">
        <v>27</v>
      </c>
      <c r="I4284" s="24" t="s">
        <v>3599</v>
      </c>
      <c r="J4284" s="14" t="s">
        <v>29</v>
      </c>
      <c r="K4284" s="15" t="s">
        <v>59</v>
      </c>
      <c r="L4284" s="58"/>
      <c r="M4284" s="14"/>
      <c r="N4284" s="14" t="s">
        <v>46</v>
      </c>
      <c r="O4284" s="14"/>
      <c r="P4284" s="15" t="s">
        <v>1008</v>
      </c>
      <c r="Q4284" s="16">
        <v>3899</v>
      </c>
      <c r="R4284" s="17">
        <v>40</v>
      </c>
      <c r="S4284" s="18">
        <v>2690.31</v>
      </c>
      <c r="T4284" s="19" t="s">
        <v>36</v>
      </c>
      <c r="U4284" s="20" t="s">
        <v>86</v>
      </c>
      <c r="V4284" s="21" t="s">
        <v>38</v>
      </c>
      <c r="W4284" s="22">
        <v>12</v>
      </c>
      <c r="X4284" s="23"/>
    </row>
    <row r="4285" spans="1:24" s="1" customFormat="1" ht="26" customHeight="1" x14ac:dyDescent="0.3">
      <c r="A4285" s="11" t="s">
        <v>23</v>
      </c>
      <c r="B4285" s="11" t="s">
        <v>3955</v>
      </c>
      <c r="C4285" s="12" t="s">
        <v>3956</v>
      </c>
      <c r="D4285" s="59"/>
      <c r="E4285" s="41" t="str">
        <f>HYPERLINK("https://www.google.ru/search?q=1361518-025&amp;newwindow=1&amp;tbm=isch","Еще фото")</f>
        <v>Еще фото</v>
      </c>
      <c r="F4285" s="13" t="s">
        <v>103</v>
      </c>
      <c r="G4285" s="11" t="s">
        <v>3811</v>
      </c>
      <c r="H4285" s="11" t="s">
        <v>27</v>
      </c>
      <c r="I4285" s="14" t="s">
        <v>3599</v>
      </c>
      <c r="J4285" s="14" t="s">
        <v>29</v>
      </c>
      <c r="K4285" s="15" t="s">
        <v>30</v>
      </c>
      <c r="L4285" s="57" t="s">
        <v>3957</v>
      </c>
      <c r="M4285" s="14"/>
      <c r="N4285" s="14" t="s">
        <v>62</v>
      </c>
      <c r="O4285" s="14"/>
      <c r="P4285" s="15" t="s">
        <v>298</v>
      </c>
      <c r="Q4285" s="16">
        <v>3499</v>
      </c>
      <c r="R4285" s="17">
        <v>40</v>
      </c>
      <c r="S4285" s="18">
        <v>2414.31</v>
      </c>
      <c r="T4285" s="19" t="s">
        <v>36</v>
      </c>
      <c r="U4285" s="20" t="s">
        <v>39</v>
      </c>
      <c r="V4285" s="21" t="s">
        <v>40</v>
      </c>
      <c r="W4285" s="22">
        <v>13</v>
      </c>
      <c r="X4285" s="23"/>
    </row>
    <row r="4286" spans="1:24" s="1" customFormat="1" ht="26" customHeight="1" x14ac:dyDescent="0.3">
      <c r="A4286" s="24" t="s">
        <v>23</v>
      </c>
      <c r="B4286" s="24" t="s">
        <v>3955</v>
      </c>
      <c r="C4286" s="12" t="s">
        <v>3956</v>
      </c>
      <c r="D4286" s="60"/>
      <c r="E4286" s="41" t="str">
        <f>HYPERLINK("https://www.google.ru/search?q=1361518-025&amp;newwindow=1&amp;tbm=isch","Еще фото")</f>
        <v>Еще фото</v>
      </c>
      <c r="F4286" s="13" t="s">
        <v>103</v>
      </c>
      <c r="G4286" s="24" t="s">
        <v>3811</v>
      </c>
      <c r="H4286" s="24" t="s">
        <v>27</v>
      </c>
      <c r="I4286" s="24" t="s">
        <v>3599</v>
      </c>
      <c r="J4286" s="14" t="s">
        <v>29</v>
      </c>
      <c r="K4286" s="15" t="s">
        <v>30</v>
      </c>
      <c r="L4286" s="62"/>
      <c r="M4286" s="14"/>
      <c r="N4286" s="14" t="s">
        <v>62</v>
      </c>
      <c r="O4286" s="14"/>
      <c r="P4286" s="15" t="s">
        <v>298</v>
      </c>
      <c r="Q4286" s="16">
        <v>3499</v>
      </c>
      <c r="R4286" s="17">
        <v>40</v>
      </c>
      <c r="S4286" s="18">
        <v>2414.31</v>
      </c>
      <c r="T4286" s="19" t="s">
        <v>36</v>
      </c>
      <c r="U4286" s="20" t="s">
        <v>86</v>
      </c>
      <c r="V4286" s="21" t="s">
        <v>87</v>
      </c>
      <c r="W4286" s="22">
        <v>3</v>
      </c>
      <c r="X4286" s="23"/>
    </row>
    <row r="4287" spans="1:24" s="1" customFormat="1" ht="26" customHeight="1" x14ac:dyDescent="0.3">
      <c r="A4287" s="24" t="s">
        <v>23</v>
      </c>
      <c r="B4287" s="24" t="s">
        <v>3955</v>
      </c>
      <c r="C4287" s="12" t="s">
        <v>3956</v>
      </c>
      <c r="D4287" s="60"/>
      <c r="E4287" s="41" t="str">
        <f>HYPERLINK("https://www.google.ru/search?q=1361518-025&amp;newwindow=1&amp;tbm=isch","Еще фото")</f>
        <v>Еще фото</v>
      </c>
      <c r="F4287" s="13" t="s">
        <v>103</v>
      </c>
      <c r="G4287" s="24" t="s">
        <v>3811</v>
      </c>
      <c r="H4287" s="24" t="s">
        <v>27</v>
      </c>
      <c r="I4287" s="24" t="s">
        <v>3599</v>
      </c>
      <c r="J4287" s="14" t="s">
        <v>29</v>
      </c>
      <c r="K4287" s="15" t="s">
        <v>30</v>
      </c>
      <c r="L4287" s="62"/>
      <c r="M4287" s="14"/>
      <c r="N4287" s="14" t="s">
        <v>62</v>
      </c>
      <c r="O4287" s="14"/>
      <c r="P4287" s="15" t="s">
        <v>298</v>
      </c>
      <c r="Q4287" s="16">
        <v>3499</v>
      </c>
      <c r="R4287" s="17">
        <v>40</v>
      </c>
      <c r="S4287" s="18">
        <v>2414.31</v>
      </c>
      <c r="T4287" s="19" t="s">
        <v>36</v>
      </c>
      <c r="U4287" s="20" t="s">
        <v>88</v>
      </c>
      <c r="V4287" s="21" t="s">
        <v>89</v>
      </c>
      <c r="W4287" s="22">
        <v>10</v>
      </c>
      <c r="X4287" s="23"/>
    </row>
    <row r="4288" spans="1:24" s="1" customFormat="1" ht="26" customHeight="1" x14ac:dyDescent="0.3">
      <c r="A4288" s="24" t="s">
        <v>23</v>
      </c>
      <c r="B4288" s="24" t="s">
        <v>3955</v>
      </c>
      <c r="C4288" s="12" t="s">
        <v>3956</v>
      </c>
      <c r="D4288" s="61"/>
      <c r="E4288" s="41" t="str">
        <f>HYPERLINK("https://www.google.ru/search?q=1361518-025&amp;newwindow=1&amp;tbm=isch","Еще фото")</f>
        <v>Еще фото</v>
      </c>
      <c r="F4288" s="13" t="s">
        <v>103</v>
      </c>
      <c r="G4288" s="24" t="s">
        <v>3811</v>
      </c>
      <c r="H4288" s="24" t="s">
        <v>27</v>
      </c>
      <c r="I4288" s="24" t="s">
        <v>3599</v>
      </c>
      <c r="J4288" s="14" t="s">
        <v>29</v>
      </c>
      <c r="K4288" s="15" t="s">
        <v>30</v>
      </c>
      <c r="L4288" s="58"/>
      <c r="M4288" s="14"/>
      <c r="N4288" s="14" t="s">
        <v>62</v>
      </c>
      <c r="O4288" s="14"/>
      <c r="P4288" s="15" t="s">
        <v>298</v>
      </c>
      <c r="Q4288" s="16">
        <v>3499</v>
      </c>
      <c r="R4288" s="17">
        <v>40</v>
      </c>
      <c r="S4288" s="18">
        <v>2414.31</v>
      </c>
      <c r="T4288" s="19" t="s">
        <v>36</v>
      </c>
      <c r="U4288" s="20" t="s">
        <v>90</v>
      </c>
      <c r="V4288" s="21" t="s">
        <v>91</v>
      </c>
      <c r="W4288" s="22">
        <v>4</v>
      </c>
      <c r="X4288" s="23"/>
    </row>
    <row r="4289" spans="1:24" s="1" customFormat="1" ht="52.05" customHeight="1" x14ac:dyDescent="0.3">
      <c r="A4289" s="11" t="s">
        <v>23</v>
      </c>
      <c r="B4289" s="11" t="s">
        <v>3955</v>
      </c>
      <c r="C4289" s="12" t="s">
        <v>3958</v>
      </c>
      <c r="D4289" s="55"/>
      <c r="E4289" s="41" t="str">
        <f>HYPERLINK("https://www.google.ru/search?q=1361518-338&amp;newwindow=1&amp;tbm=isch","Еще фото")</f>
        <v>Еще фото</v>
      </c>
      <c r="F4289" s="28" t="s">
        <v>138</v>
      </c>
      <c r="G4289" s="11" t="s">
        <v>3811</v>
      </c>
      <c r="H4289" s="11" t="s">
        <v>27</v>
      </c>
      <c r="I4289" s="14" t="s">
        <v>3599</v>
      </c>
      <c r="J4289" s="14" t="s">
        <v>29</v>
      </c>
      <c r="K4289" s="15" t="s">
        <v>30</v>
      </c>
      <c r="L4289" s="57" t="s">
        <v>3957</v>
      </c>
      <c r="M4289" s="14"/>
      <c r="N4289" s="14" t="s">
        <v>127</v>
      </c>
      <c r="O4289" s="14"/>
      <c r="P4289" s="15" t="s">
        <v>298</v>
      </c>
      <c r="Q4289" s="16">
        <v>3499</v>
      </c>
      <c r="R4289" s="17">
        <v>40</v>
      </c>
      <c r="S4289" s="18">
        <v>2414.31</v>
      </c>
      <c r="T4289" s="19" t="s">
        <v>36</v>
      </c>
      <c r="U4289" s="20" t="s">
        <v>39</v>
      </c>
      <c r="V4289" s="21" t="s">
        <v>40</v>
      </c>
      <c r="W4289" s="22">
        <v>2</v>
      </c>
      <c r="X4289" s="23"/>
    </row>
    <row r="4290" spans="1:24" s="1" customFormat="1" ht="61.05" customHeight="1" x14ac:dyDescent="0.3">
      <c r="A4290" s="24" t="s">
        <v>23</v>
      </c>
      <c r="B4290" s="24" t="s">
        <v>3955</v>
      </c>
      <c r="C4290" s="12" t="s">
        <v>3958</v>
      </c>
      <c r="D4290" s="56"/>
      <c r="E4290" s="41" t="str">
        <f>HYPERLINK("https://www.google.ru/search?q=1361518-338&amp;newwindow=1&amp;tbm=isch","Еще фото")</f>
        <v>Еще фото</v>
      </c>
      <c r="F4290" s="28" t="s">
        <v>138</v>
      </c>
      <c r="G4290" s="24" t="s">
        <v>3811</v>
      </c>
      <c r="H4290" s="24" t="s">
        <v>27</v>
      </c>
      <c r="I4290" s="24" t="s">
        <v>3599</v>
      </c>
      <c r="J4290" s="14" t="s">
        <v>29</v>
      </c>
      <c r="K4290" s="15" t="s">
        <v>30</v>
      </c>
      <c r="L4290" s="58"/>
      <c r="M4290" s="14"/>
      <c r="N4290" s="14" t="s">
        <v>127</v>
      </c>
      <c r="O4290" s="14"/>
      <c r="P4290" s="15" t="s">
        <v>298</v>
      </c>
      <c r="Q4290" s="16">
        <v>3499</v>
      </c>
      <c r="R4290" s="17">
        <v>40</v>
      </c>
      <c r="S4290" s="18">
        <v>2414.31</v>
      </c>
      <c r="T4290" s="19" t="s">
        <v>36</v>
      </c>
      <c r="U4290" s="20" t="s">
        <v>86</v>
      </c>
      <c r="V4290" s="21" t="s">
        <v>87</v>
      </c>
      <c r="W4290" s="22">
        <v>6</v>
      </c>
      <c r="X4290" s="23"/>
    </row>
    <row r="4291" spans="1:24" s="1" customFormat="1" ht="108" customHeight="1" x14ac:dyDescent="0.3">
      <c r="A4291" s="11" t="s">
        <v>23</v>
      </c>
      <c r="B4291" s="11" t="s">
        <v>3955</v>
      </c>
      <c r="C4291" s="12" t="s">
        <v>3959</v>
      </c>
      <c r="D4291" s="25"/>
      <c r="E4291" s="41" t="str">
        <f>HYPERLINK("https://www.google.ru/search?q=1361518-410&amp;newwindow=1&amp;tbm=isch","Еще фото")</f>
        <v>Еще фото</v>
      </c>
      <c r="F4291" s="13" t="s">
        <v>103</v>
      </c>
      <c r="G4291" s="11" t="s">
        <v>3811</v>
      </c>
      <c r="H4291" s="11" t="s">
        <v>27</v>
      </c>
      <c r="I4291" s="14" t="s">
        <v>3599</v>
      </c>
      <c r="J4291" s="14" t="s">
        <v>29</v>
      </c>
      <c r="K4291" s="15" t="s">
        <v>30</v>
      </c>
      <c r="L4291" s="14" t="s">
        <v>3957</v>
      </c>
      <c r="M4291" s="14" t="s">
        <v>61</v>
      </c>
      <c r="N4291" s="14" t="s">
        <v>115</v>
      </c>
      <c r="O4291" s="14"/>
      <c r="P4291" s="15" t="s">
        <v>298</v>
      </c>
      <c r="Q4291" s="16">
        <v>3499</v>
      </c>
      <c r="R4291" s="17">
        <v>40</v>
      </c>
      <c r="S4291" s="18">
        <v>2414.31</v>
      </c>
      <c r="T4291" s="19" t="s">
        <v>36</v>
      </c>
      <c r="U4291" s="20" t="s">
        <v>90</v>
      </c>
      <c r="V4291" s="21" t="s">
        <v>91</v>
      </c>
      <c r="W4291" s="22">
        <v>1</v>
      </c>
      <c r="X4291" s="23"/>
    </row>
    <row r="4292" spans="1:24" s="1" customFormat="1" ht="108" customHeight="1" x14ac:dyDescent="0.3">
      <c r="A4292" s="11" t="s">
        <v>23</v>
      </c>
      <c r="B4292" s="11" t="s">
        <v>3955</v>
      </c>
      <c r="C4292" s="12" t="s">
        <v>3960</v>
      </c>
      <c r="D4292" s="25"/>
      <c r="E4292" s="41" t="str">
        <f>HYPERLINK("https://www.google.ru/search?q=1361518-600&amp;newwindow=1&amp;tbm=isch","Еще фото")</f>
        <v>Еще фото</v>
      </c>
      <c r="F4292" s="13" t="s">
        <v>103</v>
      </c>
      <c r="G4292" s="11" t="s">
        <v>3811</v>
      </c>
      <c r="H4292" s="11" t="s">
        <v>27</v>
      </c>
      <c r="I4292" s="14" t="s">
        <v>3599</v>
      </c>
      <c r="J4292" s="14" t="s">
        <v>29</v>
      </c>
      <c r="K4292" s="15" t="s">
        <v>30</v>
      </c>
      <c r="L4292" s="14" t="s">
        <v>3957</v>
      </c>
      <c r="M4292" s="14" t="s">
        <v>61</v>
      </c>
      <c r="N4292" s="14" t="s">
        <v>198</v>
      </c>
      <c r="O4292" s="14"/>
      <c r="P4292" s="15" t="s">
        <v>298</v>
      </c>
      <c r="Q4292" s="16">
        <v>3899</v>
      </c>
      <c r="R4292" s="17">
        <v>40</v>
      </c>
      <c r="S4292" s="18">
        <v>2690.31</v>
      </c>
      <c r="T4292" s="19" t="s">
        <v>36</v>
      </c>
      <c r="U4292" s="20" t="s">
        <v>37</v>
      </c>
      <c r="V4292" s="21" t="s">
        <v>38</v>
      </c>
      <c r="W4292" s="22">
        <v>1</v>
      </c>
      <c r="X4292" s="23"/>
    </row>
    <row r="4293" spans="1:24" s="1" customFormat="1" ht="108" customHeight="1" x14ac:dyDescent="0.3">
      <c r="A4293" s="11" t="s">
        <v>23</v>
      </c>
      <c r="B4293" s="11" t="s">
        <v>3961</v>
      </c>
      <c r="C4293" s="12" t="s">
        <v>3962</v>
      </c>
      <c r="D4293" s="25"/>
      <c r="E4293" s="41" t="str">
        <f>HYPERLINK("https://www.google.ru/search?q=1361524-001&amp;newwindow=1&amp;tbm=isch","Еще фото")</f>
        <v>Еще фото</v>
      </c>
      <c r="F4293" s="13" t="s">
        <v>152</v>
      </c>
      <c r="G4293" s="11" t="s">
        <v>3963</v>
      </c>
      <c r="H4293" s="11" t="s">
        <v>27</v>
      </c>
      <c r="I4293" s="14" t="s">
        <v>3599</v>
      </c>
      <c r="J4293" s="14" t="s">
        <v>29</v>
      </c>
      <c r="K4293" s="15" t="s">
        <v>30</v>
      </c>
      <c r="L4293" s="14" t="s">
        <v>3957</v>
      </c>
      <c r="M4293" s="14" t="s">
        <v>61</v>
      </c>
      <c r="N4293" s="14" t="s">
        <v>33</v>
      </c>
      <c r="O4293" s="14"/>
      <c r="P4293" s="15" t="s">
        <v>298</v>
      </c>
      <c r="Q4293" s="16">
        <v>3999</v>
      </c>
      <c r="R4293" s="17">
        <v>40</v>
      </c>
      <c r="S4293" s="18">
        <v>2759.31</v>
      </c>
      <c r="T4293" s="19" t="s">
        <v>36</v>
      </c>
      <c r="U4293" s="20" t="s">
        <v>37</v>
      </c>
      <c r="V4293" s="21" t="s">
        <v>38</v>
      </c>
      <c r="W4293" s="22">
        <v>1</v>
      </c>
      <c r="X4293" s="23"/>
    </row>
    <row r="4294" spans="1:24" s="1" customFormat="1" ht="108" customHeight="1" x14ac:dyDescent="0.3">
      <c r="A4294" s="11" t="s">
        <v>23</v>
      </c>
      <c r="B4294" s="11" t="s">
        <v>3961</v>
      </c>
      <c r="C4294" s="12" t="s">
        <v>3964</v>
      </c>
      <c r="D4294" s="25"/>
      <c r="E4294" s="41" t="str">
        <f>HYPERLINK("https://www.google.ru/search?q=1361524-025&amp;newwindow=1&amp;tbm=isch","Еще фото")</f>
        <v>Еще фото</v>
      </c>
      <c r="F4294" s="13" t="s">
        <v>103</v>
      </c>
      <c r="G4294" s="11" t="s">
        <v>3963</v>
      </c>
      <c r="H4294" s="11" t="s">
        <v>27</v>
      </c>
      <c r="I4294" s="14" t="s">
        <v>3599</v>
      </c>
      <c r="J4294" s="14" t="s">
        <v>29</v>
      </c>
      <c r="K4294" s="15" t="s">
        <v>30</v>
      </c>
      <c r="L4294" s="14" t="s">
        <v>3957</v>
      </c>
      <c r="M4294" s="14"/>
      <c r="N4294" s="14" t="s">
        <v>62</v>
      </c>
      <c r="O4294" s="14"/>
      <c r="P4294" s="15" t="s">
        <v>298</v>
      </c>
      <c r="Q4294" s="16">
        <v>3999</v>
      </c>
      <c r="R4294" s="17">
        <v>40</v>
      </c>
      <c r="S4294" s="18">
        <v>2759.31</v>
      </c>
      <c r="T4294" s="19" t="s">
        <v>36</v>
      </c>
      <c r="U4294" s="20" t="s">
        <v>90</v>
      </c>
      <c r="V4294" s="21" t="s">
        <v>91</v>
      </c>
      <c r="W4294" s="22">
        <v>3</v>
      </c>
      <c r="X4294" s="23"/>
    </row>
    <row r="4295" spans="1:24" s="1" customFormat="1" ht="108" customHeight="1" x14ac:dyDescent="0.3">
      <c r="A4295" s="11" t="s">
        <v>23</v>
      </c>
      <c r="B4295" s="11" t="s">
        <v>3961</v>
      </c>
      <c r="C4295" s="12" t="s">
        <v>3965</v>
      </c>
      <c r="D4295" s="25"/>
      <c r="E4295" s="41" t="str">
        <f>HYPERLINK("https://www.google.ru/search?q=1361524-090&amp;newwindow=1&amp;tbm=isch","Еще фото")</f>
        <v>Еще фото</v>
      </c>
      <c r="F4295" s="13" t="s">
        <v>152</v>
      </c>
      <c r="G4295" s="11" t="s">
        <v>3963</v>
      </c>
      <c r="H4295" s="11" t="s">
        <v>27</v>
      </c>
      <c r="I4295" s="14" t="s">
        <v>3599</v>
      </c>
      <c r="J4295" s="14" t="s">
        <v>29</v>
      </c>
      <c r="K4295" s="15" t="s">
        <v>30</v>
      </c>
      <c r="L4295" s="14" t="s">
        <v>3957</v>
      </c>
      <c r="M4295" s="14" t="s">
        <v>61</v>
      </c>
      <c r="N4295" s="14" t="s">
        <v>62</v>
      </c>
      <c r="O4295" s="14"/>
      <c r="P4295" s="15" t="s">
        <v>298</v>
      </c>
      <c r="Q4295" s="16">
        <v>3999</v>
      </c>
      <c r="R4295" s="17">
        <v>40</v>
      </c>
      <c r="S4295" s="18">
        <v>2759.31</v>
      </c>
      <c r="T4295" s="19" t="s">
        <v>36</v>
      </c>
      <c r="U4295" s="20" t="s">
        <v>86</v>
      </c>
      <c r="V4295" s="21" t="s">
        <v>87</v>
      </c>
      <c r="W4295" s="22">
        <v>1</v>
      </c>
      <c r="X4295" s="23"/>
    </row>
    <row r="4296" spans="1:24" s="1" customFormat="1" ht="108" customHeight="1" x14ac:dyDescent="0.3">
      <c r="A4296" s="11" t="s">
        <v>23</v>
      </c>
      <c r="B4296" s="11" t="s">
        <v>3961</v>
      </c>
      <c r="C4296" s="12" t="s">
        <v>3966</v>
      </c>
      <c r="D4296" s="25"/>
      <c r="E4296" s="41" t="str">
        <f>HYPERLINK("https://www.google.ru/search?q=1361524-410&amp;newwindow=1&amp;tbm=isch","Еще фото")</f>
        <v>Еще фото</v>
      </c>
      <c r="F4296" s="13" t="s">
        <v>103</v>
      </c>
      <c r="G4296" s="11" t="s">
        <v>3963</v>
      </c>
      <c r="H4296" s="11" t="s">
        <v>27</v>
      </c>
      <c r="I4296" s="14" t="s">
        <v>3599</v>
      </c>
      <c r="J4296" s="14" t="s">
        <v>29</v>
      </c>
      <c r="K4296" s="15" t="s">
        <v>30</v>
      </c>
      <c r="L4296" s="14" t="s">
        <v>3957</v>
      </c>
      <c r="M4296" s="14"/>
      <c r="N4296" s="14" t="s">
        <v>115</v>
      </c>
      <c r="O4296" s="14"/>
      <c r="P4296" s="15" t="s">
        <v>298</v>
      </c>
      <c r="Q4296" s="16">
        <v>4099</v>
      </c>
      <c r="R4296" s="17">
        <v>40</v>
      </c>
      <c r="S4296" s="18">
        <v>2828.31</v>
      </c>
      <c r="T4296" s="19" t="s">
        <v>36</v>
      </c>
      <c r="U4296" s="20" t="s">
        <v>90</v>
      </c>
      <c r="V4296" s="21" t="s">
        <v>91</v>
      </c>
      <c r="W4296" s="22">
        <v>3</v>
      </c>
      <c r="X4296" s="23"/>
    </row>
    <row r="4297" spans="1:24" s="1" customFormat="1" ht="108" customHeight="1" x14ac:dyDescent="0.3">
      <c r="A4297" s="11" t="s">
        <v>23</v>
      </c>
      <c r="B4297" s="11" t="s">
        <v>3967</v>
      </c>
      <c r="C4297" s="12" t="s">
        <v>3968</v>
      </c>
      <c r="D4297" s="25"/>
      <c r="E4297" s="41" t="str">
        <f>HYPERLINK("https://www.google.ru/search?q=1363282-100&amp;newwindow=1&amp;tbm=isch","Еще фото")</f>
        <v>Еще фото</v>
      </c>
      <c r="F4297" s="13"/>
      <c r="G4297" s="11" t="s">
        <v>3604</v>
      </c>
      <c r="H4297" s="11" t="s">
        <v>27</v>
      </c>
      <c r="I4297" s="14" t="s">
        <v>3599</v>
      </c>
      <c r="J4297" s="14" t="s">
        <v>43</v>
      </c>
      <c r="K4297" s="15" t="s">
        <v>50</v>
      </c>
      <c r="L4297" s="14" t="s">
        <v>3969</v>
      </c>
      <c r="M4297" s="14" t="s">
        <v>45</v>
      </c>
      <c r="N4297" s="14" t="s">
        <v>84</v>
      </c>
      <c r="O4297" s="14" t="s">
        <v>34</v>
      </c>
      <c r="P4297" s="15" t="s">
        <v>2951</v>
      </c>
      <c r="Q4297" s="16">
        <v>2999</v>
      </c>
      <c r="R4297" s="17">
        <v>40</v>
      </c>
      <c r="S4297" s="18">
        <v>2069.31</v>
      </c>
      <c r="T4297" s="19" t="s">
        <v>36</v>
      </c>
      <c r="U4297" s="20" t="s">
        <v>54</v>
      </c>
      <c r="V4297" s="21" t="s">
        <v>55</v>
      </c>
      <c r="W4297" s="22">
        <v>1</v>
      </c>
      <c r="X4297" s="23"/>
    </row>
    <row r="4298" spans="1:24" s="1" customFormat="1" ht="52.05" customHeight="1" x14ac:dyDescent="0.3">
      <c r="A4298" s="11" t="s">
        <v>23</v>
      </c>
      <c r="B4298" s="11" t="s">
        <v>3970</v>
      </c>
      <c r="C4298" s="12" t="s">
        <v>3971</v>
      </c>
      <c r="D4298" s="55"/>
      <c r="E4298" s="41" t="str">
        <f>HYPERLINK("https://www.google.ru/search?q=1363354-001&amp;newwindow=1&amp;tbm=isch","Еще фото")</f>
        <v>Еще фото</v>
      </c>
      <c r="F4298" s="13"/>
      <c r="G4298" s="11" t="s">
        <v>3609</v>
      </c>
      <c r="H4298" s="11" t="s">
        <v>27</v>
      </c>
      <c r="I4298" s="14" t="s">
        <v>3599</v>
      </c>
      <c r="J4298" s="14" t="s">
        <v>29</v>
      </c>
      <c r="K4298" s="15" t="s">
        <v>59</v>
      </c>
      <c r="L4298" s="57" t="s">
        <v>3972</v>
      </c>
      <c r="M4298" s="14"/>
      <c r="N4298" s="14" t="s">
        <v>33</v>
      </c>
      <c r="O4298" s="14"/>
      <c r="P4298" s="15" t="s">
        <v>53</v>
      </c>
      <c r="Q4298" s="16">
        <v>8199</v>
      </c>
      <c r="R4298" s="17">
        <v>40</v>
      </c>
      <c r="S4298" s="18">
        <v>5657.3099999999995</v>
      </c>
      <c r="T4298" s="19" t="s">
        <v>36</v>
      </c>
      <c r="U4298" s="20" t="s">
        <v>86</v>
      </c>
      <c r="V4298" s="21" t="s">
        <v>38</v>
      </c>
      <c r="W4298" s="22">
        <v>1</v>
      </c>
      <c r="X4298" s="23"/>
    </row>
    <row r="4299" spans="1:24" s="1" customFormat="1" ht="61.05" customHeight="1" x14ac:dyDescent="0.3">
      <c r="A4299" s="24" t="s">
        <v>23</v>
      </c>
      <c r="B4299" s="24" t="s">
        <v>3970</v>
      </c>
      <c r="C4299" s="12" t="s">
        <v>3971</v>
      </c>
      <c r="D4299" s="56"/>
      <c r="E4299" s="41" t="str">
        <f>HYPERLINK("https://www.google.ru/search?q=1363354-001&amp;newwindow=1&amp;tbm=isch","Еще фото")</f>
        <v>Еще фото</v>
      </c>
      <c r="F4299" s="13"/>
      <c r="G4299" s="24" t="s">
        <v>3609</v>
      </c>
      <c r="H4299" s="24" t="s">
        <v>27</v>
      </c>
      <c r="I4299" s="24" t="s">
        <v>3599</v>
      </c>
      <c r="J4299" s="14" t="s">
        <v>29</v>
      </c>
      <c r="K4299" s="15" t="s">
        <v>59</v>
      </c>
      <c r="L4299" s="58"/>
      <c r="M4299" s="14"/>
      <c r="N4299" s="14" t="s">
        <v>33</v>
      </c>
      <c r="O4299" s="14"/>
      <c r="P4299" s="15" t="s">
        <v>53</v>
      </c>
      <c r="Q4299" s="16">
        <v>8199</v>
      </c>
      <c r="R4299" s="17">
        <v>40</v>
      </c>
      <c r="S4299" s="18">
        <v>5657.3099999999995</v>
      </c>
      <c r="T4299" s="19" t="s">
        <v>36</v>
      </c>
      <c r="U4299" s="20" t="s">
        <v>88</v>
      </c>
      <c r="V4299" s="21" t="s">
        <v>40</v>
      </c>
      <c r="W4299" s="22">
        <v>1</v>
      </c>
      <c r="X4299" s="23"/>
    </row>
    <row r="4300" spans="1:24" s="1" customFormat="1" ht="52.05" customHeight="1" x14ac:dyDescent="0.3">
      <c r="A4300" s="11" t="s">
        <v>23</v>
      </c>
      <c r="B4300" s="11" t="s">
        <v>3973</v>
      </c>
      <c r="C4300" s="12" t="s">
        <v>3974</v>
      </c>
      <c r="D4300" s="55"/>
      <c r="E4300" s="41" t="str">
        <f>HYPERLINK("https://www.google.ru/search?q=1365636-914&amp;newwindow=1&amp;tbm=isch","Еще фото")</f>
        <v>Еще фото</v>
      </c>
      <c r="F4300" s="13"/>
      <c r="G4300" s="11" t="s">
        <v>3615</v>
      </c>
      <c r="H4300" s="11" t="s">
        <v>27</v>
      </c>
      <c r="I4300" s="14" t="s">
        <v>3599</v>
      </c>
      <c r="J4300" s="14" t="s">
        <v>29</v>
      </c>
      <c r="K4300" s="15" t="s">
        <v>59</v>
      </c>
      <c r="L4300" s="57" t="s">
        <v>3975</v>
      </c>
      <c r="M4300" s="14"/>
      <c r="N4300" s="14" t="s">
        <v>46</v>
      </c>
      <c r="O4300" s="14"/>
      <c r="P4300" s="15" t="s">
        <v>3976</v>
      </c>
      <c r="Q4300" s="16">
        <v>6799</v>
      </c>
      <c r="R4300" s="17">
        <v>40</v>
      </c>
      <c r="S4300" s="18">
        <v>4691.3099999999995</v>
      </c>
      <c r="T4300" s="19" t="s">
        <v>36</v>
      </c>
      <c r="U4300" s="20" t="s">
        <v>39</v>
      </c>
      <c r="V4300" s="21" t="s">
        <v>85</v>
      </c>
      <c r="W4300" s="22">
        <v>1</v>
      </c>
      <c r="X4300" s="23"/>
    </row>
    <row r="4301" spans="1:24" s="1" customFormat="1" ht="61.05" customHeight="1" x14ac:dyDescent="0.3">
      <c r="A4301" s="24" t="s">
        <v>23</v>
      </c>
      <c r="B4301" s="24" t="s">
        <v>3973</v>
      </c>
      <c r="C4301" s="12" t="s">
        <v>3974</v>
      </c>
      <c r="D4301" s="56"/>
      <c r="E4301" s="41" t="str">
        <f>HYPERLINK("https://www.google.ru/search?q=1365636-914&amp;newwindow=1&amp;tbm=isch","Еще фото")</f>
        <v>Еще фото</v>
      </c>
      <c r="F4301" s="13"/>
      <c r="G4301" s="24" t="s">
        <v>3615</v>
      </c>
      <c r="H4301" s="24" t="s">
        <v>27</v>
      </c>
      <c r="I4301" s="24" t="s">
        <v>3599</v>
      </c>
      <c r="J4301" s="14" t="s">
        <v>29</v>
      </c>
      <c r="K4301" s="15" t="s">
        <v>59</v>
      </c>
      <c r="L4301" s="58"/>
      <c r="M4301" s="14"/>
      <c r="N4301" s="14" t="s">
        <v>46</v>
      </c>
      <c r="O4301" s="14"/>
      <c r="P4301" s="15" t="s">
        <v>3976</v>
      </c>
      <c r="Q4301" s="16">
        <v>6799</v>
      </c>
      <c r="R4301" s="17">
        <v>40</v>
      </c>
      <c r="S4301" s="18">
        <v>4691.3099999999995</v>
      </c>
      <c r="T4301" s="19" t="s">
        <v>36</v>
      </c>
      <c r="U4301" s="20" t="s">
        <v>86</v>
      </c>
      <c r="V4301" s="21" t="s">
        <v>38</v>
      </c>
      <c r="W4301" s="22">
        <v>1</v>
      </c>
      <c r="X4301" s="23"/>
    </row>
    <row r="4302" spans="1:24" s="1" customFormat="1" ht="26" customHeight="1" x14ac:dyDescent="0.3">
      <c r="A4302" s="11" t="s">
        <v>23</v>
      </c>
      <c r="B4302" s="11" t="s">
        <v>3977</v>
      </c>
      <c r="C4302" s="12" t="s">
        <v>3978</v>
      </c>
      <c r="D4302" s="59"/>
      <c r="E4302" s="41" t="str">
        <f>HYPERLINK("https://www.google.ru/search?q=1369606-001&amp;newwindow=1&amp;tbm=isch","Еще фото")</f>
        <v>Еще фото</v>
      </c>
      <c r="F4302" s="28" t="s">
        <v>138</v>
      </c>
      <c r="G4302" s="11" t="s">
        <v>3615</v>
      </c>
      <c r="H4302" s="11" t="s">
        <v>27</v>
      </c>
      <c r="I4302" s="14" t="s">
        <v>3599</v>
      </c>
      <c r="J4302" s="14" t="s">
        <v>29</v>
      </c>
      <c r="K4302" s="15" t="s">
        <v>30</v>
      </c>
      <c r="L4302" s="57" t="s">
        <v>3979</v>
      </c>
      <c r="M4302" s="14"/>
      <c r="N4302" s="14" t="s">
        <v>33</v>
      </c>
      <c r="O4302" s="14"/>
      <c r="P4302" s="15" t="s">
        <v>298</v>
      </c>
      <c r="Q4302" s="16">
        <v>4299</v>
      </c>
      <c r="R4302" s="17">
        <v>40</v>
      </c>
      <c r="S4302" s="18">
        <v>2966.31</v>
      </c>
      <c r="T4302" s="19" t="s">
        <v>36</v>
      </c>
      <c r="U4302" s="20" t="s">
        <v>39</v>
      </c>
      <c r="V4302" s="21" t="s">
        <v>40</v>
      </c>
      <c r="W4302" s="22">
        <v>7</v>
      </c>
      <c r="X4302" s="23"/>
    </row>
    <row r="4303" spans="1:24" s="1" customFormat="1" ht="26" customHeight="1" x14ac:dyDescent="0.3">
      <c r="A4303" s="24" t="s">
        <v>23</v>
      </c>
      <c r="B4303" s="24" t="s">
        <v>3977</v>
      </c>
      <c r="C4303" s="12" t="s">
        <v>3978</v>
      </c>
      <c r="D4303" s="60"/>
      <c r="E4303" s="41" t="str">
        <f>HYPERLINK("https://www.google.ru/search?q=1369606-001&amp;newwindow=1&amp;tbm=isch","Еще фото")</f>
        <v>Еще фото</v>
      </c>
      <c r="F4303" s="28" t="s">
        <v>138</v>
      </c>
      <c r="G4303" s="24" t="s">
        <v>3615</v>
      </c>
      <c r="H4303" s="24" t="s">
        <v>27</v>
      </c>
      <c r="I4303" s="24" t="s">
        <v>3599</v>
      </c>
      <c r="J4303" s="14" t="s">
        <v>29</v>
      </c>
      <c r="K4303" s="15" t="s">
        <v>30</v>
      </c>
      <c r="L4303" s="62"/>
      <c r="M4303" s="14"/>
      <c r="N4303" s="14" t="s">
        <v>33</v>
      </c>
      <c r="O4303" s="14"/>
      <c r="P4303" s="15" t="s">
        <v>298</v>
      </c>
      <c r="Q4303" s="16">
        <v>4299</v>
      </c>
      <c r="R4303" s="17">
        <v>40</v>
      </c>
      <c r="S4303" s="18">
        <v>2966.31</v>
      </c>
      <c r="T4303" s="19" t="s">
        <v>36</v>
      </c>
      <c r="U4303" s="20" t="s">
        <v>86</v>
      </c>
      <c r="V4303" s="21" t="s">
        <v>87</v>
      </c>
      <c r="W4303" s="22">
        <v>14</v>
      </c>
      <c r="X4303" s="23"/>
    </row>
    <row r="4304" spans="1:24" s="1" customFormat="1" ht="26" customHeight="1" x14ac:dyDescent="0.3">
      <c r="A4304" s="24" t="s">
        <v>23</v>
      </c>
      <c r="B4304" s="24" t="s">
        <v>3977</v>
      </c>
      <c r="C4304" s="12" t="s">
        <v>3978</v>
      </c>
      <c r="D4304" s="60"/>
      <c r="E4304" s="41" t="str">
        <f>HYPERLINK("https://www.google.ru/search?q=1369606-001&amp;newwindow=1&amp;tbm=isch","Еще фото")</f>
        <v>Еще фото</v>
      </c>
      <c r="F4304" s="28" t="s">
        <v>138</v>
      </c>
      <c r="G4304" s="24" t="s">
        <v>3615</v>
      </c>
      <c r="H4304" s="24" t="s">
        <v>27</v>
      </c>
      <c r="I4304" s="24" t="s">
        <v>3599</v>
      </c>
      <c r="J4304" s="14" t="s">
        <v>29</v>
      </c>
      <c r="K4304" s="15" t="s">
        <v>30</v>
      </c>
      <c r="L4304" s="62"/>
      <c r="M4304" s="14"/>
      <c r="N4304" s="14" t="s">
        <v>33</v>
      </c>
      <c r="O4304" s="14"/>
      <c r="P4304" s="15" t="s">
        <v>298</v>
      </c>
      <c r="Q4304" s="16">
        <v>4299</v>
      </c>
      <c r="R4304" s="17">
        <v>40</v>
      </c>
      <c r="S4304" s="18">
        <v>2966.31</v>
      </c>
      <c r="T4304" s="19" t="s">
        <v>36</v>
      </c>
      <c r="U4304" s="20" t="s">
        <v>88</v>
      </c>
      <c r="V4304" s="21" t="s">
        <v>89</v>
      </c>
      <c r="W4304" s="22">
        <v>15</v>
      </c>
      <c r="X4304" s="23"/>
    </row>
    <row r="4305" spans="1:24" s="1" customFormat="1" ht="26" customHeight="1" x14ac:dyDescent="0.3">
      <c r="A4305" s="24" t="s">
        <v>23</v>
      </c>
      <c r="B4305" s="24" t="s">
        <v>3977</v>
      </c>
      <c r="C4305" s="12" t="s">
        <v>3978</v>
      </c>
      <c r="D4305" s="61"/>
      <c r="E4305" s="41" t="str">
        <f>HYPERLINK("https://www.google.ru/search?q=1369606-001&amp;newwindow=1&amp;tbm=isch","Еще фото")</f>
        <v>Еще фото</v>
      </c>
      <c r="F4305" s="28" t="s">
        <v>138</v>
      </c>
      <c r="G4305" s="24" t="s">
        <v>3615</v>
      </c>
      <c r="H4305" s="24" t="s">
        <v>27</v>
      </c>
      <c r="I4305" s="24" t="s">
        <v>3599</v>
      </c>
      <c r="J4305" s="14" t="s">
        <v>29</v>
      </c>
      <c r="K4305" s="15" t="s">
        <v>30</v>
      </c>
      <c r="L4305" s="58"/>
      <c r="M4305" s="14"/>
      <c r="N4305" s="14" t="s">
        <v>33</v>
      </c>
      <c r="O4305" s="14"/>
      <c r="P4305" s="15" t="s">
        <v>298</v>
      </c>
      <c r="Q4305" s="16">
        <v>4299</v>
      </c>
      <c r="R4305" s="17">
        <v>40</v>
      </c>
      <c r="S4305" s="18">
        <v>2966.31</v>
      </c>
      <c r="T4305" s="19" t="s">
        <v>36</v>
      </c>
      <c r="U4305" s="20" t="s">
        <v>90</v>
      </c>
      <c r="V4305" s="21" t="s">
        <v>91</v>
      </c>
      <c r="W4305" s="22">
        <v>7</v>
      </c>
      <c r="X4305" s="23"/>
    </row>
    <row r="4306" spans="1:24" s="1" customFormat="1" ht="21" customHeight="1" x14ac:dyDescent="0.3">
      <c r="A4306" s="11" t="s">
        <v>23</v>
      </c>
      <c r="B4306" s="11" t="s">
        <v>3977</v>
      </c>
      <c r="C4306" s="26" t="s">
        <v>3980</v>
      </c>
      <c r="D4306" s="59"/>
      <c r="E4306" s="41" t="str">
        <f>HYPERLINK("https://www.google.ru/search?q=1369606-100&amp;newwindow=1&amp;tbm=isch","Еще фото")</f>
        <v>Еще фото</v>
      </c>
      <c r="F4306" s="28" t="s">
        <v>138</v>
      </c>
      <c r="G4306" s="11" t="s">
        <v>3615</v>
      </c>
      <c r="H4306" s="11" t="s">
        <v>27</v>
      </c>
      <c r="I4306" s="14" t="s">
        <v>3599</v>
      </c>
      <c r="J4306" s="14" t="s">
        <v>29</v>
      </c>
      <c r="K4306" s="15" t="s">
        <v>30</v>
      </c>
      <c r="L4306" s="57" t="s">
        <v>3979</v>
      </c>
      <c r="M4306" s="14"/>
      <c r="N4306" s="14" t="s">
        <v>84</v>
      </c>
      <c r="O4306" s="14"/>
      <c r="P4306" s="15" t="s">
        <v>298</v>
      </c>
      <c r="Q4306" s="16">
        <v>4299</v>
      </c>
      <c r="R4306" s="17">
        <v>40</v>
      </c>
      <c r="S4306" s="18">
        <v>2966.31</v>
      </c>
      <c r="T4306" s="19" t="s">
        <v>36</v>
      </c>
      <c r="U4306" s="20" t="s">
        <v>37</v>
      </c>
      <c r="V4306" s="21" t="s">
        <v>38</v>
      </c>
      <c r="W4306" s="22">
        <v>7</v>
      </c>
      <c r="X4306" s="23"/>
    </row>
    <row r="4307" spans="1:24" s="1" customFormat="1" ht="21" customHeight="1" x14ac:dyDescent="0.3">
      <c r="A4307" s="24" t="s">
        <v>23</v>
      </c>
      <c r="B4307" s="24" t="s">
        <v>3977</v>
      </c>
      <c r="C4307" s="27" t="s">
        <v>3980</v>
      </c>
      <c r="D4307" s="60"/>
      <c r="E4307" s="41" t="str">
        <f>HYPERLINK("https://www.google.ru/search?q=1369606-100&amp;newwindow=1&amp;tbm=isch","Еще фото")</f>
        <v>Еще фото</v>
      </c>
      <c r="F4307" s="28" t="s">
        <v>138</v>
      </c>
      <c r="G4307" s="24" t="s">
        <v>3615</v>
      </c>
      <c r="H4307" s="24" t="s">
        <v>27</v>
      </c>
      <c r="I4307" s="24" t="s">
        <v>3599</v>
      </c>
      <c r="J4307" s="14" t="s">
        <v>29</v>
      </c>
      <c r="K4307" s="15" t="s">
        <v>30</v>
      </c>
      <c r="L4307" s="62"/>
      <c r="M4307" s="14"/>
      <c r="N4307" s="14" t="s">
        <v>84</v>
      </c>
      <c r="O4307" s="14"/>
      <c r="P4307" s="15" t="s">
        <v>298</v>
      </c>
      <c r="Q4307" s="16">
        <v>4299</v>
      </c>
      <c r="R4307" s="17">
        <v>40</v>
      </c>
      <c r="S4307" s="18">
        <v>2966.31</v>
      </c>
      <c r="T4307" s="19" t="s">
        <v>36</v>
      </c>
      <c r="U4307" s="20" t="s">
        <v>39</v>
      </c>
      <c r="V4307" s="21" t="s">
        <v>40</v>
      </c>
      <c r="W4307" s="22">
        <v>20</v>
      </c>
      <c r="X4307" s="23"/>
    </row>
    <row r="4308" spans="1:24" s="1" customFormat="1" ht="21" customHeight="1" x14ac:dyDescent="0.3">
      <c r="A4308" s="24" t="s">
        <v>23</v>
      </c>
      <c r="B4308" s="24" t="s">
        <v>3977</v>
      </c>
      <c r="C4308" s="27" t="s">
        <v>3980</v>
      </c>
      <c r="D4308" s="60"/>
      <c r="E4308" s="41" t="str">
        <f>HYPERLINK("https://www.google.ru/search?q=1369606-100&amp;newwindow=1&amp;tbm=isch","Еще фото")</f>
        <v>Еще фото</v>
      </c>
      <c r="F4308" s="28" t="s">
        <v>138</v>
      </c>
      <c r="G4308" s="24" t="s">
        <v>3615</v>
      </c>
      <c r="H4308" s="24" t="s">
        <v>27</v>
      </c>
      <c r="I4308" s="24" t="s">
        <v>3599</v>
      </c>
      <c r="J4308" s="14" t="s">
        <v>29</v>
      </c>
      <c r="K4308" s="15" t="s">
        <v>30</v>
      </c>
      <c r="L4308" s="62"/>
      <c r="M4308" s="14"/>
      <c r="N4308" s="14" t="s">
        <v>84</v>
      </c>
      <c r="O4308" s="14"/>
      <c r="P4308" s="15" t="s">
        <v>298</v>
      </c>
      <c r="Q4308" s="16">
        <v>4299</v>
      </c>
      <c r="R4308" s="17">
        <v>40</v>
      </c>
      <c r="S4308" s="18">
        <v>2966.31</v>
      </c>
      <c r="T4308" s="19" t="s">
        <v>36</v>
      </c>
      <c r="U4308" s="20" t="s">
        <v>86</v>
      </c>
      <c r="V4308" s="21" t="s">
        <v>87</v>
      </c>
      <c r="W4308" s="22">
        <v>11</v>
      </c>
      <c r="X4308" s="23"/>
    </row>
    <row r="4309" spans="1:24" s="1" customFormat="1" ht="21" customHeight="1" x14ac:dyDescent="0.3">
      <c r="A4309" s="24" t="s">
        <v>23</v>
      </c>
      <c r="B4309" s="24" t="s">
        <v>3977</v>
      </c>
      <c r="C4309" s="27" t="s">
        <v>3980</v>
      </c>
      <c r="D4309" s="60"/>
      <c r="E4309" s="41" t="str">
        <f>HYPERLINK("https://www.google.ru/search?q=1369606-100&amp;newwindow=1&amp;tbm=isch","Еще фото")</f>
        <v>Еще фото</v>
      </c>
      <c r="F4309" s="28" t="s">
        <v>138</v>
      </c>
      <c r="G4309" s="24" t="s">
        <v>3615</v>
      </c>
      <c r="H4309" s="24" t="s">
        <v>27</v>
      </c>
      <c r="I4309" s="24" t="s">
        <v>3599</v>
      </c>
      <c r="J4309" s="14" t="s">
        <v>29</v>
      </c>
      <c r="K4309" s="15" t="s">
        <v>30</v>
      </c>
      <c r="L4309" s="62"/>
      <c r="M4309" s="14"/>
      <c r="N4309" s="14" t="s">
        <v>84</v>
      </c>
      <c r="O4309" s="14"/>
      <c r="P4309" s="15" t="s">
        <v>298</v>
      </c>
      <c r="Q4309" s="16">
        <v>4299</v>
      </c>
      <c r="R4309" s="17">
        <v>40</v>
      </c>
      <c r="S4309" s="18">
        <v>2966.31</v>
      </c>
      <c r="T4309" s="19" t="s">
        <v>36</v>
      </c>
      <c r="U4309" s="20" t="s">
        <v>88</v>
      </c>
      <c r="V4309" s="21" t="s">
        <v>89</v>
      </c>
      <c r="W4309" s="22">
        <v>9</v>
      </c>
      <c r="X4309" s="23"/>
    </row>
    <row r="4310" spans="1:24" s="1" customFormat="1" ht="32" customHeight="1" x14ac:dyDescent="0.3">
      <c r="A4310" s="24" t="s">
        <v>23</v>
      </c>
      <c r="B4310" s="24" t="s">
        <v>3977</v>
      </c>
      <c r="C4310" s="27" t="s">
        <v>3980</v>
      </c>
      <c r="D4310" s="61"/>
      <c r="E4310" s="41" t="str">
        <f>HYPERLINK("https://www.google.ru/search?q=1369606-100&amp;newwindow=1&amp;tbm=isch","Еще фото")</f>
        <v>Еще фото</v>
      </c>
      <c r="F4310" s="28" t="s">
        <v>138</v>
      </c>
      <c r="G4310" s="24" t="s">
        <v>3615</v>
      </c>
      <c r="H4310" s="24" t="s">
        <v>27</v>
      </c>
      <c r="I4310" s="24" t="s">
        <v>3599</v>
      </c>
      <c r="J4310" s="14" t="s">
        <v>29</v>
      </c>
      <c r="K4310" s="15" t="s">
        <v>30</v>
      </c>
      <c r="L4310" s="58"/>
      <c r="M4310" s="14"/>
      <c r="N4310" s="14" t="s">
        <v>84</v>
      </c>
      <c r="O4310" s="14"/>
      <c r="P4310" s="15" t="s">
        <v>298</v>
      </c>
      <c r="Q4310" s="16">
        <v>4299</v>
      </c>
      <c r="R4310" s="17">
        <v>40</v>
      </c>
      <c r="S4310" s="18">
        <v>2966.31</v>
      </c>
      <c r="T4310" s="19" t="s">
        <v>36</v>
      </c>
      <c r="U4310" s="20" t="s">
        <v>90</v>
      </c>
      <c r="V4310" s="21" t="s">
        <v>91</v>
      </c>
      <c r="W4310" s="22">
        <v>6</v>
      </c>
      <c r="X4310" s="23"/>
    </row>
    <row r="4311" spans="1:24" s="1" customFormat="1" ht="35" customHeight="1" x14ac:dyDescent="0.3">
      <c r="A4311" s="11" t="s">
        <v>23</v>
      </c>
      <c r="B4311" s="11" t="s">
        <v>3981</v>
      </c>
      <c r="C4311" s="12" t="s">
        <v>3982</v>
      </c>
      <c r="D4311" s="59"/>
      <c r="E4311" s="41" t="str">
        <f>HYPERLINK("https://www.google.ru/search?q=1373997-001&amp;newwindow=1&amp;tbm=isch","Еще фото")</f>
        <v>Еще фото</v>
      </c>
      <c r="F4311" s="13" t="s">
        <v>152</v>
      </c>
      <c r="G4311" s="11" t="s">
        <v>3604</v>
      </c>
      <c r="H4311" s="11" t="s">
        <v>27</v>
      </c>
      <c r="I4311" s="14" t="s">
        <v>3599</v>
      </c>
      <c r="J4311" s="14" t="s">
        <v>29</v>
      </c>
      <c r="K4311" s="15" t="s">
        <v>30</v>
      </c>
      <c r="L4311" s="57" t="s">
        <v>3983</v>
      </c>
      <c r="M4311" s="14"/>
      <c r="N4311" s="14" t="s">
        <v>33</v>
      </c>
      <c r="O4311" s="14"/>
      <c r="P4311" s="15" t="s">
        <v>2951</v>
      </c>
      <c r="Q4311" s="16">
        <v>3799</v>
      </c>
      <c r="R4311" s="17">
        <v>40</v>
      </c>
      <c r="S4311" s="18">
        <v>2621.31</v>
      </c>
      <c r="T4311" s="19" t="s">
        <v>36</v>
      </c>
      <c r="U4311" s="20" t="s">
        <v>63</v>
      </c>
      <c r="V4311" s="21" t="s">
        <v>85</v>
      </c>
      <c r="W4311" s="22">
        <v>2</v>
      </c>
      <c r="X4311" s="23"/>
    </row>
    <row r="4312" spans="1:24" s="1" customFormat="1" ht="35" customHeight="1" x14ac:dyDescent="0.3">
      <c r="A4312" s="24" t="s">
        <v>23</v>
      </c>
      <c r="B4312" s="24" t="s">
        <v>3981</v>
      </c>
      <c r="C4312" s="12" t="s">
        <v>3982</v>
      </c>
      <c r="D4312" s="60"/>
      <c r="E4312" s="41" t="str">
        <f>HYPERLINK("https://www.google.ru/search?q=1373997-001&amp;newwindow=1&amp;tbm=isch","Еще фото")</f>
        <v>Еще фото</v>
      </c>
      <c r="F4312" s="13" t="s">
        <v>152</v>
      </c>
      <c r="G4312" s="24" t="s">
        <v>3604</v>
      </c>
      <c r="H4312" s="24" t="s">
        <v>27</v>
      </c>
      <c r="I4312" s="24" t="s">
        <v>3599</v>
      </c>
      <c r="J4312" s="14" t="s">
        <v>29</v>
      </c>
      <c r="K4312" s="15" t="s">
        <v>30</v>
      </c>
      <c r="L4312" s="62"/>
      <c r="M4312" s="14"/>
      <c r="N4312" s="14" t="s">
        <v>33</v>
      </c>
      <c r="O4312" s="14"/>
      <c r="P4312" s="15" t="s">
        <v>2951</v>
      </c>
      <c r="Q4312" s="16">
        <v>3799</v>
      </c>
      <c r="R4312" s="17">
        <v>40</v>
      </c>
      <c r="S4312" s="18">
        <v>2621.31</v>
      </c>
      <c r="T4312" s="19" t="s">
        <v>36</v>
      </c>
      <c r="U4312" s="20" t="s">
        <v>37</v>
      </c>
      <c r="V4312" s="21" t="s">
        <v>38</v>
      </c>
      <c r="W4312" s="22">
        <v>24</v>
      </c>
      <c r="X4312" s="23"/>
    </row>
    <row r="4313" spans="1:24" s="1" customFormat="1" ht="37.049999999999997" customHeight="1" x14ac:dyDescent="0.3">
      <c r="A4313" s="24" t="s">
        <v>23</v>
      </c>
      <c r="B4313" s="24" t="s">
        <v>3981</v>
      </c>
      <c r="C4313" s="12" t="s">
        <v>3982</v>
      </c>
      <c r="D4313" s="61"/>
      <c r="E4313" s="41" t="str">
        <f>HYPERLINK("https://www.google.ru/search?q=1373997-001&amp;newwindow=1&amp;tbm=isch","Еще фото")</f>
        <v>Еще фото</v>
      </c>
      <c r="F4313" s="13" t="s">
        <v>152</v>
      </c>
      <c r="G4313" s="24" t="s">
        <v>3604</v>
      </c>
      <c r="H4313" s="24" t="s">
        <v>27</v>
      </c>
      <c r="I4313" s="24" t="s">
        <v>3599</v>
      </c>
      <c r="J4313" s="14" t="s">
        <v>29</v>
      </c>
      <c r="K4313" s="15" t="s">
        <v>30</v>
      </c>
      <c r="L4313" s="58"/>
      <c r="M4313" s="14"/>
      <c r="N4313" s="14" t="s">
        <v>33</v>
      </c>
      <c r="O4313" s="14"/>
      <c r="P4313" s="15" t="s">
        <v>2951</v>
      </c>
      <c r="Q4313" s="16">
        <v>3799</v>
      </c>
      <c r="R4313" s="17">
        <v>40</v>
      </c>
      <c r="S4313" s="18">
        <v>2621.31</v>
      </c>
      <c r="T4313" s="19" t="s">
        <v>36</v>
      </c>
      <c r="U4313" s="20" t="s">
        <v>39</v>
      </c>
      <c r="V4313" s="21" t="s">
        <v>40</v>
      </c>
      <c r="W4313" s="22">
        <v>18</v>
      </c>
      <c r="X4313" s="23"/>
    </row>
    <row r="4314" spans="1:24" s="1" customFormat="1" ht="35" customHeight="1" x14ac:dyDescent="0.3">
      <c r="A4314" s="11" t="s">
        <v>23</v>
      </c>
      <c r="B4314" s="11" t="s">
        <v>3984</v>
      </c>
      <c r="C4314" s="12" t="s">
        <v>3985</v>
      </c>
      <c r="D4314" s="59"/>
      <c r="E4314" s="41" t="str">
        <f>HYPERLINK("https://www.google.ru/search?q=1373997-069&amp;newwindow=1&amp;tbm=isch","Еще фото")</f>
        <v>Еще фото</v>
      </c>
      <c r="F4314" s="13" t="s">
        <v>103</v>
      </c>
      <c r="G4314" s="11" t="s">
        <v>3604</v>
      </c>
      <c r="H4314" s="11" t="s">
        <v>27</v>
      </c>
      <c r="I4314" s="14" t="s">
        <v>3599</v>
      </c>
      <c r="J4314" s="14" t="s">
        <v>43</v>
      </c>
      <c r="K4314" s="15" t="s">
        <v>30</v>
      </c>
      <c r="L4314" s="57" t="s">
        <v>3983</v>
      </c>
      <c r="M4314" s="14"/>
      <c r="N4314" s="14" t="s">
        <v>62</v>
      </c>
      <c r="O4314" s="14"/>
      <c r="P4314" s="15" t="s">
        <v>2951</v>
      </c>
      <c r="Q4314" s="16">
        <v>3799</v>
      </c>
      <c r="R4314" s="17">
        <v>40</v>
      </c>
      <c r="S4314" s="18">
        <v>2621.31</v>
      </c>
      <c r="T4314" s="19" t="s">
        <v>36</v>
      </c>
      <c r="U4314" s="20" t="s">
        <v>37</v>
      </c>
      <c r="V4314" s="21" t="s">
        <v>38</v>
      </c>
      <c r="W4314" s="22">
        <v>3</v>
      </c>
      <c r="X4314" s="23"/>
    </row>
    <row r="4315" spans="1:24" s="1" customFormat="1" ht="35" customHeight="1" x14ac:dyDescent="0.3">
      <c r="A4315" s="24" t="s">
        <v>23</v>
      </c>
      <c r="B4315" s="24" t="s">
        <v>3984</v>
      </c>
      <c r="C4315" s="12" t="s">
        <v>3985</v>
      </c>
      <c r="D4315" s="60"/>
      <c r="E4315" s="41" t="str">
        <f>HYPERLINK("https://www.google.ru/search?q=1373997-069&amp;newwindow=1&amp;tbm=isch","Еще фото")</f>
        <v>Еще фото</v>
      </c>
      <c r="F4315" s="13" t="s">
        <v>103</v>
      </c>
      <c r="G4315" s="24" t="s">
        <v>3604</v>
      </c>
      <c r="H4315" s="24" t="s">
        <v>27</v>
      </c>
      <c r="I4315" s="24" t="s">
        <v>3599</v>
      </c>
      <c r="J4315" s="14" t="s">
        <v>43</v>
      </c>
      <c r="K4315" s="15" t="s">
        <v>30</v>
      </c>
      <c r="L4315" s="62"/>
      <c r="M4315" s="14"/>
      <c r="N4315" s="14" t="s">
        <v>62</v>
      </c>
      <c r="O4315" s="14"/>
      <c r="P4315" s="15" t="s">
        <v>2951</v>
      </c>
      <c r="Q4315" s="16">
        <v>3799</v>
      </c>
      <c r="R4315" s="17">
        <v>40</v>
      </c>
      <c r="S4315" s="18">
        <v>2621.31</v>
      </c>
      <c r="T4315" s="19" t="s">
        <v>36</v>
      </c>
      <c r="U4315" s="20" t="s">
        <v>39</v>
      </c>
      <c r="V4315" s="21" t="s">
        <v>40</v>
      </c>
      <c r="W4315" s="22">
        <v>14</v>
      </c>
      <c r="X4315" s="23"/>
    </row>
    <row r="4316" spans="1:24" s="1" customFormat="1" ht="37.049999999999997" customHeight="1" x14ac:dyDescent="0.3">
      <c r="A4316" s="24" t="s">
        <v>23</v>
      </c>
      <c r="B4316" s="24" t="s">
        <v>3984</v>
      </c>
      <c r="C4316" s="12" t="s">
        <v>3985</v>
      </c>
      <c r="D4316" s="61"/>
      <c r="E4316" s="41" t="str">
        <f>HYPERLINK("https://www.google.ru/search?q=1373997-069&amp;newwindow=1&amp;tbm=isch","Еще фото")</f>
        <v>Еще фото</v>
      </c>
      <c r="F4316" s="13" t="s">
        <v>103</v>
      </c>
      <c r="G4316" s="24" t="s">
        <v>3604</v>
      </c>
      <c r="H4316" s="24" t="s">
        <v>27</v>
      </c>
      <c r="I4316" s="24" t="s">
        <v>3599</v>
      </c>
      <c r="J4316" s="14" t="s">
        <v>43</v>
      </c>
      <c r="K4316" s="15" t="s">
        <v>30</v>
      </c>
      <c r="L4316" s="58"/>
      <c r="M4316" s="14"/>
      <c r="N4316" s="14" t="s">
        <v>62</v>
      </c>
      <c r="O4316" s="14"/>
      <c r="P4316" s="15" t="s">
        <v>2951</v>
      </c>
      <c r="Q4316" s="16">
        <v>3799</v>
      </c>
      <c r="R4316" s="17">
        <v>40</v>
      </c>
      <c r="S4316" s="18">
        <v>2621.31</v>
      </c>
      <c r="T4316" s="19" t="s">
        <v>36</v>
      </c>
      <c r="U4316" s="20" t="s">
        <v>90</v>
      </c>
      <c r="V4316" s="21" t="s">
        <v>91</v>
      </c>
      <c r="W4316" s="22">
        <v>3</v>
      </c>
      <c r="X4316" s="23"/>
    </row>
    <row r="4317" spans="1:24" s="1" customFormat="1" ht="26" customHeight="1" x14ac:dyDescent="0.3">
      <c r="A4317" s="11" t="s">
        <v>23</v>
      </c>
      <c r="B4317" s="11" t="s">
        <v>3984</v>
      </c>
      <c r="C4317" s="12" t="s">
        <v>3986</v>
      </c>
      <c r="D4317" s="59"/>
      <c r="E4317" s="41" t="str">
        <f>HYPERLINK("https://www.google.ru/search?q=1373997-100&amp;newwindow=1&amp;tbm=isch","Еще фото")</f>
        <v>Еще фото</v>
      </c>
      <c r="F4317" s="13" t="s">
        <v>152</v>
      </c>
      <c r="G4317" s="11" t="s">
        <v>3604</v>
      </c>
      <c r="H4317" s="11" t="s">
        <v>27</v>
      </c>
      <c r="I4317" s="14" t="s">
        <v>3599</v>
      </c>
      <c r="J4317" s="14" t="s">
        <v>29</v>
      </c>
      <c r="K4317" s="15" t="s">
        <v>30</v>
      </c>
      <c r="L4317" s="57" t="s">
        <v>3983</v>
      </c>
      <c r="M4317" s="14"/>
      <c r="N4317" s="14" t="s">
        <v>84</v>
      </c>
      <c r="O4317" s="14"/>
      <c r="P4317" s="15" t="s">
        <v>2951</v>
      </c>
      <c r="Q4317" s="16">
        <v>3799</v>
      </c>
      <c r="R4317" s="17">
        <v>40</v>
      </c>
      <c r="S4317" s="18">
        <v>2621.31</v>
      </c>
      <c r="T4317" s="19" t="s">
        <v>36</v>
      </c>
      <c r="U4317" s="20" t="s">
        <v>37</v>
      </c>
      <c r="V4317" s="21" t="s">
        <v>38</v>
      </c>
      <c r="W4317" s="22">
        <v>7</v>
      </c>
      <c r="X4317" s="23"/>
    </row>
    <row r="4318" spans="1:24" s="1" customFormat="1" ht="26" customHeight="1" x14ac:dyDescent="0.3">
      <c r="A4318" s="24" t="s">
        <v>23</v>
      </c>
      <c r="B4318" s="24" t="s">
        <v>3984</v>
      </c>
      <c r="C4318" s="12" t="s">
        <v>3986</v>
      </c>
      <c r="D4318" s="60"/>
      <c r="E4318" s="41" t="str">
        <f>HYPERLINK("https://www.google.ru/search?q=1373997-100&amp;newwindow=1&amp;tbm=isch","Еще фото")</f>
        <v>Еще фото</v>
      </c>
      <c r="F4318" s="13" t="s">
        <v>152</v>
      </c>
      <c r="G4318" s="24" t="s">
        <v>3604</v>
      </c>
      <c r="H4318" s="24" t="s">
        <v>27</v>
      </c>
      <c r="I4318" s="24" t="s">
        <v>3599</v>
      </c>
      <c r="J4318" s="14" t="s">
        <v>29</v>
      </c>
      <c r="K4318" s="15" t="s">
        <v>30</v>
      </c>
      <c r="L4318" s="62"/>
      <c r="M4318" s="14"/>
      <c r="N4318" s="14" t="s">
        <v>84</v>
      </c>
      <c r="O4318" s="14"/>
      <c r="P4318" s="15" t="s">
        <v>2951</v>
      </c>
      <c r="Q4318" s="16">
        <v>3799</v>
      </c>
      <c r="R4318" s="17">
        <v>40</v>
      </c>
      <c r="S4318" s="18">
        <v>2621.31</v>
      </c>
      <c r="T4318" s="19" t="s">
        <v>36</v>
      </c>
      <c r="U4318" s="20" t="s">
        <v>39</v>
      </c>
      <c r="V4318" s="21" t="s">
        <v>40</v>
      </c>
      <c r="W4318" s="22">
        <v>17</v>
      </c>
      <c r="X4318" s="23"/>
    </row>
    <row r="4319" spans="1:24" s="1" customFormat="1" ht="26" customHeight="1" x14ac:dyDescent="0.3">
      <c r="A4319" s="24" t="s">
        <v>23</v>
      </c>
      <c r="B4319" s="24" t="s">
        <v>3984</v>
      </c>
      <c r="C4319" s="12" t="s">
        <v>3986</v>
      </c>
      <c r="D4319" s="60"/>
      <c r="E4319" s="41" t="str">
        <f>HYPERLINK("https://www.google.ru/search?q=1373997-100&amp;newwindow=1&amp;tbm=isch","Еще фото")</f>
        <v>Еще фото</v>
      </c>
      <c r="F4319" s="13" t="s">
        <v>152</v>
      </c>
      <c r="G4319" s="24" t="s">
        <v>3604</v>
      </c>
      <c r="H4319" s="24" t="s">
        <v>27</v>
      </c>
      <c r="I4319" s="24" t="s">
        <v>3599</v>
      </c>
      <c r="J4319" s="14" t="s">
        <v>29</v>
      </c>
      <c r="K4319" s="15" t="s">
        <v>30</v>
      </c>
      <c r="L4319" s="62"/>
      <c r="M4319" s="14"/>
      <c r="N4319" s="14" t="s">
        <v>84</v>
      </c>
      <c r="O4319" s="14"/>
      <c r="P4319" s="15" t="s">
        <v>2951</v>
      </c>
      <c r="Q4319" s="16">
        <v>3799</v>
      </c>
      <c r="R4319" s="17">
        <v>40</v>
      </c>
      <c r="S4319" s="18">
        <v>2621.31</v>
      </c>
      <c r="T4319" s="19" t="s">
        <v>36</v>
      </c>
      <c r="U4319" s="20" t="s">
        <v>86</v>
      </c>
      <c r="V4319" s="21" t="s">
        <v>87</v>
      </c>
      <c r="W4319" s="22">
        <v>17</v>
      </c>
      <c r="X4319" s="23"/>
    </row>
    <row r="4320" spans="1:24" s="1" customFormat="1" ht="26" customHeight="1" x14ac:dyDescent="0.3">
      <c r="A4320" s="24" t="s">
        <v>23</v>
      </c>
      <c r="B4320" s="24" t="s">
        <v>3984</v>
      </c>
      <c r="C4320" s="12" t="s">
        <v>3986</v>
      </c>
      <c r="D4320" s="61"/>
      <c r="E4320" s="41" t="str">
        <f>HYPERLINK("https://www.google.ru/search?q=1373997-100&amp;newwindow=1&amp;tbm=isch","Еще фото")</f>
        <v>Еще фото</v>
      </c>
      <c r="F4320" s="13" t="s">
        <v>152</v>
      </c>
      <c r="G4320" s="24" t="s">
        <v>3604</v>
      </c>
      <c r="H4320" s="24" t="s">
        <v>27</v>
      </c>
      <c r="I4320" s="24" t="s">
        <v>3599</v>
      </c>
      <c r="J4320" s="14" t="s">
        <v>29</v>
      </c>
      <c r="K4320" s="15" t="s">
        <v>30</v>
      </c>
      <c r="L4320" s="58"/>
      <c r="M4320" s="14"/>
      <c r="N4320" s="14" t="s">
        <v>84</v>
      </c>
      <c r="O4320" s="14"/>
      <c r="P4320" s="15" t="s">
        <v>2951</v>
      </c>
      <c r="Q4320" s="16">
        <v>3799</v>
      </c>
      <c r="R4320" s="17">
        <v>40</v>
      </c>
      <c r="S4320" s="18">
        <v>2621.31</v>
      </c>
      <c r="T4320" s="19" t="s">
        <v>36</v>
      </c>
      <c r="U4320" s="20" t="s">
        <v>88</v>
      </c>
      <c r="V4320" s="21" t="s">
        <v>89</v>
      </c>
      <c r="W4320" s="22">
        <v>2</v>
      </c>
      <c r="X4320" s="23"/>
    </row>
    <row r="4321" spans="1:24" s="1" customFormat="1" ht="108" customHeight="1" x14ac:dyDescent="0.3">
      <c r="A4321" s="11" t="s">
        <v>23</v>
      </c>
      <c r="B4321" s="11" t="s">
        <v>3984</v>
      </c>
      <c r="C4321" s="12" t="s">
        <v>3987</v>
      </c>
      <c r="D4321" s="25"/>
      <c r="E4321" s="41" t="str">
        <f>HYPERLINK("https://www.google.ru/search?q=1373997-348&amp;newwindow=1&amp;tbm=isch","Еще фото")</f>
        <v>Еще фото</v>
      </c>
      <c r="F4321" s="13"/>
      <c r="G4321" s="11" t="s">
        <v>3604</v>
      </c>
      <c r="H4321" s="11" t="s">
        <v>27</v>
      </c>
      <c r="I4321" s="14" t="s">
        <v>3599</v>
      </c>
      <c r="J4321" s="14" t="s">
        <v>43</v>
      </c>
      <c r="K4321" s="15" t="s">
        <v>30</v>
      </c>
      <c r="L4321" s="14" t="s">
        <v>3983</v>
      </c>
      <c r="M4321" s="14"/>
      <c r="N4321" s="14" t="s">
        <v>127</v>
      </c>
      <c r="O4321" s="14"/>
      <c r="P4321" s="15" t="s">
        <v>2951</v>
      </c>
      <c r="Q4321" s="16">
        <v>4299</v>
      </c>
      <c r="R4321" s="17">
        <v>40</v>
      </c>
      <c r="S4321" s="18">
        <v>2966.31</v>
      </c>
      <c r="T4321" s="19" t="s">
        <v>36</v>
      </c>
      <c r="U4321" s="20" t="s">
        <v>86</v>
      </c>
      <c r="V4321" s="21" t="s">
        <v>87</v>
      </c>
      <c r="W4321" s="22">
        <v>1</v>
      </c>
      <c r="X4321" s="23"/>
    </row>
    <row r="4322" spans="1:24" s="1" customFormat="1" ht="26" customHeight="1" x14ac:dyDescent="0.3">
      <c r="A4322" s="11" t="s">
        <v>23</v>
      </c>
      <c r="B4322" s="11" t="s">
        <v>3984</v>
      </c>
      <c r="C4322" s="12" t="s">
        <v>3988</v>
      </c>
      <c r="D4322" s="59"/>
      <c r="E4322" s="41" t="str">
        <f>HYPERLINK("https://www.google.ru/search?q=1373997-411&amp;newwindow=1&amp;tbm=isch","Еще фото")</f>
        <v>Еще фото</v>
      </c>
      <c r="F4322" s="13" t="s">
        <v>103</v>
      </c>
      <c r="G4322" s="11" t="s">
        <v>3604</v>
      </c>
      <c r="H4322" s="11" t="s">
        <v>27</v>
      </c>
      <c r="I4322" s="14" t="s">
        <v>3599</v>
      </c>
      <c r="J4322" s="14" t="s">
        <v>43</v>
      </c>
      <c r="K4322" s="15" t="s">
        <v>30</v>
      </c>
      <c r="L4322" s="57" t="s">
        <v>3983</v>
      </c>
      <c r="M4322" s="14"/>
      <c r="N4322" s="14" t="s">
        <v>115</v>
      </c>
      <c r="O4322" s="14"/>
      <c r="P4322" s="15" t="s">
        <v>2951</v>
      </c>
      <c r="Q4322" s="16">
        <v>3799</v>
      </c>
      <c r="R4322" s="17">
        <v>40</v>
      </c>
      <c r="S4322" s="18">
        <v>2621.31</v>
      </c>
      <c r="T4322" s="19" t="s">
        <v>36</v>
      </c>
      <c r="U4322" s="20" t="s">
        <v>37</v>
      </c>
      <c r="V4322" s="21" t="s">
        <v>38</v>
      </c>
      <c r="W4322" s="22">
        <v>10</v>
      </c>
      <c r="X4322" s="23"/>
    </row>
    <row r="4323" spans="1:24" s="1" customFormat="1" ht="26" customHeight="1" x14ac:dyDescent="0.3">
      <c r="A4323" s="24" t="s">
        <v>23</v>
      </c>
      <c r="B4323" s="24" t="s">
        <v>3984</v>
      </c>
      <c r="C4323" s="12" t="s">
        <v>3988</v>
      </c>
      <c r="D4323" s="60"/>
      <c r="E4323" s="41" t="str">
        <f>HYPERLINK("https://www.google.ru/search?q=1373997-411&amp;newwindow=1&amp;tbm=isch","Еще фото")</f>
        <v>Еще фото</v>
      </c>
      <c r="F4323" s="13" t="s">
        <v>103</v>
      </c>
      <c r="G4323" s="24" t="s">
        <v>3604</v>
      </c>
      <c r="H4323" s="24" t="s">
        <v>27</v>
      </c>
      <c r="I4323" s="24" t="s">
        <v>3599</v>
      </c>
      <c r="J4323" s="14" t="s">
        <v>43</v>
      </c>
      <c r="K4323" s="15" t="s">
        <v>30</v>
      </c>
      <c r="L4323" s="62"/>
      <c r="M4323" s="14"/>
      <c r="N4323" s="14" t="s">
        <v>115</v>
      </c>
      <c r="O4323" s="14"/>
      <c r="P4323" s="15" t="s">
        <v>2951</v>
      </c>
      <c r="Q4323" s="16">
        <v>3799</v>
      </c>
      <c r="R4323" s="17">
        <v>40</v>
      </c>
      <c r="S4323" s="18">
        <v>2621.31</v>
      </c>
      <c r="T4323" s="19" t="s">
        <v>36</v>
      </c>
      <c r="U4323" s="20" t="s">
        <v>39</v>
      </c>
      <c r="V4323" s="21" t="s">
        <v>40</v>
      </c>
      <c r="W4323" s="22">
        <v>14</v>
      </c>
      <c r="X4323" s="23"/>
    </row>
    <row r="4324" spans="1:24" s="1" customFormat="1" ht="26" customHeight="1" x14ac:dyDescent="0.3">
      <c r="A4324" s="24" t="s">
        <v>23</v>
      </c>
      <c r="B4324" s="24" t="s">
        <v>3984</v>
      </c>
      <c r="C4324" s="12" t="s">
        <v>3988</v>
      </c>
      <c r="D4324" s="60"/>
      <c r="E4324" s="41" t="str">
        <f>HYPERLINK("https://www.google.ru/search?q=1373997-411&amp;newwindow=1&amp;tbm=isch","Еще фото")</f>
        <v>Еще фото</v>
      </c>
      <c r="F4324" s="13" t="s">
        <v>103</v>
      </c>
      <c r="G4324" s="24" t="s">
        <v>3604</v>
      </c>
      <c r="H4324" s="24" t="s">
        <v>27</v>
      </c>
      <c r="I4324" s="24" t="s">
        <v>3599</v>
      </c>
      <c r="J4324" s="14" t="s">
        <v>43</v>
      </c>
      <c r="K4324" s="15" t="s">
        <v>30</v>
      </c>
      <c r="L4324" s="62"/>
      <c r="M4324" s="14"/>
      <c r="N4324" s="14" t="s">
        <v>115</v>
      </c>
      <c r="O4324" s="14"/>
      <c r="P4324" s="15" t="s">
        <v>2951</v>
      </c>
      <c r="Q4324" s="16">
        <v>3799</v>
      </c>
      <c r="R4324" s="17">
        <v>40</v>
      </c>
      <c r="S4324" s="18">
        <v>2621.31</v>
      </c>
      <c r="T4324" s="19" t="s">
        <v>36</v>
      </c>
      <c r="U4324" s="20" t="s">
        <v>86</v>
      </c>
      <c r="V4324" s="21" t="s">
        <v>87</v>
      </c>
      <c r="W4324" s="22">
        <v>6</v>
      </c>
      <c r="X4324" s="23"/>
    </row>
    <row r="4325" spans="1:24" s="1" customFormat="1" ht="26" customHeight="1" x14ac:dyDescent="0.3">
      <c r="A4325" s="24" t="s">
        <v>23</v>
      </c>
      <c r="B4325" s="24" t="s">
        <v>3984</v>
      </c>
      <c r="C4325" s="12" t="s">
        <v>3988</v>
      </c>
      <c r="D4325" s="61"/>
      <c r="E4325" s="41" t="str">
        <f>HYPERLINK("https://www.google.ru/search?q=1373997-411&amp;newwindow=1&amp;tbm=isch","Еще фото")</f>
        <v>Еще фото</v>
      </c>
      <c r="F4325" s="13" t="s">
        <v>103</v>
      </c>
      <c r="G4325" s="24" t="s">
        <v>3604</v>
      </c>
      <c r="H4325" s="24" t="s">
        <v>27</v>
      </c>
      <c r="I4325" s="24" t="s">
        <v>3599</v>
      </c>
      <c r="J4325" s="14" t="s">
        <v>43</v>
      </c>
      <c r="K4325" s="15" t="s">
        <v>30</v>
      </c>
      <c r="L4325" s="58"/>
      <c r="M4325" s="14"/>
      <c r="N4325" s="14" t="s">
        <v>115</v>
      </c>
      <c r="O4325" s="14"/>
      <c r="P4325" s="15" t="s">
        <v>2951</v>
      </c>
      <c r="Q4325" s="16">
        <v>3799</v>
      </c>
      <c r="R4325" s="17">
        <v>40</v>
      </c>
      <c r="S4325" s="18">
        <v>2621.31</v>
      </c>
      <c r="T4325" s="19" t="s">
        <v>36</v>
      </c>
      <c r="U4325" s="20" t="s">
        <v>88</v>
      </c>
      <c r="V4325" s="21" t="s">
        <v>89</v>
      </c>
      <c r="W4325" s="22">
        <v>8</v>
      </c>
      <c r="X4325" s="23"/>
    </row>
    <row r="4326" spans="1:24" s="1" customFormat="1" ht="108" customHeight="1" x14ac:dyDescent="0.3">
      <c r="A4326" s="11" t="s">
        <v>23</v>
      </c>
      <c r="B4326" s="11" t="s">
        <v>3641</v>
      </c>
      <c r="C4326" s="12" t="s">
        <v>3989</v>
      </c>
      <c r="D4326" s="25"/>
      <c r="E4326" s="41" t="str">
        <f>HYPERLINK("https://www.google.ru/search?q=1375692-001&amp;newwindow=1&amp;tbm=isch","Еще фото")</f>
        <v>Еще фото</v>
      </c>
      <c r="F4326" s="13" t="s">
        <v>103</v>
      </c>
      <c r="G4326" s="11" t="s">
        <v>3604</v>
      </c>
      <c r="H4326" s="11" t="s">
        <v>27</v>
      </c>
      <c r="I4326" s="14" t="s">
        <v>3599</v>
      </c>
      <c r="J4326" s="14" t="s">
        <v>29</v>
      </c>
      <c r="K4326" s="15" t="s">
        <v>30</v>
      </c>
      <c r="L4326" s="14" t="s">
        <v>3990</v>
      </c>
      <c r="M4326" s="14" t="s">
        <v>3991</v>
      </c>
      <c r="N4326" s="14" t="s">
        <v>33</v>
      </c>
      <c r="O4326" s="14"/>
      <c r="P4326" s="15" t="s">
        <v>3644</v>
      </c>
      <c r="Q4326" s="16">
        <v>6799</v>
      </c>
      <c r="R4326" s="17">
        <v>40</v>
      </c>
      <c r="S4326" s="18">
        <v>4691.3099999999995</v>
      </c>
      <c r="T4326" s="19" t="s">
        <v>36</v>
      </c>
      <c r="U4326" s="20" t="s">
        <v>37</v>
      </c>
      <c r="V4326" s="21" t="s">
        <v>38</v>
      </c>
      <c r="W4326" s="22">
        <v>1</v>
      </c>
      <c r="X4326" s="23"/>
    </row>
    <row r="4327" spans="1:24" s="1" customFormat="1" ht="52.05" customHeight="1" x14ac:dyDescent="0.3">
      <c r="A4327" s="11" t="s">
        <v>23</v>
      </c>
      <c r="B4327" s="11" t="s">
        <v>3641</v>
      </c>
      <c r="C4327" s="12" t="s">
        <v>3992</v>
      </c>
      <c r="D4327" s="55"/>
      <c r="E4327" s="41" t="str">
        <f>HYPERLINK("https://www.google.ru/search?q=1375692-323&amp;newwindow=1&amp;tbm=isch","Еще фото")</f>
        <v>Еще фото</v>
      </c>
      <c r="F4327" s="28" t="s">
        <v>152</v>
      </c>
      <c r="G4327" s="11" t="s">
        <v>3604</v>
      </c>
      <c r="H4327" s="11" t="s">
        <v>27</v>
      </c>
      <c r="I4327" s="14" t="s">
        <v>3599</v>
      </c>
      <c r="J4327" s="14" t="s">
        <v>29</v>
      </c>
      <c r="K4327" s="15" t="s">
        <v>30</v>
      </c>
      <c r="L4327" s="57" t="s">
        <v>3643</v>
      </c>
      <c r="M4327" s="14"/>
      <c r="N4327" s="14" t="s">
        <v>127</v>
      </c>
      <c r="O4327" s="14"/>
      <c r="P4327" s="15" t="s">
        <v>3644</v>
      </c>
      <c r="Q4327" s="16">
        <v>6799</v>
      </c>
      <c r="R4327" s="17">
        <v>40</v>
      </c>
      <c r="S4327" s="18">
        <v>4691.3099999999995</v>
      </c>
      <c r="T4327" s="19" t="s">
        <v>36</v>
      </c>
      <c r="U4327" s="20" t="s">
        <v>37</v>
      </c>
      <c r="V4327" s="21" t="s">
        <v>38</v>
      </c>
      <c r="W4327" s="22">
        <v>7</v>
      </c>
      <c r="X4327" s="23"/>
    </row>
    <row r="4328" spans="1:24" s="1" customFormat="1" ht="61.05" customHeight="1" x14ac:dyDescent="0.3">
      <c r="A4328" s="24" t="s">
        <v>23</v>
      </c>
      <c r="B4328" s="24" t="s">
        <v>3641</v>
      </c>
      <c r="C4328" s="12" t="s">
        <v>3992</v>
      </c>
      <c r="D4328" s="56"/>
      <c r="E4328" s="41" t="str">
        <f>HYPERLINK("https://www.google.ru/search?q=1375692-323&amp;newwindow=1&amp;tbm=isch","Еще фото")</f>
        <v>Еще фото</v>
      </c>
      <c r="F4328" s="28" t="s">
        <v>152</v>
      </c>
      <c r="G4328" s="24" t="s">
        <v>3604</v>
      </c>
      <c r="H4328" s="24" t="s">
        <v>27</v>
      </c>
      <c r="I4328" s="24" t="s">
        <v>3599</v>
      </c>
      <c r="J4328" s="14" t="s">
        <v>29</v>
      </c>
      <c r="K4328" s="15" t="s">
        <v>30</v>
      </c>
      <c r="L4328" s="58"/>
      <c r="M4328" s="14"/>
      <c r="N4328" s="14" t="s">
        <v>127</v>
      </c>
      <c r="O4328" s="14"/>
      <c r="P4328" s="15" t="s">
        <v>3644</v>
      </c>
      <c r="Q4328" s="16">
        <v>6799</v>
      </c>
      <c r="R4328" s="17">
        <v>40</v>
      </c>
      <c r="S4328" s="18">
        <v>4691.3099999999995</v>
      </c>
      <c r="T4328" s="19" t="s">
        <v>36</v>
      </c>
      <c r="U4328" s="20" t="s">
        <v>39</v>
      </c>
      <c r="V4328" s="21" t="s">
        <v>40</v>
      </c>
      <c r="W4328" s="22">
        <v>6</v>
      </c>
      <c r="X4328" s="23"/>
    </row>
    <row r="4329" spans="1:24" s="1" customFormat="1" ht="52.05" customHeight="1" x14ac:dyDescent="0.3">
      <c r="A4329" s="11" t="s">
        <v>23</v>
      </c>
      <c r="B4329" s="11" t="s">
        <v>3993</v>
      </c>
      <c r="C4329" s="12" t="s">
        <v>3994</v>
      </c>
      <c r="D4329" s="55"/>
      <c r="E4329" s="41" t="str">
        <f>HYPERLINK("https://www.google.ru/search?q=1375857-469&amp;newwindow=1&amp;tbm=isch","Еще фото")</f>
        <v>Еще фото</v>
      </c>
      <c r="F4329" s="13"/>
      <c r="G4329" s="11" t="s">
        <v>3615</v>
      </c>
      <c r="H4329" s="11" t="s">
        <v>27</v>
      </c>
      <c r="I4329" s="14" t="s">
        <v>3599</v>
      </c>
      <c r="J4329" s="14" t="s">
        <v>29</v>
      </c>
      <c r="K4329" s="15" t="s">
        <v>59</v>
      </c>
      <c r="L4329" s="57" t="s">
        <v>3995</v>
      </c>
      <c r="M4329" s="14"/>
      <c r="N4329" s="14" t="s">
        <v>46</v>
      </c>
      <c r="O4329" s="14"/>
      <c r="P4329" s="15" t="s">
        <v>53</v>
      </c>
      <c r="Q4329" s="16">
        <v>5299</v>
      </c>
      <c r="R4329" s="17">
        <v>40</v>
      </c>
      <c r="S4329" s="18">
        <v>3656.31</v>
      </c>
      <c r="T4329" s="19" t="s">
        <v>36</v>
      </c>
      <c r="U4329" s="20" t="s">
        <v>63</v>
      </c>
      <c r="V4329" s="21" t="s">
        <v>64</v>
      </c>
      <c r="W4329" s="22">
        <v>1</v>
      </c>
      <c r="X4329" s="23"/>
    </row>
    <row r="4330" spans="1:24" s="1" customFormat="1" ht="61.05" customHeight="1" x14ac:dyDescent="0.3">
      <c r="A4330" s="24" t="s">
        <v>23</v>
      </c>
      <c r="B4330" s="24" t="s">
        <v>3993</v>
      </c>
      <c r="C4330" s="12" t="s">
        <v>3994</v>
      </c>
      <c r="D4330" s="56"/>
      <c r="E4330" s="41" t="str">
        <f>HYPERLINK("https://www.google.ru/search?q=1375857-469&amp;newwindow=1&amp;tbm=isch","Еще фото")</f>
        <v>Еще фото</v>
      </c>
      <c r="F4330" s="13"/>
      <c r="G4330" s="24" t="s">
        <v>3615</v>
      </c>
      <c r="H4330" s="24" t="s">
        <v>27</v>
      </c>
      <c r="I4330" s="24" t="s">
        <v>3599</v>
      </c>
      <c r="J4330" s="14" t="s">
        <v>29</v>
      </c>
      <c r="K4330" s="15" t="s">
        <v>59</v>
      </c>
      <c r="L4330" s="58"/>
      <c r="M4330" s="14"/>
      <c r="N4330" s="14" t="s">
        <v>46</v>
      </c>
      <c r="O4330" s="14"/>
      <c r="P4330" s="15" t="s">
        <v>53</v>
      </c>
      <c r="Q4330" s="16">
        <v>5299</v>
      </c>
      <c r="R4330" s="17">
        <v>40</v>
      </c>
      <c r="S4330" s="18">
        <v>3656.31</v>
      </c>
      <c r="T4330" s="19" t="s">
        <v>36</v>
      </c>
      <c r="U4330" s="20" t="s">
        <v>37</v>
      </c>
      <c r="V4330" s="21" t="s">
        <v>106</v>
      </c>
      <c r="W4330" s="22">
        <v>1</v>
      </c>
      <c r="X4330" s="23"/>
    </row>
    <row r="4331" spans="1:24" s="1" customFormat="1" ht="108" customHeight="1" x14ac:dyDescent="0.3">
      <c r="A4331" s="11" t="s">
        <v>23</v>
      </c>
      <c r="B4331" s="11" t="s">
        <v>3826</v>
      </c>
      <c r="C4331" s="12" t="s">
        <v>3996</v>
      </c>
      <c r="D4331" s="25"/>
      <c r="E4331" s="41" t="str">
        <f>HYPERLINK("https://www.google.ru/search?q=1376791-600&amp;newwindow=1&amp;tbm=isch","Еще фото")</f>
        <v>Еще фото</v>
      </c>
      <c r="F4331" s="13" t="s">
        <v>103</v>
      </c>
      <c r="G4331" s="11" t="s">
        <v>3604</v>
      </c>
      <c r="H4331" s="11" t="s">
        <v>27</v>
      </c>
      <c r="I4331" s="14" t="s">
        <v>3599</v>
      </c>
      <c r="J4331" s="14" t="s">
        <v>29</v>
      </c>
      <c r="K4331" s="15" t="s">
        <v>30</v>
      </c>
      <c r="L4331" s="14" t="s">
        <v>3828</v>
      </c>
      <c r="M4331" s="14"/>
      <c r="N4331" s="14" t="s">
        <v>198</v>
      </c>
      <c r="O4331" s="14"/>
      <c r="P4331" s="15" t="s">
        <v>364</v>
      </c>
      <c r="Q4331" s="16">
        <v>5899</v>
      </c>
      <c r="R4331" s="17">
        <v>40</v>
      </c>
      <c r="S4331" s="18">
        <v>4070.31</v>
      </c>
      <c r="T4331" s="19" t="s">
        <v>36</v>
      </c>
      <c r="U4331" s="20" t="s">
        <v>37</v>
      </c>
      <c r="V4331" s="21" t="s">
        <v>38</v>
      </c>
      <c r="W4331" s="22">
        <v>6</v>
      </c>
      <c r="X4331" s="23"/>
    </row>
    <row r="4332" spans="1:24" s="1" customFormat="1" ht="108" customHeight="1" x14ac:dyDescent="0.3">
      <c r="A4332" s="11" t="s">
        <v>23</v>
      </c>
      <c r="B4332" s="11" t="s">
        <v>3708</v>
      </c>
      <c r="C4332" s="12" t="s">
        <v>3997</v>
      </c>
      <c r="D4332" s="25"/>
      <c r="E4332" s="41" t="str">
        <f>HYPERLINK("https://www.google.ru/search?q=1376830-002&amp;newwindow=1&amp;tbm=isch","Еще фото")</f>
        <v>Еще фото</v>
      </c>
      <c r="F4332" s="13" t="s">
        <v>103</v>
      </c>
      <c r="G4332" s="11" t="s">
        <v>3604</v>
      </c>
      <c r="H4332" s="11" t="s">
        <v>27</v>
      </c>
      <c r="I4332" s="14" t="s">
        <v>3599</v>
      </c>
      <c r="J4332" s="14" t="s">
        <v>43</v>
      </c>
      <c r="K4332" s="15" t="s">
        <v>30</v>
      </c>
      <c r="L4332" s="14" t="s">
        <v>3710</v>
      </c>
      <c r="M4332" s="14"/>
      <c r="N4332" s="14" t="s">
        <v>33</v>
      </c>
      <c r="O4332" s="14"/>
      <c r="P4332" s="15" t="s">
        <v>2951</v>
      </c>
      <c r="Q4332" s="16">
        <v>2999</v>
      </c>
      <c r="R4332" s="17">
        <v>40</v>
      </c>
      <c r="S4332" s="18">
        <v>2069.31</v>
      </c>
      <c r="T4332" s="19" t="s">
        <v>36</v>
      </c>
      <c r="U4332" s="20" t="s">
        <v>39</v>
      </c>
      <c r="V4332" s="21" t="s">
        <v>40</v>
      </c>
      <c r="W4332" s="22">
        <v>1</v>
      </c>
      <c r="X4332" s="23"/>
    </row>
    <row r="4333" spans="1:24" s="1" customFormat="1" ht="108" customHeight="1" x14ac:dyDescent="0.3">
      <c r="A4333" s="11" t="s">
        <v>23</v>
      </c>
      <c r="B4333" s="11" t="s">
        <v>3998</v>
      </c>
      <c r="C4333" s="12" t="s">
        <v>3999</v>
      </c>
      <c r="D4333" s="25"/>
      <c r="E4333" s="41" t="str">
        <f>HYPERLINK("https://www.google.ru/search?q=1377376-104&amp;newwindow=1&amp;tbm=isch","Еще фото")</f>
        <v>Еще фото</v>
      </c>
      <c r="F4333" s="13"/>
      <c r="G4333" s="11" t="s">
        <v>3632</v>
      </c>
      <c r="H4333" s="11" t="s">
        <v>27</v>
      </c>
      <c r="I4333" s="14" t="s">
        <v>3599</v>
      </c>
      <c r="J4333" s="14" t="s">
        <v>211</v>
      </c>
      <c r="K4333" s="15" t="s">
        <v>30</v>
      </c>
      <c r="L4333" s="14" t="s">
        <v>4000</v>
      </c>
      <c r="M4333" s="14"/>
      <c r="N4333" s="14" t="s">
        <v>84</v>
      </c>
      <c r="O4333" s="14"/>
      <c r="P4333" s="15" t="s">
        <v>2662</v>
      </c>
      <c r="Q4333" s="16">
        <v>8399</v>
      </c>
      <c r="R4333" s="17">
        <v>40</v>
      </c>
      <c r="S4333" s="18">
        <v>5795.3099999999995</v>
      </c>
      <c r="T4333" s="19" t="s">
        <v>36</v>
      </c>
      <c r="U4333" s="20" t="s">
        <v>86</v>
      </c>
      <c r="V4333" s="21" t="s">
        <v>87</v>
      </c>
      <c r="W4333" s="22">
        <v>1</v>
      </c>
      <c r="X4333" s="23"/>
    </row>
    <row r="4334" spans="1:24" s="1" customFormat="1" ht="17" customHeight="1" x14ac:dyDescent="0.3">
      <c r="A4334" s="11" t="s">
        <v>23</v>
      </c>
      <c r="B4334" s="11" t="s">
        <v>4001</v>
      </c>
      <c r="C4334" s="12" t="s">
        <v>4002</v>
      </c>
      <c r="D4334" s="59"/>
      <c r="E4334" s="41" t="str">
        <f t="shared" ref="E4334:E4339" si="156">HYPERLINK("https://www.google.ru/search?q=1378677-017&amp;newwindow=1&amp;tbm=isch","Еще фото")</f>
        <v>Еще фото</v>
      </c>
      <c r="F4334" s="13" t="s">
        <v>103</v>
      </c>
      <c r="G4334" s="11" t="s">
        <v>3632</v>
      </c>
      <c r="H4334" s="11" t="s">
        <v>27</v>
      </c>
      <c r="I4334" s="14" t="s">
        <v>3599</v>
      </c>
      <c r="J4334" s="14" t="s">
        <v>211</v>
      </c>
      <c r="K4334" s="15" t="s">
        <v>30</v>
      </c>
      <c r="L4334" s="57" t="s">
        <v>4003</v>
      </c>
      <c r="M4334" s="14"/>
      <c r="N4334" s="14" t="s">
        <v>33</v>
      </c>
      <c r="O4334" s="14"/>
      <c r="P4334" s="15" t="s">
        <v>827</v>
      </c>
      <c r="Q4334" s="16">
        <v>6199</v>
      </c>
      <c r="R4334" s="17">
        <v>40</v>
      </c>
      <c r="S4334" s="18">
        <v>4277.3099999999995</v>
      </c>
      <c r="T4334" s="19" t="s">
        <v>36</v>
      </c>
      <c r="U4334" s="20" t="s">
        <v>63</v>
      </c>
      <c r="V4334" s="21" t="s">
        <v>85</v>
      </c>
      <c r="W4334" s="22">
        <v>1</v>
      </c>
      <c r="X4334" s="23"/>
    </row>
    <row r="4335" spans="1:24" s="1" customFormat="1" ht="17" customHeight="1" x14ac:dyDescent="0.3">
      <c r="A4335" s="24" t="s">
        <v>23</v>
      </c>
      <c r="B4335" s="24" t="s">
        <v>4001</v>
      </c>
      <c r="C4335" s="12" t="s">
        <v>4002</v>
      </c>
      <c r="D4335" s="60"/>
      <c r="E4335" s="41" t="str">
        <f t="shared" si="156"/>
        <v>Еще фото</v>
      </c>
      <c r="F4335" s="13" t="s">
        <v>103</v>
      </c>
      <c r="G4335" s="24" t="s">
        <v>3632</v>
      </c>
      <c r="H4335" s="24" t="s">
        <v>27</v>
      </c>
      <c r="I4335" s="24" t="s">
        <v>3599</v>
      </c>
      <c r="J4335" s="14" t="s">
        <v>211</v>
      </c>
      <c r="K4335" s="15" t="s">
        <v>30</v>
      </c>
      <c r="L4335" s="62"/>
      <c r="M4335" s="14"/>
      <c r="N4335" s="14" t="s">
        <v>33</v>
      </c>
      <c r="O4335" s="14"/>
      <c r="P4335" s="15" t="s">
        <v>827</v>
      </c>
      <c r="Q4335" s="16">
        <v>6199</v>
      </c>
      <c r="R4335" s="17">
        <v>40</v>
      </c>
      <c r="S4335" s="18">
        <v>4277.3099999999995</v>
      </c>
      <c r="T4335" s="19" t="s">
        <v>36</v>
      </c>
      <c r="U4335" s="20" t="s">
        <v>37</v>
      </c>
      <c r="V4335" s="21" t="s">
        <v>38</v>
      </c>
      <c r="W4335" s="22">
        <v>6</v>
      </c>
      <c r="X4335" s="23"/>
    </row>
    <row r="4336" spans="1:24" s="1" customFormat="1" ht="17" customHeight="1" x14ac:dyDescent="0.3">
      <c r="A4336" s="24" t="s">
        <v>23</v>
      </c>
      <c r="B4336" s="24" t="s">
        <v>4001</v>
      </c>
      <c r="C4336" s="12" t="s">
        <v>4002</v>
      </c>
      <c r="D4336" s="60"/>
      <c r="E4336" s="41" t="str">
        <f t="shared" si="156"/>
        <v>Еще фото</v>
      </c>
      <c r="F4336" s="13" t="s">
        <v>103</v>
      </c>
      <c r="G4336" s="24" t="s">
        <v>3632</v>
      </c>
      <c r="H4336" s="24" t="s">
        <v>27</v>
      </c>
      <c r="I4336" s="24" t="s">
        <v>3599</v>
      </c>
      <c r="J4336" s="14" t="s">
        <v>211</v>
      </c>
      <c r="K4336" s="15" t="s">
        <v>30</v>
      </c>
      <c r="L4336" s="62"/>
      <c r="M4336" s="14"/>
      <c r="N4336" s="14" t="s">
        <v>33</v>
      </c>
      <c r="O4336" s="14"/>
      <c r="P4336" s="15" t="s">
        <v>827</v>
      </c>
      <c r="Q4336" s="16">
        <v>6199</v>
      </c>
      <c r="R4336" s="17">
        <v>40</v>
      </c>
      <c r="S4336" s="18">
        <v>4277.3099999999995</v>
      </c>
      <c r="T4336" s="19" t="s">
        <v>36</v>
      </c>
      <c r="U4336" s="20" t="s">
        <v>39</v>
      </c>
      <c r="V4336" s="21" t="s">
        <v>40</v>
      </c>
      <c r="W4336" s="22">
        <v>13</v>
      </c>
      <c r="X4336" s="23"/>
    </row>
    <row r="4337" spans="1:24" s="1" customFormat="1" ht="17" customHeight="1" x14ac:dyDescent="0.3">
      <c r="A4337" s="24" t="s">
        <v>23</v>
      </c>
      <c r="B4337" s="24" t="s">
        <v>4001</v>
      </c>
      <c r="C4337" s="12" t="s">
        <v>4002</v>
      </c>
      <c r="D4337" s="60"/>
      <c r="E4337" s="41" t="str">
        <f t="shared" si="156"/>
        <v>Еще фото</v>
      </c>
      <c r="F4337" s="13" t="s">
        <v>103</v>
      </c>
      <c r="G4337" s="24" t="s">
        <v>3632</v>
      </c>
      <c r="H4337" s="24" t="s">
        <v>27</v>
      </c>
      <c r="I4337" s="24" t="s">
        <v>3599</v>
      </c>
      <c r="J4337" s="14" t="s">
        <v>211</v>
      </c>
      <c r="K4337" s="15" t="s">
        <v>30</v>
      </c>
      <c r="L4337" s="62"/>
      <c r="M4337" s="14"/>
      <c r="N4337" s="14" t="s">
        <v>33</v>
      </c>
      <c r="O4337" s="14"/>
      <c r="P4337" s="15" t="s">
        <v>827</v>
      </c>
      <c r="Q4337" s="16">
        <v>6199</v>
      </c>
      <c r="R4337" s="17">
        <v>40</v>
      </c>
      <c r="S4337" s="18">
        <v>4277.3099999999995</v>
      </c>
      <c r="T4337" s="19" t="s">
        <v>36</v>
      </c>
      <c r="U4337" s="20" t="s">
        <v>86</v>
      </c>
      <c r="V4337" s="21" t="s">
        <v>87</v>
      </c>
      <c r="W4337" s="22">
        <v>11</v>
      </c>
      <c r="X4337" s="23"/>
    </row>
    <row r="4338" spans="1:24" s="1" customFormat="1" ht="17" customHeight="1" x14ac:dyDescent="0.3">
      <c r="A4338" s="24" t="s">
        <v>23</v>
      </c>
      <c r="B4338" s="24" t="s">
        <v>4001</v>
      </c>
      <c r="C4338" s="12" t="s">
        <v>4002</v>
      </c>
      <c r="D4338" s="60"/>
      <c r="E4338" s="41" t="str">
        <f t="shared" si="156"/>
        <v>Еще фото</v>
      </c>
      <c r="F4338" s="13" t="s">
        <v>103</v>
      </c>
      <c r="G4338" s="24" t="s">
        <v>3632</v>
      </c>
      <c r="H4338" s="24" t="s">
        <v>27</v>
      </c>
      <c r="I4338" s="24" t="s">
        <v>3599</v>
      </c>
      <c r="J4338" s="14" t="s">
        <v>211</v>
      </c>
      <c r="K4338" s="15" t="s">
        <v>30</v>
      </c>
      <c r="L4338" s="62"/>
      <c r="M4338" s="14"/>
      <c r="N4338" s="14" t="s">
        <v>33</v>
      </c>
      <c r="O4338" s="14"/>
      <c r="P4338" s="15" t="s">
        <v>827</v>
      </c>
      <c r="Q4338" s="16">
        <v>6199</v>
      </c>
      <c r="R4338" s="17">
        <v>40</v>
      </c>
      <c r="S4338" s="18">
        <v>4277.3099999999995</v>
      </c>
      <c r="T4338" s="19" t="s">
        <v>36</v>
      </c>
      <c r="U4338" s="20" t="s">
        <v>88</v>
      </c>
      <c r="V4338" s="21" t="s">
        <v>89</v>
      </c>
      <c r="W4338" s="22">
        <v>10</v>
      </c>
      <c r="X4338" s="23"/>
    </row>
    <row r="4339" spans="1:24" s="1" customFormat="1" ht="22.05" customHeight="1" x14ac:dyDescent="0.3">
      <c r="A4339" s="24" t="s">
        <v>23</v>
      </c>
      <c r="B4339" s="24" t="s">
        <v>4001</v>
      </c>
      <c r="C4339" s="12" t="s">
        <v>4002</v>
      </c>
      <c r="D4339" s="61"/>
      <c r="E4339" s="41" t="str">
        <f t="shared" si="156"/>
        <v>Еще фото</v>
      </c>
      <c r="F4339" s="13" t="s">
        <v>103</v>
      </c>
      <c r="G4339" s="24" t="s">
        <v>3632</v>
      </c>
      <c r="H4339" s="24" t="s">
        <v>27</v>
      </c>
      <c r="I4339" s="24" t="s">
        <v>3599</v>
      </c>
      <c r="J4339" s="14" t="s">
        <v>211</v>
      </c>
      <c r="K4339" s="15" t="s">
        <v>30</v>
      </c>
      <c r="L4339" s="58"/>
      <c r="M4339" s="14"/>
      <c r="N4339" s="14" t="s">
        <v>33</v>
      </c>
      <c r="O4339" s="14"/>
      <c r="P4339" s="15" t="s">
        <v>827</v>
      </c>
      <c r="Q4339" s="16">
        <v>6199</v>
      </c>
      <c r="R4339" s="17">
        <v>40</v>
      </c>
      <c r="S4339" s="18">
        <v>4277.3099999999995</v>
      </c>
      <c r="T4339" s="19" t="s">
        <v>36</v>
      </c>
      <c r="U4339" s="20" t="s">
        <v>90</v>
      </c>
      <c r="V4339" s="21" t="s">
        <v>91</v>
      </c>
      <c r="W4339" s="22">
        <v>5</v>
      </c>
      <c r="X4339" s="23"/>
    </row>
    <row r="4340" spans="1:24" s="1" customFormat="1" ht="14" customHeight="1" x14ac:dyDescent="0.3">
      <c r="A4340" s="11" t="s">
        <v>23</v>
      </c>
      <c r="B4340" s="11" t="s">
        <v>4001</v>
      </c>
      <c r="C4340" s="12" t="s">
        <v>4004</v>
      </c>
      <c r="D4340" s="59"/>
      <c r="E4340" s="41" t="str">
        <f t="shared" ref="E4340:E4346" si="157">HYPERLINK("https://www.google.ru/search?q=1378677-026&amp;newwindow=1&amp;tbm=isch","Еще фото")</f>
        <v>Еще фото</v>
      </c>
      <c r="F4340" s="13" t="s">
        <v>103</v>
      </c>
      <c r="G4340" s="11" t="s">
        <v>3632</v>
      </c>
      <c r="H4340" s="11" t="s">
        <v>27</v>
      </c>
      <c r="I4340" s="14" t="s">
        <v>3599</v>
      </c>
      <c r="J4340" s="14" t="s">
        <v>211</v>
      </c>
      <c r="K4340" s="15" t="s">
        <v>30</v>
      </c>
      <c r="L4340" s="57" t="s">
        <v>4003</v>
      </c>
      <c r="M4340" s="14"/>
      <c r="N4340" s="14" t="s">
        <v>62</v>
      </c>
      <c r="O4340" s="14"/>
      <c r="P4340" s="15" t="s">
        <v>827</v>
      </c>
      <c r="Q4340" s="16">
        <v>6199</v>
      </c>
      <c r="R4340" s="17">
        <v>40</v>
      </c>
      <c r="S4340" s="18">
        <v>4277.3099999999995</v>
      </c>
      <c r="T4340" s="19" t="s">
        <v>36</v>
      </c>
      <c r="U4340" s="20" t="s">
        <v>37</v>
      </c>
      <c r="V4340" s="21" t="s">
        <v>38</v>
      </c>
      <c r="W4340" s="22">
        <v>9</v>
      </c>
      <c r="X4340" s="23"/>
    </row>
    <row r="4341" spans="1:24" s="1" customFormat="1" ht="14" customHeight="1" x14ac:dyDescent="0.3">
      <c r="A4341" s="24" t="s">
        <v>23</v>
      </c>
      <c r="B4341" s="24" t="s">
        <v>4001</v>
      </c>
      <c r="C4341" s="12" t="s">
        <v>4004</v>
      </c>
      <c r="D4341" s="60"/>
      <c r="E4341" s="41" t="str">
        <f t="shared" si="157"/>
        <v>Еще фото</v>
      </c>
      <c r="F4341" s="13" t="s">
        <v>103</v>
      </c>
      <c r="G4341" s="24" t="s">
        <v>3632</v>
      </c>
      <c r="H4341" s="24" t="s">
        <v>27</v>
      </c>
      <c r="I4341" s="24" t="s">
        <v>3599</v>
      </c>
      <c r="J4341" s="14" t="s">
        <v>211</v>
      </c>
      <c r="K4341" s="15" t="s">
        <v>30</v>
      </c>
      <c r="L4341" s="62"/>
      <c r="M4341" s="14"/>
      <c r="N4341" s="14" t="s">
        <v>62</v>
      </c>
      <c r="O4341" s="14"/>
      <c r="P4341" s="15" t="s">
        <v>827</v>
      </c>
      <c r="Q4341" s="16">
        <v>6199</v>
      </c>
      <c r="R4341" s="17">
        <v>40</v>
      </c>
      <c r="S4341" s="18">
        <v>4277.3099999999995</v>
      </c>
      <c r="T4341" s="19" t="s">
        <v>36</v>
      </c>
      <c r="U4341" s="20" t="s">
        <v>39</v>
      </c>
      <c r="V4341" s="21" t="s">
        <v>40</v>
      </c>
      <c r="W4341" s="22">
        <v>13</v>
      </c>
      <c r="X4341" s="23"/>
    </row>
    <row r="4342" spans="1:24" s="1" customFormat="1" ht="14" customHeight="1" x14ac:dyDescent="0.3">
      <c r="A4342" s="24" t="s">
        <v>23</v>
      </c>
      <c r="B4342" s="24" t="s">
        <v>4001</v>
      </c>
      <c r="C4342" s="12" t="s">
        <v>4004</v>
      </c>
      <c r="D4342" s="60"/>
      <c r="E4342" s="41" t="str">
        <f t="shared" si="157"/>
        <v>Еще фото</v>
      </c>
      <c r="F4342" s="13" t="s">
        <v>103</v>
      </c>
      <c r="G4342" s="24" t="s">
        <v>3632</v>
      </c>
      <c r="H4342" s="24" t="s">
        <v>27</v>
      </c>
      <c r="I4342" s="24" t="s">
        <v>3599</v>
      </c>
      <c r="J4342" s="14" t="s">
        <v>211</v>
      </c>
      <c r="K4342" s="15" t="s">
        <v>30</v>
      </c>
      <c r="L4342" s="62"/>
      <c r="M4342" s="14"/>
      <c r="N4342" s="14" t="s">
        <v>62</v>
      </c>
      <c r="O4342" s="14"/>
      <c r="P4342" s="15" t="s">
        <v>827</v>
      </c>
      <c r="Q4342" s="16">
        <v>6199</v>
      </c>
      <c r="R4342" s="17">
        <v>40</v>
      </c>
      <c r="S4342" s="18">
        <v>4277.3099999999995</v>
      </c>
      <c r="T4342" s="19" t="s">
        <v>36</v>
      </c>
      <c r="U4342" s="20" t="s">
        <v>86</v>
      </c>
      <c r="V4342" s="21" t="s">
        <v>87</v>
      </c>
      <c r="W4342" s="22">
        <v>7</v>
      </c>
      <c r="X4342" s="23"/>
    </row>
    <row r="4343" spans="1:24" s="1" customFormat="1" ht="14" customHeight="1" x14ac:dyDescent="0.3">
      <c r="A4343" s="24" t="s">
        <v>23</v>
      </c>
      <c r="B4343" s="24" t="s">
        <v>4001</v>
      </c>
      <c r="C4343" s="12" t="s">
        <v>4004</v>
      </c>
      <c r="D4343" s="60"/>
      <c r="E4343" s="41" t="str">
        <f t="shared" si="157"/>
        <v>Еще фото</v>
      </c>
      <c r="F4343" s="13" t="s">
        <v>103</v>
      </c>
      <c r="G4343" s="24" t="s">
        <v>3632</v>
      </c>
      <c r="H4343" s="24" t="s">
        <v>27</v>
      </c>
      <c r="I4343" s="24" t="s">
        <v>3599</v>
      </c>
      <c r="J4343" s="14" t="s">
        <v>211</v>
      </c>
      <c r="K4343" s="15" t="s">
        <v>30</v>
      </c>
      <c r="L4343" s="62"/>
      <c r="M4343" s="14"/>
      <c r="N4343" s="14" t="s">
        <v>62</v>
      </c>
      <c r="O4343" s="14"/>
      <c r="P4343" s="15" t="s">
        <v>827</v>
      </c>
      <c r="Q4343" s="16">
        <v>6199</v>
      </c>
      <c r="R4343" s="17">
        <v>40</v>
      </c>
      <c r="S4343" s="18">
        <v>4277.3099999999995</v>
      </c>
      <c r="T4343" s="19" t="s">
        <v>36</v>
      </c>
      <c r="U4343" s="20" t="s">
        <v>88</v>
      </c>
      <c r="V4343" s="21" t="s">
        <v>89</v>
      </c>
      <c r="W4343" s="22">
        <v>4</v>
      </c>
      <c r="X4343" s="23"/>
    </row>
    <row r="4344" spans="1:24" s="1" customFormat="1" ht="14" customHeight="1" x14ac:dyDescent="0.3">
      <c r="A4344" s="24" t="s">
        <v>23</v>
      </c>
      <c r="B4344" s="24" t="s">
        <v>4001</v>
      </c>
      <c r="C4344" s="12" t="s">
        <v>4004</v>
      </c>
      <c r="D4344" s="60"/>
      <c r="E4344" s="41" t="str">
        <f t="shared" si="157"/>
        <v>Еще фото</v>
      </c>
      <c r="F4344" s="13" t="s">
        <v>103</v>
      </c>
      <c r="G4344" s="24" t="s">
        <v>3632</v>
      </c>
      <c r="H4344" s="24" t="s">
        <v>27</v>
      </c>
      <c r="I4344" s="24" t="s">
        <v>3599</v>
      </c>
      <c r="J4344" s="14" t="s">
        <v>211</v>
      </c>
      <c r="K4344" s="15" t="s">
        <v>30</v>
      </c>
      <c r="L4344" s="62"/>
      <c r="M4344" s="14"/>
      <c r="N4344" s="14" t="s">
        <v>62</v>
      </c>
      <c r="O4344" s="14"/>
      <c r="P4344" s="15" t="s">
        <v>827</v>
      </c>
      <c r="Q4344" s="16">
        <v>6199</v>
      </c>
      <c r="R4344" s="17">
        <v>40</v>
      </c>
      <c r="S4344" s="18">
        <v>4277.3099999999995</v>
      </c>
      <c r="T4344" s="19" t="s">
        <v>36</v>
      </c>
      <c r="U4344" s="20" t="s">
        <v>141</v>
      </c>
      <c r="V4344" s="21" t="s">
        <v>142</v>
      </c>
      <c r="W4344" s="22">
        <v>4</v>
      </c>
      <c r="X4344" s="23"/>
    </row>
    <row r="4345" spans="1:24" s="1" customFormat="1" ht="14" customHeight="1" x14ac:dyDescent="0.3">
      <c r="A4345" s="24" t="s">
        <v>23</v>
      </c>
      <c r="B4345" s="24" t="s">
        <v>4001</v>
      </c>
      <c r="C4345" s="12" t="s">
        <v>4004</v>
      </c>
      <c r="D4345" s="60"/>
      <c r="E4345" s="41" t="str">
        <f t="shared" si="157"/>
        <v>Еще фото</v>
      </c>
      <c r="F4345" s="13" t="s">
        <v>103</v>
      </c>
      <c r="G4345" s="24" t="s">
        <v>3632</v>
      </c>
      <c r="H4345" s="24" t="s">
        <v>27</v>
      </c>
      <c r="I4345" s="24" t="s">
        <v>3599</v>
      </c>
      <c r="J4345" s="14" t="s">
        <v>211</v>
      </c>
      <c r="K4345" s="15" t="s">
        <v>30</v>
      </c>
      <c r="L4345" s="62"/>
      <c r="M4345" s="14"/>
      <c r="N4345" s="14" t="s">
        <v>62</v>
      </c>
      <c r="O4345" s="14"/>
      <c r="P4345" s="15" t="s">
        <v>827</v>
      </c>
      <c r="Q4345" s="16">
        <v>6199</v>
      </c>
      <c r="R4345" s="17">
        <v>40</v>
      </c>
      <c r="S4345" s="18">
        <v>4277.3099999999995</v>
      </c>
      <c r="T4345" s="19" t="s">
        <v>36</v>
      </c>
      <c r="U4345" s="20" t="s">
        <v>143</v>
      </c>
      <c r="V4345" s="21" t="s">
        <v>144</v>
      </c>
      <c r="W4345" s="22">
        <v>4</v>
      </c>
      <c r="X4345" s="23"/>
    </row>
    <row r="4346" spans="1:24" s="1" customFormat="1" ht="17" customHeight="1" x14ac:dyDescent="0.3">
      <c r="A4346" s="24" t="s">
        <v>23</v>
      </c>
      <c r="B4346" s="24" t="s">
        <v>4001</v>
      </c>
      <c r="C4346" s="12" t="s">
        <v>4004</v>
      </c>
      <c r="D4346" s="61"/>
      <c r="E4346" s="41" t="str">
        <f t="shared" si="157"/>
        <v>Еще фото</v>
      </c>
      <c r="F4346" s="13" t="s">
        <v>103</v>
      </c>
      <c r="G4346" s="24" t="s">
        <v>3632</v>
      </c>
      <c r="H4346" s="24" t="s">
        <v>27</v>
      </c>
      <c r="I4346" s="24" t="s">
        <v>3599</v>
      </c>
      <c r="J4346" s="14" t="s">
        <v>211</v>
      </c>
      <c r="K4346" s="15" t="s">
        <v>30</v>
      </c>
      <c r="L4346" s="58"/>
      <c r="M4346" s="14"/>
      <c r="N4346" s="14" t="s">
        <v>62</v>
      </c>
      <c r="O4346" s="14"/>
      <c r="P4346" s="15" t="s">
        <v>827</v>
      </c>
      <c r="Q4346" s="16">
        <v>6199</v>
      </c>
      <c r="R4346" s="17">
        <v>40</v>
      </c>
      <c r="S4346" s="18">
        <v>4277.3099999999995</v>
      </c>
      <c r="T4346" s="19" t="s">
        <v>36</v>
      </c>
      <c r="U4346" s="20" t="s">
        <v>378</v>
      </c>
      <c r="V4346" s="21" t="s">
        <v>379</v>
      </c>
      <c r="W4346" s="22">
        <v>6</v>
      </c>
      <c r="X4346" s="23"/>
    </row>
    <row r="4347" spans="1:24" s="1" customFormat="1" ht="13.05" customHeight="1" x14ac:dyDescent="0.3">
      <c r="A4347" s="11" t="s">
        <v>23</v>
      </c>
      <c r="B4347" s="11" t="s">
        <v>4001</v>
      </c>
      <c r="C4347" s="12" t="s">
        <v>4005</v>
      </c>
      <c r="D4347" s="59"/>
      <c r="E4347" s="41" t="str">
        <f t="shared" ref="E4347:E4354" si="158">HYPERLINK("https://www.google.ru/search?q=1378677-121&amp;newwindow=1&amp;tbm=isch","Еще фото")</f>
        <v>Еще фото</v>
      </c>
      <c r="F4347" s="13" t="s">
        <v>103</v>
      </c>
      <c r="G4347" s="11" t="s">
        <v>3632</v>
      </c>
      <c r="H4347" s="11" t="s">
        <v>27</v>
      </c>
      <c r="I4347" s="14" t="s">
        <v>3599</v>
      </c>
      <c r="J4347" s="14" t="s">
        <v>211</v>
      </c>
      <c r="K4347" s="15" t="s">
        <v>30</v>
      </c>
      <c r="L4347" s="57" t="s">
        <v>4003</v>
      </c>
      <c r="M4347" s="14"/>
      <c r="N4347" s="14" t="s">
        <v>84</v>
      </c>
      <c r="O4347" s="14"/>
      <c r="P4347" s="15" t="s">
        <v>827</v>
      </c>
      <c r="Q4347" s="16">
        <v>6199</v>
      </c>
      <c r="R4347" s="17">
        <v>40</v>
      </c>
      <c r="S4347" s="18">
        <v>4277.3099999999995</v>
      </c>
      <c r="T4347" s="19" t="s">
        <v>36</v>
      </c>
      <c r="U4347" s="33" t="s">
        <v>37</v>
      </c>
      <c r="V4347" s="21" t="s">
        <v>38</v>
      </c>
      <c r="W4347" s="22">
        <v>10</v>
      </c>
      <c r="X4347" s="23"/>
    </row>
    <row r="4348" spans="1:24" s="1" customFormat="1" ht="13.05" customHeight="1" x14ac:dyDescent="0.3">
      <c r="A4348" s="24" t="s">
        <v>23</v>
      </c>
      <c r="B4348" s="24" t="s">
        <v>4001</v>
      </c>
      <c r="C4348" s="12" t="s">
        <v>4005</v>
      </c>
      <c r="D4348" s="60"/>
      <c r="E4348" s="41" t="str">
        <f t="shared" si="158"/>
        <v>Еще фото</v>
      </c>
      <c r="F4348" s="13" t="s">
        <v>103</v>
      </c>
      <c r="G4348" s="24" t="s">
        <v>3632</v>
      </c>
      <c r="H4348" s="24" t="s">
        <v>27</v>
      </c>
      <c r="I4348" s="24" t="s">
        <v>3599</v>
      </c>
      <c r="J4348" s="14" t="s">
        <v>211</v>
      </c>
      <c r="K4348" s="15" t="s">
        <v>30</v>
      </c>
      <c r="L4348" s="62"/>
      <c r="M4348" s="14"/>
      <c r="N4348" s="14" t="s">
        <v>84</v>
      </c>
      <c r="O4348" s="14"/>
      <c r="P4348" s="15" t="s">
        <v>827</v>
      </c>
      <c r="Q4348" s="16">
        <v>6199</v>
      </c>
      <c r="R4348" s="17">
        <v>40</v>
      </c>
      <c r="S4348" s="18">
        <v>4277.3099999999995</v>
      </c>
      <c r="T4348" s="19" t="s">
        <v>36</v>
      </c>
      <c r="U4348" s="20" t="s">
        <v>39</v>
      </c>
      <c r="V4348" s="21" t="s">
        <v>40</v>
      </c>
      <c r="W4348" s="22">
        <v>19</v>
      </c>
      <c r="X4348" s="23"/>
    </row>
    <row r="4349" spans="1:24" s="1" customFormat="1" ht="13.05" customHeight="1" x14ac:dyDescent="0.3">
      <c r="A4349" s="24" t="s">
        <v>23</v>
      </c>
      <c r="B4349" s="24" t="s">
        <v>4001</v>
      </c>
      <c r="C4349" s="12" t="s">
        <v>4005</v>
      </c>
      <c r="D4349" s="60"/>
      <c r="E4349" s="41" t="str">
        <f t="shared" si="158"/>
        <v>Еще фото</v>
      </c>
      <c r="F4349" s="13" t="s">
        <v>103</v>
      </c>
      <c r="G4349" s="24" t="s">
        <v>3632</v>
      </c>
      <c r="H4349" s="24" t="s">
        <v>27</v>
      </c>
      <c r="I4349" s="24" t="s">
        <v>3599</v>
      </c>
      <c r="J4349" s="14" t="s">
        <v>211</v>
      </c>
      <c r="K4349" s="15" t="s">
        <v>30</v>
      </c>
      <c r="L4349" s="62"/>
      <c r="M4349" s="14"/>
      <c r="N4349" s="14" t="s">
        <v>84</v>
      </c>
      <c r="O4349" s="14"/>
      <c r="P4349" s="15" t="s">
        <v>827</v>
      </c>
      <c r="Q4349" s="16">
        <v>6199</v>
      </c>
      <c r="R4349" s="17">
        <v>40</v>
      </c>
      <c r="S4349" s="18">
        <v>4277.3099999999995</v>
      </c>
      <c r="T4349" s="19" t="s">
        <v>36</v>
      </c>
      <c r="U4349" s="20" t="s">
        <v>86</v>
      </c>
      <c r="V4349" s="21" t="s">
        <v>87</v>
      </c>
      <c r="W4349" s="22">
        <v>19</v>
      </c>
      <c r="X4349" s="23"/>
    </row>
    <row r="4350" spans="1:24" s="1" customFormat="1" ht="13.05" customHeight="1" x14ac:dyDescent="0.3">
      <c r="A4350" s="24" t="s">
        <v>23</v>
      </c>
      <c r="B4350" s="24" t="s">
        <v>4001</v>
      </c>
      <c r="C4350" s="12" t="s">
        <v>4005</v>
      </c>
      <c r="D4350" s="60"/>
      <c r="E4350" s="41" t="str">
        <f t="shared" si="158"/>
        <v>Еще фото</v>
      </c>
      <c r="F4350" s="13" t="s">
        <v>103</v>
      </c>
      <c r="G4350" s="24" t="s">
        <v>3632</v>
      </c>
      <c r="H4350" s="24" t="s">
        <v>27</v>
      </c>
      <c r="I4350" s="24" t="s">
        <v>3599</v>
      </c>
      <c r="J4350" s="14" t="s">
        <v>211</v>
      </c>
      <c r="K4350" s="15" t="s">
        <v>30</v>
      </c>
      <c r="L4350" s="62"/>
      <c r="M4350" s="14"/>
      <c r="N4350" s="14" t="s">
        <v>84</v>
      </c>
      <c r="O4350" s="14"/>
      <c r="P4350" s="15" t="s">
        <v>827</v>
      </c>
      <c r="Q4350" s="16">
        <v>6199</v>
      </c>
      <c r="R4350" s="17">
        <v>40</v>
      </c>
      <c r="S4350" s="18">
        <v>4277.3099999999995</v>
      </c>
      <c r="T4350" s="19" t="s">
        <v>36</v>
      </c>
      <c r="U4350" s="20" t="s">
        <v>88</v>
      </c>
      <c r="V4350" s="21" t="s">
        <v>89</v>
      </c>
      <c r="W4350" s="22">
        <v>13</v>
      </c>
      <c r="X4350" s="23"/>
    </row>
    <row r="4351" spans="1:24" s="1" customFormat="1" ht="13.05" customHeight="1" x14ac:dyDescent="0.3">
      <c r="A4351" s="24" t="s">
        <v>23</v>
      </c>
      <c r="B4351" s="24" t="s">
        <v>4001</v>
      </c>
      <c r="C4351" s="12" t="s">
        <v>4005</v>
      </c>
      <c r="D4351" s="60"/>
      <c r="E4351" s="41" t="str">
        <f t="shared" si="158"/>
        <v>Еще фото</v>
      </c>
      <c r="F4351" s="13" t="s">
        <v>103</v>
      </c>
      <c r="G4351" s="24" t="s">
        <v>3632</v>
      </c>
      <c r="H4351" s="24" t="s">
        <v>27</v>
      </c>
      <c r="I4351" s="24" t="s">
        <v>3599</v>
      </c>
      <c r="J4351" s="14" t="s">
        <v>211</v>
      </c>
      <c r="K4351" s="15" t="s">
        <v>30</v>
      </c>
      <c r="L4351" s="62"/>
      <c r="M4351" s="14"/>
      <c r="N4351" s="14" t="s">
        <v>84</v>
      </c>
      <c r="O4351" s="14"/>
      <c r="P4351" s="15" t="s">
        <v>827</v>
      </c>
      <c r="Q4351" s="16">
        <v>6199</v>
      </c>
      <c r="R4351" s="17">
        <v>40</v>
      </c>
      <c r="S4351" s="18">
        <v>4277.3099999999995</v>
      </c>
      <c r="T4351" s="19" t="s">
        <v>36</v>
      </c>
      <c r="U4351" s="20" t="s">
        <v>90</v>
      </c>
      <c r="V4351" s="21" t="s">
        <v>91</v>
      </c>
      <c r="W4351" s="22">
        <v>5</v>
      </c>
      <c r="X4351" s="23"/>
    </row>
    <row r="4352" spans="1:24" s="1" customFormat="1" ht="13.05" customHeight="1" x14ac:dyDescent="0.3">
      <c r="A4352" s="24" t="s">
        <v>23</v>
      </c>
      <c r="B4352" s="24" t="s">
        <v>4001</v>
      </c>
      <c r="C4352" s="12" t="s">
        <v>4005</v>
      </c>
      <c r="D4352" s="60"/>
      <c r="E4352" s="41" t="str">
        <f t="shared" si="158"/>
        <v>Еще фото</v>
      </c>
      <c r="F4352" s="13" t="s">
        <v>103</v>
      </c>
      <c r="G4352" s="24" t="s">
        <v>3632</v>
      </c>
      <c r="H4352" s="24" t="s">
        <v>27</v>
      </c>
      <c r="I4352" s="24" t="s">
        <v>3599</v>
      </c>
      <c r="J4352" s="14" t="s">
        <v>211</v>
      </c>
      <c r="K4352" s="15" t="s">
        <v>30</v>
      </c>
      <c r="L4352" s="62"/>
      <c r="M4352" s="14"/>
      <c r="N4352" s="14" t="s">
        <v>84</v>
      </c>
      <c r="O4352" s="14"/>
      <c r="P4352" s="15" t="s">
        <v>827</v>
      </c>
      <c r="Q4352" s="16">
        <v>6199</v>
      </c>
      <c r="R4352" s="17">
        <v>40</v>
      </c>
      <c r="S4352" s="18">
        <v>4277.3099999999995</v>
      </c>
      <c r="T4352" s="19" t="s">
        <v>36</v>
      </c>
      <c r="U4352" s="20" t="s">
        <v>141</v>
      </c>
      <c r="V4352" s="21" t="s">
        <v>142</v>
      </c>
      <c r="W4352" s="22">
        <v>5</v>
      </c>
      <c r="X4352" s="23"/>
    </row>
    <row r="4353" spans="1:24" s="1" customFormat="1" ht="13.05" customHeight="1" x14ac:dyDescent="0.3">
      <c r="A4353" s="24" t="s">
        <v>23</v>
      </c>
      <c r="B4353" s="24" t="s">
        <v>4001</v>
      </c>
      <c r="C4353" s="12" t="s">
        <v>4005</v>
      </c>
      <c r="D4353" s="60"/>
      <c r="E4353" s="41" t="str">
        <f t="shared" si="158"/>
        <v>Еще фото</v>
      </c>
      <c r="F4353" s="13" t="s">
        <v>103</v>
      </c>
      <c r="G4353" s="24" t="s">
        <v>3632</v>
      </c>
      <c r="H4353" s="24" t="s">
        <v>27</v>
      </c>
      <c r="I4353" s="24" t="s">
        <v>3599</v>
      </c>
      <c r="J4353" s="14" t="s">
        <v>211</v>
      </c>
      <c r="K4353" s="15" t="s">
        <v>30</v>
      </c>
      <c r="L4353" s="62"/>
      <c r="M4353" s="14"/>
      <c r="N4353" s="14" t="s">
        <v>84</v>
      </c>
      <c r="O4353" s="14"/>
      <c r="P4353" s="15" t="s">
        <v>827</v>
      </c>
      <c r="Q4353" s="16">
        <v>6199</v>
      </c>
      <c r="R4353" s="17">
        <v>40</v>
      </c>
      <c r="S4353" s="18">
        <v>4277.3099999999995</v>
      </c>
      <c r="T4353" s="19" t="s">
        <v>36</v>
      </c>
      <c r="U4353" s="20" t="s">
        <v>143</v>
      </c>
      <c r="V4353" s="21" t="s">
        <v>144</v>
      </c>
      <c r="W4353" s="22">
        <v>6</v>
      </c>
      <c r="X4353" s="23"/>
    </row>
    <row r="4354" spans="1:24" s="1" customFormat="1" ht="18" customHeight="1" x14ac:dyDescent="0.3">
      <c r="A4354" s="24" t="s">
        <v>23</v>
      </c>
      <c r="B4354" s="24" t="s">
        <v>4001</v>
      </c>
      <c r="C4354" s="12" t="s">
        <v>4005</v>
      </c>
      <c r="D4354" s="61"/>
      <c r="E4354" s="41" t="str">
        <f t="shared" si="158"/>
        <v>Еще фото</v>
      </c>
      <c r="F4354" s="13" t="s">
        <v>103</v>
      </c>
      <c r="G4354" s="24" t="s">
        <v>3632</v>
      </c>
      <c r="H4354" s="24" t="s">
        <v>27</v>
      </c>
      <c r="I4354" s="24" t="s">
        <v>3599</v>
      </c>
      <c r="J4354" s="14" t="s">
        <v>211</v>
      </c>
      <c r="K4354" s="15" t="s">
        <v>30</v>
      </c>
      <c r="L4354" s="58"/>
      <c r="M4354" s="14"/>
      <c r="N4354" s="14" t="s">
        <v>84</v>
      </c>
      <c r="O4354" s="14"/>
      <c r="P4354" s="15" t="s">
        <v>827</v>
      </c>
      <c r="Q4354" s="16">
        <v>6199</v>
      </c>
      <c r="R4354" s="17">
        <v>40</v>
      </c>
      <c r="S4354" s="18">
        <v>4277.3099999999995</v>
      </c>
      <c r="T4354" s="19" t="s">
        <v>36</v>
      </c>
      <c r="U4354" s="20" t="s">
        <v>378</v>
      </c>
      <c r="V4354" s="21" t="s">
        <v>379</v>
      </c>
      <c r="W4354" s="22">
        <v>5</v>
      </c>
      <c r="X4354" s="23"/>
    </row>
    <row r="4355" spans="1:24" s="1" customFormat="1" ht="21" customHeight="1" x14ac:dyDescent="0.3">
      <c r="A4355" s="11" t="s">
        <v>23</v>
      </c>
      <c r="B4355" s="11" t="s">
        <v>4001</v>
      </c>
      <c r="C4355" s="26" t="s">
        <v>4006</v>
      </c>
      <c r="D4355" s="59"/>
      <c r="E4355" s="41" t="str">
        <f>HYPERLINK("https://www.google.ru/search?q=1378677-429&amp;newwindow=1&amp;tbm=isch","Еще фото")</f>
        <v>Еще фото</v>
      </c>
      <c r="F4355" s="13" t="s">
        <v>103</v>
      </c>
      <c r="G4355" s="11" t="s">
        <v>3632</v>
      </c>
      <c r="H4355" s="11" t="s">
        <v>27</v>
      </c>
      <c r="I4355" s="14" t="s">
        <v>3599</v>
      </c>
      <c r="J4355" s="14" t="s">
        <v>211</v>
      </c>
      <c r="K4355" s="15" t="s">
        <v>30</v>
      </c>
      <c r="L4355" s="57" t="s">
        <v>4003</v>
      </c>
      <c r="M4355" s="14"/>
      <c r="N4355" s="14" t="s">
        <v>115</v>
      </c>
      <c r="O4355" s="14"/>
      <c r="P4355" s="15" t="s">
        <v>827</v>
      </c>
      <c r="Q4355" s="16">
        <v>6199</v>
      </c>
      <c r="R4355" s="17">
        <v>40</v>
      </c>
      <c r="S4355" s="18">
        <v>4277.3099999999995</v>
      </c>
      <c r="T4355" s="19" t="s">
        <v>36</v>
      </c>
      <c r="U4355" s="20" t="s">
        <v>37</v>
      </c>
      <c r="V4355" s="21" t="s">
        <v>38</v>
      </c>
      <c r="W4355" s="22">
        <v>6</v>
      </c>
      <c r="X4355" s="23"/>
    </row>
    <row r="4356" spans="1:24" s="1" customFormat="1" ht="21" customHeight="1" x14ac:dyDescent="0.3">
      <c r="A4356" s="24" t="s">
        <v>23</v>
      </c>
      <c r="B4356" s="24" t="s">
        <v>4001</v>
      </c>
      <c r="C4356" s="27" t="s">
        <v>4006</v>
      </c>
      <c r="D4356" s="60"/>
      <c r="E4356" s="41" t="str">
        <f>HYPERLINK("https://www.google.ru/search?q=1378677-429&amp;newwindow=1&amp;tbm=isch","Еще фото")</f>
        <v>Еще фото</v>
      </c>
      <c r="F4356" s="13" t="s">
        <v>103</v>
      </c>
      <c r="G4356" s="24" t="s">
        <v>3632</v>
      </c>
      <c r="H4356" s="24" t="s">
        <v>27</v>
      </c>
      <c r="I4356" s="24" t="s">
        <v>3599</v>
      </c>
      <c r="J4356" s="14" t="s">
        <v>211</v>
      </c>
      <c r="K4356" s="15" t="s">
        <v>30</v>
      </c>
      <c r="L4356" s="62"/>
      <c r="M4356" s="14"/>
      <c r="N4356" s="14" t="s">
        <v>115</v>
      </c>
      <c r="O4356" s="14"/>
      <c r="P4356" s="15" t="s">
        <v>827</v>
      </c>
      <c r="Q4356" s="16">
        <v>6199</v>
      </c>
      <c r="R4356" s="17">
        <v>40</v>
      </c>
      <c r="S4356" s="18">
        <v>4277.3099999999995</v>
      </c>
      <c r="T4356" s="19" t="s">
        <v>36</v>
      </c>
      <c r="U4356" s="20" t="s">
        <v>39</v>
      </c>
      <c r="V4356" s="21" t="s">
        <v>40</v>
      </c>
      <c r="W4356" s="22">
        <v>20</v>
      </c>
      <c r="X4356" s="23"/>
    </row>
    <row r="4357" spans="1:24" s="1" customFormat="1" ht="21" customHeight="1" x14ac:dyDescent="0.3">
      <c r="A4357" s="24" t="s">
        <v>23</v>
      </c>
      <c r="B4357" s="24" t="s">
        <v>4001</v>
      </c>
      <c r="C4357" s="27" t="s">
        <v>4006</v>
      </c>
      <c r="D4357" s="60"/>
      <c r="E4357" s="41" t="str">
        <f>HYPERLINK("https://www.google.ru/search?q=1378677-429&amp;newwindow=1&amp;tbm=isch","Еще фото")</f>
        <v>Еще фото</v>
      </c>
      <c r="F4357" s="13" t="s">
        <v>103</v>
      </c>
      <c r="G4357" s="24" t="s">
        <v>3632</v>
      </c>
      <c r="H4357" s="24" t="s">
        <v>27</v>
      </c>
      <c r="I4357" s="24" t="s">
        <v>3599</v>
      </c>
      <c r="J4357" s="14" t="s">
        <v>211</v>
      </c>
      <c r="K4357" s="15" t="s">
        <v>30</v>
      </c>
      <c r="L4357" s="62"/>
      <c r="M4357" s="14"/>
      <c r="N4357" s="14" t="s">
        <v>115</v>
      </c>
      <c r="O4357" s="14"/>
      <c r="P4357" s="15" t="s">
        <v>827</v>
      </c>
      <c r="Q4357" s="16">
        <v>6199</v>
      </c>
      <c r="R4357" s="17">
        <v>40</v>
      </c>
      <c r="S4357" s="18">
        <v>4277.3099999999995</v>
      </c>
      <c r="T4357" s="19" t="s">
        <v>36</v>
      </c>
      <c r="U4357" s="20" t="s">
        <v>86</v>
      </c>
      <c r="V4357" s="21" t="s">
        <v>87</v>
      </c>
      <c r="W4357" s="22">
        <v>20</v>
      </c>
      <c r="X4357" s="23"/>
    </row>
    <row r="4358" spans="1:24" s="1" customFormat="1" ht="21" customHeight="1" x14ac:dyDescent="0.3">
      <c r="A4358" s="24" t="s">
        <v>23</v>
      </c>
      <c r="B4358" s="24" t="s">
        <v>4001</v>
      </c>
      <c r="C4358" s="27" t="s">
        <v>4006</v>
      </c>
      <c r="D4358" s="60"/>
      <c r="E4358" s="41" t="str">
        <f>HYPERLINK("https://www.google.ru/search?q=1378677-429&amp;newwindow=1&amp;tbm=isch","Еще фото")</f>
        <v>Еще фото</v>
      </c>
      <c r="F4358" s="13" t="s">
        <v>103</v>
      </c>
      <c r="G4358" s="24" t="s">
        <v>3632</v>
      </c>
      <c r="H4358" s="24" t="s">
        <v>27</v>
      </c>
      <c r="I4358" s="24" t="s">
        <v>3599</v>
      </c>
      <c r="J4358" s="14" t="s">
        <v>211</v>
      </c>
      <c r="K4358" s="15" t="s">
        <v>30</v>
      </c>
      <c r="L4358" s="62"/>
      <c r="M4358" s="14"/>
      <c r="N4358" s="14" t="s">
        <v>115</v>
      </c>
      <c r="O4358" s="14"/>
      <c r="P4358" s="15" t="s">
        <v>827</v>
      </c>
      <c r="Q4358" s="16">
        <v>6199</v>
      </c>
      <c r="R4358" s="17">
        <v>40</v>
      </c>
      <c r="S4358" s="18">
        <v>4277.3099999999995</v>
      </c>
      <c r="T4358" s="19" t="s">
        <v>36</v>
      </c>
      <c r="U4358" s="20" t="s">
        <v>88</v>
      </c>
      <c r="V4358" s="21" t="s">
        <v>89</v>
      </c>
      <c r="W4358" s="22">
        <v>10</v>
      </c>
      <c r="X4358" s="23"/>
    </row>
    <row r="4359" spans="1:24" s="1" customFormat="1" ht="32" customHeight="1" x14ac:dyDescent="0.3">
      <c r="A4359" s="24" t="s">
        <v>23</v>
      </c>
      <c r="B4359" s="24" t="s">
        <v>4001</v>
      </c>
      <c r="C4359" s="27" t="s">
        <v>4006</v>
      </c>
      <c r="D4359" s="61"/>
      <c r="E4359" s="41" t="str">
        <f>HYPERLINK("https://www.google.ru/search?q=1378677-429&amp;newwindow=1&amp;tbm=isch","Еще фото")</f>
        <v>Еще фото</v>
      </c>
      <c r="F4359" s="13" t="s">
        <v>103</v>
      </c>
      <c r="G4359" s="24" t="s">
        <v>3632</v>
      </c>
      <c r="H4359" s="24" t="s">
        <v>27</v>
      </c>
      <c r="I4359" s="24" t="s">
        <v>3599</v>
      </c>
      <c r="J4359" s="14" t="s">
        <v>211</v>
      </c>
      <c r="K4359" s="15" t="s">
        <v>30</v>
      </c>
      <c r="L4359" s="58"/>
      <c r="M4359" s="14"/>
      <c r="N4359" s="14" t="s">
        <v>115</v>
      </c>
      <c r="O4359" s="14"/>
      <c r="P4359" s="15" t="s">
        <v>827</v>
      </c>
      <c r="Q4359" s="16">
        <v>6199</v>
      </c>
      <c r="R4359" s="17">
        <v>40</v>
      </c>
      <c r="S4359" s="18">
        <v>4277.3099999999995</v>
      </c>
      <c r="T4359" s="19" t="s">
        <v>36</v>
      </c>
      <c r="U4359" s="20" t="s">
        <v>90</v>
      </c>
      <c r="V4359" s="21" t="s">
        <v>91</v>
      </c>
      <c r="W4359" s="22">
        <v>7</v>
      </c>
      <c r="X4359" s="23"/>
    </row>
    <row r="4360" spans="1:24" s="1" customFormat="1" ht="52.05" customHeight="1" x14ac:dyDescent="0.3">
      <c r="A4360" s="11" t="s">
        <v>23</v>
      </c>
      <c r="B4360" s="11" t="s">
        <v>4007</v>
      </c>
      <c r="C4360" s="12" t="s">
        <v>4008</v>
      </c>
      <c r="D4360" s="55"/>
      <c r="E4360" s="41" t="str">
        <f>HYPERLINK("https://www.google.ru/search?q=1379141-348&amp;newwindow=1&amp;tbm=isch","Еще фото")</f>
        <v>Еще фото</v>
      </c>
      <c r="F4360" s="13" t="s">
        <v>103</v>
      </c>
      <c r="G4360" s="11" t="s">
        <v>3604</v>
      </c>
      <c r="H4360" s="11" t="s">
        <v>27</v>
      </c>
      <c r="I4360" s="14" t="s">
        <v>3599</v>
      </c>
      <c r="J4360" s="14" t="s">
        <v>29</v>
      </c>
      <c r="K4360" s="15" t="s">
        <v>59</v>
      </c>
      <c r="L4360" s="57" t="s">
        <v>4009</v>
      </c>
      <c r="M4360" s="14"/>
      <c r="N4360" s="14" t="s">
        <v>127</v>
      </c>
      <c r="O4360" s="14"/>
      <c r="P4360" s="15" t="s">
        <v>213</v>
      </c>
      <c r="Q4360" s="16">
        <v>4599</v>
      </c>
      <c r="R4360" s="17">
        <v>40</v>
      </c>
      <c r="S4360" s="18">
        <v>3173.31</v>
      </c>
      <c r="T4360" s="19" t="s">
        <v>36</v>
      </c>
      <c r="U4360" s="20" t="s">
        <v>63</v>
      </c>
      <c r="V4360" s="21" t="s">
        <v>64</v>
      </c>
      <c r="W4360" s="22">
        <v>3</v>
      </c>
      <c r="X4360" s="23"/>
    </row>
    <row r="4361" spans="1:24" s="1" customFormat="1" ht="61.05" customHeight="1" x14ac:dyDescent="0.3">
      <c r="A4361" s="24" t="s">
        <v>23</v>
      </c>
      <c r="B4361" s="24" t="s">
        <v>4007</v>
      </c>
      <c r="C4361" s="12" t="s">
        <v>4008</v>
      </c>
      <c r="D4361" s="56"/>
      <c r="E4361" s="41" t="str">
        <f>HYPERLINK("https://www.google.ru/search?q=1379141-348&amp;newwindow=1&amp;tbm=isch","Еще фото")</f>
        <v>Еще фото</v>
      </c>
      <c r="F4361" s="13" t="s">
        <v>103</v>
      </c>
      <c r="G4361" s="24" t="s">
        <v>3604</v>
      </c>
      <c r="H4361" s="24" t="s">
        <v>27</v>
      </c>
      <c r="I4361" s="24" t="s">
        <v>3599</v>
      </c>
      <c r="J4361" s="14" t="s">
        <v>29</v>
      </c>
      <c r="K4361" s="15" t="s">
        <v>59</v>
      </c>
      <c r="L4361" s="58"/>
      <c r="M4361" s="14"/>
      <c r="N4361" s="14" t="s">
        <v>127</v>
      </c>
      <c r="O4361" s="14"/>
      <c r="P4361" s="15" t="s">
        <v>213</v>
      </c>
      <c r="Q4361" s="16">
        <v>4599</v>
      </c>
      <c r="R4361" s="17">
        <v>40</v>
      </c>
      <c r="S4361" s="18">
        <v>3173.31</v>
      </c>
      <c r="T4361" s="19" t="s">
        <v>36</v>
      </c>
      <c r="U4361" s="20" t="s">
        <v>37</v>
      </c>
      <c r="V4361" s="21" t="s">
        <v>106</v>
      </c>
      <c r="W4361" s="22">
        <v>1</v>
      </c>
      <c r="X4361" s="23"/>
    </row>
    <row r="4362" spans="1:24" s="1" customFormat="1" ht="108" customHeight="1" x14ac:dyDescent="0.3">
      <c r="A4362" s="11" t="s">
        <v>23</v>
      </c>
      <c r="B4362" s="11" t="s">
        <v>3698</v>
      </c>
      <c r="C4362" s="12" t="s">
        <v>4010</v>
      </c>
      <c r="D4362" s="25"/>
      <c r="E4362" s="41" t="str">
        <f>HYPERLINK("https://www.google.ru/search?q=1379149-467&amp;newwindow=1&amp;tbm=isch","Еще фото")</f>
        <v>Еще фото</v>
      </c>
      <c r="F4362" s="13"/>
      <c r="G4362" s="11" t="s">
        <v>3604</v>
      </c>
      <c r="H4362" s="11" t="s">
        <v>27</v>
      </c>
      <c r="I4362" s="14" t="s">
        <v>3599</v>
      </c>
      <c r="J4362" s="14" t="s">
        <v>29</v>
      </c>
      <c r="K4362" s="15" t="s">
        <v>59</v>
      </c>
      <c r="L4362" s="14" t="s">
        <v>4011</v>
      </c>
      <c r="M4362" s="14"/>
      <c r="N4362" s="14" t="s">
        <v>115</v>
      </c>
      <c r="O4362" s="14"/>
      <c r="P4362" s="15" t="s">
        <v>3606</v>
      </c>
      <c r="Q4362" s="16">
        <v>5899</v>
      </c>
      <c r="R4362" s="17">
        <v>40</v>
      </c>
      <c r="S4362" s="18">
        <v>4070.31</v>
      </c>
      <c r="T4362" s="19" t="s">
        <v>36</v>
      </c>
      <c r="U4362" s="20" t="s">
        <v>39</v>
      </c>
      <c r="V4362" s="21" t="s">
        <v>85</v>
      </c>
      <c r="W4362" s="22">
        <v>1</v>
      </c>
      <c r="X4362" s="23"/>
    </row>
    <row r="4363" spans="1:24" s="1" customFormat="1" ht="21" customHeight="1" x14ac:dyDescent="0.3">
      <c r="A4363" s="11" t="s">
        <v>23</v>
      </c>
      <c r="B4363" s="11" t="s">
        <v>4012</v>
      </c>
      <c r="C4363" s="26" t="s">
        <v>4013</v>
      </c>
      <c r="D4363" s="59"/>
      <c r="E4363" s="41" t="str">
        <f>HYPERLINK("https://www.google.ru/search?q=1379153-001&amp;newwindow=1&amp;tbm=isch","Еще фото")</f>
        <v>Еще фото</v>
      </c>
      <c r="F4363" s="13"/>
      <c r="G4363" s="11" t="s">
        <v>3598</v>
      </c>
      <c r="H4363" s="11" t="s">
        <v>27</v>
      </c>
      <c r="I4363" s="14" t="s">
        <v>3599</v>
      </c>
      <c r="J4363" s="14" t="s">
        <v>29</v>
      </c>
      <c r="K4363" s="15" t="s">
        <v>59</v>
      </c>
      <c r="L4363" s="57" t="s">
        <v>4014</v>
      </c>
      <c r="M4363" s="14"/>
      <c r="N4363" s="14" t="s">
        <v>33</v>
      </c>
      <c r="O4363" s="14"/>
      <c r="P4363" s="15" t="s">
        <v>1008</v>
      </c>
      <c r="Q4363" s="16">
        <v>5799</v>
      </c>
      <c r="R4363" s="17">
        <v>40</v>
      </c>
      <c r="S4363" s="18">
        <v>4001.31</v>
      </c>
      <c r="T4363" s="19" t="s">
        <v>36</v>
      </c>
      <c r="U4363" s="20" t="s">
        <v>63</v>
      </c>
      <c r="V4363" s="21" t="s">
        <v>64</v>
      </c>
      <c r="W4363" s="22">
        <v>9</v>
      </c>
      <c r="X4363" s="23"/>
    </row>
    <row r="4364" spans="1:24" s="1" customFormat="1" ht="21" customHeight="1" x14ac:dyDescent="0.3">
      <c r="A4364" s="24" t="s">
        <v>23</v>
      </c>
      <c r="B4364" s="24" t="s">
        <v>4012</v>
      </c>
      <c r="C4364" s="27" t="s">
        <v>4013</v>
      </c>
      <c r="D4364" s="60"/>
      <c r="E4364" s="41" t="str">
        <f>HYPERLINK("https://www.google.ru/search?q=1379153-001&amp;newwindow=1&amp;tbm=isch","Еще фото")</f>
        <v>Еще фото</v>
      </c>
      <c r="F4364" s="13"/>
      <c r="G4364" s="24" t="s">
        <v>3598</v>
      </c>
      <c r="H4364" s="24" t="s">
        <v>27</v>
      </c>
      <c r="I4364" s="24" t="s">
        <v>3599</v>
      </c>
      <c r="J4364" s="14" t="s">
        <v>29</v>
      </c>
      <c r="K4364" s="15" t="s">
        <v>59</v>
      </c>
      <c r="L4364" s="62"/>
      <c r="M4364" s="14"/>
      <c r="N4364" s="14" t="s">
        <v>33</v>
      </c>
      <c r="O4364" s="14"/>
      <c r="P4364" s="15" t="s">
        <v>1008</v>
      </c>
      <c r="Q4364" s="16">
        <v>5799</v>
      </c>
      <c r="R4364" s="17">
        <v>40</v>
      </c>
      <c r="S4364" s="18">
        <v>4001.31</v>
      </c>
      <c r="T4364" s="19" t="s">
        <v>36</v>
      </c>
      <c r="U4364" s="20" t="s">
        <v>37</v>
      </c>
      <c r="V4364" s="21" t="s">
        <v>106</v>
      </c>
      <c r="W4364" s="22">
        <v>10</v>
      </c>
      <c r="X4364" s="23"/>
    </row>
    <row r="4365" spans="1:24" s="1" customFormat="1" ht="21" customHeight="1" x14ac:dyDescent="0.3">
      <c r="A4365" s="24" t="s">
        <v>23</v>
      </c>
      <c r="B4365" s="24" t="s">
        <v>4012</v>
      </c>
      <c r="C4365" s="27" t="s">
        <v>4013</v>
      </c>
      <c r="D4365" s="60"/>
      <c r="E4365" s="41" t="str">
        <f>HYPERLINK("https://www.google.ru/search?q=1379153-001&amp;newwindow=1&amp;tbm=isch","Еще фото")</f>
        <v>Еще фото</v>
      </c>
      <c r="F4365" s="13"/>
      <c r="G4365" s="24" t="s">
        <v>3598</v>
      </c>
      <c r="H4365" s="24" t="s">
        <v>27</v>
      </c>
      <c r="I4365" s="24" t="s">
        <v>3599</v>
      </c>
      <c r="J4365" s="14" t="s">
        <v>29</v>
      </c>
      <c r="K4365" s="15" t="s">
        <v>59</v>
      </c>
      <c r="L4365" s="62"/>
      <c r="M4365" s="14"/>
      <c r="N4365" s="14" t="s">
        <v>33</v>
      </c>
      <c r="O4365" s="14"/>
      <c r="P4365" s="15" t="s">
        <v>1008</v>
      </c>
      <c r="Q4365" s="16">
        <v>5799</v>
      </c>
      <c r="R4365" s="17">
        <v>40</v>
      </c>
      <c r="S4365" s="18">
        <v>4001.31</v>
      </c>
      <c r="T4365" s="19" t="s">
        <v>36</v>
      </c>
      <c r="U4365" s="20" t="s">
        <v>39</v>
      </c>
      <c r="V4365" s="21" t="s">
        <v>85</v>
      </c>
      <c r="W4365" s="22">
        <v>8</v>
      </c>
      <c r="X4365" s="23"/>
    </row>
    <row r="4366" spans="1:24" s="1" customFormat="1" ht="21" customHeight="1" x14ac:dyDescent="0.3">
      <c r="A4366" s="24" t="s">
        <v>23</v>
      </c>
      <c r="B4366" s="24" t="s">
        <v>4012</v>
      </c>
      <c r="C4366" s="27" t="s">
        <v>4013</v>
      </c>
      <c r="D4366" s="60"/>
      <c r="E4366" s="41" t="str">
        <f>HYPERLINK("https://www.google.ru/search?q=1379153-001&amp;newwindow=1&amp;tbm=isch","Еще фото")</f>
        <v>Еще фото</v>
      </c>
      <c r="F4366" s="13"/>
      <c r="G4366" s="24" t="s">
        <v>3598</v>
      </c>
      <c r="H4366" s="24" t="s">
        <v>27</v>
      </c>
      <c r="I4366" s="24" t="s">
        <v>3599</v>
      </c>
      <c r="J4366" s="14" t="s">
        <v>29</v>
      </c>
      <c r="K4366" s="15" t="s">
        <v>59</v>
      </c>
      <c r="L4366" s="62"/>
      <c r="M4366" s="14"/>
      <c r="N4366" s="14" t="s">
        <v>33</v>
      </c>
      <c r="O4366" s="14"/>
      <c r="P4366" s="15" t="s">
        <v>1008</v>
      </c>
      <c r="Q4366" s="16">
        <v>5799</v>
      </c>
      <c r="R4366" s="17">
        <v>40</v>
      </c>
      <c r="S4366" s="18">
        <v>4001.31</v>
      </c>
      <c r="T4366" s="19" t="s">
        <v>36</v>
      </c>
      <c r="U4366" s="20" t="s">
        <v>86</v>
      </c>
      <c r="V4366" s="21" t="s">
        <v>38</v>
      </c>
      <c r="W4366" s="22">
        <v>8</v>
      </c>
      <c r="X4366" s="23"/>
    </row>
    <row r="4367" spans="1:24" s="1" customFormat="1" ht="32" customHeight="1" x14ac:dyDescent="0.3">
      <c r="A4367" s="24" t="s">
        <v>23</v>
      </c>
      <c r="B4367" s="24" t="s">
        <v>4012</v>
      </c>
      <c r="C4367" s="27" t="s">
        <v>4013</v>
      </c>
      <c r="D4367" s="61"/>
      <c r="E4367" s="41" t="str">
        <f>HYPERLINK("https://www.google.ru/search?q=1379153-001&amp;newwindow=1&amp;tbm=isch","Еще фото")</f>
        <v>Еще фото</v>
      </c>
      <c r="F4367" s="13"/>
      <c r="G4367" s="24" t="s">
        <v>3598</v>
      </c>
      <c r="H4367" s="24" t="s">
        <v>27</v>
      </c>
      <c r="I4367" s="24" t="s">
        <v>3599</v>
      </c>
      <c r="J4367" s="14" t="s">
        <v>29</v>
      </c>
      <c r="K4367" s="15" t="s">
        <v>59</v>
      </c>
      <c r="L4367" s="58"/>
      <c r="M4367" s="14"/>
      <c r="N4367" s="14" t="s">
        <v>33</v>
      </c>
      <c r="O4367" s="14"/>
      <c r="P4367" s="15" t="s">
        <v>1008</v>
      </c>
      <c r="Q4367" s="16">
        <v>5799</v>
      </c>
      <c r="R4367" s="17">
        <v>40</v>
      </c>
      <c r="S4367" s="18">
        <v>4001.31</v>
      </c>
      <c r="T4367" s="19" t="s">
        <v>36</v>
      </c>
      <c r="U4367" s="20" t="s">
        <v>88</v>
      </c>
      <c r="V4367" s="21" t="s">
        <v>40</v>
      </c>
      <c r="W4367" s="22">
        <v>1</v>
      </c>
      <c r="X4367" s="23"/>
    </row>
    <row r="4368" spans="1:24" s="1" customFormat="1" ht="52.05" customHeight="1" x14ac:dyDescent="0.3">
      <c r="A4368" s="11" t="s">
        <v>23</v>
      </c>
      <c r="B4368" s="11" t="s">
        <v>4015</v>
      </c>
      <c r="C4368" s="12" t="s">
        <v>4016</v>
      </c>
      <c r="D4368" s="55"/>
      <c r="E4368" s="41" t="str">
        <f>HYPERLINK("https://www.google.ru/search?q=1379178-538&amp;newwindow=1&amp;tbm=isch","Еще фото")</f>
        <v>Еще фото</v>
      </c>
      <c r="F4368" s="13" t="s">
        <v>103</v>
      </c>
      <c r="G4368" s="11" t="s">
        <v>3604</v>
      </c>
      <c r="H4368" s="11" t="s">
        <v>27</v>
      </c>
      <c r="I4368" s="14" t="s">
        <v>3599</v>
      </c>
      <c r="J4368" s="14" t="s">
        <v>29</v>
      </c>
      <c r="K4368" s="15" t="s">
        <v>59</v>
      </c>
      <c r="L4368" s="57" t="s">
        <v>4017</v>
      </c>
      <c r="M4368" s="14"/>
      <c r="N4368" s="14" t="s">
        <v>79</v>
      </c>
      <c r="O4368" s="14"/>
      <c r="P4368" s="15" t="s">
        <v>213</v>
      </c>
      <c r="Q4368" s="16">
        <v>2699</v>
      </c>
      <c r="R4368" s="17">
        <v>40</v>
      </c>
      <c r="S4368" s="18">
        <v>1862.31</v>
      </c>
      <c r="T4368" s="19" t="s">
        <v>36</v>
      </c>
      <c r="U4368" s="20" t="s">
        <v>86</v>
      </c>
      <c r="V4368" s="21" t="s">
        <v>38</v>
      </c>
      <c r="W4368" s="22">
        <v>3</v>
      </c>
      <c r="X4368" s="23"/>
    </row>
    <row r="4369" spans="1:24" s="1" customFormat="1" ht="61.05" customHeight="1" x14ac:dyDescent="0.3">
      <c r="A4369" s="24" t="s">
        <v>23</v>
      </c>
      <c r="B4369" s="24" t="s">
        <v>4015</v>
      </c>
      <c r="C4369" s="12" t="s">
        <v>4016</v>
      </c>
      <c r="D4369" s="56"/>
      <c r="E4369" s="41" t="str">
        <f>HYPERLINK("https://www.google.ru/search?q=1379178-538&amp;newwindow=1&amp;tbm=isch","Еще фото")</f>
        <v>Еще фото</v>
      </c>
      <c r="F4369" s="13" t="s">
        <v>103</v>
      </c>
      <c r="G4369" s="24" t="s">
        <v>3604</v>
      </c>
      <c r="H4369" s="24" t="s">
        <v>27</v>
      </c>
      <c r="I4369" s="24" t="s">
        <v>3599</v>
      </c>
      <c r="J4369" s="14" t="s">
        <v>29</v>
      </c>
      <c r="K4369" s="15" t="s">
        <v>59</v>
      </c>
      <c r="L4369" s="58"/>
      <c r="M4369" s="14"/>
      <c r="N4369" s="14" t="s">
        <v>79</v>
      </c>
      <c r="O4369" s="14"/>
      <c r="P4369" s="15" t="s">
        <v>213</v>
      </c>
      <c r="Q4369" s="16">
        <v>2699</v>
      </c>
      <c r="R4369" s="17">
        <v>40</v>
      </c>
      <c r="S4369" s="18">
        <v>1862.31</v>
      </c>
      <c r="T4369" s="19" t="s">
        <v>36</v>
      </c>
      <c r="U4369" s="20" t="s">
        <v>88</v>
      </c>
      <c r="V4369" s="21" t="s">
        <v>40</v>
      </c>
      <c r="W4369" s="22">
        <v>1</v>
      </c>
      <c r="X4369" s="23"/>
    </row>
    <row r="4370" spans="1:24" s="1" customFormat="1" ht="108" customHeight="1" x14ac:dyDescent="0.3">
      <c r="A4370" s="11" t="s">
        <v>23</v>
      </c>
      <c r="B4370" s="11" t="s">
        <v>3749</v>
      </c>
      <c r="C4370" s="12" t="s">
        <v>4018</v>
      </c>
      <c r="D4370" s="25"/>
      <c r="E4370" s="41" t="str">
        <f>HYPERLINK("https://www.google.ru/search?q=1382434-044&amp;newwindow=1&amp;tbm=isch","Еще фото")</f>
        <v>Еще фото</v>
      </c>
      <c r="F4370" s="13"/>
      <c r="G4370" s="11" t="s">
        <v>3604</v>
      </c>
      <c r="H4370" s="11" t="s">
        <v>27</v>
      </c>
      <c r="I4370" s="14" t="s">
        <v>3599</v>
      </c>
      <c r="J4370" s="14" t="s">
        <v>29</v>
      </c>
      <c r="K4370" s="15" t="s">
        <v>59</v>
      </c>
      <c r="L4370" s="14" t="s">
        <v>4019</v>
      </c>
      <c r="M4370" s="14"/>
      <c r="N4370" s="14" t="s">
        <v>62</v>
      </c>
      <c r="O4370" s="14"/>
      <c r="P4370" s="15" t="s">
        <v>3717</v>
      </c>
      <c r="Q4370" s="16">
        <v>3499</v>
      </c>
      <c r="R4370" s="17">
        <v>40</v>
      </c>
      <c r="S4370" s="18">
        <v>2414.31</v>
      </c>
      <c r="T4370" s="19" t="s">
        <v>36</v>
      </c>
      <c r="U4370" s="20" t="s">
        <v>63</v>
      </c>
      <c r="V4370" s="21" t="s">
        <v>64</v>
      </c>
      <c r="W4370" s="22">
        <v>2</v>
      </c>
      <c r="X4370" s="23"/>
    </row>
    <row r="4371" spans="1:24" s="1" customFormat="1" ht="108" customHeight="1" x14ac:dyDescent="0.3">
      <c r="A4371" s="11" t="s">
        <v>23</v>
      </c>
      <c r="B4371" s="11" t="s">
        <v>4020</v>
      </c>
      <c r="C4371" s="12" t="s">
        <v>4021</v>
      </c>
      <c r="D4371" s="25"/>
      <c r="E4371" s="41" t="str">
        <f>HYPERLINK("https://www.google.ru/search?q=1382436-100&amp;newwindow=1&amp;tbm=isch","Еще фото")</f>
        <v>Еще фото</v>
      </c>
      <c r="F4371" s="13"/>
      <c r="G4371" s="11" t="s">
        <v>3598</v>
      </c>
      <c r="H4371" s="11" t="s">
        <v>27</v>
      </c>
      <c r="I4371" s="14" t="s">
        <v>3599</v>
      </c>
      <c r="J4371" s="14" t="s">
        <v>29</v>
      </c>
      <c r="K4371" s="15" t="s">
        <v>59</v>
      </c>
      <c r="L4371" s="14" t="s">
        <v>4022</v>
      </c>
      <c r="M4371" s="14"/>
      <c r="N4371" s="14" t="s">
        <v>84</v>
      </c>
      <c r="O4371" s="14"/>
      <c r="P4371" s="15" t="s">
        <v>4023</v>
      </c>
      <c r="Q4371" s="16">
        <v>3199</v>
      </c>
      <c r="R4371" s="17">
        <v>40</v>
      </c>
      <c r="S4371" s="18">
        <v>2207.31</v>
      </c>
      <c r="T4371" s="19" t="s">
        <v>36</v>
      </c>
      <c r="U4371" s="20" t="s">
        <v>88</v>
      </c>
      <c r="V4371" s="21" t="s">
        <v>40</v>
      </c>
      <c r="W4371" s="22">
        <v>2</v>
      </c>
      <c r="X4371" s="23"/>
    </row>
    <row r="4372" spans="1:24" s="1" customFormat="1" ht="21" customHeight="1" x14ac:dyDescent="0.3">
      <c r="A4372" s="11" t="s">
        <v>23</v>
      </c>
      <c r="B4372" s="11" t="s">
        <v>4024</v>
      </c>
      <c r="C4372" s="26" t="s">
        <v>4025</v>
      </c>
      <c r="D4372" s="59"/>
      <c r="E4372" s="41" t="str">
        <f>HYPERLINK("https://www.google.ru/search?q=1382796-001&amp;newwindow=1&amp;tbm=isch","Еще фото")</f>
        <v>Еще фото</v>
      </c>
      <c r="F4372" s="28" t="s">
        <v>138</v>
      </c>
      <c r="G4372" s="11" t="s">
        <v>3604</v>
      </c>
      <c r="H4372" s="11" t="s">
        <v>27</v>
      </c>
      <c r="I4372" s="14" t="s">
        <v>3599</v>
      </c>
      <c r="J4372" s="14" t="s">
        <v>29</v>
      </c>
      <c r="K4372" s="15" t="s">
        <v>30</v>
      </c>
      <c r="L4372" s="57" t="s">
        <v>4026</v>
      </c>
      <c r="M4372" s="14"/>
      <c r="N4372" s="14" t="s">
        <v>62</v>
      </c>
      <c r="O4372" s="14"/>
      <c r="P4372" s="15" t="s">
        <v>47</v>
      </c>
      <c r="Q4372" s="16">
        <v>3499</v>
      </c>
      <c r="R4372" s="17">
        <v>40</v>
      </c>
      <c r="S4372" s="18">
        <v>2414.31</v>
      </c>
      <c r="T4372" s="19" t="s">
        <v>36</v>
      </c>
      <c r="U4372" s="20" t="s">
        <v>37</v>
      </c>
      <c r="V4372" s="21" t="s">
        <v>38</v>
      </c>
      <c r="W4372" s="22">
        <v>9</v>
      </c>
      <c r="X4372" s="23"/>
    </row>
    <row r="4373" spans="1:24" s="1" customFormat="1" ht="21" customHeight="1" x14ac:dyDescent="0.3">
      <c r="A4373" s="24" t="s">
        <v>23</v>
      </c>
      <c r="B4373" s="24" t="s">
        <v>4024</v>
      </c>
      <c r="C4373" s="27" t="s">
        <v>4025</v>
      </c>
      <c r="D4373" s="60"/>
      <c r="E4373" s="41" t="str">
        <f>HYPERLINK("https://www.google.ru/search?q=1382796-001&amp;newwindow=1&amp;tbm=isch","Еще фото")</f>
        <v>Еще фото</v>
      </c>
      <c r="F4373" s="28" t="s">
        <v>138</v>
      </c>
      <c r="G4373" s="24" t="s">
        <v>3604</v>
      </c>
      <c r="H4373" s="24" t="s">
        <v>27</v>
      </c>
      <c r="I4373" s="24" t="s">
        <v>3599</v>
      </c>
      <c r="J4373" s="14" t="s">
        <v>29</v>
      </c>
      <c r="K4373" s="15" t="s">
        <v>30</v>
      </c>
      <c r="L4373" s="62"/>
      <c r="M4373" s="14"/>
      <c r="N4373" s="14" t="s">
        <v>62</v>
      </c>
      <c r="O4373" s="14"/>
      <c r="P4373" s="15" t="s">
        <v>47</v>
      </c>
      <c r="Q4373" s="16">
        <v>3499</v>
      </c>
      <c r="R4373" s="17">
        <v>40</v>
      </c>
      <c r="S4373" s="18">
        <v>2414.31</v>
      </c>
      <c r="T4373" s="19" t="s">
        <v>36</v>
      </c>
      <c r="U4373" s="20" t="s">
        <v>39</v>
      </c>
      <c r="V4373" s="21" t="s">
        <v>40</v>
      </c>
      <c r="W4373" s="22">
        <v>14</v>
      </c>
      <c r="X4373" s="23"/>
    </row>
    <row r="4374" spans="1:24" s="1" customFormat="1" ht="21" customHeight="1" x14ac:dyDescent="0.3">
      <c r="A4374" s="24" t="s">
        <v>23</v>
      </c>
      <c r="B4374" s="24" t="s">
        <v>4024</v>
      </c>
      <c r="C4374" s="27" t="s">
        <v>4025</v>
      </c>
      <c r="D4374" s="60"/>
      <c r="E4374" s="41" t="str">
        <f>HYPERLINK("https://www.google.ru/search?q=1382796-001&amp;newwindow=1&amp;tbm=isch","Еще фото")</f>
        <v>Еще фото</v>
      </c>
      <c r="F4374" s="28" t="s">
        <v>138</v>
      </c>
      <c r="G4374" s="24" t="s">
        <v>3604</v>
      </c>
      <c r="H4374" s="24" t="s">
        <v>27</v>
      </c>
      <c r="I4374" s="24" t="s">
        <v>3599</v>
      </c>
      <c r="J4374" s="14" t="s">
        <v>29</v>
      </c>
      <c r="K4374" s="15" t="s">
        <v>30</v>
      </c>
      <c r="L4374" s="62"/>
      <c r="M4374" s="14"/>
      <c r="N4374" s="14" t="s">
        <v>62</v>
      </c>
      <c r="O4374" s="14"/>
      <c r="P4374" s="15" t="s">
        <v>47</v>
      </c>
      <c r="Q4374" s="16">
        <v>3499</v>
      </c>
      <c r="R4374" s="17">
        <v>40</v>
      </c>
      <c r="S4374" s="18">
        <v>2414.31</v>
      </c>
      <c r="T4374" s="19" t="s">
        <v>36</v>
      </c>
      <c r="U4374" s="20" t="s">
        <v>86</v>
      </c>
      <c r="V4374" s="21" t="s">
        <v>87</v>
      </c>
      <c r="W4374" s="22">
        <v>11</v>
      </c>
      <c r="X4374" s="23"/>
    </row>
    <row r="4375" spans="1:24" s="1" customFormat="1" ht="21" customHeight="1" x14ac:dyDescent="0.3">
      <c r="A4375" s="24" t="s">
        <v>23</v>
      </c>
      <c r="B4375" s="24" t="s">
        <v>4024</v>
      </c>
      <c r="C4375" s="27" t="s">
        <v>4025</v>
      </c>
      <c r="D4375" s="60"/>
      <c r="E4375" s="41" t="str">
        <f>HYPERLINK("https://www.google.ru/search?q=1382796-001&amp;newwindow=1&amp;tbm=isch","Еще фото")</f>
        <v>Еще фото</v>
      </c>
      <c r="F4375" s="28" t="s">
        <v>138</v>
      </c>
      <c r="G4375" s="24" t="s">
        <v>3604</v>
      </c>
      <c r="H4375" s="24" t="s">
        <v>27</v>
      </c>
      <c r="I4375" s="24" t="s">
        <v>3599</v>
      </c>
      <c r="J4375" s="14" t="s">
        <v>29</v>
      </c>
      <c r="K4375" s="15" t="s">
        <v>30</v>
      </c>
      <c r="L4375" s="62"/>
      <c r="M4375" s="14"/>
      <c r="N4375" s="14" t="s">
        <v>62</v>
      </c>
      <c r="O4375" s="14"/>
      <c r="P4375" s="15" t="s">
        <v>47</v>
      </c>
      <c r="Q4375" s="16">
        <v>3499</v>
      </c>
      <c r="R4375" s="17">
        <v>40</v>
      </c>
      <c r="S4375" s="18">
        <v>2414.31</v>
      </c>
      <c r="T4375" s="19" t="s">
        <v>36</v>
      </c>
      <c r="U4375" s="20" t="s">
        <v>88</v>
      </c>
      <c r="V4375" s="21" t="s">
        <v>89</v>
      </c>
      <c r="W4375" s="22">
        <v>11</v>
      </c>
      <c r="X4375" s="23"/>
    </row>
    <row r="4376" spans="1:24" s="1" customFormat="1" ht="32" customHeight="1" x14ac:dyDescent="0.3">
      <c r="A4376" s="24" t="s">
        <v>23</v>
      </c>
      <c r="B4376" s="24" t="s">
        <v>4024</v>
      </c>
      <c r="C4376" s="27" t="s">
        <v>4025</v>
      </c>
      <c r="D4376" s="61"/>
      <c r="E4376" s="41" t="str">
        <f>HYPERLINK("https://www.google.ru/search?q=1382796-001&amp;newwindow=1&amp;tbm=isch","Еще фото")</f>
        <v>Еще фото</v>
      </c>
      <c r="F4376" s="28" t="s">
        <v>138</v>
      </c>
      <c r="G4376" s="24" t="s">
        <v>3604</v>
      </c>
      <c r="H4376" s="24" t="s">
        <v>27</v>
      </c>
      <c r="I4376" s="24" t="s">
        <v>3599</v>
      </c>
      <c r="J4376" s="14" t="s">
        <v>29</v>
      </c>
      <c r="K4376" s="15" t="s">
        <v>30</v>
      </c>
      <c r="L4376" s="58"/>
      <c r="M4376" s="14"/>
      <c r="N4376" s="14" t="s">
        <v>62</v>
      </c>
      <c r="O4376" s="14"/>
      <c r="P4376" s="15" t="s">
        <v>47</v>
      </c>
      <c r="Q4376" s="16">
        <v>3499</v>
      </c>
      <c r="R4376" s="17">
        <v>40</v>
      </c>
      <c r="S4376" s="18">
        <v>2414.31</v>
      </c>
      <c r="T4376" s="19" t="s">
        <v>36</v>
      </c>
      <c r="U4376" s="20" t="s">
        <v>90</v>
      </c>
      <c r="V4376" s="21" t="s">
        <v>91</v>
      </c>
      <c r="W4376" s="22">
        <v>4</v>
      </c>
      <c r="X4376" s="23"/>
    </row>
    <row r="4377" spans="1:24" s="1" customFormat="1" ht="21" customHeight="1" x14ac:dyDescent="0.3">
      <c r="A4377" s="11" t="s">
        <v>23</v>
      </c>
      <c r="B4377" s="11" t="s">
        <v>4024</v>
      </c>
      <c r="C4377" s="26" t="s">
        <v>4027</v>
      </c>
      <c r="D4377" s="59"/>
      <c r="E4377" s="41" t="str">
        <f>HYPERLINK("https://www.google.ru/search?q=1382796-026&amp;newwindow=1&amp;tbm=isch","Еще фото")</f>
        <v>Еще фото</v>
      </c>
      <c r="F4377" s="28" t="s">
        <v>138</v>
      </c>
      <c r="G4377" s="11" t="s">
        <v>3604</v>
      </c>
      <c r="H4377" s="11" t="s">
        <v>27</v>
      </c>
      <c r="I4377" s="14" t="s">
        <v>3599</v>
      </c>
      <c r="J4377" s="14" t="s">
        <v>29</v>
      </c>
      <c r="K4377" s="15" t="s">
        <v>30</v>
      </c>
      <c r="L4377" s="57" t="s">
        <v>4026</v>
      </c>
      <c r="M4377" s="14"/>
      <c r="N4377" s="14" t="s">
        <v>62</v>
      </c>
      <c r="O4377" s="14"/>
      <c r="P4377" s="15" t="s">
        <v>47</v>
      </c>
      <c r="Q4377" s="16">
        <v>3499</v>
      </c>
      <c r="R4377" s="17">
        <v>40</v>
      </c>
      <c r="S4377" s="18">
        <v>2414.31</v>
      </c>
      <c r="T4377" s="19" t="s">
        <v>36</v>
      </c>
      <c r="U4377" s="20" t="s">
        <v>37</v>
      </c>
      <c r="V4377" s="21" t="s">
        <v>38</v>
      </c>
      <c r="W4377" s="22">
        <v>8</v>
      </c>
      <c r="X4377" s="23"/>
    </row>
    <row r="4378" spans="1:24" s="1" customFormat="1" ht="21" customHeight="1" x14ac:dyDescent="0.3">
      <c r="A4378" s="24" t="s">
        <v>23</v>
      </c>
      <c r="B4378" s="24" t="s">
        <v>4024</v>
      </c>
      <c r="C4378" s="27" t="s">
        <v>4027</v>
      </c>
      <c r="D4378" s="60"/>
      <c r="E4378" s="41" t="str">
        <f>HYPERLINK("https://www.google.ru/search?q=1382796-026&amp;newwindow=1&amp;tbm=isch","Еще фото")</f>
        <v>Еще фото</v>
      </c>
      <c r="F4378" s="28" t="s">
        <v>138</v>
      </c>
      <c r="G4378" s="24" t="s">
        <v>3604</v>
      </c>
      <c r="H4378" s="24" t="s">
        <v>27</v>
      </c>
      <c r="I4378" s="24" t="s">
        <v>3599</v>
      </c>
      <c r="J4378" s="14" t="s">
        <v>29</v>
      </c>
      <c r="K4378" s="15" t="s">
        <v>30</v>
      </c>
      <c r="L4378" s="62"/>
      <c r="M4378" s="14"/>
      <c r="N4378" s="14" t="s">
        <v>62</v>
      </c>
      <c r="O4378" s="14"/>
      <c r="P4378" s="15" t="s">
        <v>47</v>
      </c>
      <c r="Q4378" s="16">
        <v>3499</v>
      </c>
      <c r="R4378" s="17">
        <v>40</v>
      </c>
      <c r="S4378" s="18">
        <v>2414.31</v>
      </c>
      <c r="T4378" s="19" t="s">
        <v>36</v>
      </c>
      <c r="U4378" s="20" t="s">
        <v>39</v>
      </c>
      <c r="V4378" s="21" t="s">
        <v>40</v>
      </c>
      <c r="W4378" s="22">
        <v>20</v>
      </c>
      <c r="X4378" s="23"/>
    </row>
    <row r="4379" spans="1:24" s="1" customFormat="1" ht="21" customHeight="1" x14ac:dyDescent="0.3">
      <c r="A4379" s="24" t="s">
        <v>23</v>
      </c>
      <c r="B4379" s="24" t="s">
        <v>4024</v>
      </c>
      <c r="C4379" s="27" t="s">
        <v>4027</v>
      </c>
      <c r="D4379" s="60"/>
      <c r="E4379" s="41" t="str">
        <f>HYPERLINK("https://www.google.ru/search?q=1382796-026&amp;newwindow=1&amp;tbm=isch","Еще фото")</f>
        <v>Еще фото</v>
      </c>
      <c r="F4379" s="28" t="s">
        <v>138</v>
      </c>
      <c r="G4379" s="24" t="s">
        <v>3604</v>
      </c>
      <c r="H4379" s="24" t="s">
        <v>27</v>
      </c>
      <c r="I4379" s="24" t="s">
        <v>3599</v>
      </c>
      <c r="J4379" s="14" t="s">
        <v>29</v>
      </c>
      <c r="K4379" s="15" t="s">
        <v>30</v>
      </c>
      <c r="L4379" s="62"/>
      <c r="M4379" s="14"/>
      <c r="N4379" s="14" t="s">
        <v>62</v>
      </c>
      <c r="O4379" s="14"/>
      <c r="P4379" s="15" t="s">
        <v>47</v>
      </c>
      <c r="Q4379" s="16">
        <v>3499</v>
      </c>
      <c r="R4379" s="17">
        <v>40</v>
      </c>
      <c r="S4379" s="18">
        <v>2414.31</v>
      </c>
      <c r="T4379" s="19" t="s">
        <v>36</v>
      </c>
      <c r="U4379" s="20" t="s">
        <v>86</v>
      </c>
      <c r="V4379" s="21" t="s">
        <v>87</v>
      </c>
      <c r="W4379" s="22">
        <v>21</v>
      </c>
      <c r="X4379" s="23"/>
    </row>
    <row r="4380" spans="1:24" s="1" customFormat="1" ht="21" customHeight="1" x14ac:dyDescent="0.3">
      <c r="A4380" s="24" t="s">
        <v>23</v>
      </c>
      <c r="B4380" s="24" t="s">
        <v>4024</v>
      </c>
      <c r="C4380" s="27" t="s">
        <v>4027</v>
      </c>
      <c r="D4380" s="60"/>
      <c r="E4380" s="41" t="str">
        <f>HYPERLINK("https://www.google.ru/search?q=1382796-026&amp;newwindow=1&amp;tbm=isch","Еще фото")</f>
        <v>Еще фото</v>
      </c>
      <c r="F4380" s="28" t="s">
        <v>138</v>
      </c>
      <c r="G4380" s="24" t="s">
        <v>3604</v>
      </c>
      <c r="H4380" s="24" t="s">
        <v>27</v>
      </c>
      <c r="I4380" s="24" t="s">
        <v>3599</v>
      </c>
      <c r="J4380" s="14" t="s">
        <v>29</v>
      </c>
      <c r="K4380" s="15" t="s">
        <v>30</v>
      </c>
      <c r="L4380" s="62"/>
      <c r="M4380" s="14"/>
      <c r="N4380" s="14" t="s">
        <v>62</v>
      </c>
      <c r="O4380" s="14"/>
      <c r="P4380" s="15" t="s">
        <v>47</v>
      </c>
      <c r="Q4380" s="16">
        <v>3499</v>
      </c>
      <c r="R4380" s="17">
        <v>40</v>
      </c>
      <c r="S4380" s="18">
        <v>2414.31</v>
      </c>
      <c r="T4380" s="19" t="s">
        <v>36</v>
      </c>
      <c r="U4380" s="20" t="s">
        <v>88</v>
      </c>
      <c r="V4380" s="21" t="s">
        <v>89</v>
      </c>
      <c r="W4380" s="22">
        <v>12</v>
      </c>
      <c r="X4380" s="23"/>
    </row>
    <row r="4381" spans="1:24" s="1" customFormat="1" ht="32" customHeight="1" x14ac:dyDescent="0.3">
      <c r="A4381" s="24" t="s">
        <v>23</v>
      </c>
      <c r="B4381" s="24" t="s">
        <v>4024</v>
      </c>
      <c r="C4381" s="27" t="s">
        <v>4027</v>
      </c>
      <c r="D4381" s="61"/>
      <c r="E4381" s="41" t="str">
        <f>HYPERLINK("https://www.google.ru/search?q=1382796-026&amp;newwindow=1&amp;tbm=isch","Еще фото")</f>
        <v>Еще фото</v>
      </c>
      <c r="F4381" s="28" t="s">
        <v>138</v>
      </c>
      <c r="G4381" s="24" t="s">
        <v>3604</v>
      </c>
      <c r="H4381" s="24" t="s">
        <v>27</v>
      </c>
      <c r="I4381" s="24" t="s">
        <v>3599</v>
      </c>
      <c r="J4381" s="14" t="s">
        <v>29</v>
      </c>
      <c r="K4381" s="15" t="s">
        <v>30</v>
      </c>
      <c r="L4381" s="58"/>
      <c r="M4381" s="14"/>
      <c r="N4381" s="14" t="s">
        <v>62</v>
      </c>
      <c r="O4381" s="14"/>
      <c r="P4381" s="15" t="s">
        <v>47</v>
      </c>
      <c r="Q4381" s="16">
        <v>3499</v>
      </c>
      <c r="R4381" s="17">
        <v>40</v>
      </c>
      <c r="S4381" s="18">
        <v>2414.31</v>
      </c>
      <c r="T4381" s="19" t="s">
        <v>36</v>
      </c>
      <c r="U4381" s="20" t="s">
        <v>90</v>
      </c>
      <c r="V4381" s="21" t="s">
        <v>91</v>
      </c>
      <c r="W4381" s="22">
        <v>10</v>
      </c>
      <c r="X4381" s="23"/>
    </row>
    <row r="4382" spans="1:24" s="1" customFormat="1" ht="21" customHeight="1" x14ac:dyDescent="0.3">
      <c r="A4382" s="11" t="s">
        <v>23</v>
      </c>
      <c r="B4382" s="11" t="s">
        <v>4024</v>
      </c>
      <c r="C4382" s="26" t="s">
        <v>4028</v>
      </c>
      <c r="D4382" s="59"/>
      <c r="E4382" s="41" t="str">
        <f>HYPERLINK("https://www.google.ru/search?q=1382796-203&amp;newwindow=1&amp;tbm=isch","Еще фото")</f>
        <v>Еще фото</v>
      </c>
      <c r="F4382" s="28" t="s">
        <v>138</v>
      </c>
      <c r="G4382" s="11" t="s">
        <v>3604</v>
      </c>
      <c r="H4382" s="11" t="s">
        <v>27</v>
      </c>
      <c r="I4382" s="14" t="s">
        <v>3599</v>
      </c>
      <c r="J4382" s="14" t="s">
        <v>29</v>
      </c>
      <c r="K4382" s="15" t="s">
        <v>30</v>
      </c>
      <c r="L4382" s="57" t="s">
        <v>4026</v>
      </c>
      <c r="M4382" s="14"/>
      <c r="N4382" s="14" t="s">
        <v>229</v>
      </c>
      <c r="O4382" s="14"/>
      <c r="P4382" s="15" t="s">
        <v>47</v>
      </c>
      <c r="Q4382" s="16">
        <v>3499</v>
      </c>
      <c r="R4382" s="17">
        <v>40</v>
      </c>
      <c r="S4382" s="18">
        <v>2414.31</v>
      </c>
      <c r="T4382" s="19" t="s">
        <v>36</v>
      </c>
      <c r="U4382" s="20" t="s">
        <v>37</v>
      </c>
      <c r="V4382" s="21" t="s">
        <v>38</v>
      </c>
      <c r="W4382" s="22">
        <v>10</v>
      </c>
      <c r="X4382" s="23"/>
    </row>
    <row r="4383" spans="1:24" s="1" customFormat="1" ht="21" customHeight="1" x14ac:dyDescent="0.3">
      <c r="A4383" s="24" t="s">
        <v>23</v>
      </c>
      <c r="B4383" s="24" t="s">
        <v>4024</v>
      </c>
      <c r="C4383" s="27" t="s">
        <v>4028</v>
      </c>
      <c r="D4383" s="60"/>
      <c r="E4383" s="41" t="str">
        <f>HYPERLINK("https://www.google.ru/search?q=1382796-203&amp;newwindow=1&amp;tbm=isch","Еще фото")</f>
        <v>Еще фото</v>
      </c>
      <c r="F4383" s="28" t="s">
        <v>138</v>
      </c>
      <c r="G4383" s="24" t="s">
        <v>3604</v>
      </c>
      <c r="H4383" s="24" t="s">
        <v>27</v>
      </c>
      <c r="I4383" s="24" t="s">
        <v>3599</v>
      </c>
      <c r="J4383" s="14" t="s">
        <v>29</v>
      </c>
      <c r="K4383" s="15" t="s">
        <v>30</v>
      </c>
      <c r="L4383" s="62"/>
      <c r="M4383" s="14"/>
      <c r="N4383" s="14" t="s">
        <v>229</v>
      </c>
      <c r="O4383" s="14"/>
      <c r="P4383" s="15" t="s">
        <v>47</v>
      </c>
      <c r="Q4383" s="16">
        <v>3499</v>
      </c>
      <c r="R4383" s="17">
        <v>40</v>
      </c>
      <c r="S4383" s="18">
        <v>2414.31</v>
      </c>
      <c r="T4383" s="19" t="s">
        <v>36</v>
      </c>
      <c r="U4383" s="20" t="s">
        <v>39</v>
      </c>
      <c r="V4383" s="21" t="s">
        <v>40</v>
      </c>
      <c r="W4383" s="22">
        <v>22</v>
      </c>
      <c r="X4383" s="23"/>
    </row>
    <row r="4384" spans="1:24" s="1" customFormat="1" ht="21" customHeight="1" x14ac:dyDescent="0.3">
      <c r="A4384" s="24" t="s">
        <v>23</v>
      </c>
      <c r="B4384" s="24" t="s">
        <v>4024</v>
      </c>
      <c r="C4384" s="27" t="s">
        <v>4028</v>
      </c>
      <c r="D4384" s="60"/>
      <c r="E4384" s="41" t="str">
        <f>HYPERLINK("https://www.google.ru/search?q=1382796-203&amp;newwindow=1&amp;tbm=isch","Еще фото")</f>
        <v>Еще фото</v>
      </c>
      <c r="F4384" s="28" t="s">
        <v>138</v>
      </c>
      <c r="G4384" s="24" t="s">
        <v>3604</v>
      </c>
      <c r="H4384" s="24" t="s">
        <v>27</v>
      </c>
      <c r="I4384" s="24" t="s">
        <v>3599</v>
      </c>
      <c r="J4384" s="14" t="s">
        <v>29</v>
      </c>
      <c r="K4384" s="15" t="s">
        <v>30</v>
      </c>
      <c r="L4384" s="62"/>
      <c r="M4384" s="14"/>
      <c r="N4384" s="14" t="s">
        <v>229</v>
      </c>
      <c r="O4384" s="14"/>
      <c r="P4384" s="15" t="s">
        <v>47</v>
      </c>
      <c r="Q4384" s="16">
        <v>3499</v>
      </c>
      <c r="R4384" s="17">
        <v>40</v>
      </c>
      <c r="S4384" s="18">
        <v>2414.31</v>
      </c>
      <c r="T4384" s="19" t="s">
        <v>36</v>
      </c>
      <c r="U4384" s="20" t="s">
        <v>86</v>
      </c>
      <c r="V4384" s="21" t="s">
        <v>87</v>
      </c>
      <c r="W4384" s="22">
        <v>20</v>
      </c>
      <c r="X4384" s="23"/>
    </row>
    <row r="4385" spans="1:24" s="1" customFormat="1" ht="21" customHeight="1" x14ac:dyDescent="0.3">
      <c r="A4385" s="24" t="s">
        <v>23</v>
      </c>
      <c r="B4385" s="24" t="s">
        <v>4024</v>
      </c>
      <c r="C4385" s="27" t="s">
        <v>4028</v>
      </c>
      <c r="D4385" s="60"/>
      <c r="E4385" s="41" t="str">
        <f>HYPERLINK("https://www.google.ru/search?q=1382796-203&amp;newwindow=1&amp;tbm=isch","Еще фото")</f>
        <v>Еще фото</v>
      </c>
      <c r="F4385" s="28" t="s">
        <v>138</v>
      </c>
      <c r="G4385" s="24" t="s">
        <v>3604</v>
      </c>
      <c r="H4385" s="24" t="s">
        <v>27</v>
      </c>
      <c r="I4385" s="24" t="s">
        <v>3599</v>
      </c>
      <c r="J4385" s="14" t="s">
        <v>29</v>
      </c>
      <c r="K4385" s="15" t="s">
        <v>30</v>
      </c>
      <c r="L4385" s="62"/>
      <c r="M4385" s="14"/>
      <c r="N4385" s="14" t="s">
        <v>229</v>
      </c>
      <c r="O4385" s="14"/>
      <c r="P4385" s="15" t="s">
        <v>47</v>
      </c>
      <c r="Q4385" s="16">
        <v>3499</v>
      </c>
      <c r="R4385" s="17">
        <v>40</v>
      </c>
      <c r="S4385" s="18">
        <v>2414.31</v>
      </c>
      <c r="T4385" s="19" t="s">
        <v>36</v>
      </c>
      <c r="U4385" s="20" t="s">
        <v>88</v>
      </c>
      <c r="V4385" s="21" t="s">
        <v>89</v>
      </c>
      <c r="W4385" s="22">
        <v>10</v>
      </c>
      <c r="X4385" s="23"/>
    </row>
    <row r="4386" spans="1:24" s="1" customFormat="1" ht="32" customHeight="1" x14ac:dyDescent="0.3">
      <c r="A4386" s="24" t="s">
        <v>23</v>
      </c>
      <c r="B4386" s="24" t="s">
        <v>4024</v>
      </c>
      <c r="C4386" s="27" t="s">
        <v>4028</v>
      </c>
      <c r="D4386" s="61"/>
      <c r="E4386" s="41" t="str">
        <f>HYPERLINK("https://www.google.ru/search?q=1382796-203&amp;newwindow=1&amp;tbm=isch","Еще фото")</f>
        <v>Еще фото</v>
      </c>
      <c r="F4386" s="28" t="s">
        <v>138</v>
      </c>
      <c r="G4386" s="24" t="s">
        <v>3604</v>
      </c>
      <c r="H4386" s="24" t="s">
        <v>27</v>
      </c>
      <c r="I4386" s="24" t="s">
        <v>3599</v>
      </c>
      <c r="J4386" s="14" t="s">
        <v>29</v>
      </c>
      <c r="K4386" s="15" t="s">
        <v>30</v>
      </c>
      <c r="L4386" s="58"/>
      <c r="M4386" s="14"/>
      <c r="N4386" s="14" t="s">
        <v>229</v>
      </c>
      <c r="O4386" s="14"/>
      <c r="P4386" s="15" t="s">
        <v>47</v>
      </c>
      <c r="Q4386" s="16">
        <v>3499</v>
      </c>
      <c r="R4386" s="17">
        <v>40</v>
      </c>
      <c r="S4386" s="18">
        <v>2414.31</v>
      </c>
      <c r="T4386" s="19" t="s">
        <v>36</v>
      </c>
      <c r="U4386" s="20" t="s">
        <v>90</v>
      </c>
      <c r="V4386" s="21" t="s">
        <v>91</v>
      </c>
      <c r="W4386" s="22">
        <v>9</v>
      </c>
      <c r="X4386" s="23"/>
    </row>
    <row r="4387" spans="1:24" s="1" customFormat="1" ht="21" customHeight="1" x14ac:dyDescent="0.3">
      <c r="A4387" s="11" t="s">
        <v>23</v>
      </c>
      <c r="B4387" s="11" t="s">
        <v>4024</v>
      </c>
      <c r="C4387" s="26" t="s">
        <v>4029</v>
      </c>
      <c r="D4387" s="59"/>
      <c r="E4387" s="41" t="str">
        <f>HYPERLINK("https://www.google.ru/search?q=1382796-498&amp;newwindow=1&amp;tbm=isch","Еще фото")</f>
        <v>Еще фото</v>
      </c>
      <c r="F4387" s="28" t="s">
        <v>138</v>
      </c>
      <c r="G4387" s="11" t="s">
        <v>3604</v>
      </c>
      <c r="H4387" s="11" t="s">
        <v>27</v>
      </c>
      <c r="I4387" s="14" t="s">
        <v>3599</v>
      </c>
      <c r="J4387" s="14" t="s">
        <v>29</v>
      </c>
      <c r="K4387" s="15" t="s">
        <v>30</v>
      </c>
      <c r="L4387" s="57" t="s">
        <v>4026</v>
      </c>
      <c r="M4387" s="14"/>
      <c r="N4387" s="14" t="s">
        <v>115</v>
      </c>
      <c r="O4387" s="14"/>
      <c r="P4387" s="15" t="s">
        <v>47</v>
      </c>
      <c r="Q4387" s="16">
        <v>3499</v>
      </c>
      <c r="R4387" s="17">
        <v>40</v>
      </c>
      <c r="S4387" s="18">
        <v>2414.31</v>
      </c>
      <c r="T4387" s="19" t="s">
        <v>36</v>
      </c>
      <c r="U4387" s="20" t="s">
        <v>37</v>
      </c>
      <c r="V4387" s="21" t="s">
        <v>38</v>
      </c>
      <c r="W4387" s="22">
        <v>10</v>
      </c>
      <c r="X4387" s="23"/>
    </row>
    <row r="4388" spans="1:24" s="1" customFormat="1" ht="21" customHeight="1" x14ac:dyDescent="0.3">
      <c r="A4388" s="24" t="s">
        <v>23</v>
      </c>
      <c r="B4388" s="24" t="s">
        <v>4024</v>
      </c>
      <c r="C4388" s="27" t="s">
        <v>4029</v>
      </c>
      <c r="D4388" s="60"/>
      <c r="E4388" s="41" t="str">
        <f>HYPERLINK("https://www.google.ru/search?q=1382796-498&amp;newwindow=1&amp;tbm=isch","Еще фото")</f>
        <v>Еще фото</v>
      </c>
      <c r="F4388" s="28" t="s">
        <v>138</v>
      </c>
      <c r="G4388" s="24" t="s">
        <v>3604</v>
      </c>
      <c r="H4388" s="24" t="s">
        <v>27</v>
      </c>
      <c r="I4388" s="24" t="s">
        <v>3599</v>
      </c>
      <c r="J4388" s="14" t="s">
        <v>29</v>
      </c>
      <c r="K4388" s="15" t="s">
        <v>30</v>
      </c>
      <c r="L4388" s="62"/>
      <c r="M4388" s="14"/>
      <c r="N4388" s="14" t="s">
        <v>115</v>
      </c>
      <c r="O4388" s="14"/>
      <c r="P4388" s="15" t="s">
        <v>47</v>
      </c>
      <c r="Q4388" s="16">
        <v>3499</v>
      </c>
      <c r="R4388" s="17">
        <v>40</v>
      </c>
      <c r="S4388" s="18">
        <v>2414.31</v>
      </c>
      <c r="T4388" s="19" t="s">
        <v>36</v>
      </c>
      <c r="U4388" s="20" t="s">
        <v>39</v>
      </c>
      <c r="V4388" s="21" t="s">
        <v>40</v>
      </c>
      <c r="W4388" s="22">
        <v>20</v>
      </c>
      <c r="X4388" s="23"/>
    </row>
    <row r="4389" spans="1:24" s="1" customFormat="1" ht="21" customHeight="1" x14ac:dyDescent="0.3">
      <c r="A4389" s="24" t="s">
        <v>23</v>
      </c>
      <c r="B4389" s="24" t="s">
        <v>4024</v>
      </c>
      <c r="C4389" s="27" t="s">
        <v>4029</v>
      </c>
      <c r="D4389" s="60"/>
      <c r="E4389" s="41" t="str">
        <f>HYPERLINK("https://www.google.ru/search?q=1382796-498&amp;newwindow=1&amp;tbm=isch","Еще фото")</f>
        <v>Еще фото</v>
      </c>
      <c r="F4389" s="28" t="s">
        <v>138</v>
      </c>
      <c r="G4389" s="24" t="s">
        <v>3604</v>
      </c>
      <c r="H4389" s="24" t="s">
        <v>27</v>
      </c>
      <c r="I4389" s="24" t="s">
        <v>3599</v>
      </c>
      <c r="J4389" s="14" t="s">
        <v>29</v>
      </c>
      <c r="K4389" s="15" t="s">
        <v>30</v>
      </c>
      <c r="L4389" s="62"/>
      <c r="M4389" s="14"/>
      <c r="N4389" s="14" t="s">
        <v>115</v>
      </c>
      <c r="O4389" s="14"/>
      <c r="P4389" s="15" t="s">
        <v>47</v>
      </c>
      <c r="Q4389" s="16">
        <v>3499</v>
      </c>
      <c r="R4389" s="17">
        <v>40</v>
      </c>
      <c r="S4389" s="18">
        <v>2414.31</v>
      </c>
      <c r="T4389" s="19" t="s">
        <v>36</v>
      </c>
      <c r="U4389" s="20" t="s">
        <v>86</v>
      </c>
      <c r="V4389" s="21" t="s">
        <v>87</v>
      </c>
      <c r="W4389" s="22">
        <v>20</v>
      </c>
      <c r="X4389" s="23"/>
    </row>
    <row r="4390" spans="1:24" s="1" customFormat="1" ht="21" customHeight="1" x14ac:dyDescent="0.3">
      <c r="A4390" s="24" t="s">
        <v>23</v>
      </c>
      <c r="B4390" s="24" t="s">
        <v>4024</v>
      </c>
      <c r="C4390" s="27" t="s">
        <v>4029</v>
      </c>
      <c r="D4390" s="60"/>
      <c r="E4390" s="41" t="str">
        <f>HYPERLINK("https://www.google.ru/search?q=1382796-498&amp;newwindow=1&amp;tbm=isch","Еще фото")</f>
        <v>Еще фото</v>
      </c>
      <c r="F4390" s="28" t="s">
        <v>138</v>
      </c>
      <c r="G4390" s="24" t="s">
        <v>3604</v>
      </c>
      <c r="H4390" s="24" t="s">
        <v>27</v>
      </c>
      <c r="I4390" s="24" t="s">
        <v>3599</v>
      </c>
      <c r="J4390" s="14" t="s">
        <v>29</v>
      </c>
      <c r="K4390" s="15" t="s">
        <v>30</v>
      </c>
      <c r="L4390" s="62"/>
      <c r="M4390" s="14"/>
      <c r="N4390" s="14" t="s">
        <v>115</v>
      </c>
      <c r="O4390" s="14"/>
      <c r="P4390" s="15" t="s">
        <v>47</v>
      </c>
      <c r="Q4390" s="16">
        <v>3499</v>
      </c>
      <c r="R4390" s="17">
        <v>40</v>
      </c>
      <c r="S4390" s="18">
        <v>2414.31</v>
      </c>
      <c r="T4390" s="19" t="s">
        <v>36</v>
      </c>
      <c r="U4390" s="20" t="s">
        <v>88</v>
      </c>
      <c r="V4390" s="21" t="s">
        <v>89</v>
      </c>
      <c r="W4390" s="22">
        <v>16</v>
      </c>
      <c r="X4390" s="23"/>
    </row>
    <row r="4391" spans="1:24" s="1" customFormat="1" ht="32" customHeight="1" x14ac:dyDescent="0.3">
      <c r="A4391" s="24" t="s">
        <v>23</v>
      </c>
      <c r="B4391" s="24" t="s">
        <v>4024</v>
      </c>
      <c r="C4391" s="27" t="s">
        <v>4029</v>
      </c>
      <c r="D4391" s="61"/>
      <c r="E4391" s="41" t="str">
        <f>HYPERLINK("https://www.google.ru/search?q=1382796-498&amp;newwindow=1&amp;tbm=isch","Еще фото")</f>
        <v>Еще фото</v>
      </c>
      <c r="F4391" s="28" t="s">
        <v>138</v>
      </c>
      <c r="G4391" s="24" t="s">
        <v>3604</v>
      </c>
      <c r="H4391" s="24" t="s">
        <v>27</v>
      </c>
      <c r="I4391" s="24" t="s">
        <v>3599</v>
      </c>
      <c r="J4391" s="14" t="s">
        <v>29</v>
      </c>
      <c r="K4391" s="15" t="s">
        <v>30</v>
      </c>
      <c r="L4391" s="58"/>
      <c r="M4391" s="14"/>
      <c r="N4391" s="14" t="s">
        <v>115</v>
      </c>
      <c r="O4391" s="14"/>
      <c r="P4391" s="15" t="s">
        <v>47</v>
      </c>
      <c r="Q4391" s="16">
        <v>3499</v>
      </c>
      <c r="R4391" s="17">
        <v>40</v>
      </c>
      <c r="S4391" s="18">
        <v>2414.31</v>
      </c>
      <c r="T4391" s="19" t="s">
        <v>36</v>
      </c>
      <c r="U4391" s="20" t="s">
        <v>90</v>
      </c>
      <c r="V4391" s="21" t="s">
        <v>91</v>
      </c>
      <c r="W4391" s="22">
        <v>5</v>
      </c>
      <c r="X4391" s="23"/>
    </row>
    <row r="4392" spans="1:24" s="1" customFormat="1" ht="17" customHeight="1" x14ac:dyDescent="0.3">
      <c r="A4392" s="11" t="s">
        <v>23</v>
      </c>
      <c r="B4392" s="11" t="s">
        <v>4024</v>
      </c>
      <c r="C4392" s="12" t="s">
        <v>4030</v>
      </c>
      <c r="D4392" s="59"/>
      <c r="E4392" s="41" t="str">
        <f t="shared" ref="E4392:E4397" si="159">HYPERLINK("https://www.google.ru/search?q=1382796-648&amp;newwindow=1&amp;tbm=isch","Еще фото")</f>
        <v>Еще фото</v>
      </c>
      <c r="F4392" s="28" t="s">
        <v>138</v>
      </c>
      <c r="G4392" s="11" t="s">
        <v>3604</v>
      </c>
      <c r="H4392" s="11" t="s">
        <v>27</v>
      </c>
      <c r="I4392" s="14" t="s">
        <v>3599</v>
      </c>
      <c r="J4392" s="14" t="s">
        <v>29</v>
      </c>
      <c r="K4392" s="15" t="s">
        <v>30</v>
      </c>
      <c r="L4392" s="57" t="s">
        <v>4026</v>
      </c>
      <c r="M4392" s="14"/>
      <c r="N4392" s="14" t="s">
        <v>69</v>
      </c>
      <c r="O4392" s="14"/>
      <c r="P4392" s="15" t="s">
        <v>47</v>
      </c>
      <c r="Q4392" s="16">
        <v>3499</v>
      </c>
      <c r="R4392" s="17">
        <v>40</v>
      </c>
      <c r="S4392" s="18">
        <v>2414.31</v>
      </c>
      <c r="T4392" s="19" t="s">
        <v>36</v>
      </c>
      <c r="U4392" s="20" t="s">
        <v>37</v>
      </c>
      <c r="V4392" s="21" t="s">
        <v>38</v>
      </c>
      <c r="W4392" s="22">
        <v>8</v>
      </c>
      <c r="X4392" s="23"/>
    </row>
    <row r="4393" spans="1:24" s="1" customFormat="1" ht="17" customHeight="1" x14ac:dyDescent="0.3">
      <c r="A4393" s="24" t="s">
        <v>23</v>
      </c>
      <c r="B4393" s="24" t="s">
        <v>4024</v>
      </c>
      <c r="C4393" s="12" t="s">
        <v>4030</v>
      </c>
      <c r="D4393" s="60"/>
      <c r="E4393" s="41" t="str">
        <f t="shared" si="159"/>
        <v>Еще фото</v>
      </c>
      <c r="F4393" s="28" t="s">
        <v>138</v>
      </c>
      <c r="G4393" s="24" t="s">
        <v>3604</v>
      </c>
      <c r="H4393" s="24" t="s">
        <v>27</v>
      </c>
      <c r="I4393" s="24" t="s">
        <v>3599</v>
      </c>
      <c r="J4393" s="14" t="s">
        <v>29</v>
      </c>
      <c r="K4393" s="15" t="s">
        <v>30</v>
      </c>
      <c r="L4393" s="62"/>
      <c r="M4393" s="14"/>
      <c r="N4393" s="14" t="s">
        <v>69</v>
      </c>
      <c r="O4393" s="14"/>
      <c r="P4393" s="15" t="s">
        <v>47</v>
      </c>
      <c r="Q4393" s="16">
        <v>3499</v>
      </c>
      <c r="R4393" s="17">
        <v>40</v>
      </c>
      <c r="S4393" s="18">
        <v>2414.31</v>
      </c>
      <c r="T4393" s="19" t="s">
        <v>36</v>
      </c>
      <c r="U4393" s="20" t="s">
        <v>39</v>
      </c>
      <c r="V4393" s="21" t="s">
        <v>40</v>
      </c>
      <c r="W4393" s="22">
        <v>16</v>
      </c>
      <c r="X4393" s="23"/>
    </row>
    <row r="4394" spans="1:24" s="1" customFormat="1" ht="17" customHeight="1" x14ac:dyDescent="0.3">
      <c r="A4394" s="24" t="s">
        <v>23</v>
      </c>
      <c r="B4394" s="24" t="s">
        <v>4024</v>
      </c>
      <c r="C4394" s="12" t="s">
        <v>4030</v>
      </c>
      <c r="D4394" s="60"/>
      <c r="E4394" s="41" t="str">
        <f t="shared" si="159"/>
        <v>Еще фото</v>
      </c>
      <c r="F4394" s="28" t="s">
        <v>138</v>
      </c>
      <c r="G4394" s="24" t="s">
        <v>3604</v>
      </c>
      <c r="H4394" s="24" t="s">
        <v>27</v>
      </c>
      <c r="I4394" s="24" t="s">
        <v>3599</v>
      </c>
      <c r="J4394" s="14" t="s">
        <v>29</v>
      </c>
      <c r="K4394" s="15" t="s">
        <v>30</v>
      </c>
      <c r="L4394" s="62"/>
      <c r="M4394" s="14"/>
      <c r="N4394" s="14" t="s">
        <v>69</v>
      </c>
      <c r="O4394" s="14"/>
      <c r="P4394" s="15" t="s">
        <v>47</v>
      </c>
      <c r="Q4394" s="16">
        <v>3499</v>
      </c>
      <c r="R4394" s="17">
        <v>40</v>
      </c>
      <c r="S4394" s="18">
        <v>2414.31</v>
      </c>
      <c r="T4394" s="19" t="s">
        <v>36</v>
      </c>
      <c r="U4394" s="20" t="s">
        <v>86</v>
      </c>
      <c r="V4394" s="21" t="s">
        <v>87</v>
      </c>
      <c r="W4394" s="22">
        <v>17</v>
      </c>
      <c r="X4394" s="23"/>
    </row>
    <row r="4395" spans="1:24" s="1" customFormat="1" ht="17" customHeight="1" x14ac:dyDescent="0.3">
      <c r="A4395" s="24" t="s">
        <v>23</v>
      </c>
      <c r="B4395" s="24" t="s">
        <v>4024</v>
      </c>
      <c r="C4395" s="12" t="s">
        <v>4030</v>
      </c>
      <c r="D4395" s="60"/>
      <c r="E4395" s="41" t="str">
        <f t="shared" si="159"/>
        <v>Еще фото</v>
      </c>
      <c r="F4395" s="28" t="s">
        <v>138</v>
      </c>
      <c r="G4395" s="24" t="s">
        <v>3604</v>
      </c>
      <c r="H4395" s="24" t="s">
        <v>27</v>
      </c>
      <c r="I4395" s="24" t="s">
        <v>3599</v>
      </c>
      <c r="J4395" s="14" t="s">
        <v>29</v>
      </c>
      <c r="K4395" s="15" t="s">
        <v>30</v>
      </c>
      <c r="L4395" s="62"/>
      <c r="M4395" s="14"/>
      <c r="N4395" s="14" t="s">
        <v>69</v>
      </c>
      <c r="O4395" s="14"/>
      <c r="P4395" s="15" t="s">
        <v>47</v>
      </c>
      <c r="Q4395" s="16">
        <v>3499</v>
      </c>
      <c r="R4395" s="17">
        <v>40</v>
      </c>
      <c r="S4395" s="18">
        <v>2414.31</v>
      </c>
      <c r="T4395" s="19" t="s">
        <v>36</v>
      </c>
      <c r="U4395" s="20" t="s">
        <v>88</v>
      </c>
      <c r="V4395" s="21" t="s">
        <v>89</v>
      </c>
      <c r="W4395" s="22">
        <v>15</v>
      </c>
      <c r="X4395" s="23"/>
    </row>
    <row r="4396" spans="1:24" s="1" customFormat="1" ht="17" customHeight="1" x14ac:dyDescent="0.3">
      <c r="A4396" s="24" t="s">
        <v>23</v>
      </c>
      <c r="B4396" s="24" t="s">
        <v>4024</v>
      </c>
      <c r="C4396" s="12" t="s">
        <v>4030</v>
      </c>
      <c r="D4396" s="60"/>
      <c r="E4396" s="41" t="str">
        <f t="shared" si="159"/>
        <v>Еще фото</v>
      </c>
      <c r="F4396" s="28" t="s">
        <v>138</v>
      </c>
      <c r="G4396" s="24" t="s">
        <v>3604</v>
      </c>
      <c r="H4396" s="24" t="s">
        <v>27</v>
      </c>
      <c r="I4396" s="24" t="s">
        <v>3599</v>
      </c>
      <c r="J4396" s="14" t="s">
        <v>29</v>
      </c>
      <c r="K4396" s="15" t="s">
        <v>30</v>
      </c>
      <c r="L4396" s="62"/>
      <c r="M4396" s="14"/>
      <c r="N4396" s="14" t="s">
        <v>69</v>
      </c>
      <c r="O4396" s="14"/>
      <c r="P4396" s="15" t="s">
        <v>47</v>
      </c>
      <c r="Q4396" s="16">
        <v>3499</v>
      </c>
      <c r="R4396" s="17">
        <v>40</v>
      </c>
      <c r="S4396" s="18">
        <v>2414.31</v>
      </c>
      <c r="T4396" s="19" t="s">
        <v>36</v>
      </c>
      <c r="U4396" s="20" t="s">
        <v>90</v>
      </c>
      <c r="V4396" s="21" t="s">
        <v>91</v>
      </c>
      <c r="W4396" s="22">
        <v>7</v>
      </c>
      <c r="X4396" s="23"/>
    </row>
    <row r="4397" spans="1:24" s="1" customFormat="1" ht="22.05" customHeight="1" x14ac:dyDescent="0.3">
      <c r="A4397" s="24" t="s">
        <v>23</v>
      </c>
      <c r="B4397" s="24" t="s">
        <v>4024</v>
      </c>
      <c r="C4397" s="12" t="s">
        <v>4030</v>
      </c>
      <c r="D4397" s="61"/>
      <c r="E4397" s="41" t="str">
        <f t="shared" si="159"/>
        <v>Еще фото</v>
      </c>
      <c r="F4397" s="28" t="s">
        <v>138</v>
      </c>
      <c r="G4397" s="24" t="s">
        <v>3604</v>
      </c>
      <c r="H4397" s="24" t="s">
        <v>27</v>
      </c>
      <c r="I4397" s="24" t="s">
        <v>3599</v>
      </c>
      <c r="J4397" s="14" t="s">
        <v>29</v>
      </c>
      <c r="K4397" s="15" t="s">
        <v>30</v>
      </c>
      <c r="L4397" s="58"/>
      <c r="M4397" s="14"/>
      <c r="N4397" s="14" t="s">
        <v>69</v>
      </c>
      <c r="O4397" s="14"/>
      <c r="P4397" s="15" t="s">
        <v>47</v>
      </c>
      <c r="Q4397" s="16">
        <v>3499</v>
      </c>
      <c r="R4397" s="17">
        <v>40</v>
      </c>
      <c r="S4397" s="18">
        <v>2414.31</v>
      </c>
      <c r="T4397" s="19" t="s">
        <v>36</v>
      </c>
      <c r="U4397" s="20" t="s">
        <v>408</v>
      </c>
      <c r="V4397" s="21" t="s">
        <v>409</v>
      </c>
      <c r="W4397" s="22">
        <v>4</v>
      </c>
      <c r="X4397" s="23"/>
    </row>
    <row r="4398" spans="1:24" s="1" customFormat="1" ht="21" customHeight="1" x14ac:dyDescent="0.3">
      <c r="A4398" s="11" t="s">
        <v>23</v>
      </c>
      <c r="B4398" s="11" t="s">
        <v>4024</v>
      </c>
      <c r="C4398" s="26" t="s">
        <v>4031</v>
      </c>
      <c r="D4398" s="59"/>
      <c r="E4398" s="41" t="str">
        <f>HYPERLINK("https://www.google.ru/search?q=1382796-703&amp;newwindow=1&amp;tbm=isch","Еще фото")</f>
        <v>Еще фото</v>
      </c>
      <c r="F4398" s="28" t="s">
        <v>138</v>
      </c>
      <c r="G4398" s="11" t="s">
        <v>3604</v>
      </c>
      <c r="H4398" s="11" t="s">
        <v>27</v>
      </c>
      <c r="I4398" s="14" t="s">
        <v>3599</v>
      </c>
      <c r="J4398" s="14" t="s">
        <v>29</v>
      </c>
      <c r="K4398" s="15" t="s">
        <v>30</v>
      </c>
      <c r="L4398" s="57" t="s">
        <v>4026</v>
      </c>
      <c r="M4398" s="14"/>
      <c r="N4398" s="14" t="s">
        <v>46</v>
      </c>
      <c r="O4398" s="14"/>
      <c r="P4398" s="15" t="s">
        <v>47</v>
      </c>
      <c r="Q4398" s="16">
        <v>3499</v>
      </c>
      <c r="R4398" s="17">
        <v>40</v>
      </c>
      <c r="S4398" s="18">
        <v>2414.31</v>
      </c>
      <c r="T4398" s="19" t="s">
        <v>36</v>
      </c>
      <c r="U4398" s="20" t="s">
        <v>37</v>
      </c>
      <c r="V4398" s="21" t="s">
        <v>38</v>
      </c>
      <c r="W4398" s="22">
        <v>9</v>
      </c>
      <c r="X4398" s="23"/>
    </row>
    <row r="4399" spans="1:24" s="1" customFormat="1" ht="21" customHeight="1" x14ac:dyDescent="0.3">
      <c r="A4399" s="24" t="s">
        <v>23</v>
      </c>
      <c r="B4399" s="24" t="s">
        <v>4024</v>
      </c>
      <c r="C4399" s="27" t="s">
        <v>4031</v>
      </c>
      <c r="D4399" s="60"/>
      <c r="E4399" s="41" t="str">
        <f>HYPERLINK("https://www.google.ru/search?q=1382796-703&amp;newwindow=1&amp;tbm=isch","Еще фото")</f>
        <v>Еще фото</v>
      </c>
      <c r="F4399" s="28" t="s">
        <v>138</v>
      </c>
      <c r="G4399" s="24" t="s">
        <v>3604</v>
      </c>
      <c r="H4399" s="24" t="s">
        <v>27</v>
      </c>
      <c r="I4399" s="24" t="s">
        <v>3599</v>
      </c>
      <c r="J4399" s="14" t="s">
        <v>29</v>
      </c>
      <c r="K4399" s="15" t="s">
        <v>30</v>
      </c>
      <c r="L4399" s="62"/>
      <c r="M4399" s="14"/>
      <c r="N4399" s="14" t="s">
        <v>46</v>
      </c>
      <c r="O4399" s="14"/>
      <c r="P4399" s="15" t="s">
        <v>47</v>
      </c>
      <c r="Q4399" s="16">
        <v>3499</v>
      </c>
      <c r="R4399" s="17">
        <v>40</v>
      </c>
      <c r="S4399" s="18">
        <v>2414.31</v>
      </c>
      <c r="T4399" s="19" t="s">
        <v>36</v>
      </c>
      <c r="U4399" s="20" t="s">
        <v>39</v>
      </c>
      <c r="V4399" s="21" t="s">
        <v>40</v>
      </c>
      <c r="W4399" s="22">
        <v>15</v>
      </c>
      <c r="X4399" s="23"/>
    </row>
    <row r="4400" spans="1:24" s="1" customFormat="1" ht="21" customHeight="1" x14ac:dyDescent="0.3">
      <c r="A4400" s="24" t="s">
        <v>23</v>
      </c>
      <c r="B4400" s="24" t="s">
        <v>4024</v>
      </c>
      <c r="C4400" s="27" t="s">
        <v>4031</v>
      </c>
      <c r="D4400" s="60"/>
      <c r="E4400" s="41" t="str">
        <f>HYPERLINK("https://www.google.ru/search?q=1382796-703&amp;newwindow=1&amp;tbm=isch","Еще фото")</f>
        <v>Еще фото</v>
      </c>
      <c r="F4400" s="28" t="s">
        <v>138</v>
      </c>
      <c r="G4400" s="24" t="s">
        <v>3604</v>
      </c>
      <c r="H4400" s="24" t="s">
        <v>27</v>
      </c>
      <c r="I4400" s="24" t="s">
        <v>3599</v>
      </c>
      <c r="J4400" s="14" t="s">
        <v>29</v>
      </c>
      <c r="K4400" s="15" t="s">
        <v>30</v>
      </c>
      <c r="L4400" s="62"/>
      <c r="M4400" s="14"/>
      <c r="N4400" s="14" t="s">
        <v>46</v>
      </c>
      <c r="O4400" s="14"/>
      <c r="P4400" s="15" t="s">
        <v>47</v>
      </c>
      <c r="Q4400" s="16">
        <v>3499</v>
      </c>
      <c r="R4400" s="17">
        <v>40</v>
      </c>
      <c r="S4400" s="18">
        <v>2414.31</v>
      </c>
      <c r="T4400" s="19" t="s">
        <v>36</v>
      </c>
      <c r="U4400" s="20" t="s">
        <v>86</v>
      </c>
      <c r="V4400" s="21" t="s">
        <v>87</v>
      </c>
      <c r="W4400" s="22">
        <v>16</v>
      </c>
      <c r="X4400" s="23"/>
    </row>
    <row r="4401" spans="1:24" s="1" customFormat="1" ht="21" customHeight="1" x14ac:dyDescent="0.3">
      <c r="A4401" s="24" t="s">
        <v>23</v>
      </c>
      <c r="B4401" s="24" t="s">
        <v>4024</v>
      </c>
      <c r="C4401" s="27" t="s">
        <v>4031</v>
      </c>
      <c r="D4401" s="60"/>
      <c r="E4401" s="41" t="str">
        <f>HYPERLINK("https://www.google.ru/search?q=1382796-703&amp;newwindow=1&amp;tbm=isch","Еще фото")</f>
        <v>Еще фото</v>
      </c>
      <c r="F4401" s="28" t="s">
        <v>138</v>
      </c>
      <c r="G4401" s="24" t="s">
        <v>3604</v>
      </c>
      <c r="H4401" s="24" t="s">
        <v>27</v>
      </c>
      <c r="I4401" s="24" t="s">
        <v>3599</v>
      </c>
      <c r="J4401" s="14" t="s">
        <v>29</v>
      </c>
      <c r="K4401" s="15" t="s">
        <v>30</v>
      </c>
      <c r="L4401" s="62"/>
      <c r="M4401" s="14"/>
      <c r="N4401" s="14" t="s">
        <v>46</v>
      </c>
      <c r="O4401" s="14"/>
      <c r="P4401" s="15" t="s">
        <v>47</v>
      </c>
      <c r="Q4401" s="16">
        <v>3499</v>
      </c>
      <c r="R4401" s="17">
        <v>40</v>
      </c>
      <c r="S4401" s="18">
        <v>2414.31</v>
      </c>
      <c r="T4401" s="19" t="s">
        <v>36</v>
      </c>
      <c r="U4401" s="20" t="s">
        <v>88</v>
      </c>
      <c r="V4401" s="21" t="s">
        <v>89</v>
      </c>
      <c r="W4401" s="22">
        <v>12</v>
      </c>
      <c r="X4401" s="23"/>
    </row>
    <row r="4402" spans="1:24" s="1" customFormat="1" ht="32" customHeight="1" x14ac:dyDescent="0.3">
      <c r="A4402" s="24" t="s">
        <v>23</v>
      </c>
      <c r="B4402" s="24" t="s">
        <v>4024</v>
      </c>
      <c r="C4402" s="27" t="s">
        <v>4031</v>
      </c>
      <c r="D4402" s="61"/>
      <c r="E4402" s="41" t="str">
        <f>HYPERLINK("https://www.google.ru/search?q=1382796-703&amp;newwindow=1&amp;tbm=isch","Еще фото")</f>
        <v>Еще фото</v>
      </c>
      <c r="F4402" s="28" t="s">
        <v>138</v>
      </c>
      <c r="G4402" s="24" t="s">
        <v>3604</v>
      </c>
      <c r="H4402" s="24" t="s">
        <v>27</v>
      </c>
      <c r="I4402" s="24" t="s">
        <v>3599</v>
      </c>
      <c r="J4402" s="14" t="s">
        <v>29</v>
      </c>
      <c r="K4402" s="15" t="s">
        <v>30</v>
      </c>
      <c r="L4402" s="58"/>
      <c r="M4402" s="14"/>
      <c r="N4402" s="14" t="s">
        <v>46</v>
      </c>
      <c r="O4402" s="14"/>
      <c r="P4402" s="15" t="s">
        <v>47</v>
      </c>
      <c r="Q4402" s="16">
        <v>3499</v>
      </c>
      <c r="R4402" s="17">
        <v>40</v>
      </c>
      <c r="S4402" s="18">
        <v>2414.31</v>
      </c>
      <c r="T4402" s="19" t="s">
        <v>36</v>
      </c>
      <c r="U4402" s="20" t="s">
        <v>90</v>
      </c>
      <c r="V4402" s="21" t="s">
        <v>91</v>
      </c>
      <c r="W4402" s="22">
        <v>7</v>
      </c>
      <c r="X4402" s="23"/>
    </row>
    <row r="4403" spans="1:24" s="1" customFormat="1" ht="17" customHeight="1" x14ac:dyDescent="0.3">
      <c r="A4403" s="11" t="s">
        <v>23</v>
      </c>
      <c r="B4403" s="11" t="s">
        <v>4024</v>
      </c>
      <c r="C4403" s="12" t="s">
        <v>4032</v>
      </c>
      <c r="D4403" s="59"/>
      <c r="E4403" s="41" t="str">
        <f t="shared" ref="E4403:E4408" si="160">HYPERLINK("https://www.google.ru/search?q=1382796-709&amp;newwindow=1&amp;tbm=isch","Еще фото")</f>
        <v>Еще фото</v>
      </c>
      <c r="F4403" s="28" t="s">
        <v>138</v>
      </c>
      <c r="G4403" s="11" t="s">
        <v>3604</v>
      </c>
      <c r="H4403" s="11" t="s">
        <v>27</v>
      </c>
      <c r="I4403" s="14" t="s">
        <v>3599</v>
      </c>
      <c r="J4403" s="14" t="s">
        <v>29</v>
      </c>
      <c r="K4403" s="15" t="s">
        <v>30</v>
      </c>
      <c r="L4403" s="57"/>
      <c r="M4403" s="14"/>
      <c r="N4403" s="14" t="s">
        <v>127</v>
      </c>
      <c r="O4403" s="14"/>
      <c r="P4403" s="15" t="s">
        <v>47</v>
      </c>
      <c r="Q4403" s="16">
        <v>3499</v>
      </c>
      <c r="R4403" s="17">
        <v>40</v>
      </c>
      <c r="S4403" s="18">
        <v>2414.31</v>
      </c>
      <c r="T4403" s="19" t="s">
        <v>36</v>
      </c>
      <c r="U4403" s="20" t="s">
        <v>37</v>
      </c>
      <c r="V4403" s="21" t="s">
        <v>38</v>
      </c>
      <c r="W4403" s="22">
        <v>8</v>
      </c>
      <c r="X4403" s="23"/>
    </row>
    <row r="4404" spans="1:24" s="1" customFormat="1" ht="17" customHeight="1" x14ac:dyDescent="0.3">
      <c r="A4404" s="24" t="s">
        <v>23</v>
      </c>
      <c r="B4404" s="24" t="s">
        <v>4024</v>
      </c>
      <c r="C4404" s="12" t="s">
        <v>4032</v>
      </c>
      <c r="D4404" s="60"/>
      <c r="E4404" s="41" t="str">
        <f t="shared" si="160"/>
        <v>Еще фото</v>
      </c>
      <c r="F4404" s="28" t="s">
        <v>138</v>
      </c>
      <c r="G4404" s="24" t="s">
        <v>3604</v>
      </c>
      <c r="H4404" s="24" t="s">
        <v>27</v>
      </c>
      <c r="I4404" s="24" t="s">
        <v>3599</v>
      </c>
      <c r="J4404" s="14" t="s">
        <v>29</v>
      </c>
      <c r="K4404" s="15" t="s">
        <v>30</v>
      </c>
      <c r="L4404" s="62"/>
      <c r="M4404" s="14"/>
      <c r="N4404" s="14" t="s">
        <v>127</v>
      </c>
      <c r="O4404" s="14"/>
      <c r="P4404" s="15" t="s">
        <v>47</v>
      </c>
      <c r="Q4404" s="16">
        <v>3499</v>
      </c>
      <c r="R4404" s="17">
        <v>40</v>
      </c>
      <c r="S4404" s="18">
        <v>2414.31</v>
      </c>
      <c r="T4404" s="19" t="s">
        <v>36</v>
      </c>
      <c r="U4404" s="20" t="s">
        <v>39</v>
      </c>
      <c r="V4404" s="21" t="s">
        <v>40</v>
      </c>
      <c r="W4404" s="22">
        <v>16</v>
      </c>
      <c r="X4404" s="23"/>
    </row>
    <row r="4405" spans="1:24" s="1" customFormat="1" ht="17" customHeight="1" x14ac:dyDescent="0.3">
      <c r="A4405" s="24" t="s">
        <v>23</v>
      </c>
      <c r="B4405" s="24" t="s">
        <v>4024</v>
      </c>
      <c r="C4405" s="12" t="s">
        <v>4032</v>
      </c>
      <c r="D4405" s="60"/>
      <c r="E4405" s="41" t="str">
        <f t="shared" si="160"/>
        <v>Еще фото</v>
      </c>
      <c r="F4405" s="28" t="s">
        <v>138</v>
      </c>
      <c r="G4405" s="24" t="s">
        <v>3604</v>
      </c>
      <c r="H4405" s="24" t="s">
        <v>27</v>
      </c>
      <c r="I4405" s="24" t="s">
        <v>3599</v>
      </c>
      <c r="J4405" s="14" t="s">
        <v>29</v>
      </c>
      <c r="K4405" s="15" t="s">
        <v>30</v>
      </c>
      <c r="L4405" s="62"/>
      <c r="M4405" s="14"/>
      <c r="N4405" s="14" t="s">
        <v>127</v>
      </c>
      <c r="O4405" s="14"/>
      <c r="P4405" s="15" t="s">
        <v>47</v>
      </c>
      <c r="Q4405" s="16">
        <v>3499</v>
      </c>
      <c r="R4405" s="17">
        <v>40</v>
      </c>
      <c r="S4405" s="18">
        <v>2414.31</v>
      </c>
      <c r="T4405" s="19" t="s">
        <v>36</v>
      </c>
      <c r="U4405" s="20" t="s">
        <v>86</v>
      </c>
      <c r="V4405" s="21" t="s">
        <v>87</v>
      </c>
      <c r="W4405" s="22">
        <v>21</v>
      </c>
      <c r="X4405" s="23"/>
    </row>
    <row r="4406" spans="1:24" s="1" customFormat="1" ht="17" customHeight="1" x14ac:dyDescent="0.3">
      <c r="A4406" s="24" t="s">
        <v>23</v>
      </c>
      <c r="B4406" s="24" t="s">
        <v>4024</v>
      </c>
      <c r="C4406" s="12" t="s">
        <v>4032</v>
      </c>
      <c r="D4406" s="60"/>
      <c r="E4406" s="41" t="str">
        <f t="shared" si="160"/>
        <v>Еще фото</v>
      </c>
      <c r="F4406" s="28" t="s">
        <v>138</v>
      </c>
      <c r="G4406" s="24" t="s">
        <v>3604</v>
      </c>
      <c r="H4406" s="24" t="s">
        <v>27</v>
      </c>
      <c r="I4406" s="24" t="s">
        <v>3599</v>
      </c>
      <c r="J4406" s="14" t="s">
        <v>29</v>
      </c>
      <c r="K4406" s="15" t="s">
        <v>30</v>
      </c>
      <c r="L4406" s="62"/>
      <c r="M4406" s="14"/>
      <c r="N4406" s="14" t="s">
        <v>127</v>
      </c>
      <c r="O4406" s="14"/>
      <c r="P4406" s="15" t="s">
        <v>47</v>
      </c>
      <c r="Q4406" s="16">
        <v>3499</v>
      </c>
      <c r="R4406" s="17">
        <v>40</v>
      </c>
      <c r="S4406" s="18">
        <v>2414.31</v>
      </c>
      <c r="T4406" s="19" t="s">
        <v>36</v>
      </c>
      <c r="U4406" s="20" t="s">
        <v>88</v>
      </c>
      <c r="V4406" s="21" t="s">
        <v>89</v>
      </c>
      <c r="W4406" s="22">
        <v>14</v>
      </c>
      <c r="X4406" s="23"/>
    </row>
    <row r="4407" spans="1:24" s="1" customFormat="1" ht="17" customHeight="1" x14ac:dyDescent="0.3">
      <c r="A4407" s="24" t="s">
        <v>23</v>
      </c>
      <c r="B4407" s="24" t="s">
        <v>4024</v>
      </c>
      <c r="C4407" s="12" t="s">
        <v>4032</v>
      </c>
      <c r="D4407" s="60"/>
      <c r="E4407" s="41" t="str">
        <f t="shared" si="160"/>
        <v>Еще фото</v>
      </c>
      <c r="F4407" s="28" t="s">
        <v>138</v>
      </c>
      <c r="G4407" s="24" t="s">
        <v>3604</v>
      </c>
      <c r="H4407" s="24" t="s">
        <v>27</v>
      </c>
      <c r="I4407" s="24" t="s">
        <v>3599</v>
      </c>
      <c r="J4407" s="14" t="s">
        <v>29</v>
      </c>
      <c r="K4407" s="15" t="s">
        <v>30</v>
      </c>
      <c r="L4407" s="62"/>
      <c r="M4407" s="14"/>
      <c r="N4407" s="14" t="s">
        <v>127</v>
      </c>
      <c r="O4407" s="14"/>
      <c r="P4407" s="15" t="s">
        <v>47</v>
      </c>
      <c r="Q4407" s="16">
        <v>3499</v>
      </c>
      <c r="R4407" s="17">
        <v>40</v>
      </c>
      <c r="S4407" s="18">
        <v>2414.31</v>
      </c>
      <c r="T4407" s="19" t="s">
        <v>36</v>
      </c>
      <c r="U4407" s="20" t="s">
        <v>90</v>
      </c>
      <c r="V4407" s="21" t="s">
        <v>91</v>
      </c>
      <c r="W4407" s="22">
        <v>6</v>
      </c>
      <c r="X4407" s="23"/>
    </row>
    <row r="4408" spans="1:24" s="1" customFormat="1" ht="22.05" customHeight="1" x14ac:dyDescent="0.3">
      <c r="A4408" s="24" t="s">
        <v>23</v>
      </c>
      <c r="B4408" s="24" t="s">
        <v>4024</v>
      </c>
      <c r="C4408" s="12" t="s">
        <v>4032</v>
      </c>
      <c r="D4408" s="61"/>
      <c r="E4408" s="41" t="str">
        <f t="shared" si="160"/>
        <v>Еще фото</v>
      </c>
      <c r="F4408" s="28" t="s">
        <v>138</v>
      </c>
      <c r="G4408" s="24" t="s">
        <v>3604</v>
      </c>
      <c r="H4408" s="24" t="s">
        <v>27</v>
      </c>
      <c r="I4408" s="24" t="s">
        <v>3599</v>
      </c>
      <c r="J4408" s="14" t="s">
        <v>29</v>
      </c>
      <c r="K4408" s="15" t="s">
        <v>30</v>
      </c>
      <c r="L4408" s="58"/>
      <c r="M4408" s="14"/>
      <c r="N4408" s="14" t="s">
        <v>127</v>
      </c>
      <c r="O4408" s="14"/>
      <c r="P4408" s="15" t="s">
        <v>47</v>
      </c>
      <c r="Q4408" s="16">
        <v>3499</v>
      </c>
      <c r="R4408" s="17">
        <v>40</v>
      </c>
      <c r="S4408" s="18">
        <v>2414.31</v>
      </c>
      <c r="T4408" s="19" t="s">
        <v>36</v>
      </c>
      <c r="U4408" s="20" t="s">
        <v>408</v>
      </c>
      <c r="V4408" s="21" t="s">
        <v>409</v>
      </c>
      <c r="W4408" s="22">
        <v>4</v>
      </c>
      <c r="X4408" s="23"/>
    </row>
    <row r="4409" spans="1:24" s="1" customFormat="1" ht="108" customHeight="1" x14ac:dyDescent="0.3">
      <c r="A4409" s="11" t="s">
        <v>23</v>
      </c>
      <c r="B4409" s="11" t="s">
        <v>4033</v>
      </c>
      <c r="C4409" s="12" t="s">
        <v>4034</v>
      </c>
      <c r="D4409" s="25"/>
      <c r="E4409" s="41" t="str">
        <f>HYPERLINK("https://www.google.ru/search?q=1382801-026&amp;newwindow=1&amp;tbm=isch","Еще фото")</f>
        <v>Еще фото</v>
      </c>
      <c r="F4409" s="13" t="s">
        <v>152</v>
      </c>
      <c r="G4409" s="11" t="s">
        <v>3604</v>
      </c>
      <c r="H4409" s="11" t="s">
        <v>27</v>
      </c>
      <c r="I4409" s="14" t="s">
        <v>3599</v>
      </c>
      <c r="J4409" s="14" t="s">
        <v>29</v>
      </c>
      <c r="K4409" s="15" t="s">
        <v>30</v>
      </c>
      <c r="L4409" s="14" t="s">
        <v>3804</v>
      </c>
      <c r="M4409" s="14"/>
      <c r="N4409" s="14" t="s">
        <v>62</v>
      </c>
      <c r="O4409" s="14"/>
      <c r="P4409" s="15" t="s">
        <v>3805</v>
      </c>
      <c r="Q4409" s="16">
        <v>4999</v>
      </c>
      <c r="R4409" s="17">
        <v>40</v>
      </c>
      <c r="S4409" s="18">
        <v>3449.31</v>
      </c>
      <c r="T4409" s="19" t="s">
        <v>36</v>
      </c>
      <c r="U4409" s="20" t="s">
        <v>37</v>
      </c>
      <c r="V4409" s="21" t="s">
        <v>38</v>
      </c>
      <c r="W4409" s="22">
        <v>2</v>
      </c>
      <c r="X4409" s="23"/>
    </row>
    <row r="4410" spans="1:24" s="1" customFormat="1" ht="35" customHeight="1" x14ac:dyDescent="0.3">
      <c r="A4410" s="11" t="s">
        <v>23</v>
      </c>
      <c r="B4410" s="11" t="s">
        <v>4033</v>
      </c>
      <c r="C4410" s="12" t="s">
        <v>4035</v>
      </c>
      <c r="D4410" s="59"/>
      <c r="E4410" s="41" t="str">
        <f>HYPERLINK("https://www.google.ru/search?q=1382801-690&amp;newwindow=1&amp;tbm=isch","Еще фото")</f>
        <v>Еще фото</v>
      </c>
      <c r="F4410" s="13" t="s">
        <v>152</v>
      </c>
      <c r="G4410" s="11" t="s">
        <v>3604</v>
      </c>
      <c r="H4410" s="11" t="s">
        <v>27</v>
      </c>
      <c r="I4410" s="14" t="s">
        <v>3599</v>
      </c>
      <c r="J4410" s="14" t="s">
        <v>29</v>
      </c>
      <c r="K4410" s="15" t="s">
        <v>30</v>
      </c>
      <c r="L4410" s="57" t="s">
        <v>3804</v>
      </c>
      <c r="M4410" s="14"/>
      <c r="N4410" s="14" t="s">
        <v>198</v>
      </c>
      <c r="O4410" s="14"/>
      <c r="P4410" s="15" t="s">
        <v>3805</v>
      </c>
      <c r="Q4410" s="16">
        <v>4999</v>
      </c>
      <c r="R4410" s="17">
        <v>40</v>
      </c>
      <c r="S4410" s="18">
        <v>3449.31</v>
      </c>
      <c r="T4410" s="19" t="s">
        <v>36</v>
      </c>
      <c r="U4410" s="20" t="s">
        <v>37</v>
      </c>
      <c r="V4410" s="21" t="s">
        <v>38</v>
      </c>
      <c r="W4410" s="22">
        <v>1</v>
      </c>
      <c r="X4410" s="23"/>
    </row>
    <row r="4411" spans="1:24" s="1" customFormat="1" ht="35" customHeight="1" x14ac:dyDescent="0.3">
      <c r="A4411" s="24" t="s">
        <v>23</v>
      </c>
      <c r="B4411" s="24" t="s">
        <v>4033</v>
      </c>
      <c r="C4411" s="12" t="s">
        <v>4035</v>
      </c>
      <c r="D4411" s="60"/>
      <c r="E4411" s="41" t="str">
        <f>HYPERLINK("https://www.google.ru/search?q=1382801-690&amp;newwindow=1&amp;tbm=isch","Еще фото")</f>
        <v>Еще фото</v>
      </c>
      <c r="F4411" s="13" t="s">
        <v>152</v>
      </c>
      <c r="G4411" s="24" t="s">
        <v>3604</v>
      </c>
      <c r="H4411" s="24" t="s">
        <v>27</v>
      </c>
      <c r="I4411" s="24" t="s">
        <v>3599</v>
      </c>
      <c r="J4411" s="14" t="s">
        <v>29</v>
      </c>
      <c r="K4411" s="15" t="s">
        <v>30</v>
      </c>
      <c r="L4411" s="62"/>
      <c r="M4411" s="14"/>
      <c r="N4411" s="14" t="s">
        <v>198</v>
      </c>
      <c r="O4411" s="14"/>
      <c r="P4411" s="15" t="s">
        <v>3805</v>
      </c>
      <c r="Q4411" s="16">
        <v>4999</v>
      </c>
      <c r="R4411" s="17">
        <v>40</v>
      </c>
      <c r="S4411" s="18">
        <v>3449.31</v>
      </c>
      <c r="T4411" s="19" t="s">
        <v>36</v>
      </c>
      <c r="U4411" s="20" t="s">
        <v>39</v>
      </c>
      <c r="V4411" s="21" t="s">
        <v>40</v>
      </c>
      <c r="W4411" s="22">
        <v>4</v>
      </c>
      <c r="X4411" s="23"/>
    </row>
    <row r="4412" spans="1:24" s="1" customFormat="1" ht="37.049999999999997" customHeight="1" x14ac:dyDescent="0.3">
      <c r="A4412" s="24" t="s">
        <v>23</v>
      </c>
      <c r="B4412" s="24" t="s">
        <v>4033</v>
      </c>
      <c r="C4412" s="12" t="s">
        <v>4035</v>
      </c>
      <c r="D4412" s="61"/>
      <c r="E4412" s="41" t="str">
        <f>HYPERLINK("https://www.google.ru/search?q=1382801-690&amp;newwindow=1&amp;tbm=isch","Еще фото")</f>
        <v>Еще фото</v>
      </c>
      <c r="F4412" s="13" t="s">
        <v>152</v>
      </c>
      <c r="G4412" s="24" t="s">
        <v>3604</v>
      </c>
      <c r="H4412" s="24" t="s">
        <v>27</v>
      </c>
      <c r="I4412" s="24" t="s">
        <v>3599</v>
      </c>
      <c r="J4412" s="14" t="s">
        <v>29</v>
      </c>
      <c r="K4412" s="15" t="s">
        <v>30</v>
      </c>
      <c r="L4412" s="58"/>
      <c r="M4412" s="14"/>
      <c r="N4412" s="14" t="s">
        <v>198</v>
      </c>
      <c r="O4412" s="14"/>
      <c r="P4412" s="15" t="s">
        <v>3805</v>
      </c>
      <c r="Q4412" s="16">
        <v>4999</v>
      </c>
      <c r="R4412" s="17">
        <v>40</v>
      </c>
      <c r="S4412" s="18">
        <v>3449.31</v>
      </c>
      <c r="T4412" s="19" t="s">
        <v>36</v>
      </c>
      <c r="U4412" s="20" t="s">
        <v>86</v>
      </c>
      <c r="V4412" s="21" t="s">
        <v>87</v>
      </c>
      <c r="W4412" s="22">
        <v>3</v>
      </c>
      <c r="X4412" s="23"/>
    </row>
    <row r="4413" spans="1:24" s="1" customFormat="1" ht="21" customHeight="1" x14ac:dyDescent="0.3">
      <c r="A4413" s="11" t="s">
        <v>23</v>
      </c>
      <c r="B4413" s="11" t="s">
        <v>4036</v>
      </c>
      <c r="C4413" s="26" t="s">
        <v>4037</v>
      </c>
      <c r="D4413" s="59"/>
      <c r="E4413" s="41" t="str">
        <f>HYPERLINK("https://www.google.ru/search?q=1382831-001&amp;newwindow=1&amp;tbm=isch","Еще фото")</f>
        <v>Еще фото</v>
      </c>
      <c r="F4413" s="13" t="s">
        <v>103</v>
      </c>
      <c r="G4413" s="11" t="s">
        <v>3604</v>
      </c>
      <c r="H4413" s="11" t="s">
        <v>27</v>
      </c>
      <c r="I4413" s="14" t="s">
        <v>3599</v>
      </c>
      <c r="J4413" s="14" t="s">
        <v>29</v>
      </c>
      <c r="K4413" s="15" t="s">
        <v>30</v>
      </c>
      <c r="L4413" s="57" t="s">
        <v>4038</v>
      </c>
      <c r="M4413" s="14"/>
      <c r="N4413" s="14" t="s">
        <v>33</v>
      </c>
      <c r="O4413" s="14"/>
      <c r="P4413" s="15" t="s">
        <v>2951</v>
      </c>
      <c r="Q4413" s="16">
        <v>4199</v>
      </c>
      <c r="R4413" s="17">
        <v>40</v>
      </c>
      <c r="S4413" s="18">
        <v>2897.31</v>
      </c>
      <c r="T4413" s="19" t="s">
        <v>36</v>
      </c>
      <c r="U4413" s="20" t="s">
        <v>37</v>
      </c>
      <c r="V4413" s="21" t="s">
        <v>38</v>
      </c>
      <c r="W4413" s="22">
        <v>3</v>
      </c>
      <c r="X4413" s="23"/>
    </row>
    <row r="4414" spans="1:24" s="1" customFormat="1" ht="21" customHeight="1" x14ac:dyDescent="0.3">
      <c r="A4414" s="24" t="s">
        <v>23</v>
      </c>
      <c r="B4414" s="24" t="s">
        <v>4036</v>
      </c>
      <c r="C4414" s="27" t="s">
        <v>4037</v>
      </c>
      <c r="D4414" s="60"/>
      <c r="E4414" s="41" t="str">
        <f>HYPERLINK("https://www.google.ru/search?q=1382831-001&amp;newwindow=1&amp;tbm=isch","Еще фото")</f>
        <v>Еще фото</v>
      </c>
      <c r="F4414" s="13" t="s">
        <v>103</v>
      </c>
      <c r="G4414" s="24" t="s">
        <v>3604</v>
      </c>
      <c r="H4414" s="24" t="s">
        <v>27</v>
      </c>
      <c r="I4414" s="24" t="s">
        <v>3599</v>
      </c>
      <c r="J4414" s="14" t="s">
        <v>29</v>
      </c>
      <c r="K4414" s="15" t="s">
        <v>30</v>
      </c>
      <c r="L4414" s="62"/>
      <c r="M4414" s="14"/>
      <c r="N4414" s="14" t="s">
        <v>33</v>
      </c>
      <c r="O4414" s="14"/>
      <c r="P4414" s="15" t="s">
        <v>2951</v>
      </c>
      <c r="Q4414" s="16">
        <v>4199</v>
      </c>
      <c r="R4414" s="17">
        <v>40</v>
      </c>
      <c r="S4414" s="18">
        <v>2897.31</v>
      </c>
      <c r="T4414" s="19" t="s">
        <v>36</v>
      </c>
      <c r="U4414" s="20" t="s">
        <v>39</v>
      </c>
      <c r="V4414" s="21" t="s">
        <v>40</v>
      </c>
      <c r="W4414" s="22">
        <v>17</v>
      </c>
      <c r="X4414" s="23"/>
    </row>
    <row r="4415" spans="1:24" s="1" customFormat="1" ht="21" customHeight="1" x14ac:dyDescent="0.3">
      <c r="A4415" s="24" t="s">
        <v>23</v>
      </c>
      <c r="B4415" s="24" t="s">
        <v>4036</v>
      </c>
      <c r="C4415" s="27" t="s">
        <v>4037</v>
      </c>
      <c r="D4415" s="60"/>
      <c r="E4415" s="41" t="str">
        <f>HYPERLINK("https://www.google.ru/search?q=1382831-001&amp;newwindow=1&amp;tbm=isch","Еще фото")</f>
        <v>Еще фото</v>
      </c>
      <c r="F4415" s="13" t="s">
        <v>103</v>
      </c>
      <c r="G4415" s="24" t="s">
        <v>3604</v>
      </c>
      <c r="H4415" s="24" t="s">
        <v>27</v>
      </c>
      <c r="I4415" s="24" t="s">
        <v>3599</v>
      </c>
      <c r="J4415" s="14" t="s">
        <v>29</v>
      </c>
      <c r="K4415" s="15" t="s">
        <v>30</v>
      </c>
      <c r="L4415" s="62"/>
      <c r="M4415" s="14"/>
      <c r="N4415" s="14" t="s">
        <v>33</v>
      </c>
      <c r="O4415" s="14"/>
      <c r="P4415" s="15" t="s">
        <v>2951</v>
      </c>
      <c r="Q4415" s="16">
        <v>4199</v>
      </c>
      <c r="R4415" s="17">
        <v>40</v>
      </c>
      <c r="S4415" s="18">
        <v>2897.31</v>
      </c>
      <c r="T4415" s="19" t="s">
        <v>36</v>
      </c>
      <c r="U4415" s="20" t="s">
        <v>86</v>
      </c>
      <c r="V4415" s="21" t="s">
        <v>87</v>
      </c>
      <c r="W4415" s="22">
        <v>13</v>
      </c>
      <c r="X4415" s="23"/>
    </row>
    <row r="4416" spans="1:24" s="1" customFormat="1" ht="21" customHeight="1" x14ac:dyDescent="0.3">
      <c r="A4416" s="24" t="s">
        <v>23</v>
      </c>
      <c r="B4416" s="24" t="s">
        <v>4036</v>
      </c>
      <c r="C4416" s="27" t="s">
        <v>4037</v>
      </c>
      <c r="D4416" s="60"/>
      <c r="E4416" s="41" t="str">
        <f>HYPERLINK("https://www.google.ru/search?q=1382831-001&amp;newwindow=1&amp;tbm=isch","Еще фото")</f>
        <v>Еще фото</v>
      </c>
      <c r="F4416" s="13" t="s">
        <v>103</v>
      </c>
      <c r="G4416" s="24" t="s">
        <v>3604</v>
      </c>
      <c r="H4416" s="24" t="s">
        <v>27</v>
      </c>
      <c r="I4416" s="24" t="s">
        <v>3599</v>
      </c>
      <c r="J4416" s="14" t="s">
        <v>29</v>
      </c>
      <c r="K4416" s="15" t="s">
        <v>30</v>
      </c>
      <c r="L4416" s="62"/>
      <c r="M4416" s="14"/>
      <c r="N4416" s="14" t="s">
        <v>33</v>
      </c>
      <c r="O4416" s="14"/>
      <c r="P4416" s="15" t="s">
        <v>2951</v>
      </c>
      <c r="Q4416" s="16">
        <v>4199</v>
      </c>
      <c r="R4416" s="17">
        <v>40</v>
      </c>
      <c r="S4416" s="18">
        <v>2897.31</v>
      </c>
      <c r="T4416" s="19" t="s">
        <v>36</v>
      </c>
      <c r="U4416" s="20" t="s">
        <v>88</v>
      </c>
      <c r="V4416" s="21" t="s">
        <v>89</v>
      </c>
      <c r="W4416" s="22">
        <v>10</v>
      </c>
      <c r="X4416" s="23"/>
    </row>
    <row r="4417" spans="1:24" s="1" customFormat="1" ht="32" customHeight="1" x14ac:dyDescent="0.3">
      <c r="A4417" s="24" t="s">
        <v>23</v>
      </c>
      <c r="B4417" s="24" t="s">
        <v>4036</v>
      </c>
      <c r="C4417" s="27" t="s">
        <v>4037</v>
      </c>
      <c r="D4417" s="61"/>
      <c r="E4417" s="41" t="str">
        <f>HYPERLINK("https://www.google.ru/search?q=1382831-001&amp;newwindow=1&amp;tbm=isch","Еще фото")</f>
        <v>Еще фото</v>
      </c>
      <c r="F4417" s="13" t="s">
        <v>103</v>
      </c>
      <c r="G4417" s="24" t="s">
        <v>3604</v>
      </c>
      <c r="H4417" s="24" t="s">
        <v>27</v>
      </c>
      <c r="I4417" s="24" t="s">
        <v>3599</v>
      </c>
      <c r="J4417" s="14" t="s">
        <v>29</v>
      </c>
      <c r="K4417" s="15" t="s">
        <v>30</v>
      </c>
      <c r="L4417" s="58"/>
      <c r="M4417" s="14"/>
      <c r="N4417" s="14" t="s">
        <v>33</v>
      </c>
      <c r="O4417" s="14"/>
      <c r="P4417" s="15" t="s">
        <v>2951</v>
      </c>
      <c r="Q4417" s="16">
        <v>4199</v>
      </c>
      <c r="R4417" s="17">
        <v>40</v>
      </c>
      <c r="S4417" s="18">
        <v>2897.31</v>
      </c>
      <c r="T4417" s="19" t="s">
        <v>36</v>
      </c>
      <c r="U4417" s="20" t="s">
        <v>90</v>
      </c>
      <c r="V4417" s="21" t="s">
        <v>91</v>
      </c>
      <c r="W4417" s="22">
        <v>4</v>
      </c>
      <c r="X4417" s="23"/>
    </row>
    <row r="4418" spans="1:24" s="1" customFormat="1" ht="21" customHeight="1" x14ac:dyDescent="0.3">
      <c r="A4418" s="11" t="s">
        <v>23</v>
      </c>
      <c r="B4418" s="11" t="s">
        <v>4036</v>
      </c>
      <c r="C4418" s="26" t="s">
        <v>4039</v>
      </c>
      <c r="D4418" s="59"/>
      <c r="E4418" s="41" t="str">
        <f>HYPERLINK("https://www.google.ru/search?q=1382831-011&amp;newwindow=1&amp;tbm=isch","Еще фото")</f>
        <v>Еще фото</v>
      </c>
      <c r="F4418" s="13" t="s">
        <v>103</v>
      </c>
      <c r="G4418" s="11" t="s">
        <v>3604</v>
      </c>
      <c r="H4418" s="11" t="s">
        <v>27</v>
      </c>
      <c r="I4418" s="14" t="s">
        <v>3599</v>
      </c>
      <c r="J4418" s="14" t="s">
        <v>29</v>
      </c>
      <c r="K4418" s="15" t="s">
        <v>30</v>
      </c>
      <c r="L4418" s="57" t="s">
        <v>4038</v>
      </c>
      <c r="M4418" s="14"/>
      <c r="N4418" s="14" t="s">
        <v>62</v>
      </c>
      <c r="O4418" s="14"/>
      <c r="P4418" s="15" t="s">
        <v>2951</v>
      </c>
      <c r="Q4418" s="16">
        <v>4299</v>
      </c>
      <c r="R4418" s="17">
        <v>40</v>
      </c>
      <c r="S4418" s="18">
        <v>2966.31</v>
      </c>
      <c r="T4418" s="19" t="s">
        <v>36</v>
      </c>
      <c r="U4418" s="20" t="s">
        <v>37</v>
      </c>
      <c r="V4418" s="21" t="s">
        <v>38</v>
      </c>
      <c r="W4418" s="22">
        <v>9</v>
      </c>
      <c r="X4418" s="23"/>
    </row>
    <row r="4419" spans="1:24" s="1" customFormat="1" ht="21" customHeight="1" x14ac:dyDescent="0.3">
      <c r="A4419" s="24" t="s">
        <v>23</v>
      </c>
      <c r="B4419" s="24" t="s">
        <v>4036</v>
      </c>
      <c r="C4419" s="27" t="s">
        <v>4039</v>
      </c>
      <c r="D4419" s="60"/>
      <c r="E4419" s="41" t="str">
        <f>HYPERLINK("https://www.google.ru/search?q=1382831-011&amp;newwindow=1&amp;tbm=isch","Еще фото")</f>
        <v>Еще фото</v>
      </c>
      <c r="F4419" s="13" t="s">
        <v>103</v>
      </c>
      <c r="G4419" s="24" t="s">
        <v>3604</v>
      </c>
      <c r="H4419" s="24" t="s">
        <v>27</v>
      </c>
      <c r="I4419" s="24" t="s">
        <v>3599</v>
      </c>
      <c r="J4419" s="14" t="s">
        <v>29</v>
      </c>
      <c r="K4419" s="15" t="s">
        <v>30</v>
      </c>
      <c r="L4419" s="62"/>
      <c r="M4419" s="14"/>
      <c r="N4419" s="14" t="s">
        <v>62</v>
      </c>
      <c r="O4419" s="14"/>
      <c r="P4419" s="15" t="s">
        <v>2951</v>
      </c>
      <c r="Q4419" s="16">
        <v>4299</v>
      </c>
      <c r="R4419" s="17">
        <v>40</v>
      </c>
      <c r="S4419" s="18">
        <v>2966.31</v>
      </c>
      <c r="T4419" s="19" t="s">
        <v>36</v>
      </c>
      <c r="U4419" s="20" t="s">
        <v>39</v>
      </c>
      <c r="V4419" s="21" t="s">
        <v>40</v>
      </c>
      <c r="W4419" s="22">
        <v>13</v>
      </c>
      <c r="X4419" s="23"/>
    </row>
    <row r="4420" spans="1:24" s="1" customFormat="1" ht="21" customHeight="1" x14ac:dyDescent="0.3">
      <c r="A4420" s="24" t="s">
        <v>23</v>
      </c>
      <c r="B4420" s="24" t="s">
        <v>4036</v>
      </c>
      <c r="C4420" s="27" t="s">
        <v>4039</v>
      </c>
      <c r="D4420" s="60"/>
      <c r="E4420" s="41" t="str">
        <f>HYPERLINK("https://www.google.ru/search?q=1382831-011&amp;newwindow=1&amp;tbm=isch","Еще фото")</f>
        <v>Еще фото</v>
      </c>
      <c r="F4420" s="13" t="s">
        <v>103</v>
      </c>
      <c r="G4420" s="24" t="s">
        <v>3604</v>
      </c>
      <c r="H4420" s="24" t="s">
        <v>27</v>
      </c>
      <c r="I4420" s="24" t="s">
        <v>3599</v>
      </c>
      <c r="J4420" s="14" t="s">
        <v>29</v>
      </c>
      <c r="K4420" s="15" t="s">
        <v>30</v>
      </c>
      <c r="L4420" s="62"/>
      <c r="M4420" s="14"/>
      <c r="N4420" s="14" t="s">
        <v>62</v>
      </c>
      <c r="O4420" s="14"/>
      <c r="P4420" s="15" t="s">
        <v>2951</v>
      </c>
      <c r="Q4420" s="16">
        <v>4299</v>
      </c>
      <c r="R4420" s="17">
        <v>40</v>
      </c>
      <c r="S4420" s="18">
        <v>2966.31</v>
      </c>
      <c r="T4420" s="19" t="s">
        <v>36</v>
      </c>
      <c r="U4420" s="20" t="s">
        <v>86</v>
      </c>
      <c r="V4420" s="21" t="s">
        <v>87</v>
      </c>
      <c r="W4420" s="22">
        <v>18</v>
      </c>
      <c r="X4420" s="23"/>
    </row>
    <row r="4421" spans="1:24" s="1" customFormat="1" ht="21" customHeight="1" x14ac:dyDescent="0.3">
      <c r="A4421" s="24" t="s">
        <v>23</v>
      </c>
      <c r="B4421" s="24" t="s">
        <v>4036</v>
      </c>
      <c r="C4421" s="27" t="s">
        <v>4039</v>
      </c>
      <c r="D4421" s="60"/>
      <c r="E4421" s="41" t="str">
        <f>HYPERLINK("https://www.google.ru/search?q=1382831-011&amp;newwindow=1&amp;tbm=isch","Еще фото")</f>
        <v>Еще фото</v>
      </c>
      <c r="F4421" s="13" t="s">
        <v>103</v>
      </c>
      <c r="G4421" s="24" t="s">
        <v>3604</v>
      </c>
      <c r="H4421" s="24" t="s">
        <v>27</v>
      </c>
      <c r="I4421" s="24" t="s">
        <v>3599</v>
      </c>
      <c r="J4421" s="14" t="s">
        <v>29</v>
      </c>
      <c r="K4421" s="15" t="s">
        <v>30</v>
      </c>
      <c r="L4421" s="62"/>
      <c r="M4421" s="14"/>
      <c r="N4421" s="14" t="s">
        <v>62</v>
      </c>
      <c r="O4421" s="14"/>
      <c r="P4421" s="15" t="s">
        <v>2951</v>
      </c>
      <c r="Q4421" s="16">
        <v>4299</v>
      </c>
      <c r="R4421" s="17">
        <v>40</v>
      </c>
      <c r="S4421" s="18">
        <v>2966.31</v>
      </c>
      <c r="T4421" s="19" t="s">
        <v>36</v>
      </c>
      <c r="U4421" s="20" t="s">
        <v>88</v>
      </c>
      <c r="V4421" s="21" t="s">
        <v>89</v>
      </c>
      <c r="W4421" s="22">
        <v>3</v>
      </c>
      <c r="X4421" s="23"/>
    </row>
    <row r="4422" spans="1:24" s="1" customFormat="1" ht="32" customHeight="1" x14ac:dyDescent="0.3">
      <c r="A4422" s="24" t="s">
        <v>23</v>
      </c>
      <c r="B4422" s="24" t="s">
        <v>4036</v>
      </c>
      <c r="C4422" s="27" t="s">
        <v>4039</v>
      </c>
      <c r="D4422" s="61"/>
      <c r="E4422" s="41" t="str">
        <f>HYPERLINK("https://www.google.ru/search?q=1382831-011&amp;newwindow=1&amp;tbm=isch","Еще фото")</f>
        <v>Еще фото</v>
      </c>
      <c r="F4422" s="13" t="s">
        <v>103</v>
      </c>
      <c r="G4422" s="24" t="s">
        <v>3604</v>
      </c>
      <c r="H4422" s="24" t="s">
        <v>27</v>
      </c>
      <c r="I4422" s="24" t="s">
        <v>3599</v>
      </c>
      <c r="J4422" s="14" t="s">
        <v>29</v>
      </c>
      <c r="K4422" s="15" t="s">
        <v>30</v>
      </c>
      <c r="L4422" s="58"/>
      <c r="M4422" s="14"/>
      <c r="N4422" s="14" t="s">
        <v>62</v>
      </c>
      <c r="O4422" s="14"/>
      <c r="P4422" s="15" t="s">
        <v>2951</v>
      </c>
      <c r="Q4422" s="16">
        <v>4299</v>
      </c>
      <c r="R4422" s="17">
        <v>40</v>
      </c>
      <c r="S4422" s="18">
        <v>2966.31</v>
      </c>
      <c r="T4422" s="19" t="s">
        <v>36</v>
      </c>
      <c r="U4422" s="20" t="s">
        <v>90</v>
      </c>
      <c r="V4422" s="21" t="s">
        <v>91</v>
      </c>
      <c r="W4422" s="22">
        <v>3</v>
      </c>
      <c r="X4422" s="23"/>
    </row>
    <row r="4423" spans="1:24" s="1" customFormat="1" ht="14" customHeight="1" x14ac:dyDescent="0.3">
      <c r="A4423" s="11" t="s">
        <v>23</v>
      </c>
      <c r="B4423" s="11" t="s">
        <v>4036</v>
      </c>
      <c r="C4423" s="12" t="s">
        <v>4040</v>
      </c>
      <c r="D4423" s="59"/>
      <c r="E4423" s="41" t="str">
        <f t="shared" ref="E4423:E4429" si="161">HYPERLINK("https://www.google.ru/search?q=1382831-100&amp;newwindow=1&amp;tbm=isch","Еще фото")</f>
        <v>Еще фото</v>
      </c>
      <c r="F4423" s="13" t="s">
        <v>103</v>
      </c>
      <c r="G4423" s="11" t="s">
        <v>3604</v>
      </c>
      <c r="H4423" s="11" t="s">
        <v>27</v>
      </c>
      <c r="I4423" s="14" t="s">
        <v>3599</v>
      </c>
      <c r="J4423" s="14" t="s">
        <v>29</v>
      </c>
      <c r="K4423" s="15" t="s">
        <v>30</v>
      </c>
      <c r="L4423" s="57" t="s">
        <v>4041</v>
      </c>
      <c r="M4423" s="14"/>
      <c r="N4423" s="14" t="s">
        <v>84</v>
      </c>
      <c r="O4423" s="14"/>
      <c r="P4423" s="15" t="s">
        <v>2951</v>
      </c>
      <c r="Q4423" s="16">
        <v>4399</v>
      </c>
      <c r="R4423" s="17">
        <v>40</v>
      </c>
      <c r="S4423" s="18">
        <v>3035.31</v>
      </c>
      <c r="T4423" s="19" t="s">
        <v>36</v>
      </c>
      <c r="U4423" s="20" t="s">
        <v>63</v>
      </c>
      <c r="V4423" s="21" t="s">
        <v>85</v>
      </c>
      <c r="W4423" s="22">
        <v>5</v>
      </c>
      <c r="X4423" s="23"/>
    </row>
    <row r="4424" spans="1:24" s="1" customFormat="1" ht="14" customHeight="1" x14ac:dyDescent="0.3">
      <c r="A4424" s="24" t="s">
        <v>23</v>
      </c>
      <c r="B4424" s="24" t="s">
        <v>4036</v>
      </c>
      <c r="C4424" s="12" t="s">
        <v>4040</v>
      </c>
      <c r="D4424" s="60"/>
      <c r="E4424" s="41" t="str">
        <f t="shared" si="161"/>
        <v>Еще фото</v>
      </c>
      <c r="F4424" s="13" t="s">
        <v>103</v>
      </c>
      <c r="G4424" s="24" t="s">
        <v>3604</v>
      </c>
      <c r="H4424" s="24" t="s">
        <v>27</v>
      </c>
      <c r="I4424" s="24" t="s">
        <v>3599</v>
      </c>
      <c r="J4424" s="14" t="s">
        <v>29</v>
      </c>
      <c r="K4424" s="15" t="s">
        <v>30</v>
      </c>
      <c r="L4424" s="62"/>
      <c r="M4424" s="14"/>
      <c r="N4424" s="14" t="s">
        <v>84</v>
      </c>
      <c r="O4424" s="14"/>
      <c r="P4424" s="15" t="s">
        <v>2951</v>
      </c>
      <c r="Q4424" s="16">
        <v>4399</v>
      </c>
      <c r="R4424" s="17">
        <v>40</v>
      </c>
      <c r="S4424" s="18">
        <v>3035.31</v>
      </c>
      <c r="T4424" s="19" t="s">
        <v>36</v>
      </c>
      <c r="U4424" s="20" t="s">
        <v>37</v>
      </c>
      <c r="V4424" s="21" t="s">
        <v>38</v>
      </c>
      <c r="W4424" s="22">
        <v>9</v>
      </c>
      <c r="X4424" s="23"/>
    </row>
    <row r="4425" spans="1:24" s="1" customFormat="1" ht="14" customHeight="1" x14ac:dyDescent="0.3">
      <c r="A4425" s="24" t="s">
        <v>23</v>
      </c>
      <c r="B4425" s="24" t="s">
        <v>4036</v>
      </c>
      <c r="C4425" s="12" t="s">
        <v>4040</v>
      </c>
      <c r="D4425" s="60"/>
      <c r="E4425" s="41" t="str">
        <f t="shared" si="161"/>
        <v>Еще фото</v>
      </c>
      <c r="F4425" s="13" t="s">
        <v>103</v>
      </c>
      <c r="G4425" s="24" t="s">
        <v>3604</v>
      </c>
      <c r="H4425" s="24" t="s">
        <v>27</v>
      </c>
      <c r="I4425" s="24" t="s">
        <v>3599</v>
      </c>
      <c r="J4425" s="14" t="s">
        <v>29</v>
      </c>
      <c r="K4425" s="15" t="s">
        <v>30</v>
      </c>
      <c r="L4425" s="62"/>
      <c r="M4425" s="14"/>
      <c r="N4425" s="14" t="s">
        <v>84</v>
      </c>
      <c r="O4425" s="14"/>
      <c r="P4425" s="15" t="s">
        <v>2951</v>
      </c>
      <c r="Q4425" s="16">
        <v>4399</v>
      </c>
      <c r="R4425" s="17">
        <v>40</v>
      </c>
      <c r="S4425" s="18">
        <v>3035.31</v>
      </c>
      <c r="T4425" s="19" t="s">
        <v>36</v>
      </c>
      <c r="U4425" s="20" t="s">
        <v>39</v>
      </c>
      <c r="V4425" s="21" t="s">
        <v>40</v>
      </c>
      <c r="W4425" s="22">
        <v>21</v>
      </c>
      <c r="X4425" s="23"/>
    </row>
    <row r="4426" spans="1:24" s="1" customFormat="1" ht="14" customHeight="1" x14ac:dyDescent="0.3">
      <c r="A4426" s="24" t="s">
        <v>23</v>
      </c>
      <c r="B4426" s="24" t="s">
        <v>4036</v>
      </c>
      <c r="C4426" s="12" t="s">
        <v>4040</v>
      </c>
      <c r="D4426" s="60"/>
      <c r="E4426" s="41" t="str">
        <f t="shared" si="161"/>
        <v>Еще фото</v>
      </c>
      <c r="F4426" s="13" t="s">
        <v>103</v>
      </c>
      <c r="G4426" s="24" t="s">
        <v>3604</v>
      </c>
      <c r="H4426" s="24" t="s">
        <v>27</v>
      </c>
      <c r="I4426" s="24" t="s">
        <v>3599</v>
      </c>
      <c r="J4426" s="14" t="s">
        <v>29</v>
      </c>
      <c r="K4426" s="15" t="s">
        <v>30</v>
      </c>
      <c r="L4426" s="62"/>
      <c r="M4426" s="14"/>
      <c r="N4426" s="14" t="s">
        <v>84</v>
      </c>
      <c r="O4426" s="14"/>
      <c r="P4426" s="15" t="s">
        <v>2951</v>
      </c>
      <c r="Q4426" s="16">
        <v>4399</v>
      </c>
      <c r="R4426" s="17">
        <v>40</v>
      </c>
      <c r="S4426" s="18">
        <v>3035.31</v>
      </c>
      <c r="T4426" s="19" t="s">
        <v>36</v>
      </c>
      <c r="U4426" s="20" t="s">
        <v>86</v>
      </c>
      <c r="V4426" s="21" t="s">
        <v>87</v>
      </c>
      <c r="W4426" s="22">
        <v>23</v>
      </c>
      <c r="X4426" s="23"/>
    </row>
    <row r="4427" spans="1:24" s="1" customFormat="1" ht="14" customHeight="1" x14ac:dyDescent="0.3">
      <c r="A4427" s="24" t="s">
        <v>23</v>
      </c>
      <c r="B4427" s="24" t="s">
        <v>4036</v>
      </c>
      <c r="C4427" s="12" t="s">
        <v>4040</v>
      </c>
      <c r="D4427" s="60"/>
      <c r="E4427" s="41" t="str">
        <f t="shared" si="161"/>
        <v>Еще фото</v>
      </c>
      <c r="F4427" s="13" t="s">
        <v>103</v>
      </c>
      <c r="G4427" s="24" t="s">
        <v>3604</v>
      </c>
      <c r="H4427" s="24" t="s">
        <v>27</v>
      </c>
      <c r="I4427" s="24" t="s">
        <v>3599</v>
      </c>
      <c r="J4427" s="14" t="s">
        <v>29</v>
      </c>
      <c r="K4427" s="15" t="s">
        <v>30</v>
      </c>
      <c r="L4427" s="62"/>
      <c r="M4427" s="14"/>
      <c r="N4427" s="14" t="s">
        <v>84</v>
      </c>
      <c r="O4427" s="14"/>
      <c r="P4427" s="15" t="s">
        <v>2951</v>
      </c>
      <c r="Q4427" s="16">
        <v>4399</v>
      </c>
      <c r="R4427" s="17">
        <v>40</v>
      </c>
      <c r="S4427" s="18">
        <v>3035.31</v>
      </c>
      <c r="T4427" s="19" t="s">
        <v>36</v>
      </c>
      <c r="U4427" s="20" t="s">
        <v>88</v>
      </c>
      <c r="V4427" s="21" t="s">
        <v>89</v>
      </c>
      <c r="W4427" s="22">
        <v>12</v>
      </c>
      <c r="X4427" s="23"/>
    </row>
    <row r="4428" spans="1:24" s="1" customFormat="1" ht="14" customHeight="1" x14ac:dyDescent="0.3">
      <c r="A4428" s="24" t="s">
        <v>23</v>
      </c>
      <c r="B4428" s="24" t="s">
        <v>4036</v>
      </c>
      <c r="C4428" s="12" t="s">
        <v>4040</v>
      </c>
      <c r="D4428" s="60"/>
      <c r="E4428" s="41" t="str">
        <f t="shared" si="161"/>
        <v>Еще фото</v>
      </c>
      <c r="F4428" s="13" t="s">
        <v>103</v>
      </c>
      <c r="G4428" s="24" t="s">
        <v>3604</v>
      </c>
      <c r="H4428" s="24" t="s">
        <v>27</v>
      </c>
      <c r="I4428" s="24" t="s">
        <v>3599</v>
      </c>
      <c r="J4428" s="14" t="s">
        <v>29</v>
      </c>
      <c r="K4428" s="15" t="s">
        <v>30</v>
      </c>
      <c r="L4428" s="62"/>
      <c r="M4428" s="14"/>
      <c r="N4428" s="14" t="s">
        <v>84</v>
      </c>
      <c r="O4428" s="14"/>
      <c r="P4428" s="15" t="s">
        <v>2951</v>
      </c>
      <c r="Q4428" s="16">
        <v>4399</v>
      </c>
      <c r="R4428" s="17">
        <v>40</v>
      </c>
      <c r="S4428" s="18">
        <v>3035.31</v>
      </c>
      <c r="T4428" s="19" t="s">
        <v>36</v>
      </c>
      <c r="U4428" s="20" t="s">
        <v>90</v>
      </c>
      <c r="V4428" s="21" t="s">
        <v>91</v>
      </c>
      <c r="W4428" s="22">
        <v>7</v>
      </c>
      <c r="X4428" s="23"/>
    </row>
    <row r="4429" spans="1:24" s="1" customFormat="1" ht="17" customHeight="1" x14ac:dyDescent="0.3">
      <c r="A4429" s="24" t="s">
        <v>23</v>
      </c>
      <c r="B4429" s="24" t="s">
        <v>4036</v>
      </c>
      <c r="C4429" s="12" t="s">
        <v>4040</v>
      </c>
      <c r="D4429" s="61"/>
      <c r="E4429" s="41" t="str">
        <f t="shared" si="161"/>
        <v>Еще фото</v>
      </c>
      <c r="F4429" s="13" t="s">
        <v>103</v>
      </c>
      <c r="G4429" s="24" t="s">
        <v>3604</v>
      </c>
      <c r="H4429" s="24" t="s">
        <v>27</v>
      </c>
      <c r="I4429" s="24" t="s">
        <v>3599</v>
      </c>
      <c r="J4429" s="14" t="s">
        <v>29</v>
      </c>
      <c r="K4429" s="15" t="s">
        <v>30</v>
      </c>
      <c r="L4429" s="58"/>
      <c r="M4429" s="14"/>
      <c r="N4429" s="14" t="s">
        <v>84</v>
      </c>
      <c r="O4429" s="14"/>
      <c r="P4429" s="15" t="s">
        <v>2951</v>
      </c>
      <c r="Q4429" s="16">
        <v>4399</v>
      </c>
      <c r="R4429" s="17">
        <v>40</v>
      </c>
      <c r="S4429" s="18">
        <v>3035.31</v>
      </c>
      <c r="T4429" s="19" t="s">
        <v>36</v>
      </c>
      <c r="U4429" s="20" t="s">
        <v>408</v>
      </c>
      <c r="V4429" s="21" t="s">
        <v>409</v>
      </c>
      <c r="W4429" s="22">
        <v>3</v>
      </c>
      <c r="X4429" s="23"/>
    </row>
    <row r="4430" spans="1:24" s="1" customFormat="1" ht="21" customHeight="1" x14ac:dyDescent="0.3">
      <c r="A4430" s="11" t="s">
        <v>23</v>
      </c>
      <c r="B4430" s="11" t="s">
        <v>4036</v>
      </c>
      <c r="C4430" s="26" t="s">
        <v>4042</v>
      </c>
      <c r="D4430" s="59"/>
      <c r="E4430" s="41" t="str">
        <f>HYPERLINK("https://www.google.ru/search?q=1382831-477&amp;newwindow=1&amp;tbm=isch","Еще фото")</f>
        <v>Еще фото</v>
      </c>
      <c r="F4430" s="13" t="s">
        <v>103</v>
      </c>
      <c r="G4430" s="11" t="s">
        <v>3604</v>
      </c>
      <c r="H4430" s="11" t="s">
        <v>27</v>
      </c>
      <c r="I4430" s="14" t="s">
        <v>3599</v>
      </c>
      <c r="J4430" s="14" t="s">
        <v>43</v>
      </c>
      <c r="K4430" s="15" t="s">
        <v>30</v>
      </c>
      <c r="L4430" s="57" t="s">
        <v>4041</v>
      </c>
      <c r="M4430" s="14"/>
      <c r="N4430" s="14" t="s">
        <v>46</v>
      </c>
      <c r="O4430" s="14"/>
      <c r="P4430" s="15" t="s">
        <v>2951</v>
      </c>
      <c r="Q4430" s="16">
        <v>4199</v>
      </c>
      <c r="R4430" s="17">
        <v>40</v>
      </c>
      <c r="S4430" s="18">
        <v>2897.31</v>
      </c>
      <c r="T4430" s="19" t="s">
        <v>36</v>
      </c>
      <c r="U4430" s="20" t="s">
        <v>37</v>
      </c>
      <c r="V4430" s="21" t="s">
        <v>38</v>
      </c>
      <c r="W4430" s="22">
        <v>7</v>
      </c>
      <c r="X4430" s="23"/>
    </row>
    <row r="4431" spans="1:24" s="1" customFormat="1" ht="21" customHeight="1" x14ac:dyDescent="0.3">
      <c r="A4431" s="24" t="s">
        <v>23</v>
      </c>
      <c r="B4431" s="24" t="s">
        <v>4036</v>
      </c>
      <c r="C4431" s="27" t="s">
        <v>4042</v>
      </c>
      <c r="D4431" s="60"/>
      <c r="E4431" s="41" t="str">
        <f>HYPERLINK("https://www.google.ru/search?q=1382831-477&amp;newwindow=1&amp;tbm=isch","Еще фото")</f>
        <v>Еще фото</v>
      </c>
      <c r="F4431" s="13" t="s">
        <v>103</v>
      </c>
      <c r="G4431" s="24" t="s">
        <v>3604</v>
      </c>
      <c r="H4431" s="24" t="s">
        <v>27</v>
      </c>
      <c r="I4431" s="24" t="s">
        <v>3599</v>
      </c>
      <c r="J4431" s="14" t="s">
        <v>43</v>
      </c>
      <c r="K4431" s="15" t="s">
        <v>30</v>
      </c>
      <c r="L4431" s="62"/>
      <c r="M4431" s="14"/>
      <c r="N4431" s="14" t="s">
        <v>46</v>
      </c>
      <c r="O4431" s="14"/>
      <c r="P4431" s="15" t="s">
        <v>2951</v>
      </c>
      <c r="Q4431" s="16">
        <v>4199</v>
      </c>
      <c r="R4431" s="17">
        <v>40</v>
      </c>
      <c r="S4431" s="18">
        <v>2897.31</v>
      </c>
      <c r="T4431" s="19" t="s">
        <v>36</v>
      </c>
      <c r="U4431" s="20" t="s">
        <v>39</v>
      </c>
      <c r="V4431" s="21" t="s">
        <v>40</v>
      </c>
      <c r="W4431" s="22">
        <v>24</v>
      </c>
      <c r="X4431" s="23"/>
    </row>
    <row r="4432" spans="1:24" s="1" customFormat="1" ht="21" customHeight="1" x14ac:dyDescent="0.3">
      <c r="A4432" s="24" t="s">
        <v>23</v>
      </c>
      <c r="B4432" s="24" t="s">
        <v>4036</v>
      </c>
      <c r="C4432" s="27" t="s">
        <v>4042</v>
      </c>
      <c r="D4432" s="60"/>
      <c r="E4432" s="41" t="str">
        <f>HYPERLINK("https://www.google.ru/search?q=1382831-477&amp;newwindow=1&amp;tbm=isch","Еще фото")</f>
        <v>Еще фото</v>
      </c>
      <c r="F4432" s="13" t="s">
        <v>103</v>
      </c>
      <c r="G4432" s="24" t="s">
        <v>3604</v>
      </c>
      <c r="H4432" s="24" t="s">
        <v>27</v>
      </c>
      <c r="I4432" s="24" t="s">
        <v>3599</v>
      </c>
      <c r="J4432" s="14" t="s">
        <v>43</v>
      </c>
      <c r="K4432" s="15" t="s">
        <v>30</v>
      </c>
      <c r="L4432" s="62"/>
      <c r="M4432" s="14"/>
      <c r="N4432" s="14" t="s">
        <v>46</v>
      </c>
      <c r="O4432" s="14"/>
      <c r="P4432" s="15" t="s">
        <v>2951</v>
      </c>
      <c r="Q4432" s="16">
        <v>4199</v>
      </c>
      <c r="R4432" s="17">
        <v>40</v>
      </c>
      <c r="S4432" s="18">
        <v>2897.31</v>
      </c>
      <c r="T4432" s="19" t="s">
        <v>36</v>
      </c>
      <c r="U4432" s="20" t="s">
        <v>86</v>
      </c>
      <c r="V4432" s="21" t="s">
        <v>87</v>
      </c>
      <c r="W4432" s="22">
        <v>16</v>
      </c>
      <c r="X4432" s="23"/>
    </row>
    <row r="4433" spans="1:24" s="1" customFormat="1" ht="21" customHeight="1" x14ac:dyDescent="0.3">
      <c r="A4433" s="24" t="s">
        <v>23</v>
      </c>
      <c r="B4433" s="24" t="s">
        <v>4036</v>
      </c>
      <c r="C4433" s="27" t="s">
        <v>4042</v>
      </c>
      <c r="D4433" s="60"/>
      <c r="E4433" s="41" t="str">
        <f>HYPERLINK("https://www.google.ru/search?q=1382831-477&amp;newwindow=1&amp;tbm=isch","Еще фото")</f>
        <v>Еще фото</v>
      </c>
      <c r="F4433" s="13" t="s">
        <v>103</v>
      </c>
      <c r="G4433" s="24" t="s">
        <v>3604</v>
      </c>
      <c r="H4433" s="24" t="s">
        <v>27</v>
      </c>
      <c r="I4433" s="24" t="s">
        <v>3599</v>
      </c>
      <c r="J4433" s="14" t="s">
        <v>43</v>
      </c>
      <c r="K4433" s="15" t="s">
        <v>30</v>
      </c>
      <c r="L4433" s="62"/>
      <c r="M4433" s="14"/>
      <c r="N4433" s="14" t="s">
        <v>46</v>
      </c>
      <c r="O4433" s="14"/>
      <c r="P4433" s="15" t="s">
        <v>2951</v>
      </c>
      <c r="Q4433" s="16">
        <v>4199</v>
      </c>
      <c r="R4433" s="17">
        <v>40</v>
      </c>
      <c r="S4433" s="18">
        <v>2897.31</v>
      </c>
      <c r="T4433" s="19" t="s">
        <v>36</v>
      </c>
      <c r="U4433" s="20" t="s">
        <v>88</v>
      </c>
      <c r="V4433" s="21" t="s">
        <v>89</v>
      </c>
      <c r="W4433" s="22">
        <v>8</v>
      </c>
      <c r="X4433" s="23"/>
    </row>
    <row r="4434" spans="1:24" s="1" customFormat="1" ht="32" customHeight="1" x14ac:dyDescent="0.3">
      <c r="A4434" s="24" t="s">
        <v>23</v>
      </c>
      <c r="B4434" s="24" t="s">
        <v>4036</v>
      </c>
      <c r="C4434" s="27" t="s">
        <v>4042</v>
      </c>
      <c r="D4434" s="61"/>
      <c r="E4434" s="41" t="str">
        <f>HYPERLINK("https://www.google.ru/search?q=1382831-477&amp;newwindow=1&amp;tbm=isch","Еще фото")</f>
        <v>Еще фото</v>
      </c>
      <c r="F4434" s="13" t="s">
        <v>103</v>
      </c>
      <c r="G4434" s="24" t="s">
        <v>3604</v>
      </c>
      <c r="H4434" s="24" t="s">
        <v>27</v>
      </c>
      <c r="I4434" s="24" t="s">
        <v>3599</v>
      </c>
      <c r="J4434" s="14" t="s">
        <v>43</v>
      </c>
      <c r="K4434" s="15" t="s">
        <v>30</v>
      </c>
      <c r="L4434" s="58"/>
      <c r="M4434" s="14"/>
      <c r="N4434" s="14" t="s">
        <v>46</v>
      </c>
      <c r="O4434" s="14"/>
      <c r="P4434" s="15" t="s">
        <v>2951</v>
      </c>
      <c r="Q4434" s="16">
        <v>4199</v>
      </c>
      <c r="R4434" s="17">
        <v>40</v>
      </c>
      <c r="S4434" s="18">
        <v>2897.31</v>
      </c>
      <c r="T4434" s="19" t="s">
        <v>36</v>
      </c>
      <c r="U4434" s="20" t="s">
        <v>90</v>
      </c>
      <c r="V4434" s="21" t="s">
        <v>91</v>
      </c>
      <c r="W4434" s="22">
        <v>7</v>
      </c>
      <c r="X4434" s="23"/>
    </row>
    <row r="4435" spans="1:24" s="1" customFormat="1" ht="108" customHeight="1" x14ac:dyDescent="0.3">
      <c r="A4435" s="11" t="s">
        <v>23</v>
      </c>
      <c r="B4435" s="11" t="s">
        <v>4043</v>
      </c>
      <c r="C4435" s="12" t="s">
        <v>4044</v>
      </c>
      <c r="D4435" s="25"/>
      <c r="E4435" s="41" t="str">
        <f>HYPERLINK("https://www.google.ru/search?q=1382911-037&amp;newwindow=1&amp;tbm=isch","Еще фото")</f>
        <v>Еще фото</v>
      </c>
      <c r="F4435" s="13" t="s">
        <v>103</v>
      </c>
      <c r="G4435" s="11" t="s">
        <v>3604</v>
      </c>
      <c r="H4435" s="11" t="s">
        <v>27</v>
      </c>
      <c r="I4435" s="14" t="s">
        <v>3599</v>
      </c>
      <c r="J4435" s="14" t="s">
        <v>43</v>
      </c>
      <c r="K4435" s="15" t="s">
        <v>30</v>
      </c>
      <c r="L4435" s="14" t="s">
        <v>4045</v>
      </c>
      <c r="M4435" s="14"/>
      <c r="N4435" s="14" t="s">
        <v>62</v>
      </c>
      <c r="O4435" s="14"/>
      <c r="P4435" s="15" t="s">
        <v>2951</v>
      </c>
      <c r="Q4435" s="16">
        <v>2499</v>
      </c>
      <c r="R4435" s="17">
        <v>40</v>
      </c>
      <c r="S4435" s="18">
        <v>1724.31</v>
      </c>
      <c r="T4435" s="19" t="s">
        <v>36</v>
      </c>
      <c r="U4435" s="20" t="s">
        <v>90</v>
      </c>
      <c r="V4435" s="21" t="s">
        <v>91</v>
      </c>
      <c r="W4435" s="22">
        <v>2</v>
      </c>
      <c r="X4435" s="23"/>
    </row>
    <row r="4436" spans="1:24" s="1" customFormat="1" ht="52.05" customHeight="1" x14ac:dyDescent="0.3">
      <c r="A4436" s="11" t="s">
        <v>23</v>
      </c>
      <c r="B4436" s="11" t="s">
        <v>4046</v>
      </c>
      <c r="C4436" s="12" t="s">
        <v>4047</v>
      </c>
      <c r="D4436" s="55"/>
      <c r="E4436" s="41" t="str">
        <f>HYPERLINK("https://www.google.ru/search?q=1382915-011&amp;newwindow=1&amp;tbm=isch","Еще фото")</f>
        <v>Еще фото</v>
      </c>
      <c r="F4436" s="13" t="s">
        <v>103</v>
      </c>
      <c r="G4436" s="11" t="s">
        <v>3604</v>
      </c>
      <c r="H4436" s="11" t="s">
        <v>27</v>
      </c>
      <c r="I4436" s="14" t="s">
        <v>3599</v>
      </c>
      <c r="J4436" s="14" t="s">
        <v>29</v>
      </c>
      <c r="K4436" s="15" t="s">
        <v>30</v>
      </c>
      <c r="L4436" s="57" t="s">
        <v>4048</v>
      </c>
      <c r="M4436" s="14"/>
      <c r="N4436" s="14" t="s">
        <v>62</v>
      </c>
      <c r="O4436" s="14"/>
      <c r="P4436" s="15" t="s">
        <v>2951</v>
      </c>
      <c r="Q4436" s="16">
        <v>2999</v>
      </c>
      <c r="R4436" s="17">
        <v>40</v>
      </c>
      <c r="S4436" s="18">
        <v>2069.31</v>
      </c>
      <c r="T4436" s="19" t="s">
        <v>36</v>
      </c>
      <c r="U4436" s="20" t="s">
        <v>37</v>
      </c>
      <c r="V4436" s="21" t="s">
        <v>38</v>
      </c>
      <c r="W4436" s="22">
        <v>11</v>
      </c>
      <c r="X4436" s="23"/>
    </row>
    <row r="4437" spans="1:24" s="1" customFormat="1" ht="61.05" customHeight="1" x14ac:dyDescent="0.3">
      <c r="A4437" s="24" t="s">
        <v>23</v>
      </c>
      <c r="B4437" s="24" t="s">
        <v>4046</v>
      </c>
      <c r="C4437" s="12" t="s">
        <v>4047</v>
      </c>
      <c r="D4437" s="56"/>
      <c r="E4437" s="41" t="str">
        <f>HYPERLINK("https://www.google.ru/search?q=1382915-011&amp;newwindow=1&amp;tbm=isch","Еще фото")</f>
        <v>Еще фото</v>
      </c>
      <c r="F4437" s="13" t="s">
        <v>103</v>
      </c>
      <c r="G4437" s="24" t="s">
        <v>3604</v>
      </c>
      <c r="H4437" s="24" t="s">
        <v>27</v>
      </c>
      <c r="I4437" s="24" t="s">
        <v>3599</v>
      </c>
      <c r="J4437" s="14" t="s">
        <v>29</v>
      </c>
      <c r="K4437" s="15" t="s">
        <v>30</v>
      </c>
      <c r="L4437" s="58"/>
      <c r="M4437" s="14"/>
      <c r="N4437" s="14" t="s">
        <v>62</v>
      </c>
      <c r="O4437" s="14"/>
      <c r="P4437" s="15" t="s">
        <v>2951</v>
      </c>
      <c r="Q4437" s="16">
        <v>2999</v>
      </c>
      <c r="R4437" s="17">
        <v>40</v>
      </c>
      <c r="S4437" s="18">
        <v>2069.31</v>
      </c>
      <c r="T4437" s="19" t="s">
        <v>36</v>
      </c>
      <c r="U4437" s="20" t="s">
        <v>39</v>
      </c>
      <c r="V4437" s="21" t="s">
        <v>40</v>
      </c>
      <c r="W4437" s="22">
        <v>17</v>
      </c>
      <c r="X4437" s="23"/>
    </row>
    <row r="4438" spans="1:24" s="1" customFormat="1" ht="52.05" customHeight="1" x14ac:dyDescent="0.3">
      <c r="A4438" s="11" t="s">
        <v>23</v>
      </c>
      <c r="B4438" s="11" t="s">
        <v>4046</v>
      </c>
      <c r="C4438" s="12" t="s">
        <v>4049</v>
      </c>
      <c r="D4438" s="55"/>
      <c r="E4438" s="41" t="str">
        <f>HYPERLINK("https://www.google.ru/search?q=1382915-028&amp;newwindow=1&amp;tbm=isch","Еще фото")</f>
        <v>Еще фото</v>
      </c>
      <c r="F4438" s="13" t="s">
        <v>103</v>
      </c>
      <c r="G4438" s="11" t="s">
        <v>3604</v>
      </c>
      <c r="H4438" s="11" t="s">
        <v>27</v>
      </c>
      <c r="I4438" s="14" t="s">
        <v>3599</v>
      </c>
      <c r="J4438" s="14" t="s">
        <v>29</v>
      </c>
      <c r="K4438" s="15" t="s">
        <v>30</v>
      </c>
      <c r="L4438" s="57" t="s">
        <v>4048</v>
      </c>
      <c r="M4438" s="14"/>
      <c r="N4438" s="14" t="s">
        <v>62</v>
      </c>
      <c r="O4438" s="14"/>
      <c r="P4438" s="15" t="s">
        <v>2951</v>
      </c>
      <c r="Q4438" s="16">
        <v>2999</v>
      </c>
      <c r="R4438" s="17">
        <v>40</v>
      </c>
      <c r="S4438" s="18">
        <v>2069.31</v>
      </c>
      <c r="T4438" s="19" t="s">
        <v>36</v>
      </c>
      <c r="U4438" s="20" t="s">
        <v>37</v>
      </c>
      <c r="V4438" s="21" t="s">
        <v>38</v>
      </c>
      <c r="W4438" s="22">
        <v>24</v>
      </c>
      <c r="X4438" s="23"/>
    </row>
    <row r="4439" spans="1:24" s="1" customFormat="1" ht="61.05" customHeight="1" x14ac:dyDescent="0.3">
      <c r="A4439" s="24" t="s">
        <v>23</v>
      </c>
      <c r="B4439" s="24" t="s">
        <v>4046</v>
      </c>
      <c r="C4439" s="12" t="s">
        <v>4049</v>
      </c>
      <c r="D4439" s="56"/>
      <c r="E4439" s="41" t="str">
        <f>HYPERLINK("https://www.google.ru/search?q=1382915-028&amp;newwindow=1&amp;tbm=isch","Еще фото")</f>
        <v>Еще фото</v>
      </c>
      <c r="F4439" s="13" t="s">
        <v>103</v>
      </c>
      <c r="G4439" s="24" t="s">
        <v>3604</v>
      </c>
      <c r="H4439" s="24" t="s">
        <v>27</v>
      </c>
      <c r="I4439" s="24" t="s">
        <v>3599</v>
      </c>
      <c r="J4439" s="14" t="s">
        <v>29</v>
      </c>
      <c r="K4439" s="15" t="s">
        <v>30</v>
      </c>
      <c r="L4439" s="58"/>
      <c r="M4439" s="14"/>
      <c r="N4439" s="14" t="s">
        <v>62</v>
      </c>
      <c r="O4439" s="14"/>
      <c r="P4439" s="15" t="s">
        <v>2951</v>
      </c>
      <c r="Q4439" s="16">
        <v>2999</v>
      </c>
      <c r="R4439" s="17">
        <v>40</v>
      </c>
      <c r="S4439" s="18">
        <v>2069.31</v>
      </c>
      <c r="T4439" s="19" t="s">
        <v>36</v>
      </c>
      <c r="U4439" s="20" t="s">
        <v>39</v>
      </c>
      <c r="V4439" s="21" t="s">
        <v>40</v>
      </c>
      <c r="W4439" s="22">
        <v>21</v>
      </c>
      <c r="X4439" s="23"/>
    </row>
    <row r="4440" spans="1:24" s="1" customFormat="1" ht="21" customHeight="1" x14ac:dyDescent="0.3">
      <c r="A4440" s="11" t="s">
        <v>23</v>
      </c>
      <c r="B4440" s="11" t="s">
        <v>4046</v>
      </c>
      <c r="C4440" s="26" t="s">
        <v>4050</v>
      </c>
      <c r="D4440" s="59"/>
      <c r="E4440" s="41" t="str">
        <f>HYPERLINK("https://www.google.ru/search?q=1382915-069&amp;newwindow=1&amp;tbm=isch","Еще фото")</f>
        <v>Еще фото</v>
      </c>
      <c r="F4440" s="13" t="s">
        <v>103</v>
      </c>
      <c r="G4440" s="11" t="s">
        <v>3604</v>
      </c>
      <c r="H4440" s="11" t="s">
        <v>27</v>
      </c>
      <c r="I4440" s="14" t="s">
        <v>3599</v>
      </c>
      <c r="J4440" s="14" t="s">
        <v>43</v>
      </c>
      <c r="K4440" s="15" t="s">
        <v>30</v>
      </c>
      <c r="L4440" s="57" t="s">
        <v>4048</v>
      </c>
      <c r="M4440" s="14"/>
      <c r="N4440" s="14" t="s">
        <v>62</v>
      </c>
      <c r="O4440" s="14"/>
      <c r="P4440" s="15" t="s">
        <v>2951</v>
      </c>
      <c r="Q4440" s="16">
        <v>2999</v>
      </c>
      <c r="R4440" s="17">
        <v>40</v>
      </c>
      <c r="S4440" s="18">
        <v>2069.31</v>
      </c>
      <c r="T4440" s="19" t="s">
        <v>36</v>
      </c>
      <c r="U4440" s="20" t="s">
        <v>37</v>
      </c>
      <c r="V4440" s="21" t="s">
        <v>38</v>
      </c>
      <c r="W4440" s="22">
        <v>6</v>
      </c>
      <c r="X4440" s="23"/>
    </row>
    <row r="4441" spans="1:24" s="1" customFormat="1" ht="21" customHeight="1" x14ac:dyDescent="0.3">
      <c r="A4441" s="24" t="s">
        <v>23</v>
      </c>
      <c r="B4441" s="24" t="s">
        <v>4046</v>
      </c>
      <c r="C4441" s="27" t="s">
        <v>4050</v>
      </c>
      <c r="D4441" s="60"/>
      <c r="E4441" s="41" t="str">
        <f>HYPERLINK("https://www.google.ru/search?q=1382915-069&amp;newwindow=1&amp;tbm=isch","Еще фото")</f>
        <v>Еще фото</v>
      </c>
      <c r="F4441" s="13" t="s">
        <v>103</v>
      </c>
      <c r="G4441" s="24" t="s">
        <v>3604</v>
      </c>
      <c r="H4441" s="24" t="s">
        <v>27</v>
      </c>
      <c r="I4441" s="24" t="s">
        <v>3599</v>
      </c>
      <c r="J4441" s="14" t="s">
        <v>43</v>
      </c>
      <c r="K4441" s="15" t="s">
        <v>30</v>
      </c>
      <c r="L4441" s="62"/>
      <c r="M4441" s="14"/>
      <c r="N4441" s="14" t="s">
        <v>62</v>
      </c>
      <c r="O4441" s="14"/>
      <c r="P4441" s="15" t="s">
        <v>2951</v>
      </c>
      <c r="Q4441" s="16">
        <v>2999</v>
      </c>
      <c r="R4441" s="17">
        <v>40</v>
      </c>
      <c r="S4441" s="18">
        <v>2069.31</v>
      </c>
      <c r="T4441" s="19" t="s">
        <v>36</v>
      </c>
      <c r="U4441" s="20" t="s">
        <v>39</v>
      </c>
      <c r="V4441" s="21" t="s">
        <v>40</v>
      </c>
      <c r="W4441" s="22">
        <v>9</v>
      </c>
      <c r="X4441" s="23"/>
    </row>
    <row r="4442" spans="1:24" s="1" customFormat="1" ht="21" customHeight="1" x14ac:dyDescent="0.3">
      <c r="A4442" s="24" t="s">
        <v>23</v>
      </c>
      <c r="B4442" s="24" t="s">
        <v>4046</v>
      </c>
      <c r="C4442" s="27" t="s">
        <v>4050</v>
      </c>
      <c r="D4442" s="60"/>
      <c r="E4442" s="41" t="str">
        <f>HYPERLINK("https://www.google.ru/search?q=1382915-069&amp;newwindow=1&amp;tbm=isch","Еще фото")</f>
        <v>Еще фото</v>
      </c>
      <c r="F4442" s="13" t="s">
        <v>103</v>
      </c>
      <c r="G4442" s="24" t="s">
        <v>3604</v>
      </c>
      <c r="H4442" s="24" t="s">
        <v>27</v>
      </c>
      <c r="I4442" s="24" t="s">
        <v>3599</v>
      </c>
      <c r="J4442" s="14" t="s">
        <v>43</v>
      </c>
      <c r="K4442" s="15" t="s">
        <v>30</v>
      </c>
      <c r="L4442" s="62"/>
      <c r="M4442" s="14"/>
      <c r="N4442" s="14" t="s">
        <v>62</v>
      </c>
      <c r="O4442" s="14"/>
      <c r="P4442" s="15" t="s">
        <v>2951</v>
      </c>
      <c r="Q4442" s="16">
        <v>2999</v>
      </c>
      <c r="R4442" s="17">
        <v>40</v>
      </c>
      <c r="S4442" s="18">
        <v>2069.31</v>
      </c>
      <c r="T4442" s="19" t="s">
        <v>36</v>
      </c>
      <c r="U4442" s="20" t="s">
        <v>86</v>
      </c>
      <c r="V4442" s="21" t="s">
        <v>87</v>
      </c>
      <c r="W4442" s="22">
        <v>2</v>
      </c>
      <c r="X4442" s="23"/>
    </row>
    <row r="4443" spans="1:24" s="1" customFormat="1" ht="21" customHeight="1" x14ac:dyDescent="0.3">
      <c r="A4443" s="24" t="s">
        <v>23</v>
      </c>
      <c r="B4443" s="24" t="s">
        <v>4046</v>
      </c>
      <c r="C4443" s="27" t="s">
        <v>4050</v>
      </c>
      <c r="D4443" s="60"/>
      <c r="E4443" s="41" t="str">
        <f>HYPERLINK("https://www.google.ru/search?q=1382915-069&amp;newwindow=1&amp;tbm=isch","Еще фото")</f>
        <v>Еще фото</v>
      </c>
      <c r="F4443" s="13" t="s">
        <v>103</v>
      </c>
      <c r="G4443" s="24" t="s">
        <v>3604</v>
      </c>
      <c r="H4443" s="24" t="s">
        <v>27</v>
      </c>
      <c r="I4443" s="24" t="s">
        <v>3599</v>
      </c>
      <c r="J4443" s="14" t="s">
        <v>43</v>
      </c>
      <c r="K4443" s="15" t="s">
        <v>30</v>
      </c>
      <c r="L4443" s="62"/>
      <c r="M4443" s="14"/>
      <c r="N4443" s="14" t="s">
        <v>62</v>
      </c>
      <c r="O4443" s="14"/>
      <c r="P4443" s="15" t="s">
        <v>2951</v>
      </c>
      <c r="Q4443" s="16">
        <v>2999</v>
      </c>
      <c r="R4443" s="17">
        <v>40</v>
      </c>
      <c r="S4443" s="18">
        <v>2069.31</v>
      </c>
      <c r="T4443" s="19" t="s">
        <v>36</v>
      </c>
      <c r="U4443" s="20" t="s">
        <v>88</v>
      </c>
      <c r="V4443" s="21" t="s">
        <v>89</v>
      </c>
      <c r="W4443" s="22">
        <v>12</v>
      </c>
      <c r="X4443" s="23"/>
    </row>
    <row r="4444" spans="1:24" s="1" customFormat="1" ht="32" customHeight="1" x14ac:dyDescent="0.3">
      <c r="A4444" s="24" t="s">
        <v>23</v>
      </c>
      <c r="B4444" s="24" t="s">
        <v>4046</v>
      </c>
      <c r="C4444" s="27" t="s">
        <v>4050</v>
      </c>
      <c r="D4444" s="61"/>
      <c r="E4444" s="41" t="str">
        <f>HYPERLINK("https://www.google.ru/search?q=1382915-069&amp;newwindow=1&amp;tbm=isch","Еще фото")</f>
        <v>Еще фото</v>
      </c>
      <c r="F4444" s="13" t="s">
        <v>103</v>
      </c>
      <c r="G4444" s="24" t="s">
        <v>3604</v>
      </c>
      <c r="H4444" s="24" t="s">
        <v>27</v>
      </c>
      <c r="I4444" s="24" t="s">
        <v>3599</v>
      </c>
      <c r="J4444" s="14" t="s">
        <v>43</v>
      </c>
      <c r="K4444" s="15" t="s">
        <v>30</v>
      </c>
      <c r="L4444" s="58"/>
      <c r="M4444" s="14"/>
      <c r="N4444" s="14" t="s">
        <v>62</v>
      </c>
      <c r="O4444" s="14"/>
      <c r="P4444" s="15" t="s">
        <v>2951</v>
      </c>
      <c r="Q4444" s="16">
        <v>2999</v>
      </c>
      <c r="R4444" s="17">
        <v>40</v>
      </c>
      <c r="S4444" s="18">
        <v>2069.31</v>
      </c>
      <c r="T4444" s="19" t="s">
        <v>36</v>
      </c>
      <c r="U4444" s="20" t="s">
        <v>90</v>
      </c>
      <c r="V4444" s="21" t="s">
        <v>91</v>
      </c>
      <c r="W4444" s="22">
        <v>3</v>
      </c>
      <c r="X4444" s="23"/>
    </row>
    <row r="4445" spans="1:24" s="1" customFormat="1" ht="52.05" customHeight="1" x14ac:dyDescent="0.3">
      <c r="A4445" s="11" t="s">
        <v>23</v>
      </c>
      <c r="B4445" s="11" t="s">
        <v>4046</v>
      </c>
      <c r="C4445" s="12" t="s">
        <v>4051</v>
      </c>
      <c r="D4445" s="55"/>
      <c r="E4445" s="41" t="str">
        <f>HYPERLINK("https://www.google.ru/search?q=1382915-402&amp;newwindow=1&amp;tbm=isch","Еще фото")</f>
        <v>Еще фото</v>
      </c>
      <c r="F4445" s="13" t="s">
        <v>103</v>
      </c>
      <c r="G4445" s="11" t="s">
        <v>3604</v>
      </c>
      <c r="H4445" s="11" t="s">
        <v>27</v>
      </c>
      <c r="I4445" s="14" t="s">
        <v>3599</v>
      </c>
      <c r="J4445" s="14" t="s">
        <v>43</v>
      </c>
      <c r="K4445" s="15" t="s">
        <v>30</v>
      </c>
      <c r="L4445" s="57" t="s">
        <v>4048</v>
      </c>
      <c r="M4445" s="14"/>
      <c r="N4445" s="14" t="s">
        <v>115</v>
      </c>
      <c r="O4445" s="14"/>
      <c r="P4445" s="15" t="s">
        <v>2951</v>
      </c>
      <c r="Q4445" s="16">
        <v>3199</v>
      </c>
      <c r="R4445" s="17">
        <v>40</v>
      </c>
      <c r="S4445" s="18">
        <v>2207.31</v>
      </c>
      <c r="T4445" s="19" t="s">
        <v>36</v>
      </c>
      <c r="U4445" s="20" t="s">
        <v>37</v>
      </c>
      <c r="V4445" s="21" t="s">
        <v>38</v>
      </c>
      <c r="W4445" s="22">
        <v>9</v>
      </c>
      <c r="X4445" s="23"/>
    </row>
    <row r="4446" spans="1:24" s="1" customFormat="1" ht="61.05" customHeight="1" x14ac:dyDescent="0.3">
      <c r="A4446" s="24" t="s">
        <v>23</v>
      </c>
      <c r="B4446" s="24" t="s">
        <v>4046</v>
      </c>
      <c r="C4446" s="12" t="s">
        <v>4051</v>
      </c>
      <c r="D4446" s="56"/>
      <c r="E4446" s="41" t="str">
        <f>HYPERLINK("https://www.google.ru/search?q=1382915-402&amp;newwindow=1&amp;tbm=isch","Еще фото")</f>
        <v>Еще фото</v>
      </c>
      <c r="F4446" s="13" t="s">
        <v>103</v>
      </c>
      <c r="G4446" s="24" t="s">
        <v>3604</v>
      </c>
      <c r="H4446" s="24" t="s">
        <v>27</v>
      </c>
      <c r="I4446" s="24" t="s">
        <v>3599</v>
      </c>
      <c r="J4446" s="14" t="s">
        <v>43</v>
      </c>
      <c r="K4446" s="15" t="s">
        <v>30</v>
      </c>
      <c r="L4446" s="58"/>
      <c r="M4446" s="14"/>
      <c r="N4446" s="14" t="s">
        <v>115</v>
      </c>
      <c r="O4446" s="14"/>
      <c r="P4446" s="15" t="s">
        <v>2951</v>
      </c>
      <c r="Q4446" s="16">
        <v>3199</v>
      </c>
      <c r="R4446" s="17">
        <v>40</v>
      </c>
      <c r="S4446" s="18">
        <v>2207.31</v>
      </c>
      <c r="T4446" s="19" t="s">
        <v>36</v>
      </c>
      <c r="U4446" s="20" t="s">
        <v>86</v>
      </c>
      <c r="V4446" s="21" t="s">
        <v>87</v>
      </c>
      <c r="W4446" s="22">
        <v>7</v>
      </c>
      <c r="X4446" s="23"/>
    </row>
    <row r="4447" spans="1:24" s="1" customFormat="1" ht="35" customHeight="1" x14ac:dyDescent="0.3">
      <c r="A4447" s="11" t="s">
        <v>23</v>
      </c>
      <c r="B4447" s="11" t="s">
        <v>4046</v>
      </c>
      <c r="C4447" s="12" t="s">
        <v>4052</v>
      </c>
      <c r="D4447" s="59"/>
      <c r="E4447" s="41" t="str">
        <f>HYPERLINK("https://www.google.ru/search?q=1382915-452&amp;newwindow=1&amp;tbm=isch","Еще фото")</f>
        <v>Еще фото</v>
      </c>
      <c r="F4447" s="13"/>
      <c r="G4447" s="11" t="s">
        <v>3604</v>
      </c>
      <c r="H4447" s="11" t="s">
        <v>27</v>
      </c>
      <c r="I4447" s="14" t="s">
        <v>3599</v>
      </c>
      <c r="J4447" s="14" t="s">
        <v>43</v>
      </c>
      <c r="K4447" s="15" t="s">
        <v>30</v>
      </c>
      <c r="L4447" s="57" t="s">
        <v>4048</v>
      </c>
      <c r="M4447" s="14"/>
      <c r="N4447" s="14" t="s">
        <v>115</v>
      </c>
      <c r="O4447" s="14"/>
      <c r="P4447" s="15" t="s">
        <v>2951</v>
      </c>
      <c r="Q4447" s="16">
        <v>3399</v>
      </c>
      <c r="R4447" s="17">
        <v>40</v>
      </c>
      <c r="S4447" s="18">
        <v>2345.31</v>
      </c>
      <c r="T4447" s="19" t="s">
        <v>36</v>
      </c>
      <c r="U4447" s="20" t="s">
        <v>37</v>
      </c>
      <c r="V4447" s="21" t="s">
        <v>38</v>
      </c>
      <c r="W4447" s="22">
        <v>12</v>
      </c>
      <c r="X4447" s="23"/>
    </row>
    <row r="4448" spans="1:24" s="1" customFormat="1" ht="35" customHeight="1" x14ac:dyDescent="0.3">
      <c r="A4448" s="24" t="s">
        <v>23</v>
      </c>
      <c r="B4448" s="24" t="s">
        <v>4046</v>
      </c>
      <c r="C4448" s="12" t="s">
        <v>4052</v>
      </c>
      <c r="D4448" s="60"/>
      <c r="E4448" s="41" t="str">
        <f>HYPERLINK("https://www.google.ru/search?q=1382915-452&amp;newwindow=1&amp;tbm=isch","Еще фото")</f>
        <v>Еще фото</v>
      </c>
      <c r="F4448" s="13"/>
      <c r="G4448" s="24" t="s">
        <v>3604</v>
      </c>
      <c r="H4448" s="24" t="s">
        <v>27</v>
      </c>
      <c r="I4448" s="24" t="s">
        <v>3599</v>
      </c>
      <c r="J4448" s="14" t="s">
        <v>43</v>
      </c>
      <c r="K4448" s="15" t="s">
        <v>30</v>
      </c>
      <c r="L4448" s="62"/>
      <c r="M4448" s="14"/>
      <c r="N4448" s="14" t="s">
        <v>115</v>
      </c>
      <c r="O4448" s="14"/>
      <c r="P4448" s="15" t="s">
        <v>2951</v>
      </c>
      <c r="Q4448" s="16">
        <v>3399</v>
      </c>
      <c r="R4448" s="17">
        <v>40</v>
      </c>
      <c r="S4448" s="18">
        <v>2345.31</v>
      </c>
      <c r="T4448" s="19" t="s">
        <v>36</v>
      </c>
      <c r="U4448" s="20" t="s">
        <v>39</v>
      </c>
      <c r="V4448" s="21" t="s">
        <v>40</v>
      </c>
      <c r="W4448" s="22">
        <v>31</v>
      </c>
      <c r="X4448" s="23"/>
    </row>
    <row r="4449" spans="1:24" s="1" customFormat="1" ht="37.049999999999997" customHeight="1" x14ac:dyDescent="0.3">
      <c r="A4449" s="24" t="s">
        <v>23</v>
      </c>
      <c r="B4449" s="24" t="s">
        <v>4046</v>
      </c>
      <c r="C4449" s="12" t="s">
        <v>4052</v>
      </c>
      <c r="D4449" s="61"/>
      <c r="E4449" s="41" t="str">
        <f>HYPERLINK("https://www.google.ru/search?q=1382915-452&amp;newwindow=1&amp;tbm=isch","Еще фото")</f>
        <v>Еще фото</v>
      </c>
      <c r="F4449" s="13"/>
      <c r="G4449" s="24" t="s">
        <v>3604</v>
      </c>
      <c r="H4449" s="24" t="s">
        <v>27</v>
      </c>
      <c r="I4449" s="24" t="s">
        <v>3599</v>
      </c>
      <c r="J4449" s="14" t="s">
        <v>43</v>
      </c>
      <c r="K4449" s="15" t="s">
        <v>30</v>
      </c>
      <c r="L4449" s="58"/>
      <c r="M4449" s="14"/>
      <c r="N4449" s="14" t="s">
        <v>115</v>
      </c>
      <c r="O4449" s="14"/>
      <c r="P4449" s="15" t="s">
        <v>2951</v>
      </c>
      <c r="Q4449" s="16">
        <v>3399</v>
      </c>
      <c r="R4449" s="17">
        <v>40</v>
      </c>
      <c r="S4449" s="18">
        <v>2345.31</v>
      </c>
      <c r="T4449" s="19" t="s">
        <v>36</v>
      </c>
      <c r="U4449" s="20" t="s">
        <v>86</v>
      </c>
      <c r="V4449" s="21" t="s">
        <v>87</v>
      </c>
      <c r="W4449" s="22">
        <v>20</v>
      </c>
      <c r="X4449" s="23"/>
    </row>
    <row r="4450" spans="1:24" s="1" customFormat="1" ht="35" customHeight="1" x14ac:dyDescent="0.3">
      <c r="A4450" s="11" t="s">
        <v>23</v>
      </c>
      <c r="B4450" s="11" t="s">
        <v>4046</v>
      </c>
      <c r="C4450" s="12" t="s">
        <v>4053</v>
      </c>
      <c r="D4450" s="59"/>
      <c r="E4450" s="41" t="str">
        <f>HYPERLINK("https://www.google.ru/search?q=1382915-601&amp;newwindow=1&amp;tbm=isch","Еще фото")</f>
        <v>Еще фото</v>
      </c>
      <c r="F4450" s="13" t="s">
        <v>103</v>
      </c>
      <c r="G4450" s="11" t="s">
        <v>3604</v>
      </c>
      <c r="H4450" s="11" t="s">
        <v>27</v>
      </c>
      <c r="I4450" s="14" t="s">
        <v>3599</v>
      </c>
      <c r="J4450" s="14" t="s">
        <v>43</v>
      </c>
      <c r="K4450" s="15" t="s">
        <v>30</v>
      </c>
      <c r="L4450" s="57" t="s">
        <v>4048</v>
      </c>
      <c r="M4450" s="14"/>
      <c r="N4450" s="14" t="s">
        <v>198</v>
      </c>
      <c r="O4450" s="14"/>
      <c r="P4450" s="15" t="s">
        <v>2951</v>
      </c>
      <c r="Q4450" s="16">
        <v>2999</v>
      </c>
      <c r="R4450" s="17">
        <v>40</v>
      </c>
      <c r="S4450" s="18">
        <v>2069.31</v>
      </c>
      <c r="T4450" s="19" t="s">
        <v>36</v>
      </c>
      <c r="U4450" s="20" t="s">
        <v>37</v>
      </c>
      <c r="V4450" s="21" t="s">
        <v>38</v>
      </c>
      <c r="W4450" s="22">
        <v>11</v>
      </c>
      <c r="X4450" s="23"/>
    </row>
    <row r="4451" spans="1:24" s="1" customFormat="1" ht="35" customHeight="1" x14ac:dyDescent="0.3">
      <c r="A4451" s="24" t="s">
        <v>23</v>
      </c>
      <c r="B4451" s="24" t="s">
        <v>4046</v>
      </c>
      <c r="C4451" s="12" t="s">
        <v>4053</v>
      </c>
      <c r="D4451" s="60"/>
      <c r="E4451" s="41" t="str">
        <f>HYPERLINK("https://www.google.ru/search?q=1382915-601&amp;newwindow=1&amp;tbm=isch","Еще фото")</f>
        <v>Еще фото</v>
      </c>
      <c r="F4451" s="13" t="s">
        <v>103</v>
      </c>
      <c r="G4451" s="24" t="s">
        <v>3604</v>
      </c>
      <c r="H4451" s="24" t="s">
        <v>27</v>
      </c>
      <c r="I4451" s="24" t="s">
        <v>3599</v>
      </c>
      <c r="J4451" s="14" t="s">
        <v>43</v>
      </c>
      <c r="K4451" s="15" t="s">
        <v>30</v>
      </c>
      <c r="L4451" s="62"/>
      <c r="M4451" s="14"/>
      <c r="N4451" s="14" t="s">
        <v>198</v>
      </c>
      <c r="O4451" s="14"/>
      <c r="P4451" s="15" t="s">
        <v>2951</v>
      </c>
      <c r="Q4451" s="16">
        <v>2999</v>
      </c>
      <c r="R4451" s="17">
        <v>40</v>
      </c>
      <c r="S4451" s="18">
        <v>2069.31</v>
      </c>
      <c r="T4451" s="19" t="s">
        <v>36</v>
      </c>
      <c r="U4451" s="20" t="s">
        <v>39</v>
      </c>
      <c r="V4451" s="21" t="s">
        <v>40</v>
      </c>
      <c r="W4451" s="22">
        <v>5</v>
      </c>
      <c r="X4451" s="23"/>
    </row>
    <row r="4452" spans="1:24" s="1" customFormat="1" ht="37.049999999999997" customHeight="1" x14ac:dyDescent="0.3">
      <c r="A4452" s="24" t="s">
        <v>23</v>
      </c>
      <c r="B4452" s="24" t="s">
        <v>4046</v>
      </c>
      <c r="C4452" s="12" t="s">
        <v>4053</v>
      </c>
      <c r="D4452" s="61"/>
      <c r="E4452" s="41" t="str">
        <f>HYPERLINK("https://www.google.ru/search?q=1382915-601&amp;newwindow=1&amp;tbm=isch","Еще фото")</f>
        <v>Еще фото</v>
      </c>
      <c r="F4452" s="13" t="s">
        <v>103</v>
      </c>
      <c r="G4452" s="24" t="s">
        <v>3604</v>
      </c>
      <c r="H4452" s="24" t="s">
        <v>27</v>
      </c>
      <c r="I4452" s="24" t="s">
        <v>3599</v>
      </c>
      <c r="J4452" s="14" t="s">
        <v>43</v>
      </c>
      <c r="K4452" s="15" t="s">
        <v>30</v>
      </c>
      <c r="L4452" s="58"/>
      <c r="M4452" s="14"/>
      <c r="N4452" s="14" t="s">
        <v>198</v>
      </c>
      <c r="O4452" s="14"/>
      <c r="P4452" s="15" t="s">
        <v>2951</v>
      </c>
      <c r="Q4452" s="16">
        <v>2999</v>
      </c>
      <c r="R4452" s="17">
        <v>40</v>
      </c>
      <c r="S4452" s="18">
        <v>2069.31</v>
      </c>
      <c r="T4452" s="19" t="s">
        <v>36</v>
      </c>
      <c r="U4452" s="20" t="s">
        <v>86</v>
      </c>
      <c r="V4452" s="21" t="s">
        <v>87</v>
      </c>
      <c r="W4452" s="22">
        <v>5</v>
      </c>
      <c r="X4452" s="23"/>
    </row>
    <row r="4453" spans="1:24" s="1" customFormat="1" ht="108" customHeight="1" x14ac:dyDescent="0.3">
      <c r="A4453" s="11" t="s">
        <v>23</v>
      </c>
      <c r="B4453" s="11" t="s">
        <v>4054</v>
      </c>
      <c r="C4453" s="12" t="s">
        <v>4055</v>
      </c>
      <c r="D4453" s="25"/>
      <c r="E4453" s="41" t="str">
        <f>HYPERLINK("https://www.google.ru/search?q=1383191-005&amp;newwindow=1&amp;tbm=isch","Еще фото")</f>
        <v>Еще фото</v>
      </c>
      <c r="F4453" s="28" t="s">
        <v>152</v>
      </c>
      <c r="G4453" s="11" t="s">
        <v>3604</v>
      </c>
      <c r="H4453" s="11" t="s">
        <v>27</v>
      </c>
      <c r="I4453" s="14" t="s">
        <v>3599</v>
      </c>
      <c r="J4453" s="14" t="s">
        <v>43</v>
      </c>
      <c r="K4453" s="15" t="s">
        <v>30</v>
      </c>
      <c r="L4453" s="14" t="s">
        <v>3622</v>
      </c>
      <c r="M4453" s="14"/>
      <c r="N4453" s="14" t="s">
        <v>33</v>
      </c>
      <c r="O4453" s="14"/>
      <c r="P4453" s="15" t="s">
        <v>2951</v>
      </c>
      <c r="Q4453" s="16">
        <v>5899</v>
      </c>
      <c r="R4453" s="17">
        <v>40</v>
      </c>
      <c r="S4453" s="18">
        <v>4070.31</v>
      </c>
      <c r="T4453" s="19" t="s">
        <v>36</v>
      </c>
      <c r="U4453" s="20" t="s">
        <v>37</v>
      </c>
      <c r="V4453" s="21" t="s">
        <v>38</v>
      </c>
      <c r="W4453" s="22">
        <v>7</v>
      </c>
      <c r="X4453" s="23"/>
    </row>
    <row r="4454" spans="1:24" s="1" customFormat="1" ht="108" customHeight="1" x14ac:dyDescent="0.3">
      <c r="A4454" s="11" t="s">
        <v>23</v>
      </c>
      <c r="B4454" s="11" t="s">
        <v>4054</v>
      </c>
      <c r="C4454" s="12" t="s">
        <v>4056</v>
      </c>
      <c r="D4454" s="25"/>
      <c r="E4454" s="41" t="str">
        <f>HYPERLINK("https://www.google.ru/search?q=1383191-308&amp;newwindow=1&amp;tbm=isch","Еще фото")</f>
        <v>Еще фото</v>
      </c>
      <c r="F4454" s="13" t="s">
        <v>152</v>
      </c>
      <c r="G4454" s="11" t="s">
        <v>3604</v>
      </c>
      <c r="H4454" s="11" t="s">
        <v>27</v>
      </c>
      <c r="I4454" s="14" t="s">
        <v>3599</v>
      </c>
      <c r="J4454" s="14" t="s">
        <v>43</v>
      </c>
      <c r="K4454" s="15" t="s">
        <v>30</v>
      </c>
      <c r="L4454" s="14" t="s">
        <v>3622</v>
      </c>
      <c r="M4454" s="14"/>
      <c r="N4454" s="14" t="s">
        <v>127</v>
      </c>
      <c r="O4454" s="14"/>
      <c r="P4454" s="15" t="s">
        <v>2951</v>
      </c>
      <c r="Q4454" s="16">
        <v>5899</v>
      </c>
      <c r="R4454" s="17">
        <v>40</v>
      </c>
      <c r="S4454" s="18">
        <v>4070.31</v>
      </c>
      <c r="T4454" s="19" t="s">
        <v>36</v>
      </c>
      <c r="U4454" s="20" t="s">
        <v>37</v>
      </c>
      <c r="V4454" s="21" t="s">
        <v>38</v>
      </c>
      <c r="W4454" s="22">
        <v>6</v>
      </c>
      <c r="X4454" s="23"/>
    </row>
    <row r="4455" spans="1:24" s="1" customFormat="1" ht="52.05" customHeight="1" x14ac:dyDescent="0.3">
      <c r="A4455" s="11" t="s">
        <v>23</v>
      </c>
      <c r="B4455" s="11" t="s">
        <v>3835</v>
      </c>
      <c r="C4455" s="12" t="s">
        <v>4057</v>
      </c>
      <c r="D4455" s="55"/>
      <c r="E4455" s="41" t="str">
        <f>HYPERLINK("https://www.google.ru/search?q=1383191-362&amp;newwindow=1&amp;tbm=isch","Еще фото")</f>
        <v>Еще фото</v>
      </c>
      <c r="F4455" s="13"/>
      <c r="G4455" s="11" t="s">
        <v>3604</v>
      </c>
      <c r="H4455" s="11" t="s">
        <v>27</v>
      </c>
      <c r="I4455" s="14" t="s">
        <v>3599</v>
      </c>
      <c r="J4455" s="14" t="s">
        <v>43</v>
      </c>
      <c r="K4455" s="15" t="s">
        <v>30</v>
      </c>
      <c r="L4455" s="57" t="s">
        <v>3622</v>
      </c>
      <c r="M4455" s="14"/>
      <c r="N4455" s="14" t="s">
        <v>127</v>
      </c>
      <c r="O4455" s="14"/>
      <c r="P4455" s="15" t="s">
        <v>2951</v>
      </c>
      <c r="Q4455" s="16">
        <v>7899</v>
      </c>
      <c r="R4455" s="17">
        <v>40</v>
      </c>
      <c r="S4455" s="18">
        <v>5450.3099999999995</v>
      </c>
      <c r="T4455" s="19" t="s">
        <v>36</v>
      </c>
      <c r="U4455" s="20" t="s">
        <v>37</v>
      </c>
      <c r="V4455" s="21" t="s">
        <v>38</v>
      </c>
      <c r="W4455" s="22">
        <v>13</v>
      </c>
      <c r="X4455" s="23"/>
    </row>
    <row r="4456" spans="1:24" s="1" customFormat="1" ht="61.05" customHeight="1" x14ac:dyDescent="0.3">
      <c r="A4456" s="24" t="s">
        <v>23</v>
      </c>
      <c r="B4456" s="24" t="s">
        <v>3835</v>
      </c>
      <c r="C4456" s="12" t="s">
        <v>4057</v>
      </c>
      <c r="D4456" s="56"/>
      <c r="E4456" s="41" t="str">
        <f>HYPERLINK("https://www.google.ru/search?q=1383191-362&amp;newwindow=1&amp;tbm=isch","Еще фото")</f>
        <v>Еще фото</v>
      </c>
      <c r="F4456" s="13"/>
      <c r="G4456" s="24" t="s">
        <v>3604</v>
      </c>
      <c r="H4456" s="24" t="s">
        <v>27</v>
      </c>
      <c r="I4456" s="24" t="s">
        <v>3599</v>
      </c>
      <c r="J4456" s="14" t="s">
        <v>43</v>
      </c>
      <c r="K4456" s="15" t="s">
        <v>30</v>
      </c>
      <c r="L4456" s="58"/>
      <c r="M4456" s="14"/>
      <c r="N4456" s="14" t="s">
        <v>127</v>
      </c>
      <c r="O4456" s="14"/>
      <c r="P4456" s="15" t="s">
        <v>2951</v>
      </c>
      <c r="Q4456" s="16">
        <v>7899</v>
      </c>
      <c r="R4456" s="17">
        <v>40</v>
      </c>
      <c r="S4456" s="18">
        <v>5450.3099999999995</v>
      </c>
      <c r="T4456" s="19" t="s">
        <v>36</v>
      </c>
      <c r="U4456" s="20" t="s">
        <v>39</v>
      </c>
      <c r="V4456" s="21" t="s">
        <v>40</v>
      </c>
      <c r="W4456" s="22">
        <v>1</v>
      </c>
      <c r="X4456" s="23"/>
    </row>
    <row r="4457" spans="1:24" s="1" customFormat="1" ht="108" customHeight="1" x14ac:dyDescent="0.3">
      <c r="A4457" s="11" t="s">
        <v>23</v>
      </c>
      <c r="B4457" s="11" t="s">
        <v>4058</v>
      </c>
      <c r="C4457" s="12" t="s">
        <v>4059</v>
      </c>
      <c r="D4457" s="25"/>
      <c r="E4457" s="41" t="str">
        <f>HYPERLINK("https://www.google.ru/search?q=1383224-001&amp;newwindow=1&amp;tbm=isch","Еще фото")</f>
        <v>Еще фото</v>
      </c>
      <c r="F4457" s="13"/>
      <c r="G4457" s="11" t="s">
        <v>3604</v>
      </c>
      <c r="H4457" s="11" t="s">
        <v>27</v>
      </c>
      <c r="I4457" s="14" t="s">
        <v>3599</v>
      </c>
      <c r="J4457" s="14" t="s">
        <v>29</v>
      </c>
      <c r="K4457" s="15" t="s">
        <v>30</v>
      </c>
      <c r="L4457" s="14" t="s">
        <v>4060</v>
      </c>
      <c r="M4457" s="14"/>
      <c r="N4457" s="14" t="s">
        <v>33</v>
      </c>
      <c r="O4457" s="14"/>
      <c r="P4457" s="15" t="s">
        <v>1063</v>
      </c>
      <c r="Q4457" s="16">
        <v>8899</v>
      </c>
      <c r="R4457" s="17">
        <v>40</v>
      </c>
      <c r="S4457" s="18">
        <v>6140.3099999999995</v>
      </c>
      <c r="T4457" s="19" t="s">
        <v>36</v>
      </c>
      <c r="U4457" s="20" t="s">
        <v>39</v>
      </c>
      <c r="V4457" s="21" t="s">
        <v>40</v>
      </c>
      <c r="W4457" s="22">
        <v>1</v>
      </c>
      <c r="X4457" s="23"/>
    </row>
    <row r="4458" spans="1:24" s="1" customFormat="1" ht="52.05" customHeight="1" x14ac:dyDescent="0.3">
      <c r="A4458" s="11" t="s">
        <v>23</v>
      </c>
      <c r="B4458" s="11" t="s">
        <v>4058</v>
      </c>
      <c r="C4458" s="12" t="s">
        <v>4061</v>
      </c>
      <c r="D4458" s="55"/>
      <c r="E4458" s="41" t="str">
        <f>HYPERLINK("https://www.google.ru/search?q=1383224-273&amp;newwindow=1&amp;tbm=isch","Еще фото")</f>
        <v>Еще фото</v>
      </c>
      <c r="F4458" s="13"/>
      <c r="G4458" s="11" t="s">
        <v>3604</v>
      </c>
      <c r="H4458" s="11" t="s">
        <v>27</v>
      </c>
      <c r="I4458" s="14" t="s">
        <v>3599</v>
      </c>
      <c r="J4458" s="14" t="s">
        <v>29</v>
      </c>
      <c r="K4458" s="15" t="s">
        <v>30</v>
      </c>
      <c r="L4458" s="57" t="s">
        <v>4060</v>
      </c>
      <c r="M4458" s="14"/>
      <c r="N4458" s="14" t="s">
        <v>229</v>
      </c>
      <c r="O4458" s="14"/>
      <c r="P4458" s="15" t="s">
        <v>1063</v>
      </c>
      <c r="Q4458" s="16">
        <v>8899</v>
      </c>
      <c r="R4458" s="17">
        <v>40</v>
      </c>
      <c r="S4458" s="18">
        <v>6140.3099999999995</v>
      </c>
      <c r="T4458" s="19" t="s">
        <v>36</v>
      </c>
      <c r="U4458" s="20" t="s">
        <v>37</v>
      </c>
      <c r="V4458" s="21" t="s">
        <v>38</v>
      </c>
      <c r="W4458" s="22">
        <v>3</v>
      </c>
      <c r="X4458" s="23"/>
    </row>
    <row r="4459" spans="1:24" s="1" customFormat="1" ht="61.05" customHeight="1" x14ac:dyDescent="0.3">
      <c r="A4459" s="24" t="s">
        <v>23</v>
      </c>
      <c r="B4459" s="24" t="s">
        <v>4058</v>
      </c>
      <c r="C4459" s="12" t="s">
        <v>4061</v>
      </c>
      <c r="D4459" s="56"/>
      <c r="E4459" s="41" t="str">
        <f>HYPERLINK("https://www.google.ru/search?q=1383224-273&amp;newwindow=1&amp;tbm=isch","Еще фото")</f>
        <v>Еще фото</v>
      </c>
      <c r="F4459" s="13"/>
      <c r="G4459" s="24" t="s">
        <v>3604</v>
      </c>
      <c r="H4459" s="24" t="s">
        <v>27</v>
      </c>
      <c r="I4459" s="24" t="s">
        <v>3599</v>
      </c>
      <c r="J4459" s="14" t="s">
        <v>29</v>
      </c>
      <c r="K4459" s="15" t="s">
        <v>30</v>
      </c>
      <c r="L4459" s="58"/>
      <c r="M4459" s="14"/>
      <c r="N4459" s="14" t="s">
        <v>229</v>
      </c>
      <c r="O4459" s="14"/>
      <c r="P4459" s="15" t="s">
        <v>1063</v>
      </c>
      <c r="Q4459" s="16">
        <v>8899</v>
      </c>
      <c r="R4459" s="17">
        <v>40</v>
      </c>
      <c r="S4459" s="18">
        <v>6140.3099999999995</v>
      </c>
      <c r="T4459" s="19" t="s">
        <v>36</v>
      </c>
      <c r="U4459" s="20" t="s">
        <v>39</v>
      </c>
      <c r="V4459" s="21" t="s">
        <v>40</v>
      </c>
      <c r="W4459" s="22">
        <v>3</v>
      </c>
      <c r="X4459" s="23"/>
    </row>
    <row r="4460" spans="1:24" s="1" customFormat="1" ht="52.05" customHeight="1" x14ac:dyDescent="0.3">
      <c r="A4460" s="11" t="s">
        <v>23</v>
      </c>
      <c r="B4460" s="11" t="s">
        <v>4062</v>
      </c>
      <c r="C4460" s="12" t="s">
        <v>4063</v>
      </c>
      <c r="D4460" s="55"/>
      <c r="E4460" s="41" t="str">
        <f>HYPERLINK("https://www.google.ru/search?q=1383226-273&amp;newwindow=1&amp;tbm=isch","Еще фото")</f>
        <v>Еще фото</v>
      </c>
      <c r="F4460" s="13"/>
      <c r="G4460" s="11" t="s">
        <v>3598</v>
      </c>
      <c r="H4460" s="11" t="s">
        <v>27</v>
      </c>
      <c r="I4460" s="14" t="s">
        <v>3599</v>
      </c>
      <c r="J4460" s="14" t="s">
        <v>29</v>
      </c>
      <c r="K4460" s="15" t="s">
        <v>30</v>
      </c>
      <c r="L4460" s="57" t="s">
        <v>4064</v>
      </c>
      <c r="M4460" s="14"/>
      <c r="N4460" s="14" t="s">
        <v>229</v>
      </c>
      <c r="O4460" s="14"/>
      <c r="P4460" s="15" t="s">
        <v>1063</v>
      </c>
      <c r="Q4460" s="16">
        <v>8199</v>
      </c>
      <c r="R4460" s="17">
        <v>40</v>
      </c>
      <c r="S4460" s="18">
        <v>5657.3099999999995</v>
      </c>
      <c r="T4460" s="19" t="s">
        <v>36</v>
      </c>
      <c r="U4460" s="20" t="s">
        <v>37</v>
      </c>
      <c r="V4460" s="21" t="s">
        <v>38</v>
      </c>
      <c r="W4460" s="22">
        <v>1</v>
      </c>
      <c r="X4460" s="23"/>
    </row>
    <row r="4461" spans="1:24" s="1" customFormat="1" ht="61.05" customHeight="1" x14ac:dyDescent="0.3">
      <c r="A4461" s="24" t="s">
        <v>23</v>
      </c>
      <c r="B4461" s="24" t="s">
        <v>4062</v>
      </c>
      <c r="C4461" s="12" t="s">
        <v>4063</v>
      </c>
      <c r="D4461" s="56"/>
      <c r="E4461" s="41" t="str">
        <f>HYPERLINK("https://www.google.ru/search?q=1383226-273&amp;newwindow=1&amp;tbm=isch","Еще фото")</f>
        <v>Еще фото</v>
      </c>
      <c r="F4461" s="13"/>
      <c r="G4461" s="24" t="s">
        <v>3598</v>
      </c>
      <c r="H4461" s="24" t="s">
        <v>27</v>
      </c>
      <c r="I4461" s="24" t="s">
        <v>3599</v>
      </c>
      <c r="J4461" s="14" t="s">
        <v>29</v>
      </c>
      <c r="K4461" s="15" t="s">
        <v>30</v>
      </c>
      <c r="L4461" s="58"/>
      <c r="M4461" s="14"/>
      <c r="N4461" s="14" t="s">
        <v>229</v>
      </c>
      <c r="O4461" s="14"/>
      <c r="P4461" s="15" t="s">
        <v>1063</v>
      </c>
      <c r="Q4461" s="16">
        <v>8199</v>
      </c>
      <c r="R4461" s="17">
        <v>40</v>
      </c>
      <c r="S4461" s="18">
        <v>5657.3099999999995</v>
      </c>
      <c r="T4461" s="19" t="s">
        <v>36</v>
      </c>
      <c r="U4461" s="20" t="s">
        <v>39</v>
      </c>
      <c r="V4461" s="21" t="s">
        <v>40</v>
      </c>
      <c r="W4461" s="22">
        <v>2</v>
      </c>
      <c r="X4461" s="23"/>
    </row>
    <row r="4462" spans="1:24" s="1" customFormat="1" ht="35" customHeight="1" x14ac:dyDescent="0.3">
      <c r="A4462" s="11" t="s">
        <v>23</v>
      </c>
      <c r="B4462" s="11" t="s">
        <v>4065</v>
      </c>
      <c r="C4462" s="12" t="s">
        <v>4066</v>
      </c>
      <c r="D4462" s="59"/>
      <c r="E4462" s="41" t="str">
        <f>HYPERLINK("https://www.google.ru/search?q=1383249-025&amp;newwindow=1&amp;tbm=isch","Еще фото")</f>
        <v>Еще фото</v>
      </c>
      <c r="F4462" s="13"/>
      <c r="G4462" s="11" t="s">
        <v>3632</v>
      </c>
      <c r="H4462" s="11" t="s">
        <v>27</v>
      </c>
      <c r="I4462" s="14" t="s">
        <v>3599</v>
      </c>
      <c r="J4462" s="14" t="s">
        <v>211</v>
      </c>
      <c r="K4462" s="15" t="s">
        <v>30</v>
      </c>
      <c r="L4462" s="57" t="s">
        <v>4067</v>
      </c>
      <c r="M4462" s="14"/>
      <c r="N4462" s="14" t="s">
        <v>62</v>
      </c>
      <c r="O4462" s="14"/>
      <c r="P4462" s="15" t="s">
        <v>1008</v>
      </c>
      <c r="Q4462" s="16">
        <v>7299</v>
      </c>
      <c r="R4462" s="17">
        <v>40</v>
      </c>
      <c r="S4462" s="18">
        <v>5036.3099999999995</v>
      </c>
      <c r="T4462" s="19" t="s">
        <v>36</v>
      </c>
      <c r="U4462" s="20" t="s">
        <v>37</v>
      </c>
      <c r="V4462" s="21" t="s">
        <v>38</v>
      </c>
      <c r="W4462" s="22">
        <v>7</v>
      </c>
      <c r="X4462" s="23"/>
    </row>
    <row r="4463" spans="1:24" s="1" customFormat="1" ht="35" customHeight="1" x14ac:dyDescent="0.3">
      <c r="A4463" s="24" t="s">
        <v>23</v>
      </c>
      <c r="B4463" s="24" t="s">
        <v>4065</v>
      </c>
      <c r="C4463" s="12" t="s">
        <v>4066</v>
      </c>
      <c r="D4463" s="60"/>
      <c r="E4463" s="41" t="str">
        <f>HYPERLINK("https://www.google.ru/search?q=1383249-025&amp;newwindow=1&amp;tbm=isch","Еще фото")</f>
        <v>Еще фото</v>
      </c>
      <c r="F4463" s="13"/>
      <c r="G4463" s="24" t="s">
        <v>3632</v>
      </c>
      <c r="H4463" s="24" t="s">
        <v>27</v>
      </c>
      <c r="I4463" s="24" t="s">
        <v>3599</v>
      </c>
      <c r="J4463" s="14" t="s">
        <v>211</v>
      </c>
      <c r="K4463" s="15" t="s">
        <v>30</v>
      </c>
      <c r="L4463" s="62"/>
      <c r="M4463" s="14"/>
      <c r="N4463" s="14" t="s">
        <v>62</v>
      </c>
      <c r="O4463" s="14"/>
      <c r="P4463" s="15" t="s">
        <v>1008</v>
      </c>
      <c r="Q4463" s="16">
        <v>7299</v>
      </c>
      <c r="R4463" s="17">
        <v>40</v>
      </c>
      <c r="S4463" s="18">
        <v>5036.3099999999995</v>
      </c>
      <c r="T4463" s="19" t="s">
        <v>36</v>
      </c>
      <c r="U4463" s="20" t="s">
        <v>39</v>
      </c>
      <c r="V4463" s="21" t="s">
        <v>40</v>
      </c>
      <c r="W4463" s="22">
        <v>11</v>
      </c>
      <c r="X4463" s="23"/>
    </row>
    <row r="4464" spans="1:24" s="1" customFormat="1" ht="37.049999999999997" customHeight="1" x14ac:dyDescent="0.3">
      <c r="A4464" s="24" t="s">
        <v>23</v>
      </c>
      <c r="B4464" s="24" t="s">
        <v>4065</v>
      </c>
      <c r="C4464" s="12" t="s">
        <v>4066</v>
      </c>
      <c r="D4464" s="61"/>
      <c r="E4464" s="41" t="str">
        <f>HYPERLINK("https://www.google.ru/search?q=1383249-025&amp;newwindow=1&amp;tbm=isch","Еще фото")</f>
        <v>Еще фото</v>
      </c>
      <c r="F4464" s="13"/>
      <c r="G4464" s="24" t="s">
        <v>3632</v>
      </c>
      <c r="H4464" s="24" t="s">
        <v>27</v>
      </c>
      <c r="I4464" s="24" t="s">
        <v>3599</v>
      </c>
      <c r="J4464" s="14" t="s">
        <v>211</v>
      </c>
      <c r="K4464" s="15" t="s">
        <v>30</v>
      </c>
      <c r="L4464" s="58"/>
      <c r="M4464" s="14"/>
      <c r="N4464" s="14" t="s">
        <v>62</v>
      </c>
      <c r="O4464" s="14"/>
      <c r="P4464" s="15" t="s">
        <v>1008</v>
      </c>
      <c r="Q4464" s="16">
        <v>7299</v>
      </c>
      <c r="R4464" s="17">
        <v>40</v>
      </c>
      <c r="S4464" s="18">
        <v>5036.3099999999995</v>
      </c>
      <c r="T4464" s="19" t="s">
        <v>36</v>
      </c>
      <c r="U4464" s="20" t="s">
        <v>86</v>
      </c>
      <c r="V4464" s="21" t="s">
        <v>87</v>
      </c>
      <c r="W4464" s="22">
        <v>11</v>
      </c>
      <c r="X4464" s="23"/>
    </row>
    <row r="4465" spans="1:24" s="1" customFormat="1" ht="17" customHeight="1" x14ac:dyDescent="0.3">
      <c r="A4465" s="11" t="s">
        <v>23</v>
      </c>
      <c r="B4465" s="11" t="s">
        <v>4065</v>
      </c>
      <c r="C4465" s="12" t="s">
        <v>4068</v>
      </c>
      <c r="D4465" s="59"/>
      <c r="E4465" s="41" t="str">
        <f t="shared" ref="E4465:E4470" si="162">HYPERLINK("https://www.google.ru/search?q=1383249-100&amp;newwindow=1&amp;tbm=isch","Еще фото")</f>
        <v>Еще фото</v>
      </c>
      <c r="F4465" s="13"/>
      <c r="G4465" s="11" t="s">
        <v>3632</v>
      </c>
      <c r="H4465" s="11" t="s">
        <v>27</v>
      </c>
      <c r="I4465" s="14" t="s">
        <v>3599</v>
      </c>
      <c r="J4465" s="14" t="s">
        <v>211</v>
      </c>
      <c r="K4465" s="15" t="s">
        <v>30</v>
      </c>
      <c r="L4465" s="57" t="s">
        <v>4067</v>
      </c>
      <c r="M4465" s="14"/>
      <c r="N4465" s="14" t="s">
        <v>84</v>
      </c>
      <c r="O4465" s="14"/>
      <c r="P4465" s="15" t="s">
        <v>1008</v>
      </c>
      <c r="Q4465" s="16">
        <v>7299</v>
      </c>
      <c r="R4465" s="17">
        <v>40</v>
      </c>
      <c r="S4465" s="18">
        <v>5036.3099999999995</v>
      </c>
      <c r="T4465" s="19" t="s">
        <v>36</v>
      </c>
      <c r="U4465" s="20" t="s">
        <v>37</v>
      </c>
      <c r="V4465" s="21" t="s">
        <v>38</v>
      </c>
      <c r="W4465" s="22">
        <v>7</v>
      </c>
      <c r="X4465" s="23"/>
    </row>
    <row r="4466" spans="1:24" s="1" customFormat="1" ht="17" customHeight="1" x14ac:dyDescent="0.3">
      <c r="A4466" s="24" t="s">
        <v>23</v>
      </c>
      <c r="B4466" s="24" t="s">
        <v>4065</v>
      </c>
      <c r="C4466" s="12" t="s">
        <v>4068</v>
      </c>
      <c r="D4466" s="60"/>
      <c r="E4466" s="41" t="str">
        <f t="shared" si="162"/>
        <v>Еще фото</v>
      </c>
      <c r="F4466" s="13"/>
      <c r="G4466" s="24" t="s">
        <v>3632</v>
      </c>
      <c r="H4466" s="24" t="s">
        <v>27</v>
      </c>
      <c r="I4466" s="24" t="s">
        <v>3599</v>
      </c>
      <c r="J4466" s="14" t="s">
        <v>211</v>
      </c>
      <c r="K4466" s="15" t="s">
        <v>30</v>
      </c>
      <c r="L4466" s="62"/>
      <c r="M4466" s="14"/>
      <c r="N4466" s="14" t="s">
        <v>84</v>
      </c>
      <c r="O4466" s="14"/>
      <c r="P4466" s="15" t="s">
        <v>1008</v>
      </c>
      <c r="Q4466" s="16">
        <v>7299</v>
      </c>
      <c r="R4466" s="17">
        <v>40</v>
      </c>
      <c r="S4466" s="18">
        <v>5036.3099999999995</v>
      </c>
      <c r="T4466" s="19" t="s">
        <v>36</v>
      </c>
      <c r="U4466" s="20" t="s">
        <v>39</v>
      </c>
      <c r="V4466" s="21" t="s">
        <v>40</v>
      </c>
      <c r="W4466" s="22">
        <v>21</v>
      </c>
      <c r="X4466" s="23"/>
    </row>
    <row r="4467" spans="1:24" s="1" customFormat="1" ht="17" customHeight="1" x14ac:dyDescent="0.3">
      <c r="A4467" s="24" t="s">
        <v>23</v>
      </c>
      <c r="B4467" s="24" t="s">
        <v>4065</v>
      </c>
      <c r="C4467" s="12" t="s">
        <v>4068</v>
      </c>
      <c r="D4467" s="60"/>
      <c r="E4467" s="41" t="str">
        <f t="shared" si="162"/>
        <v>Еще фото</v>
      </c>
      <c r="F4467" s="13"/>
      <c r="G4467" s="24" t="s">
        <v>3632</v>
      </c>
      <c r="H4467" s="24" t="s">
        <v>27</v>
      </c>
      <c r="I4467" s="24" t="s">
        <v>3599</v>
      </c>
      <c r="J4467" s="14" t="s">
        <v>211</v>
      </c>
      <c r="K4467" s="15" t="s">
        <v>30</v>
      </c>
      <c r="L4467" s="62"/>
      <c r="M4467" s="14"/>
      <c r="N4467" s="14" t="s">
        <v>84</v>
      </c>
      <c r="O4467" s="14"/>
      <c r="P4467" s="15" t="s">
        <v>1008</v>
      </c>
      <c r="Q4467" s="16">
        <v>7299</v>
      </c>
      <c r="R4467" s="17">
        <v>40</v>
      </c>
      <c r="S4467" s="18">
        <v>5036.3099999999995</v>
      </c>
      <c r="T4467" s="19" t="s">
        <v>36</v>
      </c>
      <c r="U4467" s="20" t="s">
        <v>86</v>
      </c>
      <c r="V4467" s="21" t="s">
        <v>87</v>
      </c>
      <c r="W4467" s="22">
        <v>11</v>
      </c>
      <c r="X4467" s="23"/>
    </row>
    <row r="4468" spans="1:24" s="1" customFormat="1" ht="17" customHeight="1" x14ac:dyDescent="0.3">
      <c r="A4468" s="24" t="s">
        <v>23</v>
      </c>
      <c r="B4468" s="24" t="s">
        <v>4065</v>
      </c>
      <c r="C4468" s="12" t="s">
        <v>4068</v>
      </c>
      <c r="D4468" s="60"/>
      <c r="E4468" s="41" t="str">
        <f t="shared" si="162"/>
        <v>Еще фото</v>
      </c>
      <c r="F4468" s="13"/>
      <c r="G4468" s="24" t="s">
        <v>3632</v>
      </c>
      <c r="H4468" s="24" t="s">
        <v>27</v>
      </c>
      <c r="I4468" s="24" t="s">
        <v>3599</v>
      </c>
      <c r="J4468" s="14" t="s">
        <v>211</v>
      </c>
      <c r="K4468" s="15" t="s">
        <v>30</v>
      </c>
      <c r="L4468" s="62"/>
      <c r="M4468" s="14"/>
      <c r="N4468" s="14" t="s">
        <v>84</v>
      </c>
      <c r="O4468" s="14"/>
      <c r="P4468" s="15" t="s">
        <v>1008</v>
      </c>
      <c r="Q4468" s="16">
        <v>7299</v>
      </c>
      <c r="R4468" s="17">
        <v>40</v>
      </c>
      <c r="S4468" s="18">
        <v>5036.3099999999995</v>
      </c>
      <c r="T4468" s="19" t="s">
        <v>36</v>
      </c>
      <c r="U4468" s="20" t="s">
        <v>88</v>
      </c>
      <c r="V4468" s="21" t="s">
        <v>89</v>
      </c>
      <c r="W4468" s="22">
        <v>13</v>
      </c>
      <c r="X4468" s="23"/>
    </row>
    <row r="4469" spans="1:24" s="1" customFormat="1" ht="17" customHeight="1" x14ac:dyDescent="0.3">
      <c r="A4469" s="24" t="s">
        <v>23</v>
      </c>
      <c r="B4469" s="24" t="s">
        <v>4065</v>
      </c>
      <c r="C4469" s="12" t="s">
        <v>4068</v>
      </c>
      <c r="D4469" s="60"/>
      <c r="E4469" s="41" t="str">
        <f t="shared" si="162"/>
        <v>Еще фото</v>
      </c>
      <c r="F4469" s="13"/>
      <c r="G4469" s="24" t="s">
        <v>3632</v>
      </c>
      <c r="H4469" s="24" t="s">
        <v>27</v>
      </c>
      <c r="I4469" s="24" t="s">
        <v>3599</v>
      </c>
      <c r="J4469" s="14" t="s">
        <v>211</v>
      </c>
      <c r="K4469" s="15" t="s">
        <v>30</v>
      </c>
      <c r="L4469" s="62"/>
      <c r="M4469" s="14"/>
      <c r="N4469" s="14" t="s">
        <v>84</v>
      </c>
      <c r="O4469" s="14"/>
      <c r="P4469" s="15" t="s">
        <v>1008</v>
      </c>
      <c r="Q4469" s="16">
        <v>7299</v>
      </c>
      <c r="R4469" s="17">
        <v>40</v>
      </c>
      <c r="S4469" s="18">
        <v>5036.3099999999995</v>
      </c>
      <c r="T4469" s="19" t="s">
        <v>36</v>
      </c>
      <c r="U4469" s="20" t="s">
        <v>90</v>
      </c>
      <c r="V4469" s="21" t="s">
        <v>91</v>
      </c>
      <c r="W4469" s="22">
        <v>3</v>
      </c>
      <c r="X4469" s="23"/>
    </row>
    <row r="4470" spans="1:24" s="1" customFormat="1" ht="22.05" customHeight="1" x14ac:dyDescent="0.3">
      <c r="A4470" s="24" t="s">
        <v>23</v>
      </c>
      <c r="B4470" s="24" t="s">
        <v>4065</v>
      </c>
      <c r="C4470" s="12" t="s">
        <v>4068</v>
      </c>
      <c r="D4470" s="61"/>
      <c r="E4470" s="41" t="str">
        <f t="shared" si="162"/>
        <v>Еще фото</v>
      </c>
      <c r="F4470" s="13"/>
      <c r="G4470" s="24" t="s">
        <v>3632</v>
      </c>
      <c r="H4470" s="24" t="s">
        <v>27</v>
      </c>
      <c r="I4470" s="24" t="s">
        <v>3599</v>
      </c>
      <c r="J4470" s="14" t="s">
        <v>211</v>
      </c>
      <c r="K4470" s="15" t="s">
        <v>30</v>
      </c>
      <c r="L4470" s="58"/>
      <c r="M4470" s="14"/>
      <c r="N4470" s="14" t="s">
        <v>84</v>
      </c>
      <c r="O4470" s="14"/>
      <c r="P4470" s="15" t="s">
        <v>1008</v>
      </c>
      <c r="Q4470" s="16">
        <v>7299</v>
      </c>
      <c r="R4470" s="17">
        <v>40</v>
      </c>
      <c r="S4470" s="18">
        <v>5036.3099999999995</v>
      </c>
      <c r="T4470" s="19" t="s">
        <v>36</v>
      </c>
      <c r="U4470" s="20" t="s">
        <v>408</v>
      </c>
      <c r="V4470" s="21" t="s">
        <v>409</v>
      </c>
      <c r="W4470" s="22">
        <v>4</v>
      </c>
      <c r="X4470" s="23"/>
    </row>
    <row r="4471" spans="1:24" s="1" customFormat="1" ht="35" customHeight="1" x14ac:dyDescent="0.3">
      <c r="A4471" s="11" t="s">
        <v>23</v>
      </c>
      <c r="B4471" s="11" t="s">
        <v>4065</v>
      </c>
      <c r="C4471" s="12" t="s">
        <v>4069</v>
      </c>
      <c r="D4471" s="59"/>
      <c r="E4471" s="41" t="str">
        <f>HYPERLINK("https://www.google.ru/search?q=1383249-426&amp;newwindow=1&amp;tbm=isch","Еще фото")</f>
        <v>Еще фото</v>
      </c>
      <c r="F4471" s="13"/>
      <c r="G4471" s="11" t="s">
        <v>3632</v>
      </c>
      <c r="H4471" s="11" t="s">
        <v>27</v>
      </c>
      <c r="I4471" s="14" t="s">
        <v>3599</v>
      </c>
      <c r="J4471" s="14" t="s">
        <v>211</v>
      </c>
      <c r="K4471" s="15" t="s">
        <v>30</v>
      </c>
      <c r="L4471" s="57" t="s">
        <v>4067</v>
      </c>
      <c r="M4471" s="14"/>
      <c r="N4471" s="14" t="s">
        <v>115</v>
      </c>
      <c r="O4471" s="14"/>
      <c r="P4471" s="15" t="s">
        <v>1008</v>
      </c>
      <c r="Q4471" s="16">
        <v>7299</v>
      </c>
      <c r="R4471" s="17">
        <v>40</v>
      </c>
      <c r="S4471" s="18">
        <v>5036.3099999999995</v>
      </c>
      <c r="T4471" s="19" t="s">
        <v>36</v>
      </c>
      <c r="U4471" s="20" t="s">
        <v>37</v>
      </c>
      <c r="V4471" s="21" t="s">
        <v>38</v>
      </c>
      <c r="W4471" s="22">
        <v>8</v>
      </c>
      <c r="X4471" s="23"/>
    </row>
    <row r="4472" spans="1:24" s="1" customFormat="1" ht="35" customHeight="1" x14ac:dyDescent="0.3">
      <c r="A4472" s="24" t="s">
        <v>23</v>
      </c>
      <c r="B4472" s="24" t="s">
        <v>4065</v>
      </c>
      <c r="C4472" s="12" t="s">
        <v>4069</v>
      </c>
      <c r="D4472" s="60"/>
      <c r="E4472" s="41" t="str">
        <f>HYPERLINK("https://www.google.ru/search?q=1383249-426&amp;newwindow=1&amp;tbm=isch","Еще фото")</f>
        <v>Еще фото</v>
      </c>
      <c r="F4472" s="13"/>
      <c r="G4472" s="24" t="s">
        <v>3632</v>
      </c>
      <c r="H4472" s="24" t="s">
        <v>27</v>
      </c>
      <c r="I4472" s="24" t="s">
        <v>3599</v>
      </c>
      <c r="J4472" s="14" t="s">
        <v>211</v>
      </c>
      <c r="K4472" s="15" t="s">
        <v>30</v>
      </c>
      <c r="L4472" s="62"/>
      <c r="M4472" s="14"/>
      <c r="N4472" s="14" t="s">
        <v>115</v>
      </c>
      <c r="O4472" s="14"/>
      <c r="P4472" s="15" t="s">
        <v>1008</v>
      </c>
      <c r="Q4472" s="16">
        <v>7299</v>
      </c>
      <c r="R4472" s="17">
        <v>40</v>
      </c>
      <c r="S4472" s="18">
        <v>5036.3099999999995</v>
      </c>
      <c r="T4472" s="19" t="s">
        <v>36</v>
      </c>
      <c r="U4472" s="20" t="s">
        <v>39</v>
      </c>
      <c r="V4472" s="21" t="s">
        <v>40</v>
      </c>
      <c r="W4472" s="22">
        <v>10</v>
      </c>
      <c r="X4472" s="23"/>
    </row>
    <row r="4473" spans="1:24" s="1" customFormat="1" ht="37.049999999999997" customHeight="1" x14ac:dyDescent="0.3">
      <c r="A4473" s="24" t="s">
        <v>23</v>
      </c>
      <c r="B4473" s="24" t="s">
        <v>4065</v>
      </c>
      <c r="C4473" s="12" t="s">
        <v>4069</v>
      </c>
      <c r="D4473" s="61"/>
      <c r="E4473" s="41" t="str">
        <f>HYPERLINK("https://www.google.ru/search?q=1383249-426&amp;newwindow=1&amp;tbm=isch","Еще фото")</f>
        <v>Еще фото</v>
      </c>
      <c r="F4473" s="13"/>
      <c r="G4473" s="24" t="s">
        <v>3632</v>
      </c>
      <c r="H4473" s="24" t="s">
        <v>27</v>
      </c>
      <c r="I4473" s="24" t="s">
        <v>3599</v>
      </c>
      <c r="J4473" s="14" t="s">
        <v>211</v>
      </c>
      <c r="K4473" s="15" t="s">
        <v>30</v>
      </c>
      <c r="L4473" s="58"/>
      <c r="M4473" s="14"/>
      <c r="N4473" s="14" t="s">
        <v>115</v>
      </c>
      <c r="O4473" s="14"/>
      <c r="P4473" s="15" t="s">
        <v>1008</v>
      </c>
      <c r="Q4473" s="16">
        <v>7299</v>
      </c>
      <c r="R4473" s="17">
        <v>40</v>
      </c>
      <c r="S4473" s="18">
        <v>5036.3099999999995</v>
      </c>
      <c r="T4473" s="19" t="s">
        <v>36</v>
      </c>
      <c r="U4473" s="20" t="s">
        <v>86</v>
      </c>
      <c r="V4473" s="21" t="s">
        <v>87</v>
      </c>
      <c r="W4473" s="22">
        <v>5</v>
      </c>
      <c r="X4473" s="23"/>
    </row>
    <row r="4474" spans="1:24" s="1" customFormat="1" ht="108" customHeight="1" x14ac:dyDescent="0.3">
      <c r="A4474" s="11" t="s">
        <v>23</v>
      </c>
      <c r="B4474" s="11" t="s">
        <v>3879</v>
      </c>
      <c r="C4474" s="12" t="s">
        <v>4070</v>
      </c>
      <c r="D4474" s="25"/>
      <c r="E4474" s="41" t="str">
        <f>HYPERLINK("https://www.google.ru/search?q=1383320-432&amp;newwindow=1&amp;tbm=isch","Еще фото")</f>
        <v>Еще фото</v>
      </c>
      <c r="F4474" s="13"/>
      <c r="G4474" s="11" t="s">
        <v>3604</v>
      </c>
      <c r="H4474" s="11" t="s">
        <v>27</v>
      </c>
      <c r="I4474" s="14" t="s">
        <v>3599</v>
      </c>
      <c r="J4474" s="14" t="s">
        <v>29</v>
      </c>
      <c r="K4474" s="15" t="s">
        <v>30</v>
      </c>
      <c r="L4474" s="14" t="s">
        <v>3881</v>
      </c>
      <c r="M4474" s="14"/>
      <c r="N4474" s="14" t="s">
        <v>115</v>
      </c>
      <c r="O4474" s="14"/>
      <c r="P4474" s="15" t="s">
        <v>298</v>
      </c>
      <c r="Q4474" s="16">
        <v>6299</v>
      </c>
      <c r="R4474" s="17">
        <v>40</v>
      </c>
      <c r="S4474" s="18">
        <v>4346.3099999999995</v>
      </c>
      <c r="T4474" s="19" t="s">
        <v>36</v>
      </c>
      <c r="U4474" s="20" t="s">
        <v>37</v>
      </c>
      <c r="V4474" s="21" t="s">
        <v>38</v>
      </c>
      <c r="W4474" s="22">
        <v>2</v>
      </c>
      <c r="X4474" s="23"/>
    </row>
    <row r="4475" spans="1:24" s="1" customFormat="1" ht="52.05" customHeight="1" x14ac:dyDescent="0.3">
      <c r="A4475" s="11" t="s">
        <v>23</v>
      </c>
      <c r="B4475" s="11" t="s">
        <v>3637</v>
      </c>
      <c r="C4475" s="12" t="s">
        <v>4071</v>
      </c>
      <c r="D4475" s="55"/>
      <c r="E4475" s="41" t="str">
        <f>HYPERLINK("https://www.google.ru/search?q=1383544-001&amp;newwindow=1&amp;tbm=isch","Еще фото")</f>
        <v>Еще фото</v>
      </c>
      <c r="F4475" s="13" t="s">
        <v>103</v>
      </c>
      <c r="G4475" s="11" t="s">
        <v>3609</v>
      </c>
      <c r="H4475" s="11" t="s">
        <v>27</v>
      </c>
      <c r="I4475" s="14" t="s">
        <v>3599</v>
      </c>
      <c r="J4475" s="14" t="s">
        <v>29</v>
      </c>
      <c r="K4475" s="15" t="s">
        <v>59</v>
      </c>
      <c r="L4475" s="57" t="s">
        <v>3639</v>
      </c>
      <c r="M4475" s="14" t="s">
        <v>61</v>
      </c>
      <c r="N4475" s="14" t="s">
        <v>33</v>
      </c>
      <c r="O4475" s="14"/>
      <c r="P4475" s="15" t="s">
        <v>1008</v>
      </c>
      <c r="Q4475" s="16">
        <v>3699</v>
      </c>
      <c r="R4475" s="17">
        <v>40</v>
      </c>
      <c r="S4475" s="18">
        <v>2552.31</v>
      </c>
      <c r="T4475" s="19" t="s">
        <v>36</v>
      </c>
      <c r="U4475" s="20" t="s">
        <v>63</v>
      </c>
      <c r="V4475" s="21" t="s">
        <v>64</v>
      </c>
      <c r="W4475" s="22">
        <v>43</v>
      </c>
      <c r="X4475" s="23"/>
    </row>
    <row r="4476" spans="1:24" s="1" customFormat="1" ht="61.05" customHeight="1" x14ac:dyDescent="0.3">
      <c r="A4476" s="24" t="s">
        <v>23</v>
      </c>
      <c r="B4476" s="24" t="s">
        <v>3637</v>
      </c>
      <c r="C4476" s="12" t="s">
        <v>4071</v>
      </c>
      <c r="D4476" s="56"/>
      <c r="E4476" s="41" t="str">
        <f>HYPERLINK("https://www.google.ru/search?q=1383544-001&amp;newwindow=1&amp;tbm=isch","Еще фото")</f>
        <v>Еще фото</v>
      </c>
      <c r="F4476" s="13" t="s">
        <v>103</v>
      </c>
      <c r="G4476" s="24" t="s">
        <v>3609</v>
      </c>
      <c r="H4476" s="24" t="s">
        <v>27</v>
      </c>
      <c r="I4476" s="24" t="s">
        <v>3599</v>
      </c>
      <c r="J4476" s="14" t="s">
        <v>29</v>
      </c>
      <c r="K4476" s="15" t="s">
        <v>59</v>
      </c>
      <c r="L4476" s="58"/>
      <c r="M4476" s="14" t="s">
        <v>61</v>
      </c>
      <c r="N4476" s="14" t="s">
        <v>33</v>
      </c>
      <c r="O4476" s="14"/>
      <c r="P4476" s="15" t="s">
        <v>1008</v>
      </c>
      <c r="Q4476" s="16">
        <v>3699</v>
      </c>
      <c r="R4476" s="17">
        <v>40</v>
      </c>
      <c r="S4476" s="18">
        <v>2552.31</v>
      </c>
      <c r="T4476" s="19" t="s">
        <v>36</v>
      </c>
      <c r="U4476" s="20" t="s">
        <v>37</v>
      </c>
      <c r="V4476" s="21" t="s">
        <v>106</v>
      </c>
      <c r="W4476" s="22">
        <v>1</v>
      </c>
      <c r="X4476" s="23"/>
    </row>
    <row r="4477" spans="1:24" s="1" customFormat="1" ht="108" customHeight="1" x14ac:dyDescent="0.3">
      <c r="A4477" s="11" t="s">
        <v>23</v>
      </c>
      <c r="B4477" s="11" t="s">
        <v>3637</v>
      </c>
      <c r="C4477" s="12" t="s">
        <v>4072</v>
      </c>
      <c r="D4477" s="25"/>
      <c r="E4477" s="41" t="str">
        <f>HYPERLINK("https://www.google.ru/search?q=1383544-015&amp;newwindow=1&amp;tbm=isch","Еще фото")</f>
        <v>Еще фото</v>
      </c>
      <c r="F4477" s="13"/>
      <c r="G4477" s="11" t="s">
        <v>3609</v>
      </c>
      <c r="H4477" s="11" t="s">
        <v>27</v>
      </c>
      <c r="I4477" s="14" t="s">
        <v>3599</v>
      </c>
      <c r="J4477" s="14" t="s">
        <v>29</v>
      </c>
      <c r="K4477" s="15" t="s">
        <v>59</v>
      </c>
      <c r="L4477" s="14" t="s">
        <v>3639</v>
      </c>
      <c r="M4477" s="14"/>
      <c r="N4477" s="14" t="s">
        <v>69</v>
      </c>
      <c r="O4477" s="14"/>
      <c r="P4477" s="15" t="s">
        <v>53</v>
      </c>
      <c r="Q4477" s="16">
        <v>4999</v>
      </c>
      <c r="R4477" s="17">
        <v>40</v>
      </c>
      <c r="S4477" s="18">
        <v>3449.31</v>
      </c>
      <c r="T4477" s="19" t="s">
        <v>36</v>
      </c>
      <c r="U4477" s="20" t="s">
        <v>63</v>
      </c>
      <c r="V4477" s="21" t="s">
        <v>64</v>
      </c>
      <c r="W4477" s="22">
        <v>4</v>
      </c>
      <c r="X4477" s="23"/>
    </row>
    <row r="4478" spans="1:24" s="1" customFormat="1" ht="108" customHeight="1" x14ac:dyDescent="0.3">
      <c r="A4478" s="11" t="s">
        <v>23</v>
      </c>
      <c r="B4478" s="11" t="s">
        <v>4073</v>
      </c>
      <c r="C4478" s="12" t="s">
        <v>4074</v>
      </c>
      <c r="D4478" s="25"/>
      <c r="E4478" s="41" t="str">
        <f>HYPERLINK("https://www.google.ru/search?q=1383648-100&amp;newwindow=1&amp;tbm=isch","Еще фото")</f>
        <v>Еще фото</v>
      </c>
      <c r="F4478" s="13" t="s">
        <v>103</v>
      </c>
      <c r="G4478" s="11" t="s">
        <v>3604</v>
      </c>
      <c r="H4478" s="11" t="s">
        <v>27</v>
      </c>
      <c r="I4478" s="14" t="s">
        <v>3599</v>
      </c>
      <c r="J4478" s="14" t="s">
        <v>29</v>
      </c>
      <c r="K4478" s="15" t="s">
        <v>59</v>
      </c>
      <c r="L4478" s="14" t="s">
        <v>4075</v>
      </c>
      <c r="M4478" s="14" t="s">
        <v>339</v>
      </c>
      <c r="N4478" s="14" t="s">
        <v>84</v>
      </c>
      <c r="O4478" s="14"/>
      <c r="P4478" s="15" t="s">
        <v>1063</v>
      </c>
      <c r="Q4478" s="16">
        <v>2499</v>
      </c>
      <c r="R4478" s="17">
        <v>40</v>
      </c>
      <c r="S4478" s="18">
        <v>1724.31</v>
      </c>
      <c r="T4478" s="19" t="s">
        <v>36</v>
      </c>
      <c r="U4478" s="20" t="s">
        <v>63</v>
      </c>
      <c r="V4478" s="21" t="s">
        <v>64</v>
      </c>
      <c r="W4478" s="22">
        <v>2</v>
      </c>
      <c r="X4478" s="23"/>
    </row>
    <row r="4479" spans="1:24" s="1" customFormat="1" ht="26" customHeight="1" x14ac:dyDescent="0.3">
      <c r="A4479" s="11" t="s">
        <v>23</v>
      </c>
      <c r="B4479" s="11" t="s">
        <v>4076</v>
      </c>
      <c r="C4479" s="12" t="s">
        <v>4077</v>
      </c>
      <c r="D4479" s="59"/>
      <c r="E4479" s="41" t="str">
        <f>HYPERLINK("https://www.google.ru/search?q=1383648-498&amp;newwindow=1&amp;tbm=isch","Еще фото")</f>
        <v>Еще фото</v>
      </c>
      <c r="F4479" s="13" t="s">
        <v>103</v>
      </c>
      <c r="G4479" s="11" t="s">
        <v>3604</v>
      </c>
      <c r="H4479" s="11" t="s">
        <v>27</v>
      </c>
      <c r="I4479" s="14" t="s">
        <v>3599</v>
      </c>
      <c r="J4479" s="14" t="s">
        <v>43</v>
      </c>
      <c r="K4479" s="15" t="s">
        <v>59</v>
      </c>
      <c r="L4479" s="57" t="s">
        <v>4075</v>
      </c>
      <c r="M4479" s="14"/>
      <c r="N4479" s="14" t="s">
        <v>115</v>
      </c>
      <c r="O4479" s="14"/>
      <c r="P4479" s="15" t="s">
        <v>1063</v>
      </c>
      <c r="Q4479" s="16">
        <v>2499</v>
      </c>
      <c r="R4479" s="17">
        <v>40</v>
      </c>
      <c r="S4479" s="18">
        <v>1724.31</v>
      </c>
      <c r="T4479" s="19" t="s">
        <v>36</v>
      </c>
      <c r="U4479" s="20" t="s">
        <v>63</v>
      </c>
      <c r="V4479" s="21" t="s">
        <v>64</v>
      </c>
      <c r="W4479" s="22">
        <v>11</v>
      </c>
      <c r="X4479" s="23"/>
    </row>
    <row r="4480" spans="1:24" s="1" customFormat="1" ht="26" customHeight="1" x14ac:dyDescent="0.3">
      <c r="A4480" s="24" t="s">
        <v>23</v>
      </c>
      <c r="B4480" s="24" t="s">
        <v>4076</v>
      </c>
      <c r="C4480" s="12" t="s">
        <v>4077</v>
      </c>
      <c r="D4480" s="60"/>
      <c r="E4480" s="41" t="str">
        <f>HYPERLINK("https://www.google.ru/search?q=1383648-498&amp;newwindow=1&amp;tbm=isch","Еще фото")</f>
        <v>Еще фото</v>
      </c>
      <c r="F4480" s="13" t="s">
        <v>103</v>
      </c>
      <c r="G4480" s="24" t="s">
        <v>3604</v>
      </c>
      <c r="H4480" s="24" t="s">
        <v>27</v>
      </c>
      <c r="I4480" s="24" t="s">
        <v>3599</v>
      </c>
      <c r="J4480" s="14" t="s">
        <v>43</v>
      </c>
      <c r="K4480" s="15" t="s">
        <v>59</v>
      </c>
      <c r="L4480" s="62"/>
      <c r="M4480" s="14"/>
      <c r="N4480" s="14" t="s">
        <v>115</v>
      </c>
      <c r="O4480" s="14"/>
      <c r="P4480" s="15" t="s">
        <v>1063</v>
      </c>
      <c r="Q4480" s="16">
        <v>2499</v>
      </c>
      <c r="R4480" s="17">
        <v>40</v>
      </c>
      <c r="S4480" s="18">
        <v>1724.31</v>
      </c>
      <c r="T4480" s="19" t="s">
        <v>36</v>
      </c>
      <c r="U4480" s="20" t="s">
        <v>37</v>
      </c>
      <c r="V4480" s="21" t="s">
        <v>106</v>
      </c>
      <c r="W4480" s="22">
        <v>14</v>
      </c>
      <c r="X4480" s="23"/>
    </row>
    <row r="4481" spans="1:24" s="1" customFormat="1" ht="26" customHeight="1" x14ac:dyDescent="0.3">
      <c r="A4481" s="24" t="s">
        <v>23</v>
      </c>
      <c r="B4481" s="24" t="s">
        <v>4076</v>
      </c>
      <c r="C4481" s="12" t="s">
        <v>4077</v>
      </c>
      <c r="D4481" s="60"/>
      <c r="E4481" s="41" t="str">
        <f>HYPERLINK("https://www.google.ru/search?q=1383648-498&amp;newwindow=1&amp;tbm=isch","Еще фото")</f>
        <v>Еще фото</v>
      </c>
      <c r="F4481" s="13" t="s">
        <v>103</v>
      </c>
      <c r="G4481" s="24" t="s">
        <v>3604</v>
      </c>
      <c r="H4481" s="24" t="s">
        <v>27</v>
      </c>
      <c r="I4481" s="24" t="s">
        <v>3599</v>
      </c>
      <c r="J4481" s="14" t="s">
        <v>43</v>
      </c>
      <c r="K4481" s="15" t="s">
        <v>59</v>
      </c>
      <c r="L4481" s="62"/>
      <c r="M4481" s="14"/>
      <c r="N4481" s="14" t="s">
        <v>115</v>
      </c>
      <c r="O4481" s="14"/>
      <c r="P4481" s="15" t="s">
        <v>1063</v>
      </c>
      <c r="Q4481" s="16">
        <v>2499</v>
      </c>
      <c r="R4481" s="17">
        <v>40</v>
      </c>
      <c r="S4481" s="18">
        <v>1724.31</v>
      </c>
      <c r="T4481" s="19" t="s">
        <v>36</v>
      </c>
      <c r="U4481" s="20" t="s">
        <v>39</v>
      </c>
      <c r="V4481" s="21" t="s">
        <v>85</v>
      </c>
      <c r="W4481" s="22">
        <v>15</v>
      </c>
      <c r="X4481" s="23"/>
    </row>
    <row r="4482" spans="1:24" s="1" customFormat="1" ht="26" customHeight="1" x14ac:dyDescent="0.3">
      <c r="A4482" s="24" t="s">
        <v>23</v>
      </c>
      <c r="B4482" s="24" t="s">
        <v>4076</v>
      </c>
      <c r="C4482" s="12" t="s">
        <v>4077</v>
      </c>
      <c r="D4482" s="61"/>
      <c r="E4482" s="41" t="str">
        <f>HYPERLINK("https://www.google.ru/search?q=1383648-498&amp;newwindow=1&amp;tbm=isch","Еще фото")</f>
        <v>Еще фото</v>
      </c>
      <c r="F4482" s="13" t="s">
        <v>103</v>
      </c>
      <c r="G4482" s="24" t="s">
        <v>3604</v>
      </c>
      <c r="H4482" s="24" t="s">
        <v>27</v>
      </c>
      <c r="I4482" s="24" t="s">
        <v>3599</v>
      </c>
      <c r="J4482" s="14" t="s">
        <v>43</v>
      </c>
      <c r="K4482" s="15" t="s">
        <v>59</v>
      </c>
      <c r="L4482" s="58"/>
      <c r="M4482" s="14"/>
      <c r="N4482" s="14" t="s">
        <v>115</v>
      </c>
      <c r="O4482" s="14"/>
      <c r="P4482" s="15" t="s">
        <v>1063</v>
      </c>
      <c r="Q4482" s="16">
        <v>2499</v>
      </c>
      <c r="R4482" s="17">
        <v>40</v>
      </c>
      <c r="S4482" s="18">
        <v>1724.31</v>
      </c>
      <c r="T4482" s="19" t="s">
        <v>36</v>
      </c>
      <c r="U4482" s="20" t="s">
        <v>86</v>
      </c>
      <c r="V4482" s="21" t="s">
        <v>38</v>
      </c>
      <c r="W4482" s="22">
        <v>16</v>
      </c>
      <c r="X4482" s="23"/>
    </row>
    <row r="4483" spans="1:24" s="1" customFormat="1" ht="35" customHeight="1" x14ac:dyDescent="0.3">
      <c r="A4483" s="11" t="s">
        <v>23</v>
      </c>
      <c r="B4483" s="11" t="s">
        <v>4076</v>
      </c>
      <c r="C4483" s="12" t="s">
        <v>4078</v>
      </c>
      <c r="D4483" s="59"/>
      <c r="E4483" s="41" t="str">
        <f>HYPERLINK("https://www.google.ru/search?q=1383648-520&amp;newwindow=1&amp;tbm=isch","Еще фото")</f>
        <v>Еще фото</v>
      </c>
      <c r="F4483" s="13" t="s">
        <v>103</v>
      </c>
      <c r="G4483" s="11" t="s">
        <v>3604</v>
      </c>
      <c r="H4483" s="11" t="s">
        <v>27</v>
      </c>
      <c r="I4483" s="14" t="s">
        <v>3599</v>
      </c>
      <c r="J4483" s="14" t="s">
        <v>43</v>
      </c>
      <c r="K4483" s="15" t="s">
        <v>59</v>
      </c>
      <c r="L4483" s="57" t="s">
        <v>4075</v>
      </c>
      <c r="M4483" s="14"/>
      <c r="N4483" s="14" t="s">
        <v>79</v>
      </c>
      <c r="O4483" s="14"/>
      <c r="P4483" s="15" t="s">
        <v>1063</v>
      </c>
      <c r="Q4483" s="16">
        <v>2499</v>
      </c>
      <c r="R4483" s="17">
        <v>40</v>
      </c>
      <c r="S4483" s="18">
        <v>1724.31</v>
      </c>
      <c r="T4483" s="19" t="s">
        <v>36</v>
      </c>
      <c r="U4483" s="20" t="s">
        <v>63</v>
      </c>
      <c r="V4483" s="21" t="s">
        <v>64</v>
      </c>
      <c r="W4483" s="22">
        <v>11</v>
      </c>
      <c r="X4483" s="23"/>
    </row>
    <row r="4484" spans="1:24" s="1" customFormat="1" ht="35" customHeight="1" x14ac:dyDescent="0.3">
      <c r="A4484" s="24" t="s">
        <v>23</v>
      </c>
      <c r="B4484" s="24" t="s">
        <v>4076</v>
      </c>
      <c r="C4484" s="12" t="s">
        <v>4078</v>
      </c>
      <c r="D4484" s="60"/>
      <c r="E4484" s="41" t="str">
        <f>HYPERLINK("https://www.google.ru/search?q=1383648-520&amp;newwindow=1&amp;tbm=isch","Еще фото")</f>
        <v>Еще фото</v>
      </c>
      <c r="F4484" s="13" t="s">
        <v>103</v>
      </c>
      <c r="G4484" s="24" t="s">
        <v>3604</v>
      </c>
      <c r="H4484" s="24" t="s">
        <v>27</v>
      </c>
      <c r="I4484" s="24" t="s">
        <v>3599</v>
      </c>
      <c r="J4484" s="14" t="s">
        <v>43</v>
      </c>
      <c r="K4484" s="15" t="s">
        <v>59</v>
      </c>
      <c r="L4484" s="62"/>
      <c r="M4484" s="14"/>
      <c r="N4484" s="14" t="s">
        <v>79</v>
      </c>
      <c r="O4484" s="14"/>
      <c r="P4484" s="15" t="s">
        <v>1063</v>
      </c>
      <c r="Q4484" s="16">
        <v>2499</v>
      </c>
      <c r="R4484" s="17">
        <v>40</v>
      </c>
      <c r="S4484" s="18">
        <v>1724.31</v>
      </c>
      <c r="T4484" s="19" t="s">
        <v>36</v>
      </c>
      <c r="U4484" s="20" t="s">
        <v>39</v>
      </c>
      <c r="V4484" s="21" t="s">
        <v>85</v>
      </c>
      <c r="W4484" s="22">
        <v>2</v>
      </c>
      <c r="X4484" s="23"/>
    </row>
    <row r="4485" spans="1:24" s="1" customFormat="1" ht="37.049999999999997" customHeight="1" x14ac:dyDescent="0.3">
      <c r="A4485" s="24" t="s">
        <v>23</v>
      </c>
      <c r="B4485" s="24" t="s">
        <v>4076</v>
      </c>
      <c r="C4485" s="12" t="s">
        <v>4078</v>
      </c>
      <c r="D4485" s="61"/>
      <c r="E4485" s="41" t="str">
        <f>HYPERLINK("https://www.google.ru/search?q=1383648-520&amp;newwindow=1&amp;tbm=isch","Еще фото")</f>
        <v>Еще фото</v>
      </c>
      <c r="F4485" s="13" t="s">
        <v>103</v>
      </c>
      <c r="G4485" s="24" t="s">
        <v>3604</v>
      </c>
      <c r="H4485" s="24" t="s">
        <v>27</v>
      </c>
      <c r="I4485" s="24" t="s">
        <v>3599</v>
      </c>
      <c r="J4485" s="14" t="s">
        <v>43</v>
      </c>
      <c r="K4485" s="15" t="s">
        <v>59</v>
      </c>
      <c r="L4485" s="58"/>
      <c r="M4485" s="14"/>
      <c r="N4485" s="14" t="s">
        <v>79</v>
      </c>
      <c r="O4485" s="14"/>
      <c r="P4485" s="15" t="s">
        <v>1063</v>
      </c>
      <c r="Q4485" s="16">
        <v>2499</v>
      </c>
      <c r="R4485" s="17">
        <v>40</v>
      </c>
      <c r="S4485" s="18">
        <v>1724.31</v>
      </c>
      <c r="T4485" s="19" t="s">
        <v>36</v>
      </c>
      <c r="U4485" s="20" t="s">
        <v>86</v>
      </c>
      <c r="V4485" s="21" t="s">
        <v>38</v>
      </c>
      <c r="W4485" s="22">
        <v>1</v>
      </c>
      <c r="X4485" s="23"/>
    </row>
    <row r="4486" spans="1:24" s="1" customFormat="1" ht="35" customHeight="1" x14ac:dyDescent="0.3">
      <c r="A4486" s="11" t="s">
        <v>23</v>
      </c>
      <c r="B4486" s="11" t="s">
        <v>4079</v>
      </c>
      <c r="C4486" s="12" t="s">
        <v>4080</v>
      </c>
      <c r="D4486" s="59"/>
      <c r="E4486" s="41" t="str">
        <f>HYPERLINK("https://www.google.ru/search?q=1384112-001&amp;newwindow=1&amp;tbm=isch","Еще фото")</f>
        <v>Еще фото</v>
      </c>
      <c r="F4486" s="13" t="s">
        <v>103</v>
      </c>
      <c r="G4486" s="11" t="s">
        <v>3609</v>
      </c>
      <c r="H4486" s="11" t="s">
        <v>27</v>
      </c>
      <c r="I4486" s="14" t="s">
        <v>3599</v>
      </c>
      <c r="J4486" s="14" t="s">
        <v>29</v>
      </c>
      <c r="K4486" s="15" t="s">
        <v>59</v>
      </c>
      <c r="L4486" s="57" t="s">
        <v>4081</v>
      </c>
      <c r="M4486" s="14"/>
      <c r="N4486" s="14" t="s">
        <v>33</v>
      </c>
      <c r="O4486" s="14"/>
      <c r="P4486" s="15" t="s">
        <v>53</v>
      </c>
      <c r="Q4486" s="16">
        <v>6199</v>
      </c>
      <c r="R4486" s="17">
        <v>40</v>
      </c>
      <c r="S4486" s="18">
        <v>4277.3099999999995</v>
      </c>
      <c r="T4486" s="19" t="s">
        <v>36</v>
      </c>
      <c r="U4486" s="20" t="s">
        <v>4082</v>
      </c>
      <c r="V4486" s="21" t="s">
        <v>4083</v>
      </c>
      <c r="W4486" s="22">
        <v>7</v>
      </c>
      <c r="X4486" s="23"/>
    </row>
    <row r="4487" spans="1:24" s="1" customFormat="1" ht="35" customHeight="1" x14ac:dyDescent="0.3">
      <c r="A4487" s="24" t="s">
        <v>23</v>
      </c>
      <c r="B4487" s="24" t="s">
        <v>4079</v>
      </c>
      <c r="C4487" s="12" t="s">
        <v>4080</v>
      </c>
      <c r="D4487" s="60"/>
      <c r="E4487" s="41" t="str">
        <f>HYPERLINK("https://www.google.ru/search?q=1384112-001&amp;newwindow=1&amp;tbm=isch","Еще фото")</f>
        <v>Еще фото</v>
      </c>
      <c r="F4487" s="13" t="s">
        <v>103</v>
      </c>
      <c r="G4487" s="24" t="s">
        <v>3609</v>
      </c>
      <c r="H4487" s="24" t="s">
        <v>27</v>
      </c>
      <c r="I4487" s="24" t="s">
        <v>3599</v>
      </c>
      <c r="J4487" s="14" t="s">
        <v>29</v>
      </c>
      <c r="K4487" s="15" t="s">
        <v>59</v>
      </c>
      <c r="L4487" s="62"/>
      <c r="M4487" s="14"/>
      <c r="N4487" s="14" t="s">
        <v>33</v>
      </c>
      <c r="O4487" s="14"/>
      <c r="P4487" s="15" t="s">
        <v>53</v>
      </c>
      <c r="Q4487" s="16">
        <v>6199</v>
      </c>
      <c r="R4487" s="17">
        <v>40</v>
      </c>
      <c r="S4487" s="18">
        <v>4277.3099999999995</v>
      </c>
      <c r="T4487" s="19" t="s">
        <v>36</v>
      </c>
      <c r="U4487" s="20" t="s">
        <v>4084</v>
      </c>
      <c r="V4487" s="21" t="s">
        <v>4085</v>
      </c>
      <c r="W4487" s="22">
        <v>4</v>
      </c>
      <c r="X4487" s="23"/>
    </row>
    <row r="4488" spans="1:24" s="1" customFormat="1" ht="37.049999999999997" customHeight="1" x14ac:dyDescent="0.3">
      <c r="A4488" s="24" t="s">
        <v>23</v>
      </c>
      <c r="B4488" s="24" t="s">
        <v>4079</v>
      </c>
      <c r="C4488" s="12" t="s">
        <v>4080</v>
      </c>
      <c r="D4488" s="61"/>
      <c r="E4488" s="41" t="str">
        <f>HYPERLINK("https://www.google.ru/search?q=1384112-001&amp;newwindow=1&amp;tbm=isch","Еще фото")</f>
        <v>Еще фото</v>
      </c>
      <c r="F4488" s="13" t="s">
        <v>103</v>
      </c>
      <c r="G4488" s="24" t="s">
        <v>3609</v>
      </c>
      <c r="H4488" s="24" t="s">
        <v>27</v>
      </c>
      <c r="I4488" s="24" t="s">
        <v>3599</v>
      </c>
      <c r="J4488" s="14" t="s">
        <v>29</v>
      </c>
      <c r="K4488" s="15" t="s">
        <v>59</v>
      </c>
      <c r="L4488" s="58"/>
      <c r="M4488" s="14"/>
      <c r="N4488" s="14" t="s">
        <v>33</v>
      </c>
      <c r="O4488" s="14"/>
      <c r="P4488" s="15" t="s">
        <v>53</v>
      </c>
      <c r="Q4488" s="16">
        <v>6199</v>
      </c>
      <c r="R4488" s="17">
        <v>40</v>
      </c>
      <c r="S4488" s="18">
        <v>4277.3099999999995</v>
      </c>
      <c r="T4488" s="19" t="s">
        <v>36</v>
      </c>
      <c r="U4488" s="20" t="s">
        <v>4086</v>
      </c>
      <c r="V4488" s="21" t="s">
        <v>4087</v>
      </c>
      <c r="W4488" s="22">
        <v>1</v>
      </c>
      <c r="X4488" s="23"/>
    </row>
    <row r="4489" spans="1:24" s="1" customFormat="1" ht="108" customHeight="1" x14ac:dyDescent="0.3">
      <c r="A4489" s="11" t="s">
        <v>23</v>
      </c>
      <c r="B4489" s="11" t="s">
        <v>4088</v>
      </c>
      <c r="C4489" s="12" t="s">
        <v>4089</v>
      </c>
      <c r="D4489" s="25"/>
      <c r="E4489" s="41" t="str">
        <f>HYPERLINK("https://www.google.ru/search?q=1384161-709&amp;newwindow=1&amp;tbm=isch","Еще фото")</f>
        <v>Еще фото</v>
      </c>
      <c r="F4489" s="13"/>
      <c r="G4489" s="11" t="s">
        <v>3609</v>
      </c>
      <c r="H4489" s="11" t="s">
        <v>27</v>
      </c>
      <c r="I4489" s="14" t="s">
        <v>3599</v>
      </c>
      <c r="J4489" s="14" t="s">
        <v>29</v>
      </c>
      <c r="K4489" s="15" t="s">
        <v>59</v>
      </c>
      <c r="L4489" s="14" t="s">
        <v>4090</v>
      </c>
      <c r="M4489" s="14"/>
      <c r="N4489" s="14" t="s">
        <v>62</v>
      </c>
      <c r="O4489" s="14"/>
      <c r="P4489" s="15" t="s">
        <v>458</v>
      </c>
      <c r="Q4489" s="16">
        <v>8299</v>
      </c>
      <c r="R4489" s="17">
        <v>40</v>
      </c>
      <c r="S4489" s="18">
        <v>5726.3099999999995</v>
      </c>
      <c r="T4489" s="19" t="s">
        <v>36</v>
      </c>
      <c r="U4489" s="20" t="s">
        <v>39</v>
      </c>
      <c r="V4489" s="21" t="s">
        <v>85</v>
      </c>
      <c r="W4489" s="22">
        <v>5</v>
      </c>
      <c r="X4489" s="23"/>
    </row>
    <row r="4490" spans="1:24" s="1" customFormat="1" ht="52.05" customHeight="1" x14ac:dyDescent="0.3">
      <c r="A4490" s="11" t="s">
        <v>23</v>
      </c>
      <c r="B4490" s="11" t="s">
        <v>3711</v>
      </c>
      <c r="C4490" s="12" t="s">
        <v>4091</v>
      </c>
      <c r="D4490" s="55"/>
      <c r="E4490" s="41" t="str">
        <f>HYPERLINK("https://www.google.ru/search?q=1384227-001&amp;newwindow=1&amp;tbm=isch","Еще фото")</f>
        <v>Еще фото</v>
      </c>
      <c r="F4490" s="13" t="s">
        <v>103</v>
      </c>
      <c r="G4490" s="11" t="s">
        <v>3604</v>
      </c>
      <c r="H4490" s="11" t="s">
        <v>27</v>
      </c>
      <c r="I4490" s="14" t="s">
        <v>3599</v>
      </c>
      <c r="J4490" s="14" t="s">
        <v>29</v>
      </c>
      <c r="K4490" s="15" t="s">
        <v>59</v>
      </c>
      <c r="L4490" s="57" t="s">
        <v>3713</v>
      </c>
      <c r="M4490" s="14"/>
      <c r="N4490" s="14" t="s">
        <v>33</v>
      </c>
      <c r="O4490" s="14"/>
      <c r="P4490" s="15" t="s">
        <v>47</v>
      </c>
      <c r="Q4490" s="16">
        <v>2999</v>
      </c>
      <c r="R4490" s="17">
        <v>40</v>
      </c>
      <c r="S4490" s="18">
        <v>2069.31</v>
      </c>
      <c r="T4490" s="19" t="s">
        <v>36</v>
      </c>
      <c r="U4490" s="20" t="s">
        <v>63</v>
      </c>
      <c r="V4490" s="21" t="s">
        <v>64</v>
      </c>
      <c r="W4490" s="22">
        <v>4</v>
      </c>
      <c r="X4490" s="23"/>
    </row>
    <row r="4491" spans="1:24" s="1" customFormat="1" ht="61.05" customHeight="1" x14ac:dyDescent="0.3">
      <c r="A4491" s="24" t="s">
        <v>23</v>
      </c>
      <c r="B4491" s="24" t="s">
        <v>3711</v>
      </c>
      <c r="C4491" s="12" t="s">
        <v>4091</v>
      </c>
      <c r="D4491" s="56"/>
      <c r="E4491" s="41" t="str">
        <f>HYPERLINK("https://www.google.ru/search?q=1384227-001&amp;newwindow=1&amp;tbm=isch","Еще фото")</f>
        <v>Еще фото</v>
      </c>
      <c r="F4491" s="13" t="s">
        <v>103</v>
      </c>
      <c r="G4491" s="24" t="s">
        <v>3604</v>
      </c>
      <c r="H4491" s="24" t="s">
        <v>27</v>
      </c>
      <c r="I4491" s="24" t="s">
        <v>3599</v>
      </c>
      <c r="J4491" s="14" t="s">
        <v>29</v>
      </c>
      <c r="K4491" s="15" t="s">
        <v>59</v>
      </c>
      <c r="L4491" s="58"/>
      <c r="M4491" s="14"/>
      <c r="N4491" s="14" t="s">
        <v>33</v>
      </c>
      <c r="O4491" s="14"/>
      <c r="P4491" s="15" t="s">
        <v>47</v>
      </c>
      <c r="Q4491" s="16">
        <v>2999</v>
      </c>
      <c r="R4491" s="17">
        <v>40</v>
      </c>
      <c r="S4491" s="18">
        <v>2069.31</v>
      </c>
      <c r="T4491" s="19" t="s">
        <v>36</v>
      </c>
      <c r="U4491" s="20" t="s">
        <v>37</v>
      </c>
      <c r="V4491" s="21" t="s">
        <v>106</v>
      </c>
      <c r="W4491" s="22">
        <v>8</v>
      </c>
      <c r="X4491" s="23"/>
    </row>
    <row r="4492" spans="1:24" s="1" customFormat="1" ht="35" customHeight="1" x14ac:dyDescent="0.3">
      <c r="A4492" s="11" t="s">
        <v>23</v>
      </c>
      <c r="B4492" s="11" t="s">
        <v>3711</v>
      </c>
      <c r="C4492" s="12" t="s">
        <v>4092</v>
      </c>
      <c r="D4492" s="59"/>
      <c r="E4492" s="41" t="str">
        <f>HYPERLINK("https://www.google.ru/search?q=1384227-014&amp;newwindow=1&amp;tbm=isch","Еще фото")</f>
        <v>Еще фото</v>
      </c>
      <c r="F4492" s="13" t="s">
        <v>103</v>
      </c>
      <c r="G4492" s="11" t="s">
        <v>3604</v>
      </c>
      <c r="H4492" s="11" t="s">
        <v>27</v>
      </c>
      <c r="I4492" s="14" t="s">
        <v>3599</v>
      </c>
      <c r="J4492" s="14" t="s">
        <v>29</v>
      </c>
      <c r="K4492" s="15" t="s">
        <v>59</v>
      </c>
      <c r="L4492" s="57" t="s">
        <v>3713</v>
      </c>
      <c r="M4492" s="14"/>
      <c r="N4492" s="14" t="s">
        <v>62</v>
      </c>
      <c r="O4492" s="14"/>
      <c r="P4492" s="15" t="s">
        <v>47</v>
      </c>
      <c r="Q4492" s="16">
        <v>2999</v>
      </c>
      <c r="R4492" s="17">
        <v>40</v>
      </c>
      <c r="S4492" s="18">
        <v>2069.31</v>
      </c>
      <c r="T4492" s="19" t="s">
        <v>36</v>
      </c>
      <c r="U4492" s="20" t="s">
        <v>63</v>
      </c>
      <c r="V4492" s="21" t="s">
        <v>64</v>
      </c>
      <c r="W4492" s="22">
        <v>10</v>
      </c>
      <c r="X4492" s="23"/>
    </row>
    <row r="4493" spans="1:24" s="1" customFormat="1" ht="35" customHeight="1" x14ac:dyDescent="0.3">
      <c r="A4493" s="24" t="s">
        <v>23</v>
      </c>
      <c r="B4493" s="24" t="s">
        <v>3711</v>
      </c>
      <c r="C4493" s="12" t="s">
        <v>4092</v>
      </c>
      <c r="D4493" s="60"/>
      <c r="E4493" s="41" t="str">
        <f>HYPERLINK("https://www.google.ru/search?q=1384227-014&amp;newwindow=1&amp;tbm=isch","Еще фото")</f>
        <v>Еще фото</v>
      </c>
      <c r="F4493" s="13" t="s">
        <v>103</v>
      </c>
      <c r="G4493" s="24" t="s">
        <v>3604</v>
      </c>
      <c r="H4493" s="24" t="s">
        <v>27</v>
      </c>
      <c r="I4493" s="24" t="s">
        <v>3599</v>
      </c>
      <c r="J4493" s="14" t="s">
        <v>29</v>
      </c>
      <c r="K4493" s="15" t="s">
        <v>59</v>
      </c>
      <c r="L4493" s="62"/>
      <c r="M4493" s="14"/>
      <c r="N4493" s="14" t="s">
        <v>62</v>
      </c>
      <c r="O4493" s="14"/>
      <c r="P4493" s="15" t="s">
        <v>47</v>
      </c>
      <c r="Q4493" s="16">
        <v>2999</v>
      </c>
      <c r="R4493" s="17">
        <v>40</v>
      </c>
      <c r="S4493" s="18">
        <v>2069.31</v>
      </c>
      <c r="T4493" s="19" t="s">
        <v>36</v>
      </c>
      <c r="U4493" s="20" t="s">
        <v>37</v>
      </c>
      <c r="V4493" s="21" t="s">
        <v>106</v>
      </c>
      <c r="W4493" s="22">
        <v>6</v>
      </c>
      <c r="X4493" s="23"/>
    </row>
    <row r="4494" spans="1:24" s="1" customFormat="1" ht="37.049999999999997" customHeight="1" x14ac:dyDescent="0.3">
      <c r="A4494" s="24" t="s">
        <v>23</v>
      </c>
      <c r="B4494" s="24" t="s">
        <v>3711</v>
      </c>
      <c r="C4494" s="12" t="s">
        <v>4092</v>
      </c>
      <c r="D4494" s="61"/>
      <c r="E4494" s="41" t="str">
        <f>HYPERLINK("https://www.google.ru/search?q=1384227-014&amp;newwindow=1&amp;tbm=isch","Еще фото")</f>
        <v>Еще фото</v>
      </c>
      <c r="F4494" s="13" t="s">
        <v>103</v>
      </c>
      <c r="G4494" s="24" t="s">
        <v>3604</v>
      </c>
      <c r="H4494" s="24" t="s">
        <v>27</v>
      </c>
      <c r="I4494" s="24" t="s">
        <v>3599</v>
      </c>
      <c r="J4494" s="14" t="s">
        <v>29</v>
      </c>
      <c r="K4494" s="15" t="s">
        <v>59</v>
      </c>
      <c r="L4494" s="58"/>
      <c r="M4494" s="14"/>
      <c r="N4494" s="14" t="s">
        <v>62</v>
      </c>
      <c r="O4494" s="14"/>
      <c r="P4494" s="15" t="s">
        <v>47</v>
      </c>
      <c r="Q4494" s="16">
        <v>2999</v>
      </c>
      <c r="R4494" s="17">
        <v>40</v>
      </c>
      <c r="S4494" s="18">
        <v>2069.31</v>
      </c>
      <c r="T4494" s="19" t="s">
        <v>36</v>
      </c>
      <c r="U4494" s="20" t="s">
        <v>39</v>
      </c>
      <c r="V4494" s="21" t="s">
        <v>85</v>
      </c>
      <c r="W4494" s="22">
        <v>1</v>
      </c>
      <c r="X4494" s="23"/>
    </row>
    <row r="4495" spans="1:24" s="1" customFormat="1" ht="21" customHeight="1" x14ac:dyDescent="0.3">
      <c r="A4495" s="11" t="s">
        <v>23</v>
      </c>
      <c r="B4495" s="11" t="s">
        <v>3891</v>
      </c>
      <c r="C4495" s="26" t="s">
        <v>4093</v>
      </c>
      <c r="D4495" s="59"/>
      <c r="E4495" s="41" t="str">
        <f>HYPERLINK("https://www.google.ru/search?q=1384229-100&amp;newwindow=1&amp;tbm=isch","Еще фото")</f>
        <v>Еще фото</v>
      </c>
      <c r="F4495" s="13" t="s">
        <v>103</v>
      </c>
      <c r="G4495" s="11" t="s">
        <v>3604</v>
      </c>
      <c r="H4495" s="11" t="s">
        <v>27</v>
      </c>
      <c r="I4495" s="14" t="s">
        <v>3599</v>
      </c>
      <c r="J4495" s="14" t="s">
        <v>29</v>
      </c>
      <c r="K4495" s="15" t="s">
        <v>59</v>
      </c>
      <c r="L4495" s="57" t="s">
        <v>3893</v>
      </c>
      <c r="M4495" s="14"/>
      <c r="N4495" s="14" t="s">
        <v>84</v>
      </c>
      <c r="O4495" s="14"/>
      <c r="P4495" s="15" t="s">
        <v>47</v>
      </c>
      <c r="Q4495" s="16">
        <v>2999</v>
      </c>
      <c r="R4495" s="17">
        <v>40</v>
      </c>
      <c r="S4495" s="18">
        <v>2069.31</v>
      </c>
      <c r="T4495" s="19" t="s">
        <v>36</v>
      </c>
      <c r="U4495" s="20" t="s">
        <v>63</v>
      </c>
      <c r="V4495" s="21" t="s">
        <v>64</v>
      </c>
      <c r="W4495" s="22">
        <v>15</v>
      </c>
      <c r="X4495" s="23"/>
    </row>
    <row r="4496" spans="1:24" s="1" customFormat="1" ht="21" customHeight="1" x14ac:dyDescent="0.3">
      <c r="A4496" s="24" t="s">
        <v>23</v>
      </c>
      <c r="B4496" s="24" t="s">
        <v>3891</v>
      </c>
      <c r="C4496" s="27" t="s">
        <v>4093</v>
      </c>
      <c r="D4496" s="60"/>
      <c r="E4496" s="41" t="str">
        <f>HYPERLINK("https://www.google.ru/search?q=1384229-100&amp;newwindow=1&amp;tbm=isch","Еще фото")</f>
        <v>Еще фото</v>
      </c>
      <c r="F4496" s="13" t="s">
        <v>103</v>
      </c>
      <c r="G4496" s="24" t="s">
        <v>3604</v>
      </c>
      <c r="H4496" s="24" t="s">
        <v>27</v>
      </c>
      <c r="I4496" s="24" t="s">
        <v>3599</v>
      </c>
      <c r="J4496" s="14" t="s">
        <v>29</v>
      </c>
      <c r="K4496" s="15" t="s">
        <v>59</v>
      </c>
      <c r="L4496" s="62"/>
      <c r="M4496" s="14"/>
      <c r="N4496" s="14" t="s">
        <v>84</v>
      </c>
      <c r="O4496" s="14"/>
      <c r="P4496" s="15" t="s">
        <v>47</v>
      </c>
      <c r="Q4496" s="16">
        <v>2999</v>
      </c>
      <c r="R4496" s="17">
        <v>40</v>
      </c>
      <c r="S4496" s="18">
        <v>2069.31</v>
      </c>
      <c r="T4496" s="19" t="s">
        <v>36</v>
      </c>
      <c r="U4496" s="20" t="s">
        <v>37</v>
      </c>
      <c r="V4496" s="21" t="s">
        <v>106</v>
      </c>
      <c r="W4496" s="22">
        <v>5</v>
      </c>
      <c r="X4496" s="23"/>
    </row>
    <row r="4497" spans="1:24" s="1" customFormat="1" ht="21" customHeight="1" x14ac:dyDescent="0.3">
      <c r="A4497" s="24" t="s">
        <v>23</v>
      </c>
      <c r="B4497" s="24" t="s">
        <v>3891</v>
      </c>
      <c r="C4497" s="27" t="s">
        <v>4093</v>
      </c>
      <c r="D4497" s="60"/>
      <c r="E4497" s="41" t="str">
        <f>HYPERLINK("https://www.google.ru/search?q=1384229-100&amp;newwindow=1&amp;tbm=isch","Еще фото")</f>
        <v>Еще фото</v>
      </c>
      <c r="F4497" s="13" t="s">
        <v>103</v>
      </c>
      <c r="G4497" s="24" t="s">
        <v>3604</v>
      </c>
      <c r="H4497" s="24" t="s">
        <v>27</v>
      </c>
      <c r="I4497" s="24" t="s">
        <v>3599</v>
      </c>
      <c r="J4497" s="14" t="s">
        <v>29</v>
      </c>
      <c r="K4497" s="15" t="s">
        <v>59</v>
      </c>
      <c r="L4497" s="62"/>
      <c r="M4497" s="14"/>
      <c r="N4497" s="14" t="s">
        <v>84</v>
      </c>
      <c r="O4497" s="14"/>
      <c r="P4497" s="15" t="s">
        <v>47</v>
      </c>
      <c r="Q4497" s="16">
        <v>2999</v>
      </c>
      <c r="R4497" s="17">
        <v>40</v>
      </c>
      <c r="S4497" s="18">
        <v>2069.31</v>
      </c>
      <c r="T4497" s="19" t="s">
        <v>36</v>
      </c>
      <c r="U4497" s="20" t="s">
        <v>39</v>
      </c>
      <c r="V4497" s="21" t="s">
        <v>85</v>
      </c>
      <c r="W4497" s="22">
        <v>9</v>
      </c>
      <c r="X4497" s="23"/>
    </row>
    <row r="4498" spans="1:24" s="1" customFormat="1" ht="21" customHeight="1" x14ac:dyDescent="0.3">
      <c r="A4498" s="24" t="s">
        <v>23</v>
      </c>
      <c r="B4498" s="24" t="s">
        <v>3891</v>
      </c>
      <c r="C4498" s="27" t="s">
        <v>4093</v>
      </c>
      <c r="D4498" s="60"/>
      <c r="E4498" s="41" t="str">
        <f>HYPERLINK("https://www.google.ru/search?q=1384229-100&amp;newwindow=1&amp;tbm=isch","Еще фото")</f>
        <v>Еще фото</v>
      </c>
      <c r="F4498" s="13" t="s">
        <v>103</v>
      </c>
      <c r="G4498" s="24" t="s">
        <v>3604</v>
      </c>
      <c r="H4498" s="24" t="s">
        <v>27</v>
      </c>
      <c r="I4498" s="24" t="s">
        <v>3599</v>
      </c>
      <c r="J4498" s="14" t="s">
        <v>29</v>
      </c>
      <c r="K4498" s="15" t="s">
        <v>59</v>
      </c>
      <c r="L4498" s="62"/>
      <c r="M4498" s="14"/>
      <c r="N4498" s="14" t="s">
        <v>84</v>
      </c>
      <c r="O4498" s="14"/>
      <c r="P4498" s="15" t="s">
        <v>47</v>
      </c>
      <c r="Q4498" s="16">
        <v>2999</v>
      </c>
      <c r="R4498" s="17">
        <v>40</v>
      </c>
      <c r="S4498" s="18">
        <v>2069.31</v>
      </c>
      <c r="T4498" s="19" t="s">
        <v>36</v>
      </c>
      <c r="U4498" s="20" t="s">
        <v>86</v>
      </c>
      <c r="V4498" s="21" t="s">
        <v>38</v>
      </c>
      <c r="W4498" s="22">
        <v>10</v>
      </c>
      <c r="X4498" s="23"/>
    </row>
    <row r="4499" spans="1:24" s="1" customFormat="1" ht="32" customHeight="1" x14ac:dyDescent="0.3">
      <c r="A4499" s="24" t="s">
        <v>23</v>
      </c>
      <c r="B4499" s="24" t="s">
        <v>3891</v>
      </c>
      <c r="C4499" s="27" t="s">
        <v>4093</v>
      </c>
      <c r="D4499" s="61"/>
      <c r="E4499" s="41" t="str">
        <f>HYPERLINK("https://www.google.ru/search?q=1384229-100&amp;newwindow=1&amp;tbm=isch","Еще фото")</f>
        <v>Еще фото</v>
      </c>
      <c r="F4499" s="13" t="s">
        <v>103</v>
      </c>
      <c r="G4499" s="24" t="s">
        <v>3604</v>
      </c>
      <c r="H4499" s="24" t="s">
        <v>27</v>
      </c>
      <c r="I4499" s="24" t="s">
        <v>3599</v>
      </c>
      <c r="J4499" s="14" t="s">
        <v>29</v>
      </c>
      <c r="K4499" s="15" t="s">
        <v>59</v>
      </c>
      <c r="L4499" s="58"/>
      <c r="M4499" s="14"/>
      <c r="N4499" s="14" t="s">
        <v>84</v>
      </c>
      <c r="O4499" s="14"/>
      <c r="P4499" s="15" t="s">
        <v>47</v>
      </c>
      <c r="Q4499" s="16">
        <v>2999</v>
      </c>
      <c r="R4499" s="17">
        <v>40</v>
      </c>
      <c r="S4499" s="18">
        <v>2069.31</v>
      </c>
      <c r="T4499" s="19" t="s">
        <v>36</v>
      </c>
      <c r="U4499" s="20" t="s">
        <v>88</v>
      </c>
      <c r="V4499" s="21" t="s">
        <v>40</v>
      </c>
      <c r="W4499" s="22">
        <v>2</v>
      </c>
      <c r="X4499" s="23"/>
    </row>
    <row r="4500" spans="1:24" s="1" customFormat="1" ht="26" customHeight="1" x14ac:dyDescent="0.3">
      <c r="A4500" s="11" t="s">
        <v>23</v>
      </c>
      <c r="B4500" s="11" t="s">
        <v>4094</v>
      </c>
      <c r="C4500" s="12" t="s">
        <v>4095</v>
      </c>
      <c r="D4500" s="59"/>
      <c r="E4500" s="41" t="str">
        <f>HYPERLINK("https://www.google.ru/search?q=1384231-100&amp;newwindow=1&amp;tbm=isch","Еще фото")</f>
        <v>Еще фото</v>
      </c>
      <c r="F4500" s="28" t="s">
        <v>138</v>
      </c>
      <c r="G4500" s="11" t="s">
        <v>3604</v>
      </c>
      <c r="H4500" s="11" t="s">
        <v>27</v>
      </c>
      <c r="I4500" s="14" t="s">
        <v>3599</v>
      </c>
      <c r="J4500" s="14" t="s">
        <v>29</v>
      </c>
      <c r="K4500" s="15" t="s">
        <v>59</v>
      </c>
      <c r="L4500" s="57" t="s">
        <v>4096</v>
      </c>
      <c r="M4500" s="14"/>
      <c r="N4500" s="14" t="s">
        <v>84</v>
      </c>
      <c r="O4500" s="14"/>
      <c r="P4500" s="15" t="s">
        <v>47</v>
      </c>
      <c r="Q4500" s="16">
        <v>3099</v>
      </c>
      <c r="R4500" s="17">
        <v>40</v>
      </c>
      <c r="S4500" s="18">
        <v>2138.31</v>
      </c>
      <c r="T4500" s="19" t="s">
        <v>36</v>
      </c>
      <c r="U4500" s="20" t="s">
        <v>63</v>
      </c>
      <c r="V4500" s="21" t="s">
        <v>64</v>
      </c>
      <c r="W4500" s="22">
        <v>14</v>
      </c>
      <c r="X4500" s="23"/>
    </row>
    <row r="4501" spans="1:24" s="1" customFormat="1" ht="26" customHeight="1" x14ac:dyDescent="0.3">
      <c r="A4501" s="24" t="s">
        <v>23</v>
      </c>
      <c r="B4501" s="24" t="s">
        <v>4094</v>
      </c>
      <c r="C4501" s="12" t="s">
        <v>4095</v>
      </c>
      <c r="D4501" s="60"/>
      <c r="E4501" s="41" t="str">
        <f>HYPERLINK("https://www.google.ru/search?q=1384231-100&amp;newwindow=1&amp;tbm=isch","Еще фото")</f>
        <v>Еще фото</v>
      </c>
      <c r="F4501" s="28" t="s">
        <v>138</v>
      </c>
      <c r="G4501" s="24" t="s">
        <v>3604</v>
      </c>
      <c r="H4501" s="24" t="s">
        <v>27</v>
      </c>
      <c r="I4501" s="24" t="s">
        <v>3599</v>
      </c>
      <c r="J4501" s="14" t="s">
        <v>29</v>
      </c>
      <c r="K4501" s="15" t="s">
        <v>59</v>
      </c>
      <c r="L4501" s="62"/>
      <c r="M4501" s="14"/>
      <c r="N4501" s="14" t="s">
        <v>84</v>
      </c>
      <c r="O4501" s="14"/>
      <c r="P4501" s="15" t="s">
        <v>47</v>
      </c>
      <c r="Q4501" s="16">
        <v>3099</v>
      </c>
      <c r="R4501" s="17">
        <v>40</v>
      </c>
      <c r="S4501" s="18">
        <v>2138.31</v>
      </c>
      <c r="T4501" s="19" t="s">
        <v>36</v>
      </c>
      <c r="U4501" s="20" t="s">
        <v>37</v>
      </c>
      <c r="V4501" s="21" t="s">
        <v>106</v>
      </c>
      <c r="W4501" s="22">
        <v>17</v>
      </c>
      <c r="X4501" s="23"/>
    </row>
    <row r="4502" spans="1:24" s="1" customFormat="1" ht="26" customHeight="1" x14ac:dyDescent="0.3">
      <c r="A4502" s="24" t="s">
        <v>23</v>
      </c>
      <c r="B4502" s="24" t="s">
        <v>4094</v>
      </c>
      <c r="C4502" s="12" t="s">
        <v>4095</v>
      </c>
      <c r="D4502" s="60"/>
      <c r="E4502" s="41" t="str">
        <f>HYPERLINK("https://www.google.ru/search?q=1384231-100&amp;newwindow=1&amp;tbm=isch","Еще фото")</f>
        <v>Еще фото</v>
      </c>
      <c r="F4502" s="28" t="s">
        <v>138</v>
      </c>
      <c r="G4502" s="24" t="s">
        <v>3604</v>
      </c>
      <c r="H4502" s="24" t="s">
        <v>27</v>
      </c>
      <c r="I4502" s="24" t="s">
        <v>3599</v>
      </c>
      <c r="J4502" s="14" t="s">
        <v>29</v>
      </c>
      <c r="K4502" s="15" t="s">
        <v>59</v>
      </c>
      <c r="L4502" s="62"/>
      <c r="M4502" s="14"/>
      <c r="N4502" s="14" t="s">
        <v>84</v>
      </c>
      <c r="O4502" s="14"/>
      <c r="P4502" s="15" t="s">
        <v>47</v>
      </c>
      <c r="Q4502" s="16">
        <v>3099</v>
      </c>
      <c r="R4502" s="17">
        <v>40</v>
      </c>
      <c r="S4502" s="18">
        <v>2138.31</v>
      </c>
      <c r="T4502" s="19" t="s">
        <v>36</v>
      </c>
      <c r="U4502" s="20" t="s">
        <v>39</v>
      </c>
      <c r="V4502" s="21" t="s">
        <v>85</v>
      </c>
      <c r="W4502" s="22">
        <v>17</v>
      </c>
      <c r="X4502" s="23"/>
    </row>
    <row r="4503" spans="1:24" s="1" customFormat="1" ht="26" customHeight="1" x14ac:dyDescent="0.3">
      <c r="A4503" s="24" t="s">
        <v>23</v>
      </c>
      <c r="B4503" s="24" t="s">
        <v>4094</v>
      </c>
      <c r="C4503" s="12" t="s">
        <v>4095</v>
      </c>
      <c r="D4503" s="61"/>
      <c r="E4503" s="41" t="str">
        <f>HYPERLINK("https://www.google.ru/search?q=1384231-100&amp;newwindow=1&amp;tbm=isch","Еще фото")</f>
        <v>Еще фото</v>
      </c>
      <c r="F4503" s="28" t="s">
        <v>138</v>
      </c>
      <c r="G4503" s="24" t="s">
        <v>3604</v>
      </c>
      <c r="H4503" s="24" t="s">
        <v>27</v>
      </c>
      <c r="I4503" s="24" t="s">
        <v>3599</v>
      </c>
      <c r="J4503" s="14" t="s">
        <v>29</v>
      </c>
      <c r="K4503" s="15" t="s">
        <v>59</v>
      </c>
      <c r="L4503" s="58"/>
      <c r="M4503" s="14"/>
      <c r="N4503" s="14" t="s">
        <v>84</v>
      </c>
      <c r="O4503" s="14"/>
      <c r="P4503" s="15" t="s">
        <v>47</v>
      </c>
      <c r="Q4503" s="16">
        <v>3099</v>
      </c>
      <c r="R4503" s="17">
        <v>40</v>
      </c>
      <c r="S4503" s="18">
        <v>2138.31</v>
      </c>
      <c r="T4503" s="19" t="s">
        <v>36</v>
      </c>
      <c r="U4503" s="20" t="s">
        <v>86</v>
      </c>
      <c r="V4503" s="21" t="s">
        <v>38</v>
      </c>
      <c r="W4503" s="22">
        <v>14</v>
      </c>
      <c r="X4503" s="23"/>
    </row>
    <row r="4504" spans="1:24" s="1" customFormat="1" ht="52.05" customHeight="1" x14ac:dyDescent="0.3">
      <c r="A4504" s="11" t="s">
        <v>23</v>
      </c>
      <c r="B4504" s="11" t="s">
        <v>4097</v>
      </c>
      <c r="C4504" s="12" t="s">
        <v>4098</v>
      </c>
      <c r="D4504" s="55"/>
      <c r="E4504" s="41" t="str">
        <f>HYPERLINK("https://www.google.ru/search?q=1384417-001&amp;newwindow=1&amp;tbm=isch","Еще фото")</f>
        <v>Еще фото</v>
      </c>
      <c r="F4504" s="13" t="s">
        <v>103</v>
      </c>
      <c r="G4504" s="11" t="s">
        <v>3609</v>
      </c>
      <c r="H4504" s="11" t="s">
        <v>27</v>
      </c>
      <c r="I4504" s="14" t="s">
        <v>3599</v>
      </c>
      <c r="J4504" s="14" t="s">
        <v>29</v>
      </c>
      <c r="K4504" s="15" t="s">
        <v>59</v>
      </c>
      <c r="L4504" s="57" t="s">
        <v>4099</v>
      </c>
      <c r="M4504" s="14"/>
      <c r="N4504" s="14" t="s">
        <v>33</v>
      </c>
      <c r="O4504" s="14"/>
      <c r="P4504" s="15" t="s">
        <v>1008</v>
      </c>
      <c r="Q4504" s="16">
        <v>4899</v>
      </c>
      <c r="R4504" s="17">
        <v>40</v>
      </c>
      <c r="S4504" s="18">
        <v>3380.31</v>
      </c>
      <c r="T4504" s="19" t="s">
        <v>36</v>
      </c>
      <c r="U4504" s="20" t="s">
        <v>63</v>
      </c>
      <c r="V4504" s="21" t="s">
        <v>64</v>
      </c>
      <c r="W4504" s="22">
        <v>11</v>
      </c>
      <c r="X4504" s="23"/>
    </row>
    <row r="4505" spans="1:24" s="1" customFormat="1" ht="61.05" customHeight="1" x14ac:dyDescent="0.3">
      <c r="A4505" s="24" t="s">
        <v>23</v>
      </c>
      <c r="B4505" s="24" t="s">
        <v>4097</v>
      </c>
      <c r="C4505" s="12" t="s">
        <v>4098</v>
      </c>
      <c r="D4505" s="56"/>
      <c r="E4505" s="41" t="str">
        <f>HYPERLINK("https://www.google.ru/search?q=1384417-001&amp;newwindow=1&amp;tbm=isch","Еще фото")</f>
        <v>Еще фото</v>
      </c>
      <c r="F4505" s="13" t="s">
        <v>103</v>
      </c>
      <c r="G4505" s="24" t="s">
        <v>3609</v>
      </c>
      <c r="H4505" s="24" t="s">
        <v>27</v>
      </c>
      <c r="I4505" s="24" t="s">
        <v>3599</v>
      </c>
      <c r="J4505" s="14" t="s">
        <v>29</v>
      </c>
      <c r="K4505" s="15" t="s">
        <v>59</v>
      </c>
      <c r="L4505" s="58"/>
      <c r="M4505" s="14"/>
      <c r="N4505" s="14" t="s">
        <v>33</v>
      </c>
      <c r="O4505" s="14"/>
      <c r="P4505" s="15" t="s">
        <v>1008</v>
      </c>
      <c r="Q4505" s="16">
        <v>4899</v>
      </c>
      <c r="R4505" s="17">
        <v>40</v>
      </c>
      <c r="S4505" s="18">
        <v>3380.31</v>
      </c>
      <c r="T4505" s="19" t="s">
        <v>36</v>
      </c>
      <c r="U4505" s="20" t="s">
        <v>86</v>
      </c>
      <c r="V4505" s="21" t="s">
        <v>38</v>
      </c>
      <c r="W4505" s="22">
        <v>6</v>
      </c>
      <c r="X4505" s="23"/>
    </row>
    <row r="4506" spans="1:24" s="1" customFormat="1" ht="108" customHeight="1" x14ac:dyDescent="0.3">
      <c r="A4506" s="11" t="s">
        <v>23</v>
      </c>
      <c r="B4506" s="11" t="s">
        <v>4097</v>
      </c>
      <c r="C4506" s="12" t="s">
        <v>4100</v>
      </c>
      <c r="D4506" s="25"/>
      <c r="E4506" s="41" t="str">
        <f>HYPERLINK("https://www.google.ru/search?q=1384417-003&amp;newwindow=1&amp;tbm=isch","Еще фото")</f>
        <v>Еще фото</v>
      </c>
      <c r="F4506" s="13" t="s">
        <v>103</v>
      </c>
      <c r="G4506" s="11" t="s">
        <v>3609</v>
      </c>
      <c r="H4506" s="11" t="s">
        <v>27</v>
      </c>
      <c r="I4506" s="14" t="s">
        <v>3599</v>
      </c>
      <c r="J4506" s="14" t="s">
        <v>29</v>
      </c>
      <c r="K4506" s="15" t="s">
        <v>59</v>
      </c>
      <c r="L4506" s="14" t="s">
        <v>4099</v>
      </c>
      <c r="M4506" s="14"/>
      <c r="N4506" s="14" t="s">
        <v>33</v>
      </c>
      <c r="O4506" s="14"/>
      <c r="P4506" s="15" t="s">
        <v>1008</v>
      </c>
      <c r="Q4506" s="16">
        <v>4899</v>
      </c>
      <c r="R4506" s="17">
        <v>40</v>
      </c>
      <c r="S4506" s="18">
        <v>3380.31</v>
      </c>
      <c r="T4506" s="19" t="s">
        <v>36</v>
      </c>
      <c r="U4506" s="20" t="s">
        <v>86</v>
      </c>
      <c r="V4506" s="21" t="s">
        <v>38</v>
      </c>
      <c r="W4506" s="22">
        <v>4</v>
      </c>
      <c r="X4506" s="23"/>
    </row>
    <row r="4507" spans="1:24" s="1" customFormat="1" ht="26" customHeight="1" x14ac:dyDescent="0.3">
      <c r="A4507" s="11" t="s">
        <v>23</v>
      </c>
      <c r="B4507" s="11" t="s">
        <v>4097</v>
      </c>
      <c r="C4507" s="12" t="s">
        <v>4101</v>
      </c>
      <c r="D4507" s="59"/>
      <c r="E4507" s="41" t="str">
        <f>HYPERLINK("https://www.google.ru/search?q=1384417-600&amp;newwindow=1&amp;tbm=isch","Еще фото")</f>
        <v>Еще фото</v>
      </c>
      <c r="F4507" s="13"/>
      <c r="G4507" s="11" t="s">
        <v>3609</v>
      </c>
      <c r="H4507" s="11" t="s">
        <v>27</v>
      </c>
      <c r="I4507" s="14" t="s">
        <v>3599</v>
      </c>
      <c r="J4507" s="14" t="s">
        <v>29</v>
      </c>
      <c r="K4507" s="15" t="s">
        <v>59</v>
      </c>
      <c r="L4507" s="57" t="s">
        <v>4099</v>
      </c>
      <c r="M4507" s="14"/>
      <c r="N4507" s="14" t="s">
        <v>69</v>
      </c>
      <c r="O4507" s="14"/>
      <c r="P4507" s="15" t="s">
        <v>1008</v>
      </c>
      <c r="Q4507" s="16">
        <v>4899</v>
      </c>
      <c r="R4507" s="17">
        <v>40</v>
      </c>
      <c r="S4507" s="18">
        <v>3380.31</v>
      </c>
      <c r="T4507" s="19" t="s">
        <v>36</v>
      </c>
      <c r="U4507" s="20" t="s">
        <v>63</v>
      </c>
      <c r="V4507" s="21" t="s">
        <v>64</v>
      </c>
      <c r="W4507" s="22">
        <v>2</v>
      </c>
      <c r="X4507" s="23"/>
    </row>
    <row r="4508" spans="1:24" s="1" customFormat="1" ht="26" customHeight="1" x14ac:dyDescent="0.3">
      <c r="A4508" s="24" t="s">
        <v>23</v>
      </c>
      <c r="B4508" s="24" t="s">
        <v>4097</v>
      </c>
      <c r="C4508" s="12" t="s">
        <v>4101</v>
      </c>
      <c r="D4508" s="60"/>
      <c r="E4508" s="41" t="str">
        <f>HYPERLINK("https://www.google.ru/search?q=1384417-600&amp;newwindow=1&amp;tbm=isch","Еще фото")</f>
        <v>Еще фото</v>
      </c>
      <c r="F4508" s="13"/>
      <c r="G4508" s="24" t="s">
        <v>3609</v>
      </c>
      <c r="H4508" s="24" t="s">
        <v>27</v>
      </c>
      <c r="I4508" s="24" t="s">
        <v>3599</v>
      </c>
      <c r="J4508" s="14" t="s">
        <v>29</v>
      </c>
      <c r="K4508" s="15" t="s">
        <v>59</v>
      </c>
      <c r="L4508" s="62"/>
      <c r="M4508" s="14"/>
      <c r="N4508" s="14" t="s">
        <v>69</v>
      </c>
      <c r="O4508" s="14"/>
      <c r="P4508" s="15" t="s">
        <v>1008</v>
      </c>
      <c r="Q4508" s="16">
        <v>4899</v>
      </c>
      <c r="R4508" s="17">
        <v>40</v>
      </c>
      <c r="S4508" s="18">
        <v>3380.31</v>
      </c>
      <c r="T4508" s="19" t="s">
        <v>36</v>
      </c>
      <c r="U4508" s="20" t="s">
        <v>37</v>
      </c>
      <c r="V4508" s="21" t="s">
        <v>106</v>
      </c>
      <c r="W4508" s="22">
        <v>1</v>
      </c>
      <c r="X4508" s="23"/>
    </row>
    <row r="4509" spans="1:24" s="1" customFormat="1" ht="26" customHeight="1" x14ac:dyDescent="0.3">
      <c r="A4509" s="24" t="s">
        <v>23</v>
      </c>
      <c r="B4509" s="24" t="s">
        <v>4097</v>
      </c>
      <c r="C4509" s="12" t="s">
        <v>4101</v>
      </c>
      <c r="D4509" s="60"/>
      <c r="E4509" s="41" t="str">
        <f>HYPERLINK("https://www.google.ru/search?q=1384417-600&amp;newwindow=1&amp;tbm=isch","Еще фото")</f>
        <v>Еще фото</v>
      </c>
      <c r="F4509" s="13"/>
      <c r="G4509" s="24" t="s">
        <v>3609</v>
      </c>
      <c r="H4509" s="24" t="s">
        <v>27</v>
      </c>
      <c r="I4509" s="24" t="s">
        <v>3599</v>
      </c>
      <c r="J4509" s="14" t="s">
        <v>29</v>
      </c>
      <c r="K4509" s="15" t="s">
        <v>59</v>
      </c>
      <c r="L4509" s="62"/>
      <c r="M4509" s="14"/>
      <c r="N4509" s="14" t="s">
        <v>69</v>
      </c>
      <c r="O4509" s="14"/>
      <c r="P4509" s="15" t="s">
        <v>1008</v>
      </c>
      <c r="Q4509" s="16">
        <v>4899</v>
      </c>
      <c r="R4509" s="17">
        <v>40</v>
      </c>
      <c r="S4509" s="18">
        <v>3380.31</v>
      </c>
      <c r="T4509" s="19" t="s">
        <v>36</v>
      </c>
      <c r="U4509" s="20" t="s">
        <v>39</v>
      </c>
      <c r="V4509" s="21" t="s">
        <v>85</v>
      </c>
      <c r="W4509" s="22">
        <v>2</v>
      </c>
      <c r="X4509" s="23"/>
    </row>
    <row r="4510" spans="1:24" s="1" customFormat="1" ht="26" customHeight="1" x14ac:dyDescent="0.3">
      <c r="A4510" s="24" t="s">
        <v>23</v>
      </c>
      <c r="B4510" s="24" t="s">
        <v>4097</v>
      </c>
      <c r="C4510" s="12" t="s">
        <v>4101</v>
      </c>
      <c r="D4510" s="61"/>
      <c r="E4510" s="41" t="str">
        <f>HYPERLINK("https://www.google.ru/search?q=1384417-600&amp;newwindow=1&amp;tbm=isch","Еще фото")</f>
        <v>Еще фото</v>
      </c>
      <c r="F4510" s="13"/>
      <c r="G4510" s="24" t="s">
        <v>3609</v>
      </c>
      <c r="H4510" s="24" t="s">
        <v>27</v>
      </c>
      <c r="I4510" s="24" t="s">
        <v>3599</v>
      </c>
      <c r="J4510" s="14" t="s">
        <v>29</v>
      </c>
      <c r="K4510" s="15" t="s">
        <v>59</v>
      </c>
      <c r="L4510" s="58"/>
      <c r="M4510" s="14"/>
      <c r="N4510" s="14" t="s">
        <v>69</v>
      </c>
      <c r="O4510" s="14"/>
      <c r="P4510" s="15" t="s">
        <v>1008</v>
      </c>
      <c r="Q4510" s="16">
        <v>4899</v>
      </c>
      <c r="R4510" s="17">
        <v>40</v>
      </c>
      <c r="S4510" s="18">
        <v>3380.31</v>
      </c>
      <c r="T4510" s="19" t="s">
        <v>36</v>
      </c>
      <c r="U4510" s="20" t="s">
        <v>86</v>
      </c>
      <c r="V4510" s="21" t="s">
        <v>38</v>
      </c>
      <c r="W4510" s="22">
        <v>7</v>
      </c>
      <c r="X4510" s="23"/>
    </row>
    <row r="4511" spans="1:24" s="1" customFormat="1" ht="108" customHeight="1" x14ac:dyDescent="0.3">
      <c r="A4511" s="11" t="s">
        <v>23</v>
      </c>
      <c r="B4511" s="11" t="s">
        <v>4097</v>
      </c>
      <c r="C4511" s="12" t="s">
        <v>4102</v>
      </c>
      <c r="D4511" s="25"/>
      <c r="E4511" s="41" t="str">
        <f>HYPERLINK("https://www.google.ru/search?q=1384417-659&amp;newwindow=1&amp;tbm=isch","Еще фото")</f>
        <v>Еще фото</v>
      </c>
      <c r="F4511" s="13"/>
      <c r="G4511" s="11" t="s">
        <v>3609</v>
      </c>
      <c r="H4511" s="11" t="s">
        <v>27</v>
      </c>
      <c r="I4511" s="14" t="s">
        <v>3599</v>
      </c>
      <c r="J4511" s="14" t="s">
        <v>29</v>
      </c>
      <c r="K4511" s="15" t="s">
        <v>59</v>
      </c>
      <c r="L4511" s="14" t="s">
        <v>4099</v>
      </c>
      <c r="M4511" s="14"/>
      <c r="N4511" s="14" t="s">
        <v>69</v>
      </c>
      <c r="O4511" s="14"/>
      <c r="P4511" s="15" t="s">
        <v>1008</v>
      </c>
      <c r="Q4511" s="16">
        <v>5399</v>
      </c>
      <c r="R4511" s="17">
        <v>40</v>
      </c>
      <c r="S4511" s="18">
        <v>3725.31</v>
      </c>
      <c r="T4511" s="19" t="s">
        <v>36</v>
      </c>
      <c r="U4511" s="20" t="s">
        <v>63</v>
      </c>
      <c r="V4511" s="21" t="s">
        <v>64</v>
      </c>
      <c r="W4511" s="22">
        <v>4</v>
      </c>
      <c r="X4511" s="23"/>
    </row>
    <row r="4512" spans="1:24" s="1" customFormat="1" ht="21" customHeight="1" x14ac:dyDescent="0.3">
      <c r="A4512" s="11" t="s">
        <v>23</v>
      </c>
      <c r="B4512" s="11" t="s">
        <v>3873</v>
      </c>
      <c r="C4512" s="26" t="s">
        <v>4103</v>
      </c>
      <c r="D4512" s="59"/>
      <c r="E4512" s="41" t="str">
        <f>HYPERLINK("https://www.google.ru/search?q=1386424-008&amp;newwindow=1&amp;tbm=isch","Еще фото")</f>
        <v>Еще фото</v>
      </c>
      <c r="F4512" s="13" t="s">
        <v>103</v>
      </c>
      <c r="G4512" s="11" t="s">
        <v>3609</v>
      </c>
      <c r="H4512" s="11" t="s">
        <v>27</v>
      </c>
      <c r="I4512" s="14" t="s">
        <v>3599</v>
      </c>
      <c r="J4512" s="14" t="s">
        <v>29</v>
      </c>
      <c r="K4512" s="15" t="s">
        <v>59</v>
      </c>
      <c r="L4512" s="57" t="s">
        <v>3875</v>
      </c>
      <c r="M4512" s="14"/>
      <c r="N4512" s="14" t="s">
        <v>33</v>
      </c>
      <c r="O4512" s="14"/>
      <c r="P4512" s="15" t="s">
        <v>53</v>
      </c>
      <c r="Q4512" s="16">
        <v>4199</v>
      </c>
      <c r="R4512" s="17">
        <v>40</v>
      </c>
      <c r="S4512" s="18">
        <v>2897.31</v>
      </c>
      <c r="T4512" s="19" t="s">
        <v>36</v>
      </c>
      <c r="U4512" s="20" t="s">
        <v>63</v>
      </c>
      <c r="V4512" s="21" t="s">
        <v>64</v>
      </c>
      <c r="W4512" s="22">
        <v>6</v>
      </c>
      <c r="X4512" s="23"/>
    </row>
    <row r="4513" spans="1:24" s="1" customFormat="1" ht="21" customHeight="1" x14ac:dyDescent="0.3">
      <c r="A4513" s="24" t="s">
        <v>23</v>
      </c>
      <c r="B4513" s="24" t="s">
        <v>3873</v>
      </c>
      <c r="C4513" s="27" t="s">
        <v>4103</v>
      </c>
      <c r="D4513" s="60"/>
      <c r="E4513" s="41" t="str">
        <f>HYPERLINK("https://www.google.ru/search?q=1386424-008&amp;newwindow=1&amp;tbm=isch","Еще фото")</f>
        <v>Еще фото</v>
      </c>
      <c r="F4513" s="13" t="s">
        <v>103</v>
      </c>
      <c r="G4513" s="24" t="s">
        <v>3609</v>
      </c>
      <c r="H4513" s="24" t="s">
        <v>27</v>
      </c>
      <c r="I4513" s="24" t="s">
        <v>3599</v>
      </c>
      <c r="J4513" s="14" t="s">
        <v>29</v>
      </c>
      <c r="K4513" s="15" t="s">
        <v>59</v>
      </c>
      <c r="L4513" s="62"/>
      <c r="M4513" s="14"/>
      <c r="N4513" s="14" t="s">
        <v>33</v>
      </c>
      <c r="O4513" s="14"/>
      <c r="P4513" s="15" t="s">
        <v>53</v>
      </c>
      <c r="Q4513" s="16">
        <v>4199</v>
      </c>
      <c r="R4513" s="17">
        <v>40</v>
      </c>
      <c r="S4513" s="18">
        <v>2897.31</v>
      </c>
      <c r="T4513" s="19" t="s">
        <v>36</v>
      </c>
      <c r="U4513" s="20" t="s">
        <v>37</v>
      </c>
      <c r="V4513" s="21" t="s">
        <v>106</v>
      </c>
      <c r="W4513" s="22">
        <v>4</v>
      </c>
      <c r="X4513" s="23"/>
    </row>
    <row r="4514" spans="1:24" s="1" customFormat="1" ht="21" customHeight="1" x14ac:dyDescent="0.3">
      <c r="A4514" s="24" t="s">
        <v>23</v>
      </c>
      <c r="B4514" s="24" t="s">
        <v>3873</v>
      </c>
      <c r="C4514" s="27" t="s">
        <v>4103</v>
      </c>
      <c r="D4514" s="60"/>
      <c r="E4514" s="41" t="str">
        <f>HYPERLINK("https://www.google.ru/search?q=1386424-008&amp;newwindow=1&amp;tbm=isch","Еще фото")</f>
        <v>Еще фото</v>
      </c>
      <c r="F4514" s="13" t="s">
        <v>103</v>
      </c>
      <c r="G4514" s="24" t="s">
        <v>3609</v>
      </c>
      <c r="H4514" s="24" t="s">
        <v>27</v>
      </c>
      <c r="I4514" s="24" t="s">
        <v>3599</v>
      </c>
      <c r="J4514" s="14" t="s">
        <v>29</v>
      </c>
      <c r="K4514" s="15" t="s">
        <v>59</v>
      </c>
      <c r="L4514" s="62"/>
      <c r="M4514" s="14"/>
      <c r="N4514" s="14" t="s">
        <v>33</v>
      </c>
      <c r="O4514" s="14"/>
      <c r="P4514" s="15" t="s">
        <v>53</v>
      </c>
      <c r="Q4514" s="16">
        <v>4199</v>
      </c>
      <c r="R4514" s="17">
        <v>40</v>
      </c>
      <c r="S4514" s="18">
        <v>2897.31</v>
      </c>
      <c r="T4514" s="19" t="s">
        <v>36</v>
      </c>
      <c r="U4514" s="20" t="s">
        <v>39</v>
      </c>
      <c r="V4514" s="21" t="s">
        <v>85</v>
      </c>
      <c r="W4514" s="22">
        <v>2</v>
      </c>
      <c r="X4514" s="23"/>
    </row>
    <row r="4515" spans="1:24" s="1" customFormat="1" ht="21" customHeight="1" x14ac:dyDescent="0.3">
      <c r="A4515" s="24" t="s">
        <v>23</v>
      </c>
      <c r="B4515" s="24" t="s">
        <v>3873</v>
      </c>
      <c r="C4515" s="27" t="s">
        <v>4103</v>
      </c>
      <c r="D4515" s="60"/>
      <c r="E4515" s="41" t="str">
        <f>HYPERLINK("https://www.google.ru/search?q=1386424-008&amp;newwindow=1&amp;tbm=isch","Еще фото")</f>
        <v>Еще фото</v>
      </c>
      <c r="F4515" s="13" t="s">
        <v>103</v>
      </c>
      <c r="G4515" s="24" t="s">
        <v>3609</v>
      </c>
      <c r="H4515" s="24" t="s">
        <v>27</v>
      </c>
      <c r="I4515" s="24" t="s">
        <v>3599</v>
      </c>
      <c r="J4515" s="14" t="s">
        <v>29</v>
      </c>
      <c r="K4515" s="15" t="s">
        <v>59</v>
      </c>
      <c r="L4515" s="62"/>
      <c r="M4515" s="14"/>
      <c r="N4515" s="14" t="s">
        <v>33</v>
      </c>
      <c r="O4515" s="14"/>
      <c r="P4515" s="15" t="s">
        <v>53</v>
      </c>
      <c r="Q4515" s="16">
        <v>4199</v>
      </c>
      <c r="R4515" s="17">
        <v>40</v>
      </c>
      <c r="S4515" s="18">
        <v>2897.31</v>
      </c>
      <c r="T4515" s="19" t="s">
        <v>36</v>
      </c>
      <c r="U4515" s="20" t="s">
        <v>86</v>
      </c>
      <c r="V4515" s="21" t="s">
        <v>38</v>
      </c>
      <c r="W4515" s="22">
        <v>6</v>
      </c>
      <c r="X4515" s="23"/>
    </row>
    <row r="4516" spans="1:24" s="1" customFormat="1" ht="32" customHeight="1" x14ac:dyDescent="0.3">
      <c r="A4516" s="24" t="s">
        <v>23</v>
      </c>
      <c r="B4516" s="24" t="s">
        <v>3873</v>
      </c>
      <c r="C4516" s="27" t="s">
        <v>4103</v>
      </c>
      <c r="D4516" s="61"/>
      <c r="E4516" s="41" t="str">
        <f>HYPERLINK("https://www.google.ru/search?q=1386424-008&amp;newwindow=1&amp;tbm=isch","Еще фото")</f>
        <v>Еще фото</v>
      </c>
      <c r="F4516" s="13" t="s">
        <v>103</v>
      </c>
      <c r="G4516" s="24" t="s">
        <v>3609</v>
      </c>
      <c r="H4516" s="24" t="s">
        <v>27</v>
      </c>
      <c r="I4516" s="24" t="s">
        <v>3599</v>
      </c>
      <c r="J4516" s="14" t="s">
        <v>29</v>
      </c>
      <c r="K4516" s="15" t="s">
        <v>59</v>
      </c>
      <c r="L4516" s="58"/>
      <c r="M4516" s="14"/>
      <c r="N4516" s="14" t="s">
        <v>33</v>
      </c>
      <c r="O4516" s="14"/>
      <c r="P4516" s="15" t="s">
        <v>53</v>
      </c>
      <c r="Q4516" s="16">
        <v>4199</v>
      </c>
      <c r="R4516" s="17">
        <v>40</v>
      </c>
      <c r="S4516" s="18">
        <v>2897.31</v>
      </c>
      <c r="T4516" s="19" t="s">
        <v>36</v>
      </c>
      <c r="U4516" s="20" t="s">
        <v>88</v>
      </c>
      <c r="V4516" s="21" t="s">
        <v>40</v>
      </c>
      <c r="W4516" s="22">
        <v>3</v>
      </c>
      <c r="X4516" s="23"/>
    </row>
    <row r="4517" spans="1:24" s="1" customFormat="1" ht="17" customHeight="1" x14ac:dyDescent="0.3">
      <c r="A4517" s="11" t="s">
        <v>23</v>
      </c>
      <c r="B4517" s="11" t="s">
        <v>3630</v>
      </c>
      <c r="C4517" s="12" t="s">
        <v>4104</v>
      </c>
      <c r="D4517" s="59"/>
      <c r="E4517" s="41" t="str">
        <f t="shared" ref="E4517:E4522" si="163">HYPERLINK("https://www.google.ru/search?q=1386608-001&amp;newwindow=1&amp;tbm=isch","Еще фото")</f>
        <v>Еще фото</v>
      </c>
      <c r="F4517" s="13" t="s">
        <v>103</v>
      </c>
      <c r="G4517" s="11" t="s">
        <v>3632</v>
      </c>
      <c r="H4517" s="11" t="s">
        <v>27</v>
      </c>
      <c r="I4517" s="14" t="s">
        <v>3599</v>
      </c>
      <c r="J4517" s="14" t="s">
        <v>29</v>
      </c>
      <c r="K4517" s="15" t="s">
        <v>30</v>
      </c>
      <c r="L4517" s="57" t="s">
        <v>3633</v>
      </c>
      <c r="M4517" s="14"/>
      <c r="N4517" s="14" t="s">
        <v>33</v>
      </c>
      <c r="O4517" s="14"/>
      <c r="P4517" s="15" t="s">
        <v>2951</v>
      </c>
      <c r="Q4517" s="16">
        <v>5799</v>
      </c>
      <c r="R4517" s="17">
        <v>40</v>
      </c>
      <c r="S4517" s="18">
        <v>4001.31</v>
      </c>
      <c r="T4517" s="19" t="s">
        <v>36</v>
      </c>
      <c r="U4517" s="20" t="s">
        <v>37</v>
      </c>
      <c r="V4517" s="21" t="s">
        <v>38</v>
      </c>
      <c r="W4517" s="22">
        <v>9</v>
      </c>
      <c r="X4517" s="23"/>
    </row>
    <row r="4518" spans="1:24" s="1" customFormat="1" ht="17" customHeight="1" x14ac:dyDescent="0.3">
      <c r="A4518" s="24" t="s">
        <v>23</v>
      </c>
      <c r="B4518" s="24" t="s">
        <v>3630</v>
      </c>
      <c r="C4518" s="12" t="s">
        <v>4104</v>
      </c>
      <c r="D4518" s="60"/>
      <c r="E4518" s="41" t="str">
        <f t="shared" si="163"/>
        <v>Еще фото</v>
      </c>
      <c r="F4518" s="13" t="s">
        <v>103</v>
      </c>
      <c r="G4518" s="24" t="s">
        <v>3632</v>
      </c>
      <c r="H4518" s="24" t="s">
        <v>27</v>
      </c>
      <c r="I4518" s="24" t="s">
        <v>3599</v>
      </c>
      <c r="J4518" s="14" t="s">
        <v>29</v>
      </c>
      <c r="K4518" s="15" t="s">
        <v>30</v>
      </c>
      <c r="L4518" s="62"/>
      <c r="M4518" s="14"/>
      <c r="N4518" s="14" t="s">
        <v>33</v>
      </c>
      <c r="O4518" s="14"/>
      <c r="P4518" s="15" t="s">
        <v>2951</v>
      </c>
      <c r="Q4518" s="16">
        <v>5799</v>
      </c>
      <c r="R4518" s="17">
        <v>40</v>
      </c>
      <c r="S4518" s="18">
        <v>4001.31</v>
      </c>
      <c r="T4518" s="19" t="s">
        <v>36</v>
      </c>
      <c r="U4518" s="20" t="s">
        <v>39</v>
      </c>
      <c r="V4518" s="21" t="s">
        <v>40</v>
      </c>
      <c r="W4518" s="22">
        <v>18</v>
      </c>
      <c r="X4518" s="23"/>
    </row>
    <row r="4519" spans="1:24" s="1" customFormat="1" ht="17" customHeight="1" x14ac:dyDescent="0.3">
      <c r="A4519" s="24" t="s">
        <v>23</v>
      </c>
      <c r="B4519" s="24" t="s">
        <v>3630</v>
      </c>
      <c r="C4519" s="12" t="s">
        <v>4104</v>
      </c>
      <c r="D4519" s="60"/>
      <c r="E4519" s="41" t="str">
        <f t="shared" si="163"/>
        <v>Еще фото</v>
      </c>
      <c r="F4519" s="13" t="s">
        <v>103</v>
      </c>
      <c r="G4519" s="24" t="s">
        <v>3632</v>
      </c>
      <c r="H4519" s="24" t="s">
        <v>27</v>
      </c>
      <c r="I4519" s="24" t="s">
        <v>3599</v>
      </c>
      <c r="J4519" s="14" t="s">
        <v>29</v>
      </c>
      <c r="K4519" s="15" t="s">
        <v>30</v>
      </c>
      <c r="L4519" s="62"/>
      <c r="M4519" s="14"/>
      <c r="N4519" s="14" t="s">
        <v>33</v>
      </c>
      <c r="O4519" s="14"/>
      <c r="P4519" s="15" t="s">
        <v>2951</v>
      </c>
      <c r="Q4519" s="16">
        <v>5799</v>
      </c>
      <c r="R4519" s="17">
        <v>40</v>
      </c>
      <c r="S4519" s="18">
        <v>4001.31</v>
      </c>
      <c r="T4519" s="19" t="s">
        <v>36</v>
      </c>
      <c r="U4519" s="20" t="s">
        <v>86</v>
      </c>
      <c r="V4519" s="21" t="s">
        <v>87</v>
      </c>
      <c r="W4519" s="22">
        <v>18</v>
      </c>
      <c r="X4519" s="23"/>
    </row>
    <row r="4520" spans="1:24" s="1" customFormat="1" ht="17" customHeight="1" x14ac:dyDescent="0.3">
      <c r="A4520" s="24" t="s">
        <v>23</v>
      </c>
      <c r="B4520" s="24" t="s">
        <v>3630</v>
      </c>
      <c r="C4520" s="12" t="s">
        <v>4104</v>
      </c>
      <c r="D4520" s="60"/>
      <c r="E4520" s="41" t="str">
        <f t="shared" si="163"/>
        <v>Еще фото</v>
      </c>
      <c r="F4520" s="13" t="s">
        <v>103</v>
      </c>
      <c r="G4520" s="24" t="s">
        <v>3632</v>
      </c>
      <c r="H4520" s="24" t="s">
        <v>27</v>
      </c>
      <c r="I4520" s="24" t="s">
        <v>3599</v>
      </c>
      <c r="J4520" s="14" t="s">
        <v>29</v>
      </c>
      <c r="K4520" s="15" t="s">
        <v>30</v>
      </c>
      <c r="L4520" s="62"/>
      <c r="M4520" s="14"/>
      <c r="N4520" s="14" t="s">
        <v>33</v>
      </c>
      <c r="O4520" s="14"/>
      <c r="P4520" s="15" t="s">
        <v>2951</v>
      </c>
      <c r="Q4520" s="16">
        <v>5799</v>
      </c>
      <c r="R4520" s="17">
        <v>40</v>
      </c>
      <c r="S4520" s="18">
        <v>4001.31</v>
      </c>
      <c r="T4520" s="19" t="s">
        <v>36</v>
      </c>
      <c r="U4520" s="20" t="s">
        <v>88</v>
      </c>
      <c r="V4520" s="21" t="s">
        <v>89</v>
      </c>
      <c r="W4520" s="22">
        <v>20</v>
      </c>
      <c r="X4520" s="23"/>
    </row>
    <row r="4521" spans="1:24" s="1" customFormat="1" ht="17" customHeight="1" x14ac:dyDescent="0.3">
      <c r="A4521" s="24" t="s">
        <v>23</v>
      </c>
      <c r="B4521" s="24" t="s">
        <v>3630</v>
      </c>
      <c r="C4521" s="12" t="s">
        <v>4104</v>
      </c>
      <c r="D4521" s="60"/>
      <c r="E4521" s="41" t="str">
        <f t="shared" si="163"/>
        <v>Еще фото</v>
      </c>
      <c r="F4521" s="13" t="s">
        <v>103</v>
      </c>
      <c r="G4521" s="24" t="s">
        <v>3632</v>
      </c>
      <c r="H4521" s="24" t="s">
        <v>27</v>
      </c>
      <c r="I4521" s="24" t="s">
        <v>3599</v>
      </c>
      <c r="J4521" s="14" t="s">
        <v>29</v>
      </c>
      <c r="K4521" s="15" t="s">
        <v>30</v>
      </c>
      <c r="L4521" s="62"/>
      <c r="M4521" s="14"/>
      <c r="N4521" s="14" t="s">
        <v>33</v>
      </c>
      <c r="O4521" s="14"/>
      <c r="P4521" s="15" t="s">
        <v>2951</v>
      </c>
      <c r="Q4521" s="16">
        <v>5799</v>
      </c>
      <c r="R4521" s="17">
        <v>40</v>
      </c>
      <c r="S4521" s="18">
        <v>4001.31</v>
      </c>
      <c r="T4521" s="19" t="s">
        <v>36</v>
      </c>
      <c r="U4521" s="20" t="s">
        <v>90</v>
      </c>
      <c r="V4521" s="21" t="s">
        <v>91</v>
      </c>
      <c r="W4521" s="22">
        <v>6</v>
      </c>
      <c r="X4521" s="23"/>
    </row>
    <row r="4522" spans="1:24" s="1" customFormat="1" ht="22.05" customHeight="1" x14ac:dyDescent="0.3">
      <c r="A4522" s="24" t="s">
        <v>23</v>
      </c>
      <c r="B4522" s="24" t="s">
        <v>3630</v>
      </c>
      <c r="C4522" s="12" t="s">
        <v>4104</v>
      </c>
      <c r="D4522" s="61"/>
      <c r="E4522" s="41" t="str">
        <f t="shared" si="163"/>
        <v>Еще фото</v>
      </c>
      <c r="F4522" s="13" t="s">
        <v>103</v>
      </c>
      <c r="G4522" s="24" t="s">
        <v>3632</v>
      </c>
      <c r="H4522" s="24" t="s">
        <v>27</v>
      </c>
      <c r="I4522" s="24" t="s">
        <v>3599</v>
      </c>
      <c r="J4522" s="14" t="s">
        <v>29</v>
      </c>
      <c r="K4522" s="15" t="s">
        <v>30</v>
      </c>
      <c r="L4522" s="58"/>
      <c r="M4522" s="14"/>
      <c r="N4522" s="14" t="s">
        <v>33</v>
      </c>
      <c r="O4522" s="14"/>
      <c r="P4522" s="15" t="s">
        <v>2951</v>
      </c>
      <c r="Q4522" s="16">
        <v>5799</v>
      </c>
      <c r="R4522" s="17">
        <v>40</v>
      </c>
      <c r="S4522" s="18">
        <v>4001.31</v>
      </c>
      <c r="T4522" s="19" t="s">
        <v>36</v>
      </c>
      <c r="U4522" s="20" t="s">
        <v>408</v>
      </c>
      <c r="V4522" s="21" t="s">
        <v>409</v>
      </c>
      <c r="W4522" s="22">
        <v>1</v>
      </c>
      <c r="X4522" s="23"/>
    </row>
    <row r="4523" spans="1:24" s="1" customFormat="1" ht="35" customHeight="1" x14ac:dyDescent="0.3">
      <c r="A4523" s="11" t="s">
        <v>23</v>
      </c>
      <c r="B4523" s="11" t="s">
        <v>3630</v>
      </c>
      <c r="C4523" s="12" t="s">
        <v>4105</v>
      </c>
      <c r="D4523" s="59"/>
      <c r="E4523" s="41" t="str">
        <f>HYPERLINK("https://www.google.ru/search?q=1386608-025&amp;newwindow=1&amp;tbm=isch","Еще фото")</f>
        <v>Еще фото</v>
      </c>
      <c r="F4523" s="13" t="s">
        <v>103</v>
      </c>
      <c r="G4523" s="11" t="s">
        <v>3632</v>
      </c>
      <c r="H4523" s="11" t="s">
        <v>27</v>
      </c>
      <c r="I4523" s="14" t="s">
        <v>3599</v>
      </c>
      <c r="J4523" s="14" t="s">
        <v>29</v>
      </c>
      <c r="K4523" s="15" t="s">
        <v>30</v>
      </c>
      <c r="L4523" s="57" t="s">
        <v>3633</v>
      </c>
      <c r="M4523" s="14"/>
      <c r="N4523" s="14" t="s">
        <v>62</v>
      </c>
      <c r="O4523" s="14"/>
      <c r="P4523" s="15" t="s">
        <v>2951</v>
      </c>
      <c r="Q4523" s="16">
        <v>5699</v>
      </c>
      <c r="R4523" s="17">
        <v>40</v>
      </c>
      <c r="S4523" s="18">
        <v>3932.31</v>
      </c>
      <c r="T4523" s="19" t="s">
        <v>36</v>
      </c>
      <c r="U4523" s="20" t="s">
        <v>37</v>
      </c>
      <c r="V4523" s="21" t="s">
        <v>38</v>
      </c>
      <c r="W4523" s="22">
        <v>9</v>
      </c>
      <c r="X4523" s="23"/>
    </row>
    <row r="4524" spans="1:24" s="1" customFormat="1" ht="35" customHeight="1" x14ac:dyDescent="0.3">
      <c r="A4524" s="24" t="s">
        <v>23</v>
      </c>
      <c r="B4524" s="24" t="s">
        <v>3630</v>
      </c>
      <c r="C4524" s="12" t="s">
        <v>4105</v>
      </c>
      <c r="D4524" s="60"/>
      <c r="E4524" s="41" t="str">
        <f>HYPERLINK("https://www.google.ru/search?q=1386608-025&amp;newwindow=1&amp;tbm=isch","Еще фото")</f>
        <v>Еще фото</v>
      </c>
      <c r="F4524" s="13" t="s">
        <v>103</v>
      </c>
      <c r="G4524" s="24" t="s">
        <v>3632</v>
      </c>
      <c r="H4524" s="24" t="s">
        <v>27</v>
      </c>
      <c r="I4524" s="24" t="s">
        <v>3599</v>
      </c>
      <c r="J4524" s="14" t="s">
        <v>29</v>
      </c>
      <c r="K4524" s="15" t="s">
        <v>30</v>
      </c>
      <c r="L4524" s="62"/>
      <c r="M4524" s="14"/>
      <c r="N4524" s="14" t="s">
        <v>62</v>
      </c>
      <c r="O4524" s="14"/>
      <c r="P4524" s="15" t="s">
        <v>2951</v>
      </c>
      <c r="Q4524" s="16">
        <v>5699</v>
      </c>
      <c r="R4524" s="17">
        <v>40</v>
      </c>
      <c r="S4524" s="18">
        <v>3932.31</v>
      </c>
      <c r="T4524" s="19" t="s">
        <v>36</v>
      </c>
      <c r="U4524" s="20" t="s">
        <v>39</v>
      </c>
      <c r="V4524" s="21" t="s">
        <v>40</v>
      </c>
      <c r="W4524" s="22">
        <v>8</v>
      </c>
      <c r="X4524" s="23"/>
    </row>
    <row r="4525" spans="1:24" s="1" customFormat="1" ht="37.049999999999997" customHeight="1" x14ac:dyDescent="0.3">
      <c r="A4525" s="24" t="s">
        <v>23</v>
      </c>
      <c r="B4525" s="24" t="s">
        <v>3630</v>
      </c>
      <c r="C4525" s="12" t="s">
        <v>4105</v>
      </c>
      <c r="D4525" s="61"/>
      <c r="E4525" s="41" t="str">
        <f>HYPERLINK("https://www.google.ru/search?q=1386608-025&amp;newwindow=1&amp;tbm=isch","Еще фото")</f>
        <v>Еще фото</v>
      </c>
      <c r="F4525" s="13" t="s">
        <v>103</v>
      </c>
      <c r="G4525" s="24" t="s">
        <v>3632</v>
      </c>
      <c r="H4525" s="24" t="s">
        <v>27</v>
      </c>
      <c r="I4525" s="24" t="s">
        <v>3599</v>
      </c>
      <c r="J4525" s="14" t="s">
        <v>29</v>
      </c>
      <c r="K4525" s="15" t="s">
        <v>30</v>
      </c>
      <c r="L4525" s="58"/>
      <c r="M4525" s="14"/>
      <c r="N4525" s="14" t="s">
        <v>62</v>
      </c>
      <c r="O4525" s="14"/>
      <c r="P4525" s="15" t="s">
        <v>2951</v>
      </c>
      <c r="Q4525" s="16">
        <v>5699</v>
      </c>
      <c r="R4525" s="17">
        <v>40</v>
      </c>
      <c r="S4525" s="18">
        <v>3932.31</v>
      </c>
      <c r="T4525" s="19" t="s">
        <v>36</v>
      </c>
      <c r="U4525" s="20" t="s">
        <v>86</v>
      </c>
      <c r="V4525" s="21" t="s">
        <v>87</v>
      </c>
      <c r="W4525" s="22">
        <v>1</v>
      </c>
      <c r="X4525" s="23"/>
    </row>
    <row r="4526" spans="1:24" s="1" customFormat="1" ht="26" customHeight="1" x14ac:dyDescent="0.3">
      <c r="A4526" s="11" t="s">
        <v>23</v>
      </c>
      <c r="B4526" s="11" t="s">
        <v>3630</v>
      </c>
      <c r="C4526" s="12" t="s">
        <v>4106</v>
      </c>
      <c r="D4526" s="59"/>
      <c r="E4526" s="41" t="str">
        <f>HYPERLINK("https://www.google.ru/search?q=1386608-100&amp;newwindow=1&amp;tbm=isch","Еще фото")</f>
        <v>Еще фото</v>
      </c>
      <c r="F4526" s="13" t="s">
        <v>103</v>
      </c>
      <c r="G4526" s="11" t="s">
        <v>3632</v>
      </c>
      <c r="H4526" s="11" t="s">
        <v>27</v>
      </c>
      <c r="I4526" s="14" t="s">
        <v>3599</v>
      </c>
      <c r="J4526" s="14" t="s">
        <v>29</v>
      </c>
      <c r="K4526" s="15" t="s">
        <v>30</v>
      </c>
      <c r="L4526" s="57" t="s">
        <v>3633</v>
      </c>
      <c r="M4526" s="14"/>
      <c r="N4526" s="14" t="s">
        <v>84</v>
      </c>
      <c r="O4526" s="14"/>
      <c r="P4526" s="15" t="s">
        <v>2951</v>
      </c>
      <c r="Q4526" s="16">
        <v>5299</v>
      </c>
      <c r="R4526" s="17">
        <v>40</v>
      </c>
      <c r="S4526" s="18">
        <v>3656.31</v>
      </c>
      <c r="T4526" s="19" t="s">
        <v>36</v>
      </c>
      <c r="U4526" s="20" t="s">
        <v>37</v>
      </c>
      <c r="V4526" s="21" t="s">
        <v>38</v>
      </c>
      <c r="W4526" s="22">
        <v>4</v>
      </c>
      <c r="X4526" s="23"/>
    </row>
    <row r="4527" spans="1:24" s="1" customFormat="1" ht="26" customHeight="1" x14ac:dyDescent="0.3">
      <c r="A4527" s="24" t="s">
        <v>23</v>
      </c>
      <c r="B4527" s="24" t="s">
        <v>3630</v>
      </c>
      <c r="C4527" s="12" t="s">
        <v>4106</v>
      </c>
      <c r="D4527" s="60"/>
      <c r="E4527" s="41" t="str">
        <f>HYPERLINK("https://www.google.ru/search?q=1386608-100&amp;newwindow=1&amp;tbm=isch","Еще фото")</f>
        <v>Еще фото</v>
      </c>
      <c r="F4527" s="13" t="s">
        <v>103</v>
      </c>
      <c r="G4527" s="24" t="s">
        <v>3632</v>
      </c>
      <c r="H4527" s="24" t="s">
        <v>27</v>
      </c>
      <c r="I4527" s="24" t="s">
        <v>3599</v>
      </c>
      <c r="J4527" s="14" t="s">
        <v>29</v>
      </c>
      <c r="K4527" s="15" t="s">
        <v>30</v>
      </c>
      <c r="L4527" s="62"/>
      <c r="M4527" s="14"/>
      <c r="N4527" s="14" t="s">
        <v>84</v>
      </c>
      <c r="O4527" s="14"/>
      <c r="P4527" s="15" t="s">
        <v>2951</v>
      </c>
      <c r="Q4527" s="16">
        <v>5299</v>
      </c>
      <c r="R4527" s="17">
        <v>40</v>
      </c>
      <c r="S4527" s="18">
        <v>3656.31</v>
      </c>
      <c r="T4527" s="19" t="s">
        <v>36</v>
      </c>
      <c r="U4527" s="20" t="s">
        <v>39</v>
      </c>
      <c r="V4527" s="21" t="s">
        <v>40</v>
      </c>
      <c r="W4527" s="22">
        <v>20</v>
      </c>
      <c r="X4527" s="23"/>
    </row>
    <row r="4528" spans="1:24" s="1" customFormat="1" ht="26" customHeight="1" x14ac:dyDescent="0.3">
      <c r="A4528" s="24" t="s">
        <v>23</v>
      </c>
      <c r="B4528" s="24" t="s">
        <v>3630</v>
      </c>
      <c r="C4528" s="12" t="s">
        <v>4106</v>
      </c>
      <c r="D4528" s="60"/>
      <c r="E4528" s="41" t="str">
        <f>HYPERLINK("https://www.google.ru/search?q=1386608-100&amp;newwindow=1&amp;tbm=isch","Еще фото")</f>
        <v>Еще фото</v>
      </c>
      <c r="F4528" s="13" t="s">
        <v>103</v>
      </c>
      <c r="G4528" s="24" t="s">
        <v>3632</v>
      </c>
      <c r="H4528" s="24" t="s">
        <v>27</v>
      </c>
      <c r="I4528" s="24" t="s">
        <v>3599</v>
      </c>
      <c r="J4528" s="14" t="s">
        <v>29</v>
      </c>
      <c r="K4528" s="15" t="s">
        <v>30</v>
      </c>
      <c r="L4528" s="62"/>
      <c r="M4528" s="14"/>
      <c r="N4528" s="14" t="s">
        <v>84</v>
      </c>
      <c r="O4528" s="14"/>
      <c r="P4528" s="15" t="s">
        <v>2951</v>
      </c>
      <c r="Q4528" s="16">
        <v>5299</v>
      </c>
      <c r="R4528" s="17">
        <v>40</v>
      </c>
      <c r="S4528" s="18">
        <v>3656.31</v>
      </c>
      <c r="T4528" s="19" t="s">
        <v>36</v>
      </c>
      <c r="U4528" s="20" t="s">
        <v>86</v>
      </c>
      <c r="V4528" s="21" t="s">
        <v>87</v>
      </c>
      <c r="W4528" s="22">
        <v>18</v>
      </c>
      <c r="X4528" s="23"/>
    </row>
    <row r="4529" spans="1:24" s="1" customFormat="1" ht="26" customHeight="1" x14ac:dyDescent="0.3">
      <c r="A4529" s="24" t="s">
        <v>23</v>
      </c>
      <c r="B4529" s="24" t="s">
        <v>3630</v>
      </c>
      <c r="C4529" s="12" t="s">
        <v>4106</v>
      </c>
      <c r="D4529" s="61"/>
      <c r="E4529" s="41" t="str">
        <f>HYPERLINK("https://www.google.ru/search?q=1386608-100&amp;newwindow=1&amp;tbm=isch","Еще фото")</f>
        <v>Еще фото</v>
      </c>
      <c r="F4529" s="13" t="s">
        <v>103</v>
      </c>
      <c r="G4529" s="24" t="s">
        <v>3632</v>
      </c>
      <c r="H4529" s="24" t="s">
        <v>27</v>
      </c>
      <c r="I4529" s="24" t="s">
        <v>3599</v>
      </c>
      <c r="J4529" s="14" t="s">
        <v>29</v>
      </c>
      <c r="K4529" s="15" t="s">
        <v>30</v>
      </c>
      <c r="L4529" s="58"/>
      <c r="M4529" s="14"/>
      <c r="N4529" s="14" t="s">
        <v>84</v>
      </c>
      <c r="O4529" s="14"/>
      <c r="P4529" s="15" t="s">
        <v>2951</v>
      </c>
      <c r="Q4529" s="16">
        <v>5299</v>
      </c>
      <c r="R4529" s="17">
        <v>40</v>
      </c>
      <c r="S4529" s="18">
        <v>3656.31</v>
      </c>
      <c r="T4529" s="19" t="s">
        <v>36</v>
      </c>
      <c r="U4529" s="20" t="s">
        <v>88</v>
      </c>
      <c r="V4529" s="21" t="s">
        <v>89</v>
      </c>
      <c r="W4529" s="22">
        <v>5</v>
      </c>
      <c r="X4529" s="23"/>
    </row>
    <row r="4530" spans="1:24" s="1" customFormat="1" ht="52.05" customHeight="1" x14ac:dyDescent="0.3">
      <c r="A4530" s="11" t="s">
        <v>23</v>
      </c>
      <c r="B4530" s="11" t="s">
        <v>4107</v>
      </c>
      <c r="C4530" s="12" t="s">
        <v>4108</v>
      </c>
      <c r="D4530" s="55"/>
      <c r="E4530" s="41" t="str">
        <f>HYPERLINK("https://www.google.ru/search?q=1386793-402&amp;newwindow=1&amp;tbm=isch","Еще фото")</f>
        <v>Еще фото</v>
      </c>
      <c r="F4530" s="13" t="s">
        <v>103</v>
      </c>
      <c r="G4530" s="11" t="s">
        <v>3604</v>
      </c>
      <c r="H4530" s="11" t="s">
        <v>27</v>
      </c>
      <c r="I4530" s="14" t="s">
        <v>3599</v>
      </c>
      <c r="J4530" s="14" t="s">
        <v>43</v>
      </c>
      <c r="K4530" s="15" t="s">
        <v>30</v>
      </c>
      <c r="L4530" s="57" t="s">
        <v>4109</v>
      </c>
      <c r="M4530" s="14"/>
      <c r="N4530" s="14" t="s">
        <v>115</v>
      </c>
      <c r="O4530" s="14"/>
      <c r="P4530" s="15" t="s">
        <v>2951</v>
      </c>
      <c r="Q4530" s="16">
        <v>2699</v>
      </c>
      <c r="R4530" s="17">
        <v>40</v>
      </c>
      <c r="S4530" s="18">
        <v>1862.31</v>
      </c>
      <c r="T4530" s="19" t="s">
        <v>36</v>
      </c>
      <c r="U4530" s="20" t="s">
        <v>37</v>
      </c>
      <c r="V4530" s="21" t="s">
        <v>38</v>
      </c>
      <c r="W4530" s="22">
        <v>5</v>
      </c>
      <c r="X4530" s="23"/>
    </row>
    <row r="4531" spans="1:24" s="1" customFormat="1" ht="61.05" customHeight="1" x14ac:dyDescent="0.3">
      <c r="A4531" s="24" t="s">
        <v>23</v>
      </c>
      <c r="B4531" s="24" t="s">
        <v>4107</v>
      </c>
      <c r="C4531" s="12" t="s">
        <v>4108</v>
      </c>
      <c r="D4531" s="56"/>
      <c r="E4531" s="41" t="str">
        <f>HYPERLINK("https://www.google.ru/search?q=1386793-402&amp;newwindow=1&amp;tbm=isch","Еще фото")</f>
        <v>Еще фото</v>
      </c>
      <c r="F4531" s="13" t="s">
        <v>103</v>
      </c>
      <c r="G4531" s="24" t="s">
        <v>3604</v>
      </c>
      <c r="H4531" s="24" t="s">
        <v>27</v>
      </c>
      <c r="I4531" s="24" t="s">
        <v>3599</v>
      </c>
      <c r="J4531" s="14" t="s">
        <v>43</v>
      </c>
      <c r="K4531" s="15" t="s">
        <v>30</v>
      </c>
      <c r="L4531" s="58"/>
      <c r="M4531" s="14"/>
      <c r="N4531" s="14" t="s">
        <v>115</v>
      </c>
      <c r="O4531" s="14"/>
      <c r="P4531" s="15" t="s">
        <v>2951</v>
      </c>
      <c r="Q4531" s="16">
        <v>2699</v>
      </c>
      <c r="R4531" s="17">
        <v>40</v>
      </c>
      <c r="S4531" s="18">
        <v>1862.31</v>
      </c>
      <c r="T4531" s="19" t="s">
        <v>36</v>
      </c>
      <c r="U4531" s="20" t="s">
        <v>86</v>
      </c>
      <c r="V4531" s="21" t="s">
        <v>87</v>
      </c>
      <c r="W4531" s="22">
        <v>1</v>
      </c>
      <c r="X4531" s="23"/>
    </row>
    <row r="4532" spans="1:24" s="1" customFormat="1" ht="52.05" customHeight="1" x14ac:dyDescent="0.3">
      <c r="A4532" s="11" t="s">
        <v>23</v>
      </c>
      <c r="B4532" s="11" t="s">
        <v>4110</v>
      </c>
      <c r="C4532" s="12" t="s">
        <v>4111</v>
      </c>
      <c r="D4532" s="55"/>
      <c r="E4532" s="41" t="str">
        <f>HYPERLINK("https://www.google.ru/search?q=1386878-505&amp;newwindow=1&amp;tbm=isch","Еще фото")</f>
        <v>Еще фото</v>
      </c>
      <c r="F4532" s="13"/>
      <c r="G4532" s="11" t="s">
        <v>3604</v>
      </c>
      <c r="H4532" s="11" t="s">
        <v>27</v>
      </c>
      <c r="I4532" s="14" t="s">
        <v>3599</v>
      </c>
      <c r="J4532" s="14" t="s">
        <v>29</v>
      </c>
      <c r="K4532" s="15" t="s">
        <v>30</v>
      </c>
      <c r="L4532" s="57" t="s">
        <v>4112</v>
      </c>
      <c r="M4532" s="14"/>
      <c r="N4532" s="14" t="s">
        <v>79</v>
      </c>
      <c r="O4532" s="14"/>
      <c r="P4532" s="15" t="s">
        <v>2951</v>
      </c>
      <c r="Q4532" s="16">
        <v>7399</v>
      </c>
      <c r="R4532" s="17">
        <v>40</v>
      </c>
      <c r="S4532" s="18">
        <v>5105.3099999999995</v>
      </c>
      <c r="T4532" s="19" t="s">
        <v>36</v>
      </c>
      <c r="U4532" s="20" t="s">
        <v>37</v>
      </c>
      <c r="V4532" s="21" t="s">
        <v>38</v>
      </c>
      <c r="W4532" s="22">
        <v>2</v>
      </c>
      <c r="X4532" s="23"/>
    </row>
    <row r="4533" spans="1:24" s="1" customFormat="1" ht="61.05" customHeight="1" x14ac:dyDescent="0.3">
      <c r="A4533" s="24" t="s">
        <v>23</v>
      </c>
      <c r="B4533" s="24" t="s">
        <v>4110</v>
      </c>
      <c r="C4533" s="12" t="s">
        <v>4111</v>
      </c>
      <c r="D4533" s="56"/>
      <c r="E4533" s="41" t="str">
        <f>HYPERLINK("https://www.google.ru/search?q=1386878-505&amp;newwindow=1&amp;tbm=isch","Еще фото")</f>
        <v>Еще фото</v>
      </c>
      <c r="F4533" s="13"/>
      <c r="G4533" s="24" t="s">
        <v>3604</v>
      </c>
      <c r="H4533" s="24" t="s">
        <v>27</v>
      </c>
      <c r="I4533" s="24" t="s">
        <v>3599</v>
      </c>
      <c r="J4533" s="14" t="s">
        <v>29</v>
      </c>
      <c r="K4533" s="15" t="s">
        <v>30</v>
      </c>
      <c r="L4533" s="58"/>
      <c r="M4533" s="14"/>
      <c r="N4533" s="14" t="s">
        <v>79</v>
      </c>
      <c r="O4533" s="14"/>
      <c r="P4533" s="15" t="s">
        <v>2951</v>
      </c>
      <c r="Q4533" s="16">
        <v>7399</v>
      </c>
      <c r="R4533" s="17">
        <v>40</v>
      </c>
      <c r="S4533" s="18">
        <v>5105.3099999999995</v>
      </c>
      <c r="T4533" s="19" t="s">
        <v>36</v>
      </c>
      <c r="U4533" s="20" t="s">
        <v>39</v>
      </c>
      <c r="V4533" s="21" t="s">
        <v>40</v>
      </c>
      <c r="W4533" s="22">
        <v>12</v>
      </c>
      <c r="X4533" s="23"/>
    </row>
    <row r="4534" spans="1:24" s="1" customFormat="1" ht="108" customHeight="1" x14ac:dyDescent="0.3">
      <c r="A4534" s="11" t="s">
        <v>23</v>
      </c>
      <c r="B4534" s="11" t="s">
        <v>4113</v>
      </c>
      <c r="C4534" s="12" t="s">
        <v>4114</v>
      </c>
      <c r="D4534" s="25"/>
      <c r="E4534" s="41" t="str">
        <f>HYPERLINK("https://www.google.ru/search?q=1387193-001&amp;newwindow=1&amp;tbm=isch","Еще фото")</f>
        <v>Еще фото</v>
      </c>
      <c r="F4534" s="13" t="s">
        <v>103</v>
      </c>
      <c r="G4534" s="11" t="s">
        <v>3604</v>
      </c>
      <c r="H4534" s="11" t="s">
        <v>27</v>
      </c>
      <c r="I4534" s="14" t="s">
        <v>3599</v>
      </c>
      <c r="J4534" s="14" t="s">
        <v>29</v>
      </c>
      <c r="K4534" s="15" t="s">
        <v>59</v>
      </c>
      <c r="L4534" s="14" t="s">
        <v>4115</v>
      </c>
      <c r="M4534" s="14"/>
      <c r="N4534" s="14" t="s">
        <v>33</v>
      </c>
      <c r="O4534" s="14"/>
      <c r="P4534" s="15" t="s">
        <v>2951</v>
      </c>
      <c r="Q4534" s="16">
        <v>2799</v>
      </c>
      <c r="R4534" s="17">
        <v>40</v>
      </c>
      <c r="S4534" s="18">
        <v>1931.31</v>
      </c>
      <c r="T4534" s="19" t="s">
        <v>36</v>
      </c>
      <c r="U4534" s="20" t="s">
        <v>63</v>
      </c>
      <c r="V4534" s="21" t="s">
        <v>64</v>
      </c>
      <c r="W4534" s="22">
        <v>9</v>
      </c>
      <c r="X4534" s="23"/>
    </row>
    <row r="4535" spans="1:24" s="1" customFormat="1" ht="52.05" customHeight="1" x14ac:dyDescent="0.3">
      <c r="A4535" s="11" t="s">
        <v>23</v>
      </c>
      <c r="B4535" s="11" t="s">
        <v>4113</v>
      </c>
      <c r="C4535" s="12" t="s">
        <v>4116</v>
      </c>
      <c r="D4535" s="55"/>
      <c r="E4535" s="41" t="str">
        <f>HYPERLINK("https://www.google.ru/search?q=1387193-100&amp;newwindow=1&amp;tbm=isch","Еще фото")</f>
        <v>Еще фото</v>
      </c>
      <c r="F4535" s="13" t="s">
        <v>103</v>
      </c>
      <c r="G4535" s="11" t="s">
        <v>3604</v>
      </c>
      <c r="H4535" s="11" t="s">
        <v>27</v>
      </c>
      <c r="I4535" s="14" t="s">
        <v>3599</v>
      </c>
      <c r="J4535" s="14" t="s">
        <v>29</v>
      </c>
      <c r="K4535" s="15" t="s">
        <v>59</v>
      </c>
      <c r="L4535" s="57" t="s">
        <v>4115</v>
      </c>
      <c r="M4535" s="14"/>
      <c r="N4535" s="14" t="s">
        <v>84</v>
      </c>
      <c r="O4535" s="14"/>
      <c r="P4535" s="15" t="s">
        <v>2951</v>
      </c>
      <c r="Q4535" s="16">
        <v>2799</v>
      </c>
      <c r="R4535" s="17">
        <v>40</v>
      </c>
      <c r="S4535" s="18">
        <v>1931.31</v>
      </c>
      <c r="T4535" s="19" t="s">
        <v>36</v>
      </c>
      <c r="U4535" s="20" t="s">
        <v>63</v>
      </c>
      <c r="V4535" s="21" t="s">
        <v>64</v>
      </c>
      <c r="W4535" s="22">
        <v>12</v>
      </c>
      <c r="X4535" s="23"/>
    </row>
    <row r="4536" spans="1:24" s="1" customFormat="1" ht="61.05" customHeight="1" x14ac:dyDescent="0.3">
      <c r="A4536" s="24" t="s">
        <v>23</v>
      </c>
      <c r="B4536" s="24" t="s">
        <v>4113</v>
      </c>
      <c r="C4536" s="12" t="s">
        <v>4116</v>
      </c>
      <c r="D4536" s="56"/>
      <c r="E4536" s="41" t="str">
        <f>HYPERLINK("https://www.google.ru/search?q=1387193-100&amp;newwindow=1&amp;tbm=isch","Еще фото")</f>
        <v>Еще фото</v>
      </c>
      <c r="F4536" s="13" t="s">
        <v>103</v>
      </c>
      <c r="G4536" s="24" t="s">
        <v>3604</v>
      </c>
      <c r="H4536" s="24" t="s">
        <v>27</v>
      </c>
      <c r="I4536" s="24" t="s">
        <v>3599</v>
      </c>
      <c r="J4536" s="14" t="s">
        <v>29</v>
      </c>
      <c r="K4536" s="15" t="s">
        <v>59</v>
      </c>
      <c r="L4536" s="58"/>
      <c r="M4536" s="14"/>
      <c r="N4536" s="14" t="s">
        <v>84</v>
      </c>
      <c r="O4536" s="14"/>
      <c r="P4536" s="15" t="s">
        <v>2951</v>
      </c>
      <c r="Q4536" s="16">
        <v>2799</v>
      </c>
      <c r="R4536" s="17">
        <v>40</v>
      </c>
      <c r="S4536" s="18">
        <v>1931.31</v>
      </c>
      <c r="T4536" s="19" t="s">
        <v>36</v>
      </c>
      <c r="U4536" s="20" t="s">
        <v>37</v>
      </c>
      <c r="V4536" s="21" t="s">
        <v>106</v>
      </c>
      <c r="W4536" s="22">
        <v>4</v>
      </c>
      <c r="X4536" s="23"/>
    </row>
    <row r="4537" spans="1:24" s="1" customFormat="1" ht="26" customHeight="1" x14ac:dyDescent="0.3">
      <c r="A4537" s="11" t="s">
        <v>23</v>
      </c>
      <c r="B4537" s="11" t="s">
        <v>4117</v>
      </c>
      <c r="C4537" s="12" t="s">
        <v>4118</v>
      </c>
      <c r="D4537" s="59"/>
      <c r="E4537" s="41" t="str">
        <f>HYPERLINK("https://www.google.ru/search?q=1388129-001&amp;newwindow=1&amp;tbm=isch","Еще фото")</f>
        <v>Еще фото</v>
      </c>
      <c r="F4537" s="13" t="s">
        <v>103</v>
      </c>
      <c r="G4537" s="11" t="s">
        <v>3604</v>
      </c>
      <c r="H4537" s="11" t="s">
        <v>27</v>
      </c>
      <c r="I4537" s="14" t="s">
        <v>3599</v>
      </c>
      <c r="J4537" s="14" t="s">
        <v>29</v>
      </c>
      <c r="K4537" s="15" t="s">
        <v>30</v>
      </c>
      <c r="L4537" s="57" t="s">
        <v>4119</v>
      </c>
      <c r="M4537" s="14"/>
      <c r="N4537" s="14" t="s">
        <v>33</v>
      </c>
      <c r="O4537" s="14"/>
      <c r="P4537" s="15" t="s">
        <v>4120</v>
      </c>
      <c r="Q4537" s="16">
        <v>5499</v>
      </c>
      <c r="R4537" s="17">
        <v>40</v>
      </c>
      <c r="S4537" s="18">
        <v>3794.31</v>
      </c>
      <c r="T4537" s="19" t="s">
        <v>36</v>
      </c>
      <c r="U4537" s="20" t="s">
        <v>37</v>
      </c>
      <c r="V4537" s="21" t="s">
        <v>38</v>
      </c>
      <c r="W4537" s="22">
        <v>11</v>
      </c>
      <c r="X4537" s="23"/>
    </row>
    <row r="4538" spans="1:24" s="1" customFormat="1" ht="26" customHeight="1" x14ac:dyDescent="0.3">
      <c r="A4538" s="24" t="s">
        <v>23</v>
      </c>
      <c r="B4538" s="24" t="s">
        <v>4117</v>
      </c>
      <c r="C4538" s="12" t="s">
        <v>4118</v>
      </c>
      <c r="D4538" s="60"/>
      <c r="E4538" s="41" t="str">
        <f>HYPERLINK("https://www.google.ru/search?q=1388129-001&amp;newwindow=1&amp;tbm=isch","Еще фото")</f>
        <v>Еще фото</v>
      </c>
      <c r="F4538" s="13" t="s">
        <v>103</v>
      </c>
      <c r="G4538" s="24" t="s">
        <v>3604</v>
      </c>
      <c r="H4538" s="24" t="s">
        <v>27</v>
      </c>
      <c r="I4538" s="24" t="s">
        <v>3599</v>
      </c>
      <c r="J4538" s="14" t="s">
        <v>29</v>
      </c>
      <c r="K4538" s="15" t="s">
        <v>30</v>
      </c>
      <c r="L4538" s="62"/>
      <c r="M4538" s="14"/>
      <c r="N4538" s="14" t="s">
        <v>33</v>
      </c>
      <c r="O4538" s="14"/>
      <c r="P4538" s="15" t="s">
        <v>4120</v>
      </c>
      <c r="Q4538" s="16">
        <v>5499</v>
      </c>
      <c r="R4538" s="17">
        <v>40</v>
      </c>
      <c r="S4538" s="18">
        <v>3794.31</v>
      </c>
      <c r="T4538" s="19" t="s">
        <v>36</v>
      </c>
      <c r="U4538" s="20" t="s">
        <v>39</v>
      </c>
      <c r="V4538" s="21" t="s">
        <v>40</v>
      </c>
      <c r="W4538" s="22">
        <v>14</v>
      </c>
      <c r="X4538" s="23"/>
    </row>
    <row r="4539" spans="1:24" s="1" customFormat="1" ht="26" customHeight="1" x14ac:dyDescent="0.3">
      <c r="A4539" s="24" t="s">
        <v>23</v>
      </c>
      <c r="B4539" s="24" t="s">
        <v>4117</v>
      </c>
      <c r="C4539" s="12" t="s">
        <v>4118</v>
      </c>
      <c r="D4539" s="60"/>
      <c r="E4539" s="41" t="str">
        <f>HYPERLINK("https://www.google.ru/search?q=1388129-001&amp;newwindow=1&amp;tbm=isch","Еще фото")</f>
        <v>Еще фото</v>
      </c>
      <c r="F4539" s="13" t="s">
        <v>103</v>
      </c>
      <c r="G4539" s="24" t="s">
        <v>3604</v>
      </c>
      <c r="H4539" s="24" t="s">
        <v>27</v>
      </c>
      <c r="I4539" s="24" t="s">
        <v>3599</v>
      </c>
      <c r="J4539" s="14" t="s">
        <v>29</v>
      </c>
      <c r="K4539" s="15" t="s">
        <v>30</v>
      </c>
      <c r="L4539" s="62"/>
      <c r="M4539" s="14"/>
      <c r="N4539" s="14" t="s">
        <v>33</v>
      </c>
      <c r="O4539" s="14"/>
      <c r="P4539" s="15" t="s">
        <v>4120</v>
      </c>
      <c r="Q4539" s="16">
        <v>5499</v>
      </c>
      <c r="R4539" s="17">
        <v>40</v>
      </c>
      <c r="S4539" s="18">
        <v>3794.31</v>
      </c>
      <c r="T4539" s="19" t="s">
        <v>36</v>
      </c>
      <c r="U4539" s="20" t="s">
        <v>86</v>
      </c>
      <c r="V4539" s="21" t="s">
        <v>87</v>
      </c>
      <c r="W4539" s="22">
        <v>12</v>
      </c>
      <c r="X4539" s="23"/>
    </row>
    <row r="4540" spans="1:24" s="1" customFormat="1" ht="26" customHeight="1" x14ac:dyDescent="0.3">
      <c r="A4540" s="24" t="s">
        <v>23</v>
      </c>
      <c r="B4540" s="24" t="s">
        <v>4117</v>
      </c>
      <c r="C4540" s="12" t="s">
        <v>4118</v>
      </c>
      <c r="D4540" s="61"/>
      <c r="E4540" s="41" t="str">
        <f>HYPERLINK("https://www.google.ru/search?q=1388129-001&amp;newwindow=1&amp;tbm=isch","Еще фото")</f>
        <v>Еще фото</v>
      </c>
      <c r="F4540" s="13" t="s">
        <v>103</v>
      </c>
      <c r="G4540" s="24" t="s">
        <v>3604</v>
      </c>
      <c r="H4540" s="24" t="s">
        <v>27</v>
      </c>
      <c r="I4540" s="24" t="s">
        <v>3599</v>
      </c>
      <c r="J4540" s="14" t="s">
        <v>29</v>
      </c>
      <c r="K4540" s="15" t="s">
        <v>30</v>
      </c>
      <c r="L4540" s="58"/>
      <c r="M4540" s="14"/>
      <c r="N4540" s="14" t="s">
        <v>33</v>
      </c>
      <c r="O4540" s="14"/>
      <c r="P4540" s="15" t="s">
        <v>4120</v>
      </c>
      <c r="Q4540" s="16">
        <v>5499</v>
      </c>
      <c r="R4540" s="17">
        <v>40</v>
      </c>
      <c r="S4540" s="18">
        <v>3794.31</v>
      </c>
      <c r="T4540" s="19" t="s">
        <v>36</v>
      </c>
      <c r="U4540" s="20" t="s">
        <v>88</v>
      </c>
      <c r="V4540" s="21" t="s">
        <v>89</v>
      </c>
      <c r="W4540" s="22">
        <v>4</v>
      </c>
      <c r="X4540" s="23"/>
    </row>
    <row r="4541" spans="1:24" s="1" customFormat="1" ht="35" customHeight="1" x14ac:dyDescent="0.3">
      <c r="A4541" s="11" t="s">
        <v>23</v>
      </c>
      <c r="B4541" s="11" t="s">
        <v>3774</v>
      </c>
      <c r="C4541" s="12" t="s">
        <v>4121</v>
      </c>
      <c r="D4541" s="59"/>
      <c r="E4541" s="41" t="str">
        <f>HYPERLINK("https://www.google.ru/search?q=1388672-001&amp;newwindow=1&amp;tbm=isch","Еще фото")</f>
        <v>Еще фото</v>
      </c>
      <c r="F4541" s="13"/>
      <c r="G4541" s="11" t="s">
        <v>3604</v>
      </c>
      <c r="H4541" s="11" t="s">
        <v>27</v>
      </c>
      <c r="I4541" s="14" t="s">
        <v>3599</v>
      </c>
      <c r="J4541" s="14" t="s">
        <v>43</v>
      </c>
      <c r="K4541" s="15" t="s">
        <v>50</v>
      </c>
      <c r="L4541" s="57" t="s">
        <v>3776</v>
      </c>
      <c r="M4541" s="14"/>
      <c r="N4541" s="14" t="s">
        <v>33</v>
      </c>
      <c r="O4541" s="14"/>
      <c r="P4541" s="15" t="s">
        <v>2951</v>
      </c>
      <c r="Q4541" s="16">
        <v>1999</v>
      </c>
      <c r="R4541" s="17">
        <v>40</v>
      </c>
      <c r="S4541" s="18">
        <v>1379.31</v>
      </c>
      <c r="T4541" s="19" t="s">
        <v>36</v>
      </c>
      <c r="U4541" s="20" t="s">
        <v>99</v>
      </c>
      <c r="V4541" s="21" t="s">
        <v>100</v>
      </c>
      <c r="W4541" s="22">
        <v>4</v>
      </c>
      <c r="X4541" s="23"/>
    </row>
    <row r="4542" spans="1:24" s="1" customFormat="1" ht="35" customHeight="1" x14ac:dyDescent="0.3">
      <c r="A4542" s="24" t="s">
        <v>23</v>
      </c>
      <c r="B4542" s="24" t="s">
        <v>3774</v>
      </c>
      <c r="C4542" s="12" t="s">
        <v>4121</v>
      </c>
      <c r="D4542" s="60"/>
      <c r="E4542" s="41" t="str">
        <f>HYPERLINK("https://www.google.ru/search?q=1388672-001&amp;newwindow=1&amp;tbm=isch","Еще фото")</f>
        <v>Еще фото</v>
      </c>
      <c r="F4542" s="13"/>
      <c r="G4542" s="24" t="s">
        <v>3604</v>
      </c>
      <c r="H4542" s="24" t="s">
        <v>27</v>
      </c>
      <c r="I4542" s="24" t="s">
        <v>3599</v>
      </c>
      <c r="J4542" s="14" t="s">
        <v>43</v>
      </c>
      <c r="K4542" s="15" t="s">
        <v>50</v>
      </c>
      <c r="L4542" s="62"/>
      <c r="M4542" s="14"/>
      <c r="N4542" s="14" t="s">
        <v>33</v>
      </c>
      <c r="O4542" s="14"/>
      <c r="P4542" s="15" t="s">
        <v>2951</v>
      </c>
      <c r="Q4542" s="16">
        <v>1999</v>
      </c>
      <c r="R4542" s="17">
        <v>40</v>
      </c>
      <c r="S4542" s="18">
        <v>1379.31</v>
      </c>
      <c r="T4542" s="19" t="s">
        <v>36</v>
      </c>
      <c r="U4542" s="20" t="s">
        <v>54</v>
      </c>
      <c r="V4542" s="21" t="s">
        <v>55</v>
      </c>
      <c r="W4542" s="22">
        <v>8</v>
      </c>
      <c r="X4542" s="23"/>
    </row>
    <row r="4543" spans="1:24" s="1" customFormat="1" ht="37.049999999999997" customHeight="1" x14ac:dyDescent="0.3">
      <c r="A4543" s="24" t="s">
        <v>23</v>
      </c>
      <c r="B4543" s="24" t="s">
        <v>3774</v>
      </c>
      <c r="C4543" s="12" t="s">
        <v>4121</v>
      </c>
      <c r="D4543" s="61"/>
      <c r="E4543" s="41" t="str">
        <f>HYPERLINK("https://www.google.ru/search?q=1388672-001&amp;newwindow=1&amp;tbm=isch","Еще фото")</f>
        <v>Еще фото</v>
      </c>
      <c r="F4543" s="13"/>
      <c r="G4543" s="24" t="s">
        <v>3604</v>
      </c>
      <c r="H4543" s="24" t="s">
        <v>27</v>
      </c>
      <c r="I4543" s="24" t="s">
        <v>3599</v>
      </c>
      <c r="J4543" s="14" t="s">
        <v>43</v>
      </c>
      <c r="K4543" s="15" t="s">
        <v>50</v>
      </c>
      <c r="L4543" s="58"/>
      <c r="M4543" s="14"/>
      <c r="N4543" s="14" t="s">
        <v>33</v>
      </c>
      <c r="O4543" s="14"/>
      <c r="P4543" s="15" t="s">
        <v>2951</v>
      </c>
      <c r="Q4543" s="16">
        <v>1999</v>
      </c>
      <c r="R4543" s="17">
        <v>40</v>
      </c>
      <c r="S4543" s="18">
        <v>1379.31</v>
      </c>
      <c r="T4543" s="19" t="s">
        <v>36</v>
      </c>
      <c r="U4543" s="20" t="s">
        <v>71</v>
      </c>
      <c r="V4543" s="21" t="s">
        <v>72</v>
      </c>
      <c r="W4543" s="22">
        <v>1</v>
      </c>
      <c r="X4543" s="23"/>
    </row>
    <row r="4544" spans="1:24" s="1" customFormat="1" ht="26" customHeight="1" x14ac:dyDescent="0.3">
      <c r="A4544" s="11" t="s">
        <v>23</v>
      </c>
      <c r="B4544" s="11" t="s">
        <v>3774</v>
      </c>
      <c r="C4544" s="12" t="s">
        <v>4122</v>
      </c>
      <c r="D4544" s="59"/>
      <c r="E4544" s="41" t="str">
        <f>HYPERLINK("https://www.google.ru/search?q=1388672-498&amp;newwindow=1&amp;tbm=isch","Еще фото")</f>
        <v>Еще фото</v>
      </c>
      <c r="F4544" s="13"/>
      <c r="G4544" s="11" t="s">
        <v>3604</v>
      </c>
      <c r="H4544" s="11" t="s">
        <v>27</v>
      </c>
      <c r="I4544" s="14" t="s">
        <v>3599</v>
      </c>
      <c r="J4544" s="14" t="s">
        <v>43</v>
      </c>
      <c r="K4544" s="15" t="s">
        <v>50</v>
      </c>
      <c r="L4544" s="57" t="s">
        <v>3776</v>
      </c>
      <c r="M4544" s="14"/>
      <c r="N4544" s="14" t="s">
        <v>115</v>
      </c>
      <c r="O4544" s="14"/>
      <c r="P4544" s="15" t="s">
        <v>2951</v>
      </c>
      <c r="Q4544" s="16">
        <v>1999</v>
      </c>
      <c r="R4544" s="17">
        <v>40</v>
      </c>
      <c r="S4544" s="18">
        <v>1379.31</v>
      </c>
      <c r="T4544" s="19" t="s">
        <v>36</v>
      </c>
      <c r="U4544" s="20" t="s">
        <v>99</v>
      </c>
      <c r="V4544" s="21" t="s">
        <v>100</v>
      </c>
      <c r="W4544" s="22">
        <v>6</v>
      </c>
      <c r="X4544" s="23"/>
    </row>
    <row r="4545" spans="1:24" s="1" customFormat="1" ht="26" customHeight="1" x14ac:dyDescent="0.3">
      <c r="A4545" s="24" t="s">
        <v>23</v>
      </c>
      <c r="B4545" s="24" t="s">
        <v>3774</v>
      </c>
      <c r="C4545" s="12" t="s">
        <v>4122</v>
      </c>
      <c r="D4545" s="60"/>
      <c r="E4545" s="41" t="str">
        <f>HYPERLINK("https://www.google.ru/search?q=1388672-498&amp;newwindow=1&amp;tbm=isch","Еще фото")</f>
        <v>Еще фото</v>
      </c>
      <c r="F4545" s="13"/>
      <c r="G4545" s="24" t="s">
        <v>3604</v>
      </c>
      <c r="H4545" s="24" t="s">
        <v>27</v>
      </c>
      <c r="I4545" s="24" t="s">
        <v>3599</v>
      </c>
      <c r="J4545" s="14" t="s">
        <v>43</v>
      </c>
      <c r="K4545" s="15" t="s">
        <v>50</v>
      </c>
      <c r="L4545" s="62"/>
      <c r="M4545" s="14"/>
      <c r="N4545" s="14" t="s">
        <v>115</v>
      </c>
      <c r="O4545" s="14"/>
      <c r="P4545" s="15" t="s">
        <v>2951</v>
      </c>
      <c r="Q4545" s="16">
        <v>1999</v>
      </c>
      <c r="R4545" s="17">
        <v>40</v>
      </c>
      <c r="S4545" s="18">
        <v>1379.31</v>
      </c>
      <c r="T4545" s="19" t="s">
        <v>36</v>
      </c>
      <c r="U4545" s="20" t="s">
        <v>54</v>
      </c>
      <c r="V4545" s="21" t="s">
        <v>55</v>
      </c>
      <c r="W4545" s="22">
        <v>7</v>
      </c>
      <c r="X4545" s="23"/>
    </row>
    <row r="4546" spans="1:24" s="1" customFormat="1" ht="26" customHeight="1" x14ac:dyDescent="0.3">
      <c r="A4546" s="24" t="s">
        <v>23</v>
      </c>
      <c r="B4546" s="24" t="s">
        <v>3774</v>
      </c>
      <c r="C4546" s="12" t="s">
        <v>4122</v>
      </c>
      <c r="D4546" s="60"/>
      <c r="E4546" s="41" t="str">
        <f>HYPERLINK("https://www.google.ru/search?q=1388672-498&amp;newwindow=1&amp;tbm=isch","Еще фото")</f>
        <v>Еще фото</v>
      </c>
      <c r="F4546" s="13"/>
      <c r="G4546" s="24" t="s">
        <v>3604</v>
      </c>
      <c r="H4546" s="24" t="s">
        <v>27</v>
      </c>
      <c r="I4546" s="24" t="s">
        <v>3599</v>
      </c>
      <c r="J4546" s="14" t="s">
        <v>43</v>
      </c>
      <c r="K4546" s="15" t="s">
        <v>50</v>
      </c>
      <c r="L4546" s="62"/>
      <c r="M4546" s="14"/>
      <c r="N4546" s="14" t="s">
        <v>115</v>
      </c>
      <c r="O4546" s="14"/>
      <c r="P4546" s="15" t="s">
        <v>2951</v>
      </c>
      <c r="Q4546" s="16">
        <v>1999</v>
      </c>
      <c r="R4546" s="17">
        <v>40</v>
      </c>
      <c r="S4546" s="18">
        <v>1379.31</v>
      </c>
      <c r="T4546" s="19" t="s">
        <v>36</v>
      </c>
      <c r="U4546" s="20" t="s">
        <v>71</v>
      </c>
      <c r="V4546" s="21" t="s">
        <v>72</v>
      </c>
      <c r="W4546" s="22">
        <v>7</v>
      </c>
      <c r="X4546" s="23"/>
    </row>
    <row r="4547" spans="1:24" s="1" customFormat="1" ht="26" customHeight="1" x14ac:dyDescent="0.3">
      <c r="A4547" s="24" t="s">
        <v>23</v>
      </c>
      <c r="B4547" s="24" t="s">
        <v>3774</v>
      </c>
      <c r="C4547" s="12" t="s">
        <v>4122</v>
      </c>
      <c r="D4547" s="61"/>
      <c r="E4547" s="41" t="str">
        <f>HYPERLINK("https://www.google.ru/search?q=1388672-498&amp;newwindow=1&amp;tbm=isch","Еще фото")</f>
        <v>Еще фото</v>
      </c>
      <c r="F4547" s="13"/>
      <c r="G4547" s="24" t="s">
        <v>3604</v>
      </c>
      <c r="H4547" s="24" t="s">
        <v>27</v>
      </c>
      <c r="I4547" s="24" t="s">
        <v>3599</v>
      </c>
      <c r="J4547" s="14" t="s">
        <v>43</v>
      </c>
      <c r="K4547" s="15" t="s">
        <v>50</v>
      </c>
      <c r="L4547" s="58"/>
      <c r="M4547" s="14"/>
      <c r="N4547" s="14" t="s">
        <v>115</v>
      </c>
      <c r="O4547" s="14"/>
      <c r="P4547" s="15" t="s">
        <v>2951</v>
      </c>
      <c r="Q4547" s="16">
        <v>1999</v>
      </c>
      <c r="R4547" s="17">
        <v>40</v>
      </c>
      <c r="S4547" s="18">
        <v>1379.31</v>
      </c>
      <c r="T4547" s="19" t="s">
        <v>36</v>
      </c>
      <c r="U4547" s="20" t="s">
        <v>73</v>
      </c>
      <c r="V4547" s="21" t="s">
        <v>74</v>
      </c>
      <c r="W4547" s="22">
        <v>2</v>
      </c>
      <c r="X4547" s="23"/>
    </row>
    <row r="4548" spans="1:24" s="1" customFormat="1" ht="108" customHeight="1" x14ac:dyDescent="0.3">
      <c r="A4548" s="11" t="s">
        <v>23</v>
      </c>
      <c r="B4548" s="11" t="s">
        <v>4123</v>
      </c>
      <c r="C4548" s="12" t="s">
        <v>4124</v>
      </c>
      <c r="D4548" s="25"/>
      <c r="E4548" s="41" t="str">
        <f>HYPERLINK("https://www.google.ru/search?q=1388694-348&amp;newwindow=1&amp;tbm=isch","Еще фото")</f>
        <v>Еще фото</v>
      </c>
      <c r="F4548" s="13"/>
      <c r="G4548" s="11" t="s">
        <v>3598</v>
      </c>
      <c r="H4548" s="11" t="s">
        <v>27</v>
      </c>
      <c r="I4548" s="14" t="s">
        <v>3599</v>
      </c>
      <c r="J4548" s="14" t="s">
        <v>29</v>
      </c>
      <c r="K4548" s="15" t="s">
        <v>59</v>
      </c>
      <c r="L4548" s="14" t="s">
        <v>4125</v>
      </c>
      <c r="M4548" s="14"/>
      <c r="N4548" s="14" t="s">
        <v>127</v>
      </c>
      <c r="O4548" s="14"/>
      <c r="P4548" s="15" t="s">
        <v>53</v>
      </c>
      <c r="Q4548" s="16">
        <v>3399</v>
      </c>
      <c r="R4548" s="17">
        <v>40</v>
      </c>
      <c r="S4548" s="18">
        <v>2345.31</v>
      </c>
      <c r="T4548" s="19" t="s">
        <v>36</v>
      </c>
      <c r="U4548" s="20" t="s">
        <v>39</v>
      </c>
      <c r="V4548" s="21" t="s">
        <v>85</v>
      </c>
      <c r="W4548" s="22">
        <v>3</v>
      </c>
      <c r="X4548" s="23"/>
    </row>
    <row r="4549" spans="1:24" s="1" customFormat="1" ht="52.05" customHeight="1" x14ac:dyDescent="0.3">
      <c r="A4549" s="11" t="s">
        <v>23</v>
      </c>
      <c r="B4549" s="11" t="s">
        <v>4126</v>
      </c>
      <c r="C4549" s="12" t="s">
        <v>4127</v>
      </c>
      <c r="D4549" s="55"/>
      <c r="E4549" s="41" t="str">
        <f>HYPERLINK("https://www.google.ru/search?q=1389147-001&amp;newwindow=1&amp;tbm=isch","Еще фото")</f>
        <v>Еще фото</v>
      </c>
      <c r="F4549" s="13" t="s">
        <v>152</v>
      </c>
      <c r="G4549" s="11" t="s">
        <v>3604</v>
      </c>
      <c r="H4549" s="11" t="s">
        <v>27</v>
      </c>
      <c r="I4549" s="14" t="s">
        <v>3599</v>
      </c>
      <c r="J4549" s="14" t="s">
        <v>29</v>
      </c>
      <c r="K4549" s="15" t="s">
        <v>30</v>
      </c>
      <c r="L4549" s="57" t="s">
        <v>4128</v>
      </c>
      <c r="M4549" s="14"/>
      <c r="N4549" s="14" t="s">
        <v>33</v>
      </c>
      <c r="O4549" s="14"/>
      <c r="P4549" s="15" t="s">
        <v>2951</v>
      </c>
      <c r="Q4549" s="16">
        <v>5599</v>
      </c>
      <c r="R4549" s="17">
        <v>40</v>
      </c>
      <c r="S4549" s="18">
        <v>3863.31</v>
      </c>
      <c r="T4549" s="19" t="s">
        <v>36</v>
      </c>
      <c r="U4549" s="20" t="s">
        <v>37</v>
      </c>
      <c r="V4549" s="21" t="s">
        <v>38</v>
      </c>
      <c r="W4549" s="22">
        <v>1</v>
      </c>
      <c r="X4549" s="23"/>
    </row>
    <row r="4550" spans="1:24" s="1" customFormat="1" ht="61.05" customHeight="1" x14ac:dyDescent="0.3">
      <c r="A4550" s="24" t="s">
        <v>23</v>
      </c>
      <c r="B4550" s="24" t="s">
        <v>4126</v>
      </c>
      <c r="C4550" s="12" t="s">
        <v>4127</v>
      </c>
      <c r="D4550" s="56"/>
      <c r="E4550" s="41" t="str">
        <f>HYPERLINK("https://www.google.ru/search?q=1389147-001&amp;newwindow=1&amp;tbm=isch","Еще фото")</f>
        <v>Еще фото</v>
      </c>
      <c r="F4550" s="13" t="s">
        <v>152</v>
      </c>
      <c r="G4550" s="24" t="s">
        <v>3604</v>
      </c>
      <c r="H4550" s="24" t="s">
        <v>27</v>
      </c>
      <c r="I4550" s="24" t="s">
        <v>3599</v>
      </c>
      <c r="J4550" s="14" t="s">
        <v>29</v>
      </c>
      <c r="K4550" s="15" t="s">
        <v>30</v>
      </c>
      <c r="L4550" s="58"/>
      <c r="M4550" s="14"/>
      <c r="N4550" s="14" t="s">
        <v>33</v>
      </c>
      <c r="O4550" s="14"/>
      <c r="P4550" s="15" t="s">
        <v>2951</v>
      </c>
      <c r="Q4550" s="16">
        <v>5599</v>
      </c>
      <c r="R4550" s="17">
        <v>40</v>
      </c>
      <c r="S4550" s="18">
        <v>3863.31</v>
      </c>
      <c r="T4550" s="19" t="s">
        <v>36</v>
      </c>
      <c r="U4550" s="20" t="s">
        <v>39</v>
      </c>
      <c r="V4550" s="21" t="s">
        <v>40</v>
      </c>
      <c r="W4550" s="22">
        <v>8</v>
      </c>
      <c r="X4550" s="23"/>
    </row>
    <row r="4551" spans="1:24" s="1" customFormat="1" ht="17" customHeight="1" x14ac:dyDescent="0.3">
      <c r="A4551" s="11" t="s">
        <v>23</v>
      </c>
      <c r="B4551" s="11" t="s">
        <v>4126</v>
      </c>
      <c r="C4551" s="12" t="s">
        <v>4129</v>
      </c>
      <c r="D4551" s="59"/>
      <c r="E4551" s="41" t="str">
        <f t="shared" ref="E4551:E4556" si="164">HYPERLINK("https://www.google.ru/search?q=1389147-069&amp;newwindow=1&amp;tbm=isch","Еще фото")</f>
        <v>Еще фото</v>
      </c>
      <c r="F4551" s="13" t="s">
        <v>152</v>
      </c>
      <c r="G4551" s="11" t="s">
        <v>3604</v>
      </c>
      <c r="H4551" s="11" t="s">
        <v>27</v>
      </c>
      <c r="I4551" s="14" t="s">
        <v>3599</v>
      </c>
      <c r="J4551" s="14" t="s">
        <v>43</v>
      </c>
      <c r="K4551" s="15" t="s">
        <v>30</v>
      </c>
      <c r="L4551" s="57" t="s">
        <v>4128</v>
      </c>
      <c r="M4551" s="14"/>
      <c r="N4551" s="14" t="s">
        <v>62</v>
      </c>
      <c r="O4551" s="14"/>
      <c r="P4551" s="15" t="s">
        <v>2951</v>
      </c>
      <c r="Q4551" s="16">
        <v>5599</v>
      </c>
      <c r="R4551" s="17">
        <v>40</v>
      </c>
      <c r="S4551" s="18">
        <v>3863.31</v>
      </c>
      <c r="T4551" s="19" t="s">
        <v>36</v>
      </c>
      <c r="U4551" s="20" t="s">
        <v>63</v>
      </c>
      <c r="V4551" s="21" t="s">
        <v>85</v>
      </c>
      <c r="W4551" s="22">
        <v>2</v>
      </c>
      <c r="X4551" s="23"/>
    </row>
    <row r="4552" spans="1:24" s="1" customFormat="1" ht="17" customHeight="1" x14ac:dyDescent="0.3">
      <c r="A4552" s="24" t="s">
        <v>23</v>
      </c>
      <c r="B4552" s="24" t="s">
        <v>4126</v>
      </c>
      <c r="C4552" s="12" t="s">
        <v>4129</v>
      </c>
      <c r="D4552" s="60"/>
      <c r="E4552" s="41" t="str">
        <f t="shared" si="164"/>
        <v>Еще фото</v>
      </c>
      <c r="F4552" s="13" t="s">
        <v>152</v>
      </c>
      <c r="G4552" s="24" t="s">
        <v>3604</v>
      </c>
      <c r="H4552" s="24" t="s">
        <v>27</v>
      </c>
      <c r="I4552" s="24" t="s">
        <v>3599</v>
      </c>
      <c r="J4552" s="14" t="s">
        <v>43</v>
      </c>
      <c r="K4552" s="15" t="s">
        <v>30</v>
      </c>
      <c r="L4552" s="62"/>
      <c r="M4552" s="14"/>
      <c r="N4552" s="14" t="s">
        <v>62</v>
      </c>
      <c r="O4552" s="14"/>
      <c r="P4552" s="15" t="s">
        <v>2951</v>
      </c>
      <c r="Q4552" s="16">
        <v>5599</v>
      </c>
      <c r="R4552" s="17">
        <v>40</v>
      </c>
      <c r="S4552" s="18">
        <v>3863.31</v>
      </c>
      <c r="T4552" s="19" t="s">
        <v>36</v>
      </c>
      <c r="U4552" s="20" t="s">
        <v>37</v>
      </c>
      <c r="V4552" s="21" t="s">
        <v>38</v>
      </c>
      <c r="W4552" s="22">
        <v>2</v>
      </c>
      <c r="X4552" s="23"/>
    </row>
    <row r="4553" spans="1:24" s="1" customFormat="1" ht="17" customHeight="1" x14ac:dyDescent="0.3">
      <c r="A4553" s="24" t="s">
        <v>23</v>
      </c>
      <c r="B4553" s="24" t="s">
        <v>4126</v>
      </c>
      <c r="C4553" s="12" t="s">
        <v>4129</v>
      </c>
      <c r="D4553" s="60"/>
      <c r="E4553" s="41" t="str">
        <f t="shared" si="164"/>
        <v>Еще фото</v>
      </c>
      <c r="F4553" s="13" t="s">
        <v>152</v>
      </c>
      <c r="G4553" s="24" t="s">
        <v>3604</v>
      </c>
      <c r="H4553" s="24" t="s">
        <v>27</v>
      </c>
      <c r="I4553" s="24" t="s">
        <v>3599</v>
      </c>
      <c r="J4553" s="14" t="s">
        <v>43</v>
      </c>
      <c r="K4553" s="15" t="s">
        <v>30</v>
      </c>
      <c r="L4553" s="62"/>
      <c r="M4553" s="14"/>
      <c r="N4553" s="14" t="s">
        <v>62</v>
      </c>
      <c r="O4553" s="14"/>
      <c r="P4553" s="15" t="s">
        <v>2951</v>
      </c>
      <c r="Q4553" s="16">
        <v>5599</v>
      </c>
      <c r="R4553" s="17">
        <v>40</v>
      </c>
      <c r="S4553" s="18">
        <v>3863.31</v>
      </c>
      <c r="T4553" s="19" t="s">
        <v>36</v>
      </c>
      <c r="U4553" s="20" t="s">
        <v>39</v>
      </c>
      <c r="V4553" s="21" t="s">
        <v>40</v>
      </c>
      <c r="W4553" s="22">
        <v>5</v>
      </c>
      <c r="X4553" s="23"/>
    </row>
    <row r="4554" spans="1:24" s="1" customFormat="1" ht="17" customHeight="1" x14ac:dyDescent="0.3">
      <c r="A4554" s="24" t="s">
        <v>23</v>
      </c>
      <c r="B4554" s="24" t="s">
        <v>4126</v>
      </c>
      <c r="C4554" s="12" t="s">
        <v>4129</v>
      </c>
      <c r="D4554" s="60"/>
      <c r="E4554" s="41" t="str">
        <f t="shared" si="164"/>
        <v>Еще фото</v>
      </c>
      <c r="F4554" s="13" t="s">
        <v>152</v>
      </c>
      <c r="G4554" s="24" t="s">
        <v>3604</v>
      </c>
      <c r="H4554" s="24" t="s">
        <v>27</v>
      </c>
      <c r="I4554" s="24" t="s">
        <v>3599</v>
      </c>
      <c r="J4554" s="14" t="s">
        <v>43</v>
      </c>
      <c r="K4554" s="15" t="s">
        <v>30</v>
      </c>
      <c r="L4554" s="62"/>
      <c r="M4554" s="14"/>
      <c r="N4554" s="14" t="s">
        <v>62</v>
      </c>
      <c r="O4554" s="14"/>
      <c r="P4554" s="15" t="s">
        <v>2951</v>
      </c>
      <c r="Q4554" s="16">
        <v>5599</v>
      </c>
      <c r="R4554" s="17">
        <v>40</v>
      </c>
      <c r="S4554" s="18">
        <v>3863.31</v>
      </c>
      <c r="T4554" s="19" t="s">
        <v>36</v>
      </c>
      <c r="U4554" s="20" t="s">
        <v>86</v>
      </c>
      <c r="V4554" s="21" t="s">
        <v>87</v>
      </c>
      <c r="W4554" s="22">
        <v>6</v>
      </c>
      <c r="X4554" s="23"/>
    </row>
    <row r="4555" spans="1:24" s="1" customFormat="1" ht="17" customHeight="1" x14ac:dyDescent="0.3">
      <c r="A4555" s="24" t="s">
        <v>23</v>
      </c>
      <c r="B4555" s="24" t="s">
        <v>4126</v>
      </c>
      <c r="C4555" s="12" t="s">
        <v>4129</v>
      </c>
      <c r="D4555" s="60"/>
      <c r="E4555" s="41" t="str">
        <f t="shared" si="164"/>
        <v>Еще фото</v>
      </c>
      <c r="F4555" s="13" t="s">
        <v>152</v>
      </c>
      <c r="G4555" s="24" t="s">
        <v>3604</v>
      </c>
      <c r="H4555" s="24" t="s">
        <v>27</v>
      </c>
      <c r="I4555" s="24" t="s">
        <v>3599</v>
      </c>
      <c r="J4555" s="14" t="s">
        <v>43</v>
      </c>
      <c r="K4555" s="15" t="s">
        <v>30</v>
      </c>
      <c r="L4555" s="62"/>
      <c r="M4555" s="14"/>
      <c r="N4555" s="14" t="s">
        <v>62</v>
      </c>
      <c r="O4555" s="14"/>
      <c r="P4555" s="15" t="s">
        <v>2951</v>
      </c>
      <c r="Q4555" s="16">
        <v>5599</v>
      </c>
      <c r="R4555" s="17">
        <v>40</v>
      </c>
      <c r="S4555" s="18">
        <v>3863.31</v>
      </c>
      <c r="T4555" s="19" t="s">
        <v>36</v>
      </c>
      <c r="U4555" s="20" t="s">
        <v>88</v>
      </c>
      <c r="V4555" s="21" t="s">
        <v>89</v>
      </c>
      <c r="W4555" s="22">
        <v>6</v>
      </c>
      <c r="X4555" s="23"/>
    </row>
    <row r="4556" spans="1:24" s="1" customFormat="1" ht="22.05" customHeight="1" x14ac:dyDescent="0.3">
      <c r="A4556" s="24" t="s">
        <v>23</v>
      </c>
      <c r="B4556" s="24" t="s">
        <v>4126</v>
      </c>
      <c r="C4556" s="12" t="s">
        <v>4129</v>
      </c>
      <c r="D4556" s="61"/>
      <c r="E4556" s="41" t="str">
        <f t="shared" si="164"/>
        <v>Еще фото</v>
      </c>
      <c r="F4556" s="13" t="s">
        <v>152</v>
      </c>
      <c r="G4556" s="24" t="s">
        <v>3604</v>
      </c>
      <c r="H4556" s="24" t="s">
        <v>27</v>
      </c>
      <c r="I4556" s="24" t="s">
        <v>3599</v>
      </c>
      <c r="J4556" s="14" t="s">
        <v>43</v>
      </c>
      <c r="K4556" s="15" t="s">
        <v>30</v>
      </c>
      <c r="L4556" s="58"/>
      <c r="M4556" s="14"/>
      <c r="N4556" s="14" t="s">
        <v>62</v>
      </c>
      <c r="O4556" s="14"/>
      <c r="P4556" s="15" t="s">
        <v>2951</v>
      </c>
      <c r="Q4556" s="16">
        <v>5599</v>
      </c>
      <c r="R4556" s="17">
        <v>40</v>
      </c>
      <c r="S4556" s="18">
        <v>3863.31</v>
      </c>
      <c r="T4556" s="19" t="s">
        <v>36</v>
      </c>
      <c r="U4556" s="20" t="s">
        <v>90</v>
      </c>
      <c r="V4556" s="21" t="s">
        <v>91</v>
      </c>
      <c r="W4556" s="22">
        <v>1</v>
      </c>
      <c r="X4556" s="23"/>
    </row>
    <row r="4557" spans="1:24" s="1" customFormat="1" ht="17" customHeight="1" x14ac:dyDescent="0.3">
      <c r="A4557" s="11" t="s">
        <v>23</v>
      </c>
      <c r="B4557" s="11" t="s">
        <v>4126</v>
      </c>
      <c r="C4557" s="12" t="s">
        <v>4130</v>
      </c>
      <c r="D4557" s="59"/>
      <c r="E4557" s="41" t="str">
        <f t="shared" ref="E4557:E4562" si="165">HYPERLINK("https://www.google.ru/search?q=1389147-498&amp;newwindow=1&amp;tbm=isch","Еще фото")</f>
        <v>Еще фото</v>
      </c>
      <c r="F4557" s="13" t="s">
        <v>103</v>
      </c>
      <c r="G4557" s="11" t="s">
        <v>3604</v>
      </c>
      <c r="H4557" s="11" t="s">
        <v>27</v>
      </c>
      <c r="I4557" s="14" t="s">
        <v>3599</v>
      </c>
      <c r="J4557" s="14" t="s">
        <v>43</v>
      </c>
      <c r="K4557" s="15" t="s">
        <v>30</v>
      </c>
      <c r="L4557" s="57" t="s">
        <v>4128</v>
      </c>
      <c r="M4557" s="14"/>
      <c r="N4557" s="14" t="s">
        <v>115</v>
      </c>
      <c r="O4557" s="14"/>
      <c r="P4557" s="15" t="s">
        <v>2951</v>
      </c>
      <c r="Q4557" s="16">
        <v>5599</v>
      </c>
      <c r="R4557" s="17">
        <v>40</v>
      </c>
      <c r="S4557" s="18">
        <v>3863.31</v>
      </c>
      <c r="T4557" s="19" t="s">
        <v>36</v>
      </c>
      <c r="U4557" s="20" t="s">
        <v>63</v>
      </c>
      <c r="V4557" s="21" t="s">
        <v>85</v>
      </c>
      <c r="W4557" s="22">
        <v>3</v>
      </c>
      <c r="X4557" s="23"/>
    </row>
    <row r="4558" spans="1:24" s="1" customFormat="1" ht="17" customHeight="1" x14ac:dyDescent="0.3">
      <c r="A4558" s="24" t="s">
        <v>23</v>
      </c>
      <c r="B4558" s="24" t="s">
        <v>4126</v>
      </c>
      <c r="C4558" s="12" t="s">
        <v>4130</v>
      </c>
      <c r="D4558" s="60"/>
      <c r="E4558" s="41" t="str">
        <f t="shared" si="165"/>
        <v>Еще фото</v>
      </c>
      <c r="F4558" s="13" t="s">
        <v>103</v>
      </c>
      <c r="G4558" s="24" t="s">
        <v>3604</v>
      </c>
      <c r="H4558" s="24" t="s">
        <v>27</v>
      </c>
      <c r="I4558" s="24" t="s">
        <v>3599</v>
      </c>
      <c r="J4558" s="14" t="s">
        <v>43</v>
      </c>
      <c r="K4558" s="15" t="s">
        <v>30</v>
      </c>
      <c r="L4558" s="62"/>
      <c r="M4558" s="14"/>
      <c r="N4558" s="14" t="s">
        <v>115</v>
      </c>
      <c r="O4558" s="14"/>
      <c r="P4558" s="15" t="s">
        <v>2951</v>
      </c>
      <c r="Q4558" s="16">
        <v>5599</v>
      </c>
      <c r="R4558" s="17">
        <v>40</v>
      </c>
      <c r="S4558" s="18">
        <v>3863.31</v>
      </c>
      <c r="T4558" s="19" t="s">
        <v>36</v>
      </c>
      <c r="U4558" s="20" t="s">
        <v>37</v>
      </c>
      <c r="V4558" s="21" t="s">
        <v>38</v>
      </c>
      <c r="W4558" s="22">
        <v>8</v>
      </c>
      <c r="X4558" s="23"/>
    </row>
    <row r="4559" spans="1:24" s="1" customFormat="1" ht="17" customHeight="1" x14ac:dyDescent="0.3">
      <c r="A4559" s="24" t="s">
        <v>23</v>
      </c>
      <c r="B4559" s="24" t="s">
        <v>4126</v>
      </c>
      <c r="C4559" s="12" t="s">
        <v>4130</v>
      </c>
      <c r="D4559" s="60"/>
      <c r="E4559" s="41" t="str">
        <f t="shared" si="165"/>
        <v>Еще фото</v>
      </c>
      <c r="F4559" s="13" t="s">
        <v>103</v>
      </c>
      <c r="G4559" s="24" t="s">
        <v>3604</v>
      </c>
      <c r="H4559" s="24" t="s">
        <v>27</v>
      </c>
      <c r="I4559" s="24" t="s">
        <v>3599</v>
      </c>
      <c r="J4559" s="14" t="s">
        <v>43</v>
      </c>
      <c r="K4559" s="15" t="s">
        <v>30</v>
      </c>
      <c r="L4559" s="62"/>
      <c r="M4559" s="14"/>
      <c r="N4559" s="14" t="s">
        <v>115</v>
      </c>
      <c r="O4559" s="14"/>
      <c r="P4559" s="15" t="s">
        <v>2951</v>
      </c>
      <c r="Q4559" s="16">
        <v>5599</v>
      </c>
      <c r="R4559" s="17">
        <v>40</v>
      </c>
      <c r="S4559" s="18">
        <v>3863.31</v>
      </c>
      <c r="T4559" s="19" t="s">
        <v>36</v>
      </c>
      <c r="U4559" s="20" t="s">
        <v>39</v>
      </c>
      <c r="V4559" s="21" t="s">
        <v>40</v>
      </c>
      <c r="W4559" s="22">
        <v>15</v>
      </c>
      <c r="X4559" s="23"/>
    </row>
    <row r="4560" spans="1:24" s="1" customFormat="1" ht="17" customHeight="1" x14ac:dyDescent="0.3">
      <c r="A4560" s="24" t="s">
        <v>23</v>
      </c>
      <c r="B4560" s="24" t="s">
        <v>4126</v>
      </c>
      <c r="C4560" s="12" t="s">
        <v>4130</v>
      </c>
      <c r="D4560" s="60"/>
      <c r="E4560" s="41" t="str">
        <f t="shared" si="165"/>
        <v>Еще фото</v>
      </c>
      <c r="F4560" s="13" t="s">
        <v>103</v>
      </c>
      <c r="G4560" s="24" t="s">
        <v>3604</v>
      </c>
      <c r="H4560" s="24" t="s">
        <v>27</v>
      </c>
      <c r="I4560" s="24" t="s">
        <v>3599</v>
      </c>
      <c r="J4560" s="14" t="s">
        <v>43</v>
      </c>
      <c r="K4560" s="15" t="s">
        <v>30</v>
      </c>
      <c r="L4560" s="62"/>
      <c r="M4560" s="14"/>
      <c r="N4560" s="14" t="s">
        <v>115</v>
      </c>
      <c r="O4560" s="14"/>
      <c r="P4560" s="15" t="s">
        <v>2951</v>
      </c>
      <c r="Q4560" s="16">
        <v>5599</v>
      </c>
      <c r="R4560" s="17">
        <v>40</v>
      </c>
      <c r="S4560" s="18">
        <v>3863.31</v>
      </c>
      <c r="T4560" s="19" t="s">
        <v>36</v>
      </c>
      <c r="U4560" s="20" t="s">
        <v>86</v>
      </c>
      <c r="V4560" s="21" t="s">
        <v>87</v>
      </c>
      <c r="W4560" s="22">
        <v>10</v>
      </c>
      <c r="X4560" s="23"/>
    </row>
    <row r="4561" spans="1:24" s="1" customFormat="1" ht="17" customHeight="1" x14ac:dyDescent="0.3">
      <c r="A4561" s="24" t="s">
        <v>23</v>
      </c>
      <c r="B4561" s="24" t="s">
        <v>4126</v>
      </c>
      <c r="C4561" s="12" t="s">
        <v>4130</v>
      </c>
      <c r="D4561" s="60"/>
      <c r="E4561" s="41" t="str">
        <f t="shared" si="165"/>
        <v>Еще фото</v>
      </c>
      <c r="F4561" s="13" t="s">
        <v>103</v>
      </c>
      <c r="G4561" s="24" t="s">
        <v>3604</v>
      </c>
      <c r="H4561" s="24" t="s">
        <v>27</v>
      </c>
      <c r="I4561" s="24" t="s">
        <v>3599</v>
      </c>
      <c r="J4561" s="14" t="s">
        <v>43</v>
      </c>
      <c r="K4561" s="15" t="s">
        <v>30</v>
      </c>
      <c r="L4561" s="62"/>
      <c r="M4561" s="14"/>
      <c r="N4561" s="14" t="s">
        <v>115</v>
      </c>
      <c r="O4561" s="14"/>
      <c r="P4561" s="15" t="s">
        <v>2951</v>
      </c>
      <c r="Q4561" s="16">
        <v>5599</v>
      </c>
      <c r="R4561" s="17">
        <v>40</v>
      </c>
      <c r="S4561" s="18">
        <v>3863.31</v>
      </c>
      <c r="T4561" s="19" t="s">
        <v>36</v>
      </c>
      <c r="U4561" s="20" t="s">
        <v>88</v>
      </c>
      <c r="V4561" s="21" t="s">
        <v>89</v>
      </c>
      <c r="W4561" s="22">
        <v>4</v>
      </c>
      <c r="X4561" s="23"/>
    </row>
    <row r="4562" spans="1:24" s="1" customFormat="1" ht="22.05" customHeight="1" x14ac:dyDescent="0.3">
      <c r="A4562" s="24" t="s">
        <v>23</v>
      </c>
      <c r="B4562" s="24" t="s">
        <v>4126</v>
      </c>
      <c r="C4562" s="12" t="s">
        <v>4130</v>
      </c>
      <c r="D4562" s="61"/>
      <c r="E4562" s="41" t="str">
        <f t="shared" si="165"/>
        <v>Еще фото</v>
      </c>
      <c r="F4562" s="13" t="s">
        <v>103</v>
      </c>
      <c r="G4562" s="24" t="s">
        <v>3604</v>
      </c>
      <c r="H4562" s="24" t="s">
        <v>27</v>
      </c>
      <c r="I4562" s="24" t="s">
        <v>3599</v>
      </c>
      <c r="J4562" s="14" t="s">
        <v>43</v>
      </c>
      <c r="K4562" s="15" t="s">
        <v>30</v>
      </c>
      <c r="L4562" s="58"/>
      <c r="M4562" s="14"/>
      <c r="N4562" s="14" t="s">
        <v>115</v>
      </c>
      <c r="O4562" s="14"/>
      <c r="P4562" s="15" t="s">
        <v>2951</v>
      </c>
      <c r="Q4562" s="16">
        <v>5599</v>
      </c>
      <c r="R4562" s="17">
        <v>40</v>
      </c>
      <c r="S4562" s="18">
        <v>3863.31</v>
      </c>
      <c r="T4562" s="19" t="s">
        <v>36</v>
      </c>
      <c r="U4562" s="20" t="s">
        <v>90</v>
      </c>
      <c r="V4562" s="21" t="s">
        <v>91</v>
      </c>
      <c r="W4562" s="22">
        <v>3</v>
      </c>
      <c r="X4562" s="23"/>
    </row>
    <row r="4563" spans="1:24" s="1" customFormat="1" ht="17" customHeight="1" x14ac:dyDescent="0.3">
      <c r="A4563" s="11" t="s">
        <v>23</v>
      </c>
      <c r="B4563" s="11" t="s">
        <v>4126</v>
      </c>
      <c r="C4563" s="12" t="s">
        <v>4131</v>
      </c>
      <c r="D4563" s="59"/>
      <c r="E4563" s="41" t="str">
        <f t="shared" ref="E4563:E4568" si="166">HYPERLINK("https://www.google.ru/search?q=1389147-919&amp;newwindow=1&amp;tbm=isch","Еще фото")</f>
        <v>Еще фото</v>
      </c>
      <c r="F4563" s="13" t="s">
        <v>103</v>
      </c>
      <c r="G4563" s="11" t="s">
        <v>3604</v>
      </c>
      <c r="H4563" s="11" t="s">
        <v>27</v>
      </c>
      <c r="I4563" s="14" t="s">
        <v>3599</v>
      </c>
      <c r="J4563" s="14" t="s">
        <v>43</v>
      </c>
      <c r="K4563" s="15" t="s">
        <v>30</v>
      </c>
      <c r="L4563" s="57" t="s">
        <v>4128</v>
      </c>
      <c r="M4563" s="14"/>
      <c r="N4563" s="14" t="s">
        <v>127</v>
      </c>
      <c r="O4563" s="14"/>
      <c r="P4563" s="15" t="s">
        <v>2951</v>
      </c>
      <c r="Q4563" s="16">
        <v>5599</v>
      </c>
      <c r="R4563" s="17">
        <v>40</v>
      </c>
      <c r="S4563" s="18">
        <v>3863.31</v>
      </c>
      <c r="T4563" s="19" t="s">
        <v>36</v>
      </c>
      <c r="U4563" s="20" t="s">
        <v>63</v>
      </c>
      <c r="V4563" s="21" t="s">
        <v>85</v>
      </c>
      <c r="W4563" s="22">
        <v>3</v>
      </c>
      <c r="X4563" s="23"/>
    </row>
    <row r="4564" spans="1:24" s="1" customFormat="1" ht="17" customHeight="1" x14ac:dyDescent="0.3">
      <c r="A4564" s="24" t="s">
        <v>23</v>
      </c>
      <c r="B4564" s="24" t="s">
        <v>4126</v>
      </c>
      <c r="C4564" s="12" t="s">
        <v>4131</v>
      </c>
      <c r="D4564" s="60"/>
      <c r="E4564" s="41" t="str">
        <f t="shared" si="166"/>
        <v>Еще фото</v>
      </c>
      <c r="F4564" s="13" t="s">
        <v>103</v>
      </c>
      <c r="G4564" s="24" t="s">
        <v>3604</v>
      </c>
      <c r="H4564" s="24" t="s">
        <v>27</v>
      </c>
      <c r="I4564" s="24" t="s">
        <v>3599</v>
      </c>
      <c r="J4564" s="14" t="s">
        <v>43</v>
      </c>
      <c r="K4564" s="15" t="s">
        <v>30</v>
      </c>
      <c r="L4564" s="62"/>
      <c r="M4564" s="14"/>
      <c r="N4564" s="14" t="s">
        <v>127</v>
      </c>
      <c r="O4564" s="14"/>
      <c r="P4564" s="15" t="s">
        <v>2951</v>
      </c>
      <c r="Q4564" s="16">
        <v>5599</v>
      </c>
      <c r="R4564" s="17">
        <v>40</v>
      </c>
      <c r="S4564" s="18">
        <v>3863.31</v>
      </c>
      <c r="T4564" s="19" t="s">
        <v>36</v>
      </c>
      <c r="U4564" s="20" t="s">
        <v>37</v>
      </c>
      <c r="V4564" s="21" t="s">
        <v>38</v>
      </c>
      <c r="W4564" s="22">
        <v>2</v>
      </c>
      <c r="X4564" s="23"/>
    </row>
    <row r="4565" spans="1:24" s="1" customFormat="1" ht="17" customHeight="1" x14ac:dyDescent="0.3">
      <c r="A4565" s="24" t="s">
        <v>23</v>
      </c>
      <c r="B4565" s="24" t="s">
        <v>4126</v>
      </c>
      <c r="C4565" s="12" t="s">
        <v>4131</v>
      </c>
      <c r="D4565" s="60"/>
      <c r="E4565" s="41" t="str">
        <f t="shared" si="166"/>
        <v>Еще фото</v>
      </c>
      <c r="F4565" s="13" t="s">
        <v>103</v>
      </c>
      <c r="G4565" s="24" t="s">
        <v>3604</v>
      </c>
      <c r="H4565" s="24" t="s">
        <v>27</v>
      </c>
      <c r="I4565" s="24" t="s">
        <v>3599</v>
      </c>
      <c r="J4565" s="14" t="s">
        <v>43</v>
      </c>
      <c r="K4565" s="15" t="s">
        <v>30</v>
      </c>
      <c r="L4565" s="62"/>
      <c r="M4565" s="14"/>
      <c r="N4565" s="14" t="s">
        <v>127</v>
      </c>
      <c r="O4565" s="14"/>
      <c r="P4565" s="15" t="s">
        <v>2951</v>
      </c>
      <c r="Q4565" s="16">
        <v>5599</v>
      </c>
      <c r="R4565" s="17">
        <v>40</v>
      </c>
      <c r="S4565" s="18">
        <v>3863.31</v>
      </c>
      <c r="T4565" s="19" t="s">
        <v>36</v>
      </c>
      <c r="U4565" s="20" t="s">
        <v>39</v>
      </c>
      <c r="V4565" s="21" t="s">
        <v>40</v>
      </c>
      <c r="W4565" s="22">
        <v>4</v>
      </c>
      <c r="X4565" s="23"/>
    </row>
    <row r="4566" spans="1:24" s="1" customFormat="1" ht="17" customHeight="1" x14ac:dyDescent="0.3">
      <c r="A4566" s="24" t="s">
        <v>23</v>
      </c>
      <c r="B4566" s="24" t="s">
        <v>4126</v>
      </c>
      <c r="C4566" s="12" t="s">
        <v>4131</v>
      </c>
      <c r="D4566" s="60"/>
      <c r="E4566" s="41" t="str">
        <f t="shared" si="166"/>
        <v>Еще фото</v>
      </c>
      <c r="F4566" s="13" t="s">
        <v>103</v>
      </c>
      <c r="G4566" s="24" t="s">
        <v>3604</v>
      </c>
      <c r="H4566" s="24" t="s">
        <v>27</v>
      </c>
      <c r="I4566" s="24" t="s">
        <v>3599</v>
      </c>
      <c r="J4566" s="14" t="s">
        <v>43</v>
      </c>
      <c r="K4566" s="15" t="s">
        <v>30</v>
      </c>
      <c r="L4566" s="62"/>
      <c r="M4566" s="14"/>
      <c r="N4566" s="14" t="s">
        <v>127</v>
      </c>
      <c r="O4566" s="14"/>
      <c r="P4566" s="15" t="s">
        <v>2951</v>
      </c>
      <c r="Q4566" s="16">
        <v>5599</v>
      </c>
      <c r="R4566" s="17">
        <v>40</v>
      </c>
      <c r="S4566" s="18">
        <v>3863.31</v>
      </c>
      <c r="T4566" s="19" t="s">
        <v>36</v>
      </c>
      <c r="U4566" s="20" t="s">
        <v>86</v>
      </c>
      <c r="V4566" s="21" t="s">
        <v>87</v>
      </c>
      <c r="W4566" s="22">
        <v>9</v>
      </c>
      <c r="X4566" s="23"/>
    </row>
    <row r="4567" spans="1:24" s="1" customFormat="1" ht="17" customHeight="1" x14ac:dyDescent="0.3">
      <c r="A4567" s="24" t="s">
        <v>23</v>
      </c>
      <c r="B4567" s="24" t="s">
        <v>4126</v>
      </c>
      <c r="C4567" s="12" t="s">
        <v>4131</v>
      </c>
      <c r="D4567" s="60"/>
      <c r="E4567" s="41" t="str">
        <f t="shared" si="166"/>
        <v>Еще фото</v>
      </c>
      <c r="F4567" s="13" t="s">
        <v>103</v>
      </c>
      <c r="G4567" s="24" t="s">
        <v>3604</v>
      </c>
      <c r="H4567" s="24" t="s">
        <v>27</v>
      </c>
      <c r="I4567" s="24" t="s">
        <v>3599</v>
      </c>
      <c r="J4567" s="14" t="s">
        <v>43</v>
      </c>
      <c r="K4567" s="15" t="s">
        <v>30</v>
      </c>
      <c r="L4567" s="62"/>
      <c r="M4567" s="14"/>
      <c r="N4567" s="14" t="s">
        <v>127</v>
      </c>
      <c r="O4567" s="14"/>
      <c r="P4567" s="15" t="s">
        <v>2951</v>
      </c>
      <c r="Q4567" s="16">
        <v>5599</v>
      </c>
      <c r="R4567" s="17">
        <v>40</v>
      </c>
      <c r="S4567" s="18">
        <v>3863.31</v>
      </c>
      <c r="T4567" s="19" t="s">
        <v>36</v>
      </c>
      <c r="U4567" s="20" t="s">
        <v>88</v>
      </c>
      <c r="V4567" s="21" t="s">
        <v>89</v>
      </c>
      <c r="W4567" s="22">
        <v>14</v>
      </c>
      <c r="X4567" s="23"/>
    </row>
    <row r="4568" spans="1:24" s="1" customFormat="1" ht="22.05" customHeight="1" x14ac:dyDescent="0.3">
      <c r="A4568" s="24" t="s">
        <v>23</v>
      </c>
      <c r="B4568" s="24" t="s">
        <v>4126</v>
      </c>
      <c r="C4568" s="12" t="s">
        <v>4131</v>
      </c>
      <c r="D4568" s="61"/>
      <c r="E4568" s="41" t="str">
        <f t="shared" si="166"/>
        <v>Еще фото</v>
      </c>
      <c r="F4568" s="13" t="s">
        <v>103</v>
      </c>
      <c r="G4568" s="24" t="s">
        <v>3604</v>
      </c>
      <c r="H4568" s="24" t="s">
        <v>27</v>
      </c>
      <c r="I4568" s="24" t="s">
        <v>3599</v>
      </c>
      <c r="J4568" s="14" t="s">
        <v>43</v>
      </c>
      <c r="K4568" s="15" t="s">
        <v>30</v>
      </c>
      <c r="L4568" s="58"/>
      <c r="M4568" s="14"/>
      <c r="N4568" s="14" t="s">
        <v>127</v>
      </c>
      <c r="O4568" s="14"/>
      <c r="P4568" s="15" t="s">
        <v>2951</v>
      </c>
      <c r="Q4568" s="16">
        <v>5599</v>
      </c>
      <c r="R4568" s="17">
        <v>40</v>
      </c>
      <c r="S4568" s="18">
        <v>3863.31</v>
      </c>
      <c r="T4568" s="19" t="s">
        <v>36</v>
      </c>
      <c r="U4568" s="20" t="s">
        <v>90</v>
      </c>
      <c r="V4568" s="21" t="s">
        <v>91</v>
      </c>
      <c r="W4568" s="22">
        <v>3</v>
      </c>
      <c r="X4568" s="23"/>
    </row>
    <row r="4569" spans="1:24" s="1" customFormat="1" ht="108" customHeight="1" x14ac:dyDescent="0.3">
      <c r="A4569" s="11" t="s">
        <v>23</v>
      </c>
      <c r="B4569" s="11" t="s">
        <v>4132</v>
      </c>
      <c r="C4569" s="12" t="s">
        <v>4133</v>
      </c>
      <c r="D4569" s="25"/>
      <c r="E4569" s="41" t="str">
        <f>HYPERLINK("https://www.google.ru/search?q=1389700-001&amp;newwindow=1&amp;tbm=isch","Еще фото")</f>
        <v>Еще фото</v>
      </c>
      <c r="F4569" s="13" t="s">
        <v>152</v>
      </c>
      <c r="G4569" s="11" t="s">
        <v>3615</v>
      </c>
      <c r="H4569" s="11" t="s">
        <v>27</v>
      </c>
      <c r="I4569" s="14" t="s">
        <v>3599</v>
      </c>
      <c r="J4569" s="14" t="s">
        <v>43</v>
      </c>
      <c r="K4569" s="15" t="s">
        <v>59</v>
      </c>
      <c r="L4569" s="14" t="s">
        <v>4134</v>
      </c>
      <c r="M4569" s="14"/>
      <c r="N4569" s="14" t="s">
        <v>33</v>
      </c>
      <c r="O4569" s="14"/>
      <c r="P4569" s="15" t="s">
        <v>4135</v>
      </c>
      <c r="Q4569" s="16">
        <v>9199</v>
      </c>
      <c r="R4569" s="17">
        <v>40</v>
      </c>
      <c r="S4569" s="18">
        <v>6347.3099999999995</v>
      </c>
      <c r="T4569" s="19" t="s">
        <v>36</v>
      </c>
      <c r="U4569" s="20" t="s">
        <v>37</v>
      </c>
      <c r="V4569" s="21" t="s">
        <v>106</v>
      </c>
      <c r="W4569" s="22">
        <v>1</v>
      </c>
      <c r="X4569" s="23"/>
    </row>
    <row r="4570" spans="1:24" s="1" customFormat="1" ht="35" customHeight="1" x14ac:dyDescent="0.3">
      <c r="A4570" s="11" t="s">
        <v>23</v>
      </c>
      <c r="B4570" s="11" t="s">
        <v>4136</v>
      </c>
      <c r="C4570" s="12" t="s">
        <v>4137</v>
      </c>
      <c r="D4570" s="59"/>
      <c r="E4570" s="41" t="str">
        <f>HYPERLINK("https://www.google.ru/search?q=1389705-001&amp;newwindow=1&amp;tbm=isch","Еще фото")</f>
        <v>Еще фото</v>
      </c>
      <c r="F4570" s="13"/>
      <c r="G4570" s="11" t="s">
        <v>3598</v>
      </c>
      <c r="H4570" s="11" t="s">
        <v>27</v>
      </c>
      <c r="I4570" s="14" t="s">
        <v>3599</v>
      </c>
      <c r="J4570" s="14" t="s">
        <v>29</v>
      </c>
      <c r="K4570" s="15" t="s">
        <v>59</v>
      </c>
      <c r="L4570" s="57" t="s">
        <v>4138</v>
      </c>
      <c r="M4570" s="14"/>
      <c r="N4570" s="14" t="s">
        <v>33</v>
      </c>
      <c r="O4570" s="14"/>
      <c r="P4570" s="15" t="s">
        <v>4135</v>
      </c>
      <c r="Q4570" s="16">
        <v>7899</v>
      </c>
      <c r="R4570" s="17">
        <v>40</v>
      </c>
      <c r="S4570" s="18">
        <v>5450.3099999999995</v>
      </c>
      <c r="T4570" s="19" t="s">
        <v>36</v>
      </c>
      <c r="U4570" s="20" t="s">
        <v>63</v>
      </c>
      <c r="V4570" s="21" t="s">
        <v>64</v>
      </c>
      <c r="W4570" s="22">
        <v>1</v>
      </c>
      <c r="X4570" s="23"/>
    </row>
    <row r="4571" spans="1:24" s="1" customFormat="1" ht="35" customHeight="1" x14ac:dyDescent="0.3">
      <c r="A4571" s="24" t="s">
        <v>23</v>
      </c>
      <c r="B4571" s="24" t="s">
        <v>4136</v>
      </c>
      <c r="C4571" s="12" t="s">
        <v>4137</v>
      </c>
      <c r="D4571" s="60"/>
      <c r="E4571" s="41" t="str">
        <f>HYPERLINK("https://www.google.ru/search?q=1389705-001&amp;newwindow=1&amp;tbm=isch","Еще фото")</f>
        <v>Еще фото</v>
      </c>
      <c r="F4571" s="13"/>
      <c r="G4571" s="24" t="s">
        <v>3598</v>
      </c>
      <c r="H4571" s="24" t="s">
        <v>27</v>
      </c>
      <c r="I4571" s="24" t="s">
        <v>3599</v>
      </c>
      <c r="J4571" s="14" t="s">
        <v>29</v>
      </c>
      <c r="K4571" s="15" t="s">
        <v>59</v>
      </c>
      <c r="L4571" s="62"/>
      <c r="M4571" s="14"/>
      <c r="N4571" s="14" t="s">
        <v>33</v>
      </c>
      <c r="O4571" s="14"/>
      <c r="P4571" s="15" t="s">
        <v>4135</v>
      </c>
      <c r="Q4571" s="16">
        <v>7899</v>
      </c>
      <c r="R4571" s="17">
        <v>40</v>
      </c>
      <c r="S4571" s="18">
        <v>5450.3099999999995</v>
      </c>
      <c r="T4571" s="19" t="s">
        <v>36</v>
      </c>
      <c r="U4571" s="20" t="s">
        <v>37</v>
      </c>
      <c r="V4571" s="21" t="s">
        <v>106</v>
      </c>
      <c r="W4571" s="22">
        <v>1</v>
      </c>
      <c r="X4571" s="23"/>
    </row>
    <row r="4572" spans="1:24" s="1" customFormat="1" ht="37.049999999999997" customHeight="1" x14ac:dyDescent="0.3">
      <c r="A4572" s="24" t="s">
        <v>23</v>
      </c>
      <c r="B4572" s="24" t="s">
        <v>4136</v>
      </c>
      <c r="C4572" s="12" t="s">
        <v>4137</v>
      </c>
      <c r="D4572" s="61"/>
      <c r="E4572" s="41" t="str">
        <f>HYPERLINK("https://www.google.ru/search?q=1389705-001&amp;newwindow=1&amp;tbm=isch","Еще фото")</f>
        <v>Еще фото</v>
      </c>
      <c r="F4572" s="13"/>
      <c r="G4572" s="24" t="s">
        <v>3598</v>
      </c>
      <c r="H4572" s="24" t="s">
        <v>27</v>
      </c>
      <c r="I4572" s="24" t="s">
        <v>3599</v>
      </c>
      <c r="J4572" s="14" t="s">
        <v>29</v>
      </c>
      <c r="K4572" s="15" t="s">
        <v>59</v>
      </c>
      <c r="L4572" s="58"/>
      <c r="M4572" s="14"/>
      <c r="N4572" s="14" t="s">
        <v>33</v>
      </c>
      <c r="O4572" s="14"/>
      <c r="P4572" s="15" t="s">
        <v>4135</v>
      </c>
      <c r="Q4572" s="16">
        <v>7899</v>
      </c>
      <c r="R4572" s="17">
        <v>40</v>
      </c>
      <c r="S4572" s="18">
        <v>5450.3099999999995</v>
      </c>
      <c r="T4572" s="19" t="s">
        <v>36</v>
      </c>
      <c r="U4572" s="20" t="s">
        <v>86</v>
      </c>
      <c r="V4572" s="21" t="s">
        <v>38</v>
      </c>
      <c r="W4572" s="22">
        <v>1</v>
      </c>
      <c r="X4572" s="23"/>
    </row>
    <row r="4573" spans="1:24" s="1" customFormat="1" ht="108" customHeight="1" x14ac:dyDescent="0.3">
      <c r="A4573" s="11" t="s">
        <v>23</v>
      </c>
      <c r="B4573" s="11" t="s">
        <v>4139</v>
      </c>
      <c r="C4573" s="12" t="s">
        <v>4140</v>
      </c>
      <c r="D4573" s="25"/>
      <c r="E4573" s="41" t="str">
        <f>HYPERLINK("https://www.google.ru/search?q=1389707-299&amp;newwindow=1&amp;tbm=isch","Еще фото")</f>
        <v>Еще фото</v>
      </c>
      <c r="F4573" s="13"/>
      <c r="G4573" s="11" t="s">
        <v>3609</v>
      </c>
      <c r="H4573" s="11" t="s">
        <v>27</v>
      </c>
      <c r="I4573" s="14" t="s">
        <v>3599</v>
      </c>
      <c r="J4573" s="14" t="s">
        <v>29</v>
      </c>
      <c r="K4573" s="15" t="s">
        <v>59</v>
      </c>
      <c r="L4573" s="14" t="s">
        <v>4141</v>
      </c>
      <c r="M4573" s="14"/>
      <c r="N4573" s="14" t="s">
        <v>229</v>
      </c>
      <c r="O4573" s="14"/>
      <c r="P4573" s="15" t="s">
        <v>4142</v>
      </c>
      <c r="Q4573" s="16">
        <v>9199</v>
      </c>
      <c r="R4573" s="17">
        <v>40</v>
      </c>
      <c r="S4573" s="18">
        <v>6347.3099999999995</v>
      </c>
      <c r="T4573" s="19" t="s">
        <v>36</v>
      </c>
      <c r="U4573" s="20" t="s">
        <v>63</v>
      </c>
      <c r="V4573" s="21" t="s">
        <v>64</v>
      </c>
      <c r="W4573" s="22">
        <v>1</v>
      </c>
      <c r="X4573" s="23"/>
    </row>
    <row r="4574" spans="1:24" s="1" customFormat="1" ht="108" customHeight="1" x14ac:dyDescent="0.3">
      <c r="A4574" s="11" t="s">
        <v>23</v>
      </c>
      <c r="B4574" s="11" t="s">
        <v>4143</v>
      </c>
      <c r="C4574" s="12" t="s">
        <v>4144</v>
      </c>
      <c r="D4574" s="25"/>
      <c r="E4574" s="41" t="str">
        <f>HYPERLINK("https://www.google.ru/search?q=1389827-001&amp;newwindow=1&amp;tbm=isch","Еще фото")</f>
        <v>Еще фото</v>
      </c>
      <c r="F4574" s="13" t="s">
        <v>152</v>
      </c>
      <c r="G4574" s="11" t="s">
        <v>3609</v>
      </c>
      <c r="H4574" s="11" t="s">
        <v>27</v>
      </c>
      <c r="I4574" s="14" t="s">
        <v>3599</v>
      </c>
      <c r="J4574" s="14" t="s">
        <v>29</v>
      </c>
      <c r="K4574" s="15" t="s">
        <v>59</v>
      </c>
      <c r="L4574" s="14" t="s">
        <v>4145</v>
      </c>
      <c r="M4574" s="14"/>
      <c r="N4574" s="14" t="s">
        <v>33</v>
      </c>
      <c r="O4574" s="14"/>
      <c r="P4574" s="15" t="s">
        <v>53</v>
      </c>
      <c r="Q4574" s="16">
        <v>7599</v>
      </c>
      <c r="R4574" s="17">
        <v>40</v>
      </c>
      <c r="S4574" s="18">
        <v>5243.3099999999995</v>
      </c>
      <c r="T4574" s="19" t="s">
        <v>36</v>
      </c>
      <c r="U4574" s="20" t="s">
        <v>4082</v>
      </c>
      <c r="V4574" s="21" t="s">
        <v>4083</v>
      </c>
      <c r="W4574" s="22">
        <v>2</v>
      </c>
      <c r="X4574" s="23"/>
    </row>
    <row r="4575" spans="1:24" s="1" customFormat="1" ht="21" customHeight="1" x14ac:dyDescent="0.3">
      <c r="A4575" s="11" t="s">
        <v>23</v>
      </c>
      <c r="B4575" s="11" t="s">
        <v>4146</v>
      </c>
      <c r="C4575" s="26" t="s">
        <v>4147</v>
      </c>
      <c r="D4575" s="59"/>
      <c r="E4575" s="41" t="str">
        <f>HYPERLINK("https://www.google.ru/search?q=1389846-004&amp;newwindow=1&amp;tbm=isch","Еще фото")</f>
        <v>Еще фото</v>
      </c>
      <c r="F4575" s="13"/>
      <c r="G4575" s="11" t="s">
        <v>3632</v>
      </c>
      <c r="H4575" s="11" t="s">
        <v>27</v>
      </c>
      <c r="I4575" s="14" t="s">
        <v>3599</v>
      </c>
      <c r="J4575" s="14" t="s">
        <v>211</v>
      </c>
      <c r="K4575" s="15" t="s">
        <v>30</v>
      </c>
      <c r="L4575" s="57" t="s">
        <v>4148</v>
      </c>
      <c r="M4575" s="14"/>
      <c r="N4575" s="14" t="s">
        <v>33</v>
      </c>
      <c r="O4575" s="14"/>
      <c r="P4575" s="15" t="s">
        <v>1181</v>
      </c>
      <c r="Q4575" s="16">
        <v>7699</v>
      </c>
      <c r="R4575" s="17">
        <v>40</v>
      </c>
      <c r="S4575" s="18">
        <v>5312.3099999999995</v>
      </c>
      <c r="T4575" s="19" t="s">
        <v>36</v>
      </c>
      <c r="U4575" s="20" t="s">
        <v>37</v>
      </c>
      <c r="V4575" s="21" t="s">
        <v>38</v>
      </c>
      <c r="W4575" s="22">
        <v>9</v>
      </c>
      <c r="X4575" s="23"/>
    </row>
    <row r="4576" spans="1:24" s="1" customFormat="1" ht="21" customHeight="1" x14ac:dyDescent="0.3">
      <c r="A4576" s="24" t="s">
        <v>23</v>
      </c>
      <c r="B4576" s="24" t="s">
        <v>4146</v>
      </c>
      <c r="C4576" s="27" t="s">
        <v>4147</v>
      </c>
      <c r="D4576" s="60"/>
      <c r="E4576" s="41" t="str">
        <f>HYPERLINK("https://www.google.ru/search?q=1389846-004&amp;newwindow=1&amp;tbm=isch","Еще фото")</f>
        <v>Еще фото</v>
      </c>
      <c r="F4576" s="13"/>
      <c r="G4576" s="24" t="s">
        <v>3632</v>
      </c>
      <c r="H4576" s="24" t="s">
        <v>27</v>
      </c>
      <c r="I4576" s="24" t="s">
        <v>3599</v>
      </c>
      <c r="J4576" s="14" t="s">
        <v>211</v>
      </c>
      <c r="K4576" s="15" t="s">
        <v>30</v>
      </c>
      <c r="L4576" s="62"/>
      <c r="M4576" s="14"/>
      <c r="N4576" s="14" t="s">
        <v>33</v>
      </c>
      <c r="O4576" s="14"/>
      <c r="P4576" s="15" t="s">
        <v>1181</v>
      </c>
      <c r="Q4576" s="16">
        <v>7699</v>
      </c>
      <c r="R4576" s="17">
        <v>40</v>
      </c>
      <c r="S4576" s="18">
        <v>5312.3099999999995</v>
      </c>
      <c r="T4576" s="19" t="s">
        <v>36</v>
      </c>
      <c r="U4576" s="20" t="s">
        <v>39</v>
      </c>
      <c r="V4576" s="21" t="s">
        <v>40</v>
      </c>
      <c r="W4576" s="22">
        <v>19</v>
      </c>
      <c r="X4576" s="23"/>
    </row>
    <row r="4577" spans="1:24" s="1" customFormat="1" ht="21" customHeight="1" x14ac:dyDescent="0.3">
      <c r="A4577" s="24" t="s">
        <v>23</v>
      </c>
      <c r="B4577" s="24" t="s">
        <v>4146</v>
      </c>
      <c r="C4577" s="27" t="s">
        <v>4147</v>
      </c>
      <c r="D4577" s="60"/>
      <c r="E4577" s="41" t="str">
        <f>HYPERLINK("https://www.google.ru/search?q=1389846-004&amp;newwindow=1&amp;tbm=isch","Еще фото")</f>
        <v>Еще фото</v>
      </c>
      <c r="F4577" s="13"/>
      <c r="G4577" s="24" t="s">
        <v>3632</v>
      </c>
      <c r="H4577" s="24" t="s">
        <v>27</v>
      </c>
      <c r="I4577" s="24" t="s">
        <v>3599</v>
      </c>
      <c r="J4577" s="14" t="s">
        <v>211</v>
      </c>
      <c r="K4577" s="15" t="s">
        <v>30</v>
      </c>
      <c r="L4577" s="62"/>
      <c r="M4577" s="14"/>
      <c r="N4577" s="14" t="s">
        <v>33</v>
      </c>
      <c r="O4577" s="14"/>
      <c r="P4577" s="15" t="s">
        <v>1181</v>
      </c>
      <c r="Q4577" s="16">
        <v>7699</v>
      </c>
      <c r="R4577" s="17">
        <v>40</v>
      </c>
      <c r="S4577" s="18">
        <v>5312.3099999999995</v>
      </c>
      <c r="T4577" s="19" t="s">
        <v>36</v>
      </c>
      <c r="U4577" s="20" t="s">
        <v>86</v>
      </c>
      <c r="V4577" s="21" t="s">
        <v>87</v>
      </c>
      <c r="W4577" s="22">
        <v>18</v>
      </c>
      <c r="X4577" s="23"/>
    </row>
    <row r="4578" spans="1:24" s="1" customFormat="1" ht="21" customHeight="1" x14ac:dyDescent="0.3">
      <c r="A4578" s="24" t="s">
        <v>23</v>
      </c>
      <c r="B4578" s="24" t="s">
        <v>4146</v>
      </c>
      <c r="C4578" s="27" t="s">
        <v>4147</v>
      </c>
      <c r="D4578" s="60"/>
      <c r="E4578" s="41" t="str">
        <f>HYPERLINK("https://www.google.ru/search?q=1389846-004&amp;newwindow=1&amp;tbm=isch","Еще фото")</f>
        <v>Еще фото</v>
      </c>
      <c r="F4578" s="13"/>
      <c r="G4578" s="24" t="s">
        <v>3632</v>
      </c>
      <c r="H4578" s="24" t="s">
        <v>27</v>
      </c>
      <c r="I4578" s="24" t="s">
        <v>3599</v>
      </c>
      <c r="J4578" s="14" t="s">
        <v>211</v>
      </c>
      <c r="K4578" s="15" t="s">
        <v>30</v>
      </c>
      <c r="L4578" s="62"/>
      <c r="M4578" s="14"/>
      <c r="N4578" s="14" t="s">
        <v>33</v>
      </c>
      <c r="O4578" s="14"/>
      <c r="P4578" s="15" t="s">
        <v>1181</v>
      </c>
      <c r="Q4578" s="16">
        <v>7699</v>
      </c>
      <c r="R4578" s="17">
        <v>40</v>
      </c>
      <c r="S4578" s="18">
        <v>5312.3099999999995</v>
      </c>
      <c r="T4578" s="19" t="s">
        <v>36</v>
      </c>
      <c r="U4578" s="20" t="s">
        <v>88</v>
      </c>
      <c r="V4578" s="21" t="s">
        <v>89</v>
      </c>
      <c r="W4578" s="22">
        <v>13</v>
      </c>
      <c r="X4578" s="23"/>
    </row>
    <row r="4579" spans="1:24" s="1" customFormat="1" ht="32" customHeight="1" x14ac:dyDescent="0.3">
      <c r="A4579" s="24" t="s">
        <v>23</v>
      </c>
      <c r="B4579" s="24" t="s">
        <v>4146</v>
      </c>
      <c r="C4579" s="27" t="s">
        <v>4147</v>
      </c>
      <c r="D4579" s="61"/>
      <c r="E4579" s="41" t="str">
        <f>HYPERLINK("https://www.google.ru/search?q=1389846-004&amp;newwindow=1&amp;tbm=isch","Еще фото")</f>
        <v>Еще фото</v>
      </c>
      <c r="F4579" s="13"/>
      <c r="G4579" s="24" t="s">
        <v>3632</v>
      </c>
      <c r="H4579" s="24" t="s">
        <v>27</v>
      </c>
      <c r="I4579" s="24" t="s">
        <v>3599</v>
      </c>
      <c r="J4579" s="14" t="s">
        <v>211</v>
      </c>
      <c r="K4579" s="15" t="s">
        <v>30</v>
      </c>
      <c r="L4579" s="58"/>
      <c r="M4579" s="14"/>
      <c r="N4579" s="14" t="s">
        <v>33</v>
      </c>
      <c r="O4579" s="14"/>
      <c r="P4579" s="15" t="s">
        <v>1181</v>
      </c>
      <c r="Q4579" s="16">
        <v>7699</v>
      </c>
      <c r="R4579" s="17">
        <v>40</v>
      </c>
      <c r="S4579" s="18">
        <v>5312.3099999999995</v>
      </c>
      <c r="T4579" s="19" t="s">
        <v>36</v>
      </c>
      <c r="U4579" s="20" t="s">
        <v>90</v>
      </c>
      <c r="V4579" s="21" t="s">
        <v>91</v>
      </c>
      <c r="W4579" s="22">
        <v>8</v>
      </c>
      <c r="X4579" s="23"/>
    </row>
    <row r="4580" spans="1:24" s="1" customFormat="1" ht="21" customHeight="1" x14ac:dyDescent="0.3">
      <c r="A4580" s="11" t="s">
        <v>23</v>
      </c>
      <c r="B4580" s="11" t="s">
        <v>4146</v>
      </c>
      <c r="C4580" s="26" t="s">
        <v>4149</v>
      </c>
      <c r="D4580" s="59"/>
      <c r="E4580" s="41" t="str">
        <f>HYPERLINK("https://www.google.ru/search?q=1389846-709&amp;newwindow=1&amp;tbm=isch","Еще фото")</f>
        <v>Еще фото</v>
      </c>
      <c r="F4580" s="13"/>
      <c r="G4580" s="11" t="s">
        <v>3632</v>
      </c>
      <c r="H4580" s="11" t="s">
        <v>27</v>
      </c>
      <c r="I4580" s="14" t="s">
        <v>3599</v>
      </c>
      <c r="J4580" s="14" t="s">
        <v>211</v>
      </c>
      <c r="K4580" s="15" t="s">
        <v>30</v>
      </c>
      <c r="L4580" s="57" t="s">
        <v>4148</v>
      </c>
      <c r="M4580" s="14"/>
      <c r="N4580" s="14" t="s">
        <v>127</v>
      </c>
      <c r="O4580" s="14"/>
      <c r="P4580" s="15" t="s">
        <v>1181</v>
      </c>
      <c r="Q4580" s="16">
        <v>7699</v>
      </c>
      <c r="R4580" s="17">
        <v>40</v>
      </c>
      <c r="S4580" s="18">
        <v>5312.3099999999995</v>
      </c>
      <c r="T4580" s="19" t="s">
        <v>36</v>
      </c>
      <c r="U4580" s="20" t="s">
        <v>37</v>
      </c>
      <c r="V4580" s="21" t="s">
        <v>38</v>
      </c>
      <c r="W4580" s="22">
        <v>10</v>
      </c>
      <c r="X4580" s="23"/>
    </row>
    <row r="4581" spans="1:24" s="1" customFormat="1" ht="21" customHeight="1" x14ac:dyDescent="0.3">
      <c r="A4581" s="24" t="s">
        <v>23</v>
      </c>
      <c r="B4581" s="24" t="s">
        <v>4146</v>
      </c>
      <c r="C4581" s="27" t="s">
        <v>4149</v>
      </c>
      <c r="D4581" s="60"/>
      <c r="E4581" s="41" t="str">
        <f>HYPERLINK("https://www.google.ru/search?q=1389846-709&amp;newwindow=1&amp;tbm=isch","Еще фото")</f>
        <v>Еще фото</v>
      </c>
      <c r="F4581" s="13"/>
      <c r="G4581" s="24" t="s">
        <v>3632</v>
      </c>
      <c r="H4581" s="24" t="s">
        <v>27</v>
      </c>
      <c r="I4581" s="24" t="s">
        <v>3599</v>
      </c>
      <c r="J4581" s="14" t="s">
        <v>211</v>
      </c>
      <c r="K4581" s="15" t="s">
        <v>30</v>
      </c>
      <c r="L4581" s="62"/>
      <c r="M4581" s="14"/>
      <c r="N4581" s="14" t="s">
        <v>127</v>
      </c>
      <c r="O4581" s="14"/>
      <c r="P4581" s="15" t="s">
        <v>1181</v>
      </c>
      <c r="Q4581" s="16">
        <v>7699</v>
      </c>
      <c r="R4581" s="17">
        <v>40</v>
      </c>
      <c r="S4581" s="18">
        <v>5312.3099999999995</v>
      </c>
      <c r="T4581" s="19" t="s">
        <v>36</v>
      </c>
      <c r="U4581" s="20" t="s">
        <v>39</v>
      </c>
      <c r="V4581" s="21" t="s">
        <v>40</v>
      </c>
      <c r="W4581" s="22">
        <v>21</v>
      </c>
      <c r="X4581" s="23"/>
    </row>
    <row r="4582" spans="1:24" s="1" customFormat="1" ht="21" customHeight="1" x14ac:dyDescent="0.3">
      <c r="A4582" s="24" t="s">
        <v>23</v>
      </c>
      <c r="B4582" s="24" t="s">
        <v>4146</v>
      </c>
      <c r="C4582" s="27" t="s">
        <v>4149</v>
      </c>
      <c r="D4582" s="60"/>
      <c r="E4582" s="41" t="str">
        <f>HYPERLINK("https://www.google.ru/search?q=1389846-709&amp;newwindow=1&amp;tbm=isch","Еще фото")</f>
        <v>Еще фото</v>
      </c>
      <c r="F4582" s="13"/>
      <c r="G4582" s="24" t="s">
        <v>3632</v>
      </c>
      <c r="H4582" s="24" t="s">
        <v>27</v>
      </c>
      <c r="I4582" s="24" t="s">
        <v>3599</v>
      </c>
      <c r="J4582" s="14" t="s">
        <v>211</v>
      </c>
      <c r="K4582" s="15" t="s">
        <v>30</v>
      </c>
      <c r="L4582" s="62"/>
      <c r="M4582" s="14"/>
      <c r="N4582" s="14" t="s">
        <v>127</v>
      </c>
      <c r="O4582" s="14"/>
      <c r="P4582" s="15" t="s">
        <v>1181</v>
      </c>
      <c r="Q4582" s="16">
        <v>7699</v>
      </c>
      <c r="R4582" s="17">
        <v>40</v>
      </c>
      <c r="S4582" s="18">
        <v>5312.3099999999995</v>
      </c>
      <c r="T4582" s="19" t="s">
        <v>36</v>
      </c>
      <c r="U4582" s="20" t="s">
        <v>86</v>
      </c>
      <c r="V4582" s="21" t="s">
        <v>87</v>
      </c>
      <c r="W4582" s="22">
        <v>19</v>
      </c>
      <c r="X4582" s="23"/>
    </row>
    <row r="4583" spans="1:24" s="1" customFormat="1" ht="21" customHeight="1" x14ac:dyDescent="0.3">
      <c r="A4583" s="24" t="s">
        <v>23</v>
      </c>
      <c r="B4583" s="24" t="s">
        <v>4146</v>
      </c>
      <c r="C4583" s="27" t="s">
        <v>4149</v>
      </c>
      <c r="D4583" s="60"/>
      <c r="E4583" s="41" t="str">
        <f>HYPERLINK("https://www.google.ru/search?q=1389846-709&amp;newwindow=1&amp;tbm=isch","Еще фото")</f>
        <v>Еще фото</v>
      </c>
      <c r="F4583" s="13"/>
      <c r="G4583" s="24" t="s">
        <v>3632</v>
      </c>
      <c r="H4583" s="24" t="s">
        <v>27</v>
      </c>
      <c r="I4583" s="24" t="s">
        <v>3599</v>
      </c>
      <c r="J4583" s="14" t="s">
        <v>211</v>
      </c>
      <c r="K4583" s="15" t="s">
        <v>30</v>
      </c>
      <c r="L4583" s="62"/>
      <c r="M4583" s="14"/>
      <c r="N4583" s="14" t="s">
        <v>127</v>
      </c>
      <c r="O4583" s="14"/>
      <c r="P4583" s="15" t="s">
        <v>1181</v>
      </c>
      <c r="Q4583" s="16">
        <v>7699</v>
      </c>
      <c r="R4583" s="17">
        <v>40</v>
      </c>
      <c r="S4583" s="18">
        <v>5312.3099999999995</v>
      </c>
      <c r="T4583" s="19" t="s">
        <v>36</v>
      </c>
      <c r="U4583" s="20" t="s">
        <v>88</v>
      </c>
      <c r="V4583" s="21" t="s">
        <v>89</v>
      </c>
      <c r="W4583" s="22">
        <v>13</v>
      </c>
      <c r="X4583" s="23"/>
    </row>
    <row r="4584" spans="1:24" s="1" customFormat="1" ht="32" customHeight="1" x14ac:dyDescent="0.3">
      <c r="A4584" s="24" t="s">
        <v>23</v>
      </c>
      <c r="B4584" s="24" t="s">
        <v>4146</v>
      </c>
      <c r="C4584" s="27" t="s">
        <v>4149</v>
      </c>
      <c r="D4584" s="61"/>
      <c r="E4584" s="41" t="str">
        <f>HYPERLINK("https://www.google.ru/search?q=1389846-709&amp;newwindow=1&amp;tbm=isch","Еще фото")</f>
        <v>Еще фото</v>
      </c>
      <c r="F4584" s="13"/>
      <c r="G4584" s="24" t="s">
        <v>3632</v>
      </c>
      <c r="H4584" s="24" t="s">
        <v>27</v>
      </c>
      <c r="I4584" s="24" t="s">
        <v>3599</v>
      </c>
      <c r="J4584" s="14" t="s">
        <v>211</v>
      </c>
      <c r="K4584" s="15" t="s">
        <v>30</v>
      </c>
      <c r="L4584" s="58"/>
      <c r="M4584" s="14"/>
      <c r="N4584" s="14" t="s">
        <v>127</v>
      </c>
      <c r="O4584" s="14"/>
      <c r="P4584" s="15" t="s">
        <v>1181</v>
      </c>
      <c r="Q4584" s="16">
        <v>7699</v>
      </c>
      <c r="R4584" s="17">
        <v>40</v>
      </c>
      <c r="S4584" s="18">
        <v>5312.3099999999995</v>
      </c>
      <c r="T4584" s="19" t="s">
        <v>36</v>
      </c>
      <c r="U4584" s="20" t="s">
        <v>90</v>
      </c>
      <c r="V4584" s="21" t="s">
        <v>91</v>
      </c>
      <c r="W4584" s="22">
        <v>10</v>
      </c>
      <c r="X4584" s="23"/>
    </row>
    <row r="4585" spans="1:24" s="1" customFormat="1" ht="52.05" customHeight="1" x14ac:dyDescent="0.3">
      <c r="A4585" s="11" t="s">
        <v>23</v>
      </c>
      <c r="B4585" s="11" t="s">
        <v>3732</v>
      </c>
      <c r="C4585" s="12" t="s">
        <v>4150</v>
      </c>
      <c r="D4585" s="55"/>
      <c r="E4585" s="41" t="str">
        <f>HYPERLINK("https://www.google.ru/search?q=1389851-100&amp;newwindow=1&amp;tbm=isch","Еще фото")</f>
        <v>Еще фото</v>
      </c>
      <c r="F4585" s="13"/>
      <c r="G4585" s="11" t="s">
        <v>3598</v>
      </c>
      <c r="H4585" s="11" t="s">
        <v>27</v>
      </c>
      <c r="I4585" s="14" t="s">
        <v>3599</v>
      </c>
      <c r="J4585" s="14" t="s">
        <v>29</v>
      </c>
      <c r="K4585" s="15" t="s">
        <v>59</v>
      </c>
      <c r="L4585" s="57" t="s">
        <v>3734</v>
      </c>
      <c r="M4585" s="14"/>
      <c r="N4585" s="14" t="s">
        <v>84</v>
      </c>
      <c r="O4585" s="14"/>
      <c r="P4585" s="15" t="s">
        <v>213</v>
      </c>
      <c r="Q4585" s="16">
        <v>2799</v>
      </c>
      <c r="R4585" s="17">
        <v>40</v>
      </c>
      <c r="S4585" s="18">
        <v>1931.31</v>
      </c>
      <c r="T4585" s="19" t="s">
        <v>36</v>
      </c>
      <c r="U4585" s="20" t="s">
        <v>86</v>
      </c>
      <c r="V4585" s="21" t="s">
        <v>38</v>
      </c>
      <c r="W4585" s="22">
        <v>8</v>
      </c>
      <c r="X4585" s="23"/>
    </row>
    <row r="4586" spans="1:24" s="1" customFormat="1" ht="61.05" customHeight="1" x14ac:dyDescent="0.3">
      <c r="A4586" s="24" t="s">
        <v>23</v>
      </c>
      <c r="B4586" s="24" t="s">
        <v>3732</v>
      </c>
      <c r="C4586" s="12" t="s">
        <v>4150</v>
      </c>
      <c r="D4586" s="56"/>
      <c r="E4586" s="41" t="str">
        <f>HYPERLINK("https://www.google.ru/search?q=1389851-100&amp;newwindow=1&amp;tbm=isch","Еще фото")</f>
        <v>Еще фото</v>
      </c>
      <c r="F4586" s="13"/>
      <c r="G4586" s="24" t="s">
        <v>3598</v>
      </c>
      <c r="H4586" s="24" t="s">
        <v>27</v>
      </c>
      <c r="I4586" s="24" t="s">
        <v>3599</v>
      </c>
      <c r="J4586" s="14" t="s">
        <v>29</v>
      </c>
      <c r="K4586" s="15" t="s">
        <v>59</v>
      </c>
      <c r="L4586" s="58"/>
      <c r="M4586" s="14"/>
      <c r="N4586" s="14" t="s">
        <v>84</v>
      </c>
      <c r="O4586" s="14"/>
      <c r="P4586" s="15" t="s">
        <v>213</v>
      </c>
      <c r="Q4586" s="16">
        <v>2799</v>
      </c>
      <c r="R4586" s="17">
        <v>40</v>
      </c>
      <c r="S4586" s="18">
        <v>1931.31</v>
      </c>
      <c r="T4586" s="19" t="s">
        <v>36</v>
      </c>
      <c r="U4586" s="20" t="s">
        <v>88</v>
      </c>
      <c r="V4586" s="21" t="s">
        <v>40</v>
      </c>
      <c r="W4586" s="22">
        <v>1</v>
      </c>
      <c r="X4586" s="23"/>
    </row>
    <row r="4587" spans="1:24" s="1" customFormat="1" ht="21" customHeight="1" x14ac:dyDescent="0.3">
      <c r="A4587" s="11" t="s">
        <v>23</v>
      </c>
      <c r="B4587" s="11" t="s">
        <v>3732</v>
      </c>
      <c r="C4587" s="26" t="s">
        <v>4151</v>
      </c>
      <c r="D4587" s="59"/>
      <c r="E4587" s="41" t="str">
        <f>HYPERLINK("https://www.google.ru/search?q=1389851-520&amp;newwindow=1&amp;tbm=isch","Еще фото")</f>
        <v>Еще фото</v>
      </c>
      <c r="F4587" s="28" t="s">
        <v>138</v>
      </c>
      <c r="G4587" s="11" t="s">
        <v>3598</v>
      </c>
      <c r="H4587" s="11" t="s">
        <v>27</v>
      </c>
      <c r="I4587" s="14" t="s">
        <v>3599</v>
      </c>
      <c r="J4587" s="14" t="s">
        <v>29</v>
      </c>
      <c r="K4587" s="15" t="s">
        <v>59</v>
      </c>
      <c r="L4587" s="57" t="s">
        <v>3734</v>
      </c>
      <c r="M4587" s="14"/>
      <c r="N4587" s="14" t="s">
        <v>79</v>
      </c>
      <c r="O4587" s="14"/>
      <c r="P4587" s="15" t="s">
        <v>213</v>
      </c>
      <c r="Q4587" s="16">
        <v>2799</v>
      </c>
      <c r="R4587" s="17">
        <v>40</v>
      </c>
      <c r="S4587" s="18">
        <v>1931.31</v>
      </c>
      <c r="T4587" s="19" t="s">
        <v>36</v>
      </c>
      <c r="U4587" s="20" t="s">
        <v>63</v>
      </c>
      <c r="V4587" s="21" t="s">
        <v>64</v>
      </c>
      <c r="W4587" s="22">
        <v>6</v>
      </c>
      <c r="X4587" s="23"/>
    </row>
    <row r="4588" spans="1:24" s="1" customFormat="1" ht="21" customHeight="1" x14ac:dyDescent="0.3">
      <c r="A4588" s="24" t="s">
        <v>23</v>
      </c>
      <c r="B4588" s="24" t="s">
        <v>3732</v>
      </c>
      <c r="C4588" s="27" t="s">
        <v>4151</v>
      </c>
      <c r="D4588" s="60"/>
      <c r="E4588" s="41" t="str">
        <f>HYPERLINK("https://www.google.ru/search?q=1389851-520&amp;newwindow=1&amp;tbm=isch","Еще фото")</f>
        <v>Еще фото</v>
      </c>
      <c r="F4588" s="28" t="s">
        <v>138</v>
      </c>
      <c r="G4588" s="24" t="s">
        <v>3598</v>
      </c>
      <c r="H4588" s="24" t="s">
        <v>27</v>
      </c>
      <c r="I4588" s="24" t="s">
        <v>3599</v>
      </c>
      <c r="J4588" s="14" t="s">
        <v>29</v>
      </c>
      <c r="K4588" s="15" t="s">
        <v>59</v>
      </c>
      <c r="L4588" s="62"/>
      <c r="M4588" s="14"/>
      <c r="N4588" s="14" t="s">
        <v>79</v>
      </c>
      <c r="O4588" s="14"/>
      <c r="P4588" s="15" t="s">
        <v>213</v>
      </c>
      <c r="Q4588" s="16">
        <v>2799</v>
      </c>
      <c r="R4588" s="17">
        <v>40</v>
      </c>
      <c r="S4588" s="18">
        <v>1931.31</v>
      </c>
      <c r="T4588" s="19" t="s">
        <v>36</v>
      </c>
      <c r="U4588" s="20" t="s">
        <v>37</v>
      </c>
      <c r="V4588" s="21" t="s">
        <v>106</v>
      </c>
      <c r="W4588" s="22">
        <v>2</v>
      </c>
      <c r="X4588" s="23"/>
    </row>
    <row r="4589" spans="1:24" s="1" customFormat="1" ht="21" customHeight="1" x14ac:dyDescent="0.3">
      <c r="A4589" s="24" t="s">
        <v>23</v>
      </c>
      <c r="B4589" s="24" t="s">
        <v>3732</v>
      </c>
      <c r="C4589" s="27" t="s">
        <v>4151</v>
      </c>
      <c r="D4589" s="60"/>
      <c r="E4589" s="41" t="str">
        <f>HYPERLINK("https://www.google.ru/search?q=1389851-520&amp;newwindow=1&amp;tbm=isch","Еще фото")</f>
        <v>Еще фото</v>
      </c>
      <c r="F4589" s="28" t="s">
        <v>138</v>
      </c>
      <c r="G4589" s="24" t="s">
        <v>3598</v>
      </c>
      <c r="H4589" s="24" t="s">
        <v>27</v>
      </c>
      <c r="I4589" s="24" t="s">
        <v>3599</v>
      </c>
      <c r="J4589" s="14" t="s">
        <v>29</v>
      </c>
      <c r="K4589" s="15" t="s">
        <v>59</v>
      </c>
      <c r="L4589" s="62"/>
      <c r="M4589" s="14"/>
      <c r="N4589" s="14" t="s">
        <v>79</v>
      </c>
      <c r="O4589" s="14"/>
      <c r="P4589" s="15" t="s">
        <v>213</v>
      </c>
      <c r="Q4589" s="16">
        <v>2799</v>
      </c>
      <c r="R4589" s="17">
        <v>40</v>
      </c>
      <c r="S4589" s="18">
        <v>1931.31</v>
      </c>
      <c r="T4589" s="19" t="s">
        <v>36</v>
      </c>
      <c r="U4589" s="20" t="s">
        <v>39</v>
      </c>
      <c r="V4589" s="21" t="s">
        <v>85</v>
      </c>
      <c r="W4589" s="22">
        <v>19</v>
      </c>
      <c r="X4589" s="23"/>
    </row>
    <row r="4590" spans="1:24" s="1" customFormat="1" ht="21" customHeight="1" x14ac:dyDescent="0.3">
      <c r="A4590" s="24" t="s">
        <v>23</v>
      </c>
      <c r="B4590" s="24" t="s">
        <v>3732</v>
      </c>
      <c r="C4590" s="27" t="s">
        <v>4151</v>
      </c>
      <c r="D4590" s="60"/>
      <c r="E4590" s="41" t="str">
        <f>HYPERLINK("https://www.google.ru/search?q=1389851-520&amp;newwindow=1&amp;tbm=isch","Еще фото")</f>
        <v>Еще фото</v>
      </c>
      <c r="F4590" s="28" t="s">
        <v>138</v>
      </c>
      <c r="G4590" s="24" t="s">
        <v>3598</v>
      </c>
      <c r="H4590" s="24" t="s">
        <v>27</v>
      </c>
      <c r="I4590" s="24" t="s">
        <v>3599</v>
      </c>
      <c r="J4590" s="14" t="s">
        <v>29</v>
      </c>
      <c r="K4590" s="15" t="s">
        <v>59</v>
      </c>
      <c r="L4590" s="62"/>
      <c r="M4590" s="14"/>
      <c r="N4590" s="14" t="s">
        <v>79</v>
      </c>
      <c r="O4590" s="14"/>
      <c r="P4590" s="15" t="s">
        <v>213</v>
      </c>
      <c r="Q4590" s="16">
        <v>2799</v>
      </c>
      <c r="R4590" s="17">
        <v>40</v>
      </c>
      <c r="S4590" s="18">
        <v>1931.31</v>
      </c>
      <c r="T4590" s="19" t="s">
        <v>36</v>
      </c>
      <c r="U4590" s="20" t="s">
        <v>86</v>
      </c>
      <c r="V4590" s="21" t="s">
        <v>38</v>
      </c>
      <c r="W4590" s="22">
        <v>12</v>
      </c>
      <c r="X4590" s="23"/>
    </row>
    <row r="4591" spans="1:24" s="1" customFormat="1" ht="32" customHeight="1" x14ac:dyDescent="0.3">
      <c r="A4591" s="24" t="s">
        <v>23</v>
      </c>
      <c r="B4591" s="24" t="s">
        <v>3732</v>
      </c>
      <c r="C4591" s="27" t="s">
        <v>4151</v>
      </c>
      <c r="D4591" s="61"/>
      <c r="E4591" s="41" t="str">
        <f>HYPERLINK("https://www.google.ru/search?q=1389851-520&amp;newwindow=1&amp;tbm=isch","Еще фото")</f>
        <v>Еще фото</v>
      </c>
      <c r="F4591" s="28" t="s">
        <v>138</v>
      </c>
      <c r="G4591" s="24" t="s">
        <v>3598</v>
      </c>
      <c r="H4591" s="24" t="s">
        <v>27</v>
      </c>
      <c r="I4591" s="24" t="s">
        <v>3599</v>
      </c>
      <c r="J4591" s="14" t="s">
        <v>29</v>
      </c>
      <c r="K4591" s="15" t="s">
        <v>59</v>
      </c>
      <c r="L4591" s="58"/>
      <c r="M4591" s="14"/>
      <c r="N4591" s="14" t="s">
        <v>79</v>
      </c>
      <c r="O4591" s="14"/>
      <c r="P4591" s="15" t="s">
        <v>213</v>
      </c>
      <c r="Q4591" s="16">
        <v>2799</v>
      </c>
      <c r="R4591" s="17">
        <v>40</v>
      </c>
      <c r="S4591" s="18">
        <v>1931.31</v>
      </c>
      <c r="T4591" s="19" t="s">
        <v>36</v>
      </c>
      <c r="U4591" s="20" t="s">
        <v>88</v>
      </c>
      <c r="V4591" s="21" t="s">
        <v>40</v>
      </c>
      <c r="W4591" s="22">
        <v>2</v>
      </c>
      <c r="X4591" s="23"/>
    </row>
    <row r="4592" spans="1:24" s="1" customFormat="1" ht="108" customHeight="1" x14ac:dyDescent="0.3">
      <c r="A4592" s="11" t="s">
        <v>23</v>
      </c>
      <c r="B4592" s="11" t="s">
        <v>4152</v>
      </c>
      <c r="C4592" s="12" t="s">
        <v>4153</v>
      </c>
      <c r="D4592" s="25"/>
      <c r="E4592" s="41" t="str">
        <f>HYPERLINK("https://www.google.ru/search?q=1389935-989&amp;newwindow=1&amp;tbm=isch","Еще фото")</f>
        <v>Еще фото</v>
      </c>
      <c r="F4592" s="13"/>
      <c r="G4592" s="11" t="s">
        <v>3598</v>
      </c>
      <c r="H4592" s="11" t="s">
        <v>27</v>
      </c>
      <c r="I4592" s="14" t="s">
        <v>3599</v>
      </c>
      <c r="J4592" s="14" t="s">
        <v>43</v>
      </c>
      <c r="K4592" s="15" t="s">
        <v>30</v>
      </c>
      <c r="L4592" s="14" t="s">
        <v>4154</v>
      </c>
      <c r="M4592" s="14"/>
      <c r="N4592" s="14" t="s">
        <v>198</v>
      </c>
      <c r="O4592" s="14"/>
      <c r="P4592" s="15" t="s">
        <v>1063</v>
      </c>
      <c r="Q4592" s="16">
        <v>8399</v>
      </c>
      <c r="R4592" s="17">
        <v>40</v>
      </c>
      <c r="S4592" s="18">
        <v>5795.3099999999995</v>
      </c>
      <c r="T4592" s="19" t="s">
        <v>36</v>
      </c>
      <c r="U4592" s="20" t="s">
        <v>86</v>
      </c>
      <c r="V4592" s="21" t="s">
        <v>87</v>
      </c>
      <c r="W4592" s="22">
        <v>1</v>
      </c>
      <c r="X4592" s="23"/>
    </row>
    <row r="4593" spans="1:24" s="1" customFormat="1" ht="21" customHeight="1" x14ac:dyDescent="0.3">
      <c r="A4593" s="11" t="s">
        <v>23</v>
      </c>
      <c r="B4593" s="11" t="s">
        <v>4155</v>
      </c>
      <c r="C4593" s="26" t="s">
        <v>4156</v>
      </c>
      <c r="D4593" s="59"/>
      <c r="E4593" s="41" t="str">
        <f>HYPERLINK("https://www.google.ru/search?q=1389962-001&amp;newwindow=1&amp;tbm=isch","Еще фото")</f>
        <v>Еще фото</v>
      </c>
      <c r="F4593" s="13"/>
      <c r="G4593" s="11" t="s">
        <v>3604</v>
      </c>
      <c r="H4593" s="11" t="s">
        <v>27</v>
      </c>
      <c r="I4593" s="14" t="s">
        <v>3599</v>
      </c>
      <c r="J4593" s="14" t="s">
        <v>43</v>
      </c>
      <c r="K4593" s="15" t="s">
        <v>50</v>
      </c>
      <c r="L4593" s="57" t="s">
        <v>4157</v>
      </c>
      <c r="M4593" s="14"/>
      <c r="N4593" s="14" t="s">
        <v>33</v>
      </c>
      <c r="O4593" s="14"/>
      <c r="P4593" s="15" t="s">
        <v>2951</v>
      </c>
      <c r="Q4593" s="16">
        <v>1999</v>
      </c>
      <c r="R4593" s="17">
        <v>40</v>
      </c>
      <c r="S4593" s="18">
        <v>1379.31</v>
      </c>
      <c r="T4593" s="19" t="s">
        <v>36</v>
      </c>
      <c r="U4593" s="20" t="s">
        <v>99</v>
      </c>
      <c r="V4593" s="21" t="s">
        <v>100</v>
      </c>
      <c r="W4593" s="22">
        <v>5</v>
      </c>
      <c r="X4593" s="23"/>
    </row>
    <row r="4594" spans="1:24" s="1" customFormat="1" ht="21" customHeight="1" x14ac:dyDescent="0.3">
      <c r="A4594" s="24" t="s">
        <v>23</v>
      </c>
      <c r="B4594" s="24" t="s">
        <v>4155</v>
      </c>
      <c r="C4594" s="27" t="s">
        <v>4156</v>
      </c>
      <c r="D4594" s="60"/>
      <c r="E4594" s="41" t="str">
        <f>HYPERLINK("https://www.google.ru/search?q=1389962-001&amp;newwindow=1&amp;tbm=isch","Еще фото")</f>
        <v>Еще фото</v>
      </c>
      <c r="F4594" s="13"/>
      <c r="G4594" s="24" t="s">
        <v>3604</v>
      </c>
      <c r="H4594" s="24" t="s">
        <v>27</v>
      </c>
      <c r="I4594" s="24" t="s">
        <v>3599</v>
      </c>
      <c r="J4594" s="14" t="s">
        <v>43</v>
      </c>
      <c r="K4594" s="15" t="s">
        <v>50</v>
      </c>
      <c r="L4594" s="62"/>
      <c r="M4594" s="14"/>
      <c r="N4594" s="14" t="s">
        <v>33</v>
      </c>
      <c r="O4594" s="14"/>
      <c r="P4594" s="15" t="s">
        <v>2951</v>
      </c>
      <c r="Q4594" s="16">
        <v>1999</v>
      </c>
      <c r="R4594" s="17">
        <v>40</v>
      </c>
      <c r="S4594" s="18">
        <v>1379.31</v>
      </c>
      <c r="T4594" s="19" t="s">
        <v>36</v>
      </c>
      <c r="U4594" s="20" t="s">
        <v>54</v>
      </c>
      <c r="V4594" s="21" t="s">
        <v>55</v>
      </c>
      <c r="W4594" s="22">
        <v>9</v>
      </c>
      <c r="X4594" s="23"/>
    </row>
    <row r="4595" spans="1:24" s="1" customFormat="1" ht="21" customHeight="1" x14ac:dyDescent="0.3">
      <c r="A4595" s="24" t="s">
        <v>23</v>
      </c>
      <c r="B4595" s="24" t="s">
        <v>4155</v>
      </c>
      <c r="C4595" s="27" t="s">
        <v>4156</v>
      </c>
      <c r="D4595" s="60"/>
      <c r="E4595" s="41" t="str">
        <f>HYPERLINK("https://www.google.ru/search?q=1389962-001&amp;newwindow=1&amp;tbm=isch","Еще фото")</f>
        <v>Еще фото</v>
      </c>
      <c r="F4595" s="13"/>
      <c r="G4595" s="24" t="s">
        <v>3604</v>
      </c>
      <c r="H4595" s="24" t="s">
        <v>27</v>
      </c>
      <c r="I4595" s="24" t="s">
        <v>3599</v>
      </c>
      <c r="J4595" s="14" t="s">
        <v>43</v>
      </c>
      <c r="K4595" s="15" t="s">
        <v>50</v>
      </c>
      <c r="L4595" s="62"/>
      <c r="M4595" s="14"/>
      <c r="N4595" s="14" t="s">
        <v>33</v>
      </c>
      <c r="O4595" s="14"/>
      <c r="P4595" s="15" t="s">
        <v>2951</v>
      </c>
      <c r="Q4595" s="16">
        <v>1999</v>
      </c>
      <c r="R4595" s="17">
        <v>40</v>
      </c>
      <c r="S4595" s="18">
        <v>1379.31</v>
      </c>
      <c r="T4595" s="19" t="s">
        <v>36</v>
      </c>
      <c r="U4595" s="20" t="s">
        <v>234</v>
      </c>
      <c r="V4595" s="21" t="s">
        <v>235</v>
      </c>
      <c r="W4595" s="22">
        <v>8</v>
      </c>
      <c r="X4595" s="23"/>
    </row>
    <row r="4596" spans="1:24" s="1" customFormat="1" ht="21" customHeight="1" x14ac:dyDescent="0.3">
      <c r="A4596" s="24" t="s">
        <v>23</v>
      </c>
      <c r="B4596" s="24" t="s">
        <v>4155</v>
      </c>
      <c r="C4596" s="27" t="s">
        <v>4156</v>
      </c>
      <c r="D4596" s="60"/>
      <c r="E4596" s="41" t="str">
        <f>HYPERLINK("https://www.google.ru/search?q=1389962-001&amp;newwindow=1&amp;tbm=isch","Еще фото")</f>
        <v>Еще фото</v>
      </c>
      <c r="F4596" s="13"/>
      <c r="G4596" s="24" t="s">
        <v>3604</v>
      </c>
      <c r="H4596" s="24" t="s">
        <v>27</v>
      </c>
      <c r="I4596" s="24" t="s">
        <v>3599</v>
      </c>
      <c r="J4596" s="14" t="s">
        <v>43</v>
      </c>
      <c r="K4596" s="15" t="s">
        <v>50</v>
      </c>
      <c r="L4596" s="62"/>
      <c r="M4596" s="14"/>
      <c r="N4596" s="14" t="s">
        <v>33</v>
      </c>
      <c r="O4596" s="14"/>
      <c r="P4596" s="15" t="s">
        <v>2951</v>
      </c>
      <c r="Q4596" s="16">
        <v>1999</v>
      </c>
      <c r="R4596" s="17">
        <v>40</v>
      </c>
      <c r="S4596" s="18">
        <v>1379.31</v>
      </c>
      <c r="T4596" s="19" t="s">
        <v>36</v>
      </c>
      <c r="U4596" s="20" t="s">
        <v>71</v>
      </c>
      <c r="V4596" s="21" t="s">
        <v>72</v>
      </c>
      <c r="W4596" s="22">
        <v>15</v>
      </c>
      <c r="X4596" s="23"/>
    </row>
    <row r="4597" spans="1:24" s="1" customFormat="1" ht="32" customHeight="1" x14ac:dyDescent="0.3">
      <c r="A4597" s="24" t="s">
        <v>23</v>
      </c>
      <c r="B4597" s="24" t="s">
        <v>4155</v>
      </c>
      <c r="C4597" s="27" t="s">
        <v>4156</v>
      </c>
      <c r="D4597" s="61"/>
      <c r="E4597" s="41" t="str">
        <f>HYPERLINK("https://www.google.ru/search?q=1389962-001&amp;newwindow=1&amp;tbm=isch","Еще фото")</f>
        <v>Еще фото</v>
      </c>
      <c r="F4597" s="13"/>
      <c r="G4597" s="24" t="s">
        <v>3604</v>
      </c>
      <c r="H4597" s="24" t="s">
        <v>27</v>
      </c>
      <c r="I4597" s="24" t="s">
        <v>3599</v>
      </c>
      <c r="J4597" s="14" t="s">
        <v>43</v>
      </c>
      <c r="K4597" s="15" t="s">
        <v>50</v>
      </c>
      <c r="L4597" s="58"/>
      <c r="M4597" s="14"/>
      <c r="N4597" s="14" t="s">
        <v>33</v>
      </c>
      <c r="O4597" s="14"/>
      <c r="P4597" s="15" t="s">
        <v>2951</v>
      </c>
      <c r="Q4597" s="16">
        <v>1999</v>
      </c>
      <c r="R4597" s="17">
        <v>40</v>
      </c>
      <c r="S4597" s="18">
        <v>1379.31</v>
      </c>
      <c r="T4597" s="19" t="s">
        <v>36</v>
      </c>
      <c r="U4597" s="20" t="s">
        <v>73</v>
      </c>
      <c r="V4597" s="21" t="s">
        <v>74</v>
      </c>
      <c r="W4597" s="22">
        <v>7</v>
      </c>
      <c r="X4597" s="23"/>
    </row>
    <row r="4598" spans="1:24" s="1" customFormat="1" ht="21" customHeight="1" x14ac:dyDescent="0.3">
      <c r="A4598" s="11" t="s">
        <v>23</v>
      </c>
      <c r="B4598" s="11" t="s">
        <v>4155</v>
      </c>
      <c r="C4598" s="26" t="s">
        <v>4158</v>
      </c>
      <c r="D4598" s="59"/>
      <c r="E4598" s="41" t="str">
        <f>HYPERLINK("https://www.google.ru/search?q=1389962-012&amp;newwindow=1&amp;tbm=isch","Еще фото")</f>
        <v>Еще фото</v>
      </c>
      <c r="F4598" s="13"/>
      <c r="G4598" s="11" t="s">
        <v>3604</v>
      </c>
      <c r="H4598" s="11" t="s">
        <v>27</v>
      </c>
      <c r="I4598" s="14" t="s">
        <v>3599</v>
      </c>
      <c r="J4598" s="14" t="s">
        <v>43</v>
      </c>
      <c r="K4598" s="15" t="s">
        <v>50</v>
      </c>
      <c r="L4598" s="57" t="s">
        <v>4157</v>
      </c>
      <c r="M4598" s="14"/>
      <c r="N4598" s="14" t="s">
        <v>62</v>
      </c>
      <c r="O4598" s="14"/>
      <c r="P4598" s="15" t="s">
        <v>2951</v>
      </c>
      <c r="Q4598" s="16">
        <v>1999</v>
      </c>
      <c r="R4598" s="17">
        <v>40</v>
      </c>
      <c r="S4598" s="18">
        <v>1379.31</v>
      </c>
      <c r="T4598" s="19" t="s">
        <v>36</v>
      </c>
      <c r="U4598" s="20" t="s">
        <v>99</v>
      </c>
      <c r="V4598" s="21" t="s">
        <v>100</v>
      </c>
      <c r="W4598" s="22">
        <v>4</v>
      </c>
      <c r="X4598" s="23"/>
    </row>
    <row r="4599" spans="1:24" s="1" customFormat="1" ht="21" customHeight="1" x14ac:dyDescent="0.3">
      <c r="A4599" s="24" t="s">
        <v>23</v>
      </c>
      <c r="B4599" s="24" t="s">
        <v>4155</v>
      </c>
      <c r="C4599" s="27" t="s">
        <v>4158</v>
      </c>
      <c r="D4599" s="60"/>
      <c r="E4599" s="41" t="str">
        <f>HYPERLINK("https://www.google.ru/search?q=1389962-012&amp;newwindow=1&amp;tbm=isch","Еще фото")</f>
        <v>Еще фото</v>
      </c>
      <c r="F4599" s="13"/>
      <c r="G4599" s="24" t="s">
        <v>3604</v>
      </c>
      <c r="H4599" s="24" t="s">
        <v>27</v>
      </c>
      <c r="I4599" s="24" t="s">
        <v>3599</v>
      </c>
      <c r="J4599" s="14" t="s">
        <v>43</v>
      </c>
      <c r="K4599" s="15" t="s">
        <v>50</v>
      </c>
      <c r="L4599" s="62"/>
      <c r="M4599" s="14"/>
      <c r="N4599" s="14" t="s">
        <v>62</v>
      </c>
      <c r="O4599" s="14"/>
      <c r="P4599" s="15" t="s">
        <v>2951</v>
      </c>
      <c r="Q4599" s="16">
        <v>1999</v>
      </c>
      <c r="R4599" s="17">
        <v>40</v>
      </c>
      <c r="S4599" s="18">
        <v>1379.31</v>
      </c>
      <c r="T4599" s="19" t="s">
        <v>36</v>
      </c>
      <c r="U4599" s="20" t="s">
        <v>54</v>
      </c>
      <c r="V4599" s="21" t="s">
        <v>55</v>
      </c>
      <c r="W4599" s="22">
        <v>7</v>
      </c>
      <c r="X4599" s="23"/>
    </row>
    <row r="4600" spans="1:24" s="1" customFormat="1" ht="21" customHeight="1" x14ac:dyDescent="0.3">
      <c r="A4600" s="24" t="s">
        <v>23</v>
      </c>
      <c r="B4600" s="24" t="s">
        <v>4155</v>
      </c>
      <c r="C4600" s="27" t="s">
        <v>4158</v>
      </c>
      <c r="D4600" s="60"/>
      <c r="E4600" s="41" t="str">
        <f>HYPERLINK("https://www.google.ru/search?q=1389962-012&amp;newwindow=1&amp;tbm=isch","Еще фото")</f>
        <v>Еще фото</v>
      </c>
      <c r="F4600" s="13"/>
      <c r="G4600" s="24" t="s">
        <v>3604</v>
      </c>
      <c r="H4600" s="24" t="s">
        <v>27</v>
      </c>
      <c r="I4600" s="24" t="s">
        <v>3599</v>
      </c>
      <c r="J4600" s="14" t="s">
        <v>43</v>
      </c>
      <c r="K4600" s="15" t="s">
        <v>50</v>
      </c>
      <c r="L4600" s="62"/>
      <c r="M4600" s="14"/>
      <c r="N4600" s="14" t="s">
        <v>62</v>
      </c>
      <c r="O4600" s="14"/>
      <c r="P4600" s="15" t="s">
        <v>2951</v>
      </c>
      <c r="Q4600" s="16">
        <v>1999</v>
      </c>
      <c r="R4600" s="17">
        <v>40</v>
      </c>
      <c r="S4600" s="18">
        <v>1379.31</v>
      </c>
      <c r="T4600" s="19" t="s">
        <v>36</v>
      </c>
      <c r="U4600" s="20" t="s">
        <v>234</v>
      </c>
      <c r="V4600" s="21" t="s">
        <v>235</v>
      </c>
      <c r="W4600" s="22">
        <v>2</v>
      </c>
      <c r="X4600" s="23"/>
    </row>
    <row r="4601" spans="1:24" s="1" customFormat="1" ht="21" customHeight="1" x14ac:dyDescent="0.3">
      <c r="A4601" s="24" t="s">
        <v>23</v>
      </c>
      <c r="B4601" s="24" t="s">
        <v>4155</v>
      </c>
      <c r="C4601" s="27" t="s">
        <v>4158</v>
      </c>
      <c r="D4601" s="60"/>
      <c r="E4601" s="41" t="str">
        <f>HYPERLINK("https://www.google.ru/search?q=1389962-012&amp;newwindow=1&amp;tbm=isch","Еще фото")</f>
        <v>Еще фото</v>
      </c>
      <c r="F4601" s="13"/>
      <c r="G4601" s="24" t="s">
        <v>3604</v>
      </c>
      <c r="H4601" s="24" t="s">
        <v>27</v>
      </c>
      <c r="I4601" s="24" t="s">
        <v>3599</v>
      </c>
      <c r="J4601" s="14" t="s">
        <v>43</v>
      </c>
      <c r="K4601" s="15" t="s">
        <v>50</v>
      </c>
      <c r="L4601" s="62"/>
      <c r="M4601" s="14"/>
      <c r="N4601" s="14" t="s">
        <v>62</v>
      </c>
      <c r="O4601" s="14"/>
      <c r="P4601" s="15" t="s">
        <v>2951</v>
      </c>
      <c r="Q4601" s="16">
        <v>1999</v>
      </c>
      <c r="R4601" s="17">
        <v>40</v>
      </c>
      <c r="S4601" s="18">
        <v>1379.31</v>
      </c>
      <c r="T4601" s="19" t="s">
        <v>36</v>
      </c>
      <c r="U4601" s="20" t="s">
        <v>71</v>
      </c>
      <c r="V4601" s="21" t="s">
        <v>72</v>
      </c>
      <c r="W4601" s="22">
        <v>7</v>
      </c>
      <c r="X4601" s="23"/>
    </row>
    <row r="4602" spans="1:24" s="1" customFormat="1" ht="32" customHeight="1" x14ac:dyDescent="0.3">
      <c r="A4602" s="24" t="s">
        <v>23</v>
      </c>
      <c r="B4602" s="24" t="s">
        <v>4155</v>
      </c>
      <c r="C4602" s="27" t="s">
        <v>4158</v>
      </c>
      <c r="D4602" s="61"/>
      <c r="E4602" s="41" t="str">
        <f>HYPERLINK("https://www.google.ru/search?q=1389962-012&amp;newwindow=1&amp;tbm=isch","Еще фото")</f>
        <v>Еще фото</v>
      </c>
      <c r="F4602" s="13"/>
      <c r="G4602" s="24" t="s">
        <v>3604</v>
      </c>
      <c r="H4602" s="24" t="s">
        <v>27</v>
      </c>
      <c r="I4602" s="24" t="s">
        <v>3599</v>
      </c>
      <c r="J4602" s="14" t="s">
        <v>43</v>
      </c>
      <c r="K4602" s="15" t="s">
        <v>50</v>
      </c>
      <c r="L4602" s="58"/>
      <c r="M4602" s="14"/>
      <c r="N4602" s="14" t="s">
        <v>62</v>
      </c>
      <c r="O4602" s="14"/>
      <c r="P4602" s="15" t="s">
        <v>2951</v>
      </c>
      <c r="Q4602" s="16">
        <v>1999</v>
      </c>
      <c r="R4602" s="17">
        <v>40</v>
      </c>
      <c r="S4602" s="18">
        <v>1379.31</v>
      </c>
      <c r="T4602" s="19" t="s">
        <v>36</v>
      </c>
      <c r="U4602" s="20" t="s">
        <v>73</v>
      </c>
      <c r="V4602" s="21" t="s">
        <v>74</v>
      </c>
      <c r="W4602" s="22">
        <v>1</v>
      </c>
      <c r="X4602" s="23"/>
    </row>
    <row r="4603" spans="1:24" s="1" customFormat="1" ht="26" customHeight="1" x14ac:dyDescent="0.3">
      <c r="A4603" s="11" t="s">
        <v>23</v>
      </c>
      <c r="B4603" s="11" t="s">
        <v>4155</v>
      </c>
      <c r="C4603" s="12" t="s">
        <v>4159</v>
      </c>
      <c r="D4603" s="59"/>
      <c r="E4603" s="41" t="str">
        <f>HYPERLINK("https://www.google.ru/search?q=1389962-100&amp;newwindow=1&amp;tbm=isch","Еще фото")</f>
        <v>Еще фото</v>
      </c>
      <c r="F4603" s="13"/>
      <c r="G4603" s="11" t="s">
        <v>3604</v>
      </c>
      <c r="H4603" s="11" t="s">
        <v>27</v>
      </c>
      <c r="I4603" s="14" t="s">
        <v>3599</v>
      </c>
      <c r="J4603" s="14" t="s">
        <v>43</v>
      </c>
      <c r="K4603" s="15" t="s">
        <v>50</v>
      </c>
      <c r="L4603" s="57" t="s">
        <v>4157</v>
      </c>
      <c r="M4603" s="14"/>
      <c r="N4603" s="14" t="s">
        <v>84</v>
      </c>
      <c r="O4603" s="14"/>
      <c r="P4603" s="15" t="s">
        <v>2951</v>
      </c>
      <c r="Q4603" s="16">
        <v>1999</v>
      </c>
      <c r="R4603" s="17">
        <v>40</v>
      </c>
      <c r="S4603" s="18">
        <v>1379.31</v>
      </c>
      <c r="T4603" s="19" t="s">
        <v>36</v>
      </c>
      <c r="U4603" s="20" t="s">
        <v>99</v>
      </c>
      <c r="V4603" s="21" t="s">
        <v>100</v>
      </c>
      <c r="W4603" s="22">
        <v>5</v>
      </c>
      <c r="X4603" s="23"/>
    </row>
    <row r="4604" spans="1:24" s="1" customFormat="1" ht="26" customHeight="1" x14ac:dyDescent="0.3">
      <c r="A4604" s="24" t="s">
        <v>23</v>
      </c>
      <c r="B4604" s="24" t="s">
        <v>4155</v>
      </c>
      <c r="C4604" s="12" t="s">
        <v>4159</v>
      </c>
      <c r="D4604" s="60"/>
      <c r="E4604" s="41" t="str">
        <f>HYPERLINK("https://www.google.ru/search?q=1389962-100&amp;newwindow=1&amp;tbm=isch","Еще фото")</f>
        <v>Еще фото</v>
      </c>
      <c r="F4604" s="13"/>
      <c r="G4604" s="24" t="s">
        <v>3604</v>
      </c>
      <c r="H4604" s="24" t="s">
        <v>27</v>
      </c>
      <c r="I4604" s="24" t="s">
        <v>3599</v>
      </c>
      <c r="J4604" s="14" t="s">
        <v>43</v>
      </c>
      <c r="K4604" s="15" t="s">
        <v>50</v>
      </c>
      <c r="L4604" s="62"/>
      <c r="M4604" s="14"/>
      <c r="N4604" s="14" t="s">
        <v>84</v>
      </c>
      <c r="O4604" s="14"/>
      <c r="P4604" s="15" t="s">
        <v>2951</v>
      </c>
      <c r="Q4604" s="16">
        <v>1999</v>
      </c>
      <c r="R4604" s="17">
        <v>40</v>
      </c>
      <c r="S4604" s="18">
        <v>1379.31</v>
      </c>
      <c r="T4604" s="19" t="s">
        <v>36</v>
      </c>
      <c r="U4604" s="20" t="s">
        <v>54</v>
      </c>
      <c r="V4604" s="21" t="s">
        <v>55</v>
      </c>
      <c r="W4604" s="22">
        <v>5</v>
      </c>
      <c r="X4604" s="23"/>
    </row>
    <row r="4605" spans="1:24" s="1" customFormat="1" ht="26" customHeight="1" x14ac:dyDescent="0.3">
      <c r="A4605" s="24" t="s">
        <v>23</v>
      </c>
      <c r="B4605" s="24" t="s">
        <v>4155</v>
      </c>
      <c r="C4605" s="12" t="s">
        <v>4159</v>
      </c>
      <c r="D4605" s="60"/>
      <c r="E4605" s="41" t="str">
        <f>HYPERLINK("https://www.google.ru/search?q=1389962-100&amp;newwindow=1&amp;tbm=isch","Еще фото")</f>
        <v>Еще фото</v>
      </c>
      <c r="F4605" s="13"/>
      <c r="G4605" s="24" t="s">
        <v>3604</v>
      </c>
      <c r="H4605" s="24" t="s">
        <v>27</v>
      </c>
      <c r="I4605" s="24" t="s">
        <v>3599</v>
      </c>
      <c r="J4605" s="14" t="s">
        <v>43</v>
      </c>
      <c r="K4605" s="15" t="s">
        <v>50</v>
      </c>
      <c r="L4605" s="62"/>
      <c r="M4605" s="14"/>
      <c r="N4605" s="14" t="s">
        <v>84</v>
      </c>
      <c r="O4605" s="14"/>
      <c r="P4605" s="15" t="s">
        <v>2951</v>
      </c>
      <c r="Q4605" s="16">
        <v>1999</v>
      </c>
      <c r="R4605" s="17">
        <v>40</v>
      </c>
      <c r="S4605" s="18">
        <v>1379.31</v>
      </c>
      <c r="T4605" s="19" t="s">
        <v>36</v>
      </c>
      <c r="U4605" s="20" t="s">
        <v>71</v>
      </c>
      <c r="V4605" s="21" t="s">
        <v>72</v>
      </c>
      <c r="W4605" s="22">
        <v>3</v>
      </c>
      <c r="X4605" s="23"/>
    </row>
    <row r="4606" spans="1:24" s="1" customFormat="1" ht="26" customHeight="1" x14ac:dyDescent="0.3">
      <c r="A4606" s="24" t="s">
        <v>23</v>
      </c>
      <c r="B4606" s="24" t="s">
        <v>4155</v>
      </c>
      <c r="C4606" s="12" t="s">
        <v>4159</v>
      </c>
      <c r="D4606" s="61"/>
      <c r="E4606" s="41" t="str">
        <f>HYPERLINK("https://www.google.ru/search?q=1389962-100&amp;newwindow=1&amp;tbm=isch","Еще фото")</f>
        <v>Еще фото</v>
      </c>
      <c r="F4606" s="13"/>
      <c r="G4606" s="24" t="s">
        <v>3604</v>
      </c>
      <c r="H4606" s="24" t="s">
        <v>27</v>
      </c>
      <c r="I4606" s="24" t="s">
        <v>3599</v>
      </c>
      <c r="J4606" s="14" t="s">
        <v>43</v>
      </c>
      <c r="K4606" s="15" t="s">
        <v>50</v>
      </c>
      <c r="L4606" s="58"/>
      <c r="M4606" s="14"/>
      <c r="N4606" s="14" t="s">
        <v>84</v>
      </c>
      <c r="O4606" s="14"/>
      <c r="P4606" s="15" t="s">
        <v>2951</v>
      </c>
      <c r="Q4606" s="16">
        <v>1999</v>
      </c>
      <c r="R4606" s="17">
        <v>40</v>
      </c>
      <c r="S4606" s="18">
        <v>1379.31</v>
      </c>
      <c r="T4606" s="19" t="s">
        <v>36</v>
      </c>
      <c r="U4606" s="20" t="s">
        <v>73</v>
      </c>
      <c r="V4606" s="21" t="s">
        <v>74</v>
      </c>
      <c r="W4606" s="22">
        <v>4</v>
      </c>
      <c r="X4606" s="23"/>
    </row>
    <row r="4607" spans="1:24" s="1" customFormat="1" ht="26" customHeight="1" x14ac:dyDescent="0.3">
      <c r="A4607" s="11" t="s">
        <v>23</v>
      </c>
      <c r="B4607" s="11" t="s">
        <v>4155</v>
      </c>
      <c r="C4607" s="12" t="s">
        <v>4160</v>
      </c>
      <c r="D4607" s="59"/>
      <c r="E4607" s="41" t="str">
        <f>HYPERLINK("https://www.google.ru/search?q=1389962-690&amp;newwindow=1&amp;tbm=isch","Еще фото")</f>
        <v>Еще фото</v>
      </c>
      <c r="F4607" s="13"/>
      <c r="G4607" s="11" t="s">
        <v>3604</v>
      </c>
      <c r="H4607" s="11" t="s">
        <v>27</v>
      </c>
      <c r="I4607" s="14" t="s">
        <v>3599</v>
      </c>
      <c r="J4607" s="14" t="s">
        <v>43</v>
      </c>
      <c r="K4607" s="15" t="s">
        <v>50</v>
      </c>
      <c r="L4607" s="57" t="s">
        <v>4157</v>
      </c>
      <c r="M4607" s="14"/>
      <c r="N4607" s="14" t="s">
        <v>198</v>
      </c>
      <c r="O4607" s="14"/>
      <c r="P4607" s="15" t="s">
        <v>2951</v>
      </c>
      <c r="Q4607" s="16">
        <v>1999</v>
      </c>
      <c r="R4607" s="17">
        <v>40</v>
      </c>
      <c r="S4607" s="18">
        <v>1379.31</v>
      </c>
      <c r="T4607" s="19" t="s">
        <v>36</v>
      </c>
      <c r="U4607" s="20" t="s">
        <v>99</v>
      </c>
      <c r="V4607" s="21" t="s">
        <v>100</v>
      </c>
      <c r="W4607" s="22">
        <v>4</v>
      </c>
      <c r="X4607" s="23"/>
    </row>
    <row r="4608" spans="1:24" s="1" customFormat="1" ht="26" customHeight="1" x14ac:dyDescent="0.3">
      <c r="A4608" s="24" t="s">
        <v>23</v>
      </c>
      <c r="B4608" s="24" t="s">
        <v>4155</v>
      </c>
      <c r="C4608" s="12" t="s">
        <v>4160</v>
      </c>
      <c r="D4608" s="60"/>
      <c r="E4608" s="41" t="str">
        <f>HYPERLINK("https://www.google.ru/search?q=1389962-690&amp;newwindow=1&amp;tbm=isch","Еще фото")</f>
        <v>Еще фото</v>
      </c>
      <c r="F4608" s="13"/>
      <c r="G4608" s="24" t="s">
        <v>3604</v>
      </c>
      <c r="H4608" s="24" t="s">
        <v>27</v>
      </c>
      <c r="I4608" s="24" t="s">
        <v>3599</v>
      </c>
      <c r="J4608" s="14" t="s">
        <v>43</v>
      </c>
      <c r="K4608" s="15" t="s">
        <v>50</v>
      </c>
      <c r="L4608" s="62"/>
      <c r="M4608" s="14"/>
      <c r="N4608" s="14" t="s">
        <v>198</v>
      </c>
      <c r="O4608" s="14"/>
      <c r="P4608" s="15" t="s">
        <v>2951</v>
      </c>
      <c r="Q4608" s="16">
        <v>1999</v>
      </c>
      <c r="R4608" s="17">
        <v>40</v>
      </c>
      <c r="S4608" s="18">
        <v>1379.31</v>
      </c>
      <c r="T4608" s="19" t="s">
        <v>36</v>
      </c>
      <c r="U4608" s="20" t="s">
        <v>54</v>
      </c>
      <c r="V4608" s="21" t="s">
        <v>55</v>
      </c>
      <c r="W4608" s="22">
        <v>4</v>
      </c>
      <c r="X4608" s="23"/>
    </row>
    <row r="4609" spans="1:24" s="1" customFormat="1" ht="26" customHeight="1" x14ac:dyDescent="0.3">
      <c r="A4609" s="24" t="s">
        <v>23</v>
      </c>
      <c r="B4609" s="24" t="s">
        <v>4155</v>
      </c>
      <c r="C4609" s="12" t="s">
        <v>4160</v>
      </c>
      <c r="D4609" s="60"/>
      <c r="E4609" s="41" t="str">
        <f>HYPERLINK("https://www.google.ru/search?q=1389962-690&amp;newwindow=1&amp;tbm=isch","Еще фото")</f>
        <v>Еще фото</v>
      </c>
      <c r="F4609" s="13"/>
      <c r="G4609" s="24" t="s">
        <v>3604</v>
      </c>
      <c r="H4609" s="24" t="s">
        <v>27</v>
      </c>
      <c r="I4609" s="24" t="s">
        <v>3599</v>
      </c>
      <c r="J4609" s="14" t="s">
        <v>43</v>
      </c>
      <c r="K4609" s="15" t="s">
        <v>50</v>
      </c>
      <c r="L4609" s="62"/>
      <c r="M4609" s="14"/>
      <c r="N4609" s="14" t="s">
        <v>198</v>
      </c>
      <c r="O4609" s="14"/>
      <c r="P4609" s="15" t="s">
        <v>2951</v>
      </c>
      <c r="Q4609" s="16">
        <v>1999</v>
      </c>
      <c r="R4609" s="17">
        <v>40</v>
      </c>
      <c r="S4609" s="18">
        <v>1379.31</v>
      </c>
      <c r="T4609" s="19" t="s">
        <v>36</v>
      </c>
      <c r="U4609" s="20" t="s">
        <v>71</v>
      </c>
      <c r="V4609" s="21" t="s">
        <v>72</v>
      </c>
      <c r="W4609" s="22">
        <v>4</v>
      </c>
      <c r="X4609" s="23"/>
    </row>
    <row r="4610" spans="1:24" s="1" customFormat="1" ht="26" customHeight="1" x14ac:dyDescent="0.3">
      <c r="A4610" s="24" t="s">
        <v>23</v>
      </c>
      <c r="B4610" s="24" t="s">
        <v>4155</v>
      </c>
      <c r="C4610" s="12" t="s">
        <v>4160</v>
      </c>
      <c r="D4610" s="61"/>
      <c r="E4610" s="41" t="str">
        <f>HYPERLINK("https://www.google.ru/search?q=1389962-690&amp;newwindow=1&amp;tbm=isch","Еще фото")</f>
        <v>Еще фото</v>
      </c>
      <c r="F4610" s="13"/>
      <c r="G4610" s="24" t="s">
        <v>3604</v>
      </c>
      <c r="H4610" s="24" t="s">
        <v>27</v>
      </c>
      <c r="I4610" s="24" t="s">
        <v>3599</v>
      </c>
      <c r="J4610" s="14" t="s">
        <v>43</v>
      </c>
      <c r="K4610" s="15" t="s">
        <v>50</v>
      </c>
      <c r="L4610" s="58"/>
      <c r="M4610" s="14"/>
      <c r="N4610" s="14" t="s">
        <v>198</v>
      </c>
      <c r="O4610" s="14"/>
      <c r="P4610" s="15" t="s">
        <v>2951</v>
      </c>
      <c r="Q4610" s="16">
        <v>1999</v>
      </c>
      <c r="R4610" s="17">
        <v>40</v>
      </c>
      <c r="S4610" s="18">
        <v>1379.31</v>
      </c>
      <c r="T4610" s="19" t="s">
        <v>36</v>
      </c>
      <c r="U4610" s="20" t="s">
        <v>73</v>
      </c>
      <c r="V4610" s="21" t="s">
        <v>74</v>
      </c>
      <c r="W4610" s="22">
        <v>5</v>
      </c>
      <c r="X4610" s="23"/>
    </row>
    <row r="4611" spans="1:24" s="1" customFormat="1" ht="108" customHeight="1" x14ac:dyDescent="0.3">
      <c r="A4611" s="11" t="s">
        <v>23</v>
      </c>
      <c r="B4611" s="11" t="s">
        <v>4161</v>
      </c>
      <c r="C4611" s="12" t="s">
        <v>4162</v>
      </c>
      <c r="D4611" s="25"/>
      <c r="E4611" s="41" t="str">
        <f>HYPERLINK("https://www.google.ru/search?q=1390047-299&amp;newwindow=1&amp;tbm=isch","Еще фото")</f>
        <v>Еще фото</v>
      </c>
      <c r="F4611" s="13" t="s">
        <v>103</v>
      </c>
      <c r="G4611" s="11" t="s">
        <v>3604</v>
      </c>
      <c r="H4611" s="11" t="s">
        <v>27</v>
      </c>
      <c r="I4611" s="14" t="s">
        <v>3599</v>
      </c>
      <c r="J4611" s="14" t="s">
        <v>29</v>
      </c>
      <c r="K4611" s="15" t="s">
        <v>30</v>
      </c>
      <c r="L4611" s="14" t="s">
        <v>4163</v>
      </c>
      <c r="M4611" s="14"/>
      <c r="N4611" s="14" t="s">
        <v>229</v>
      </c>
      <c r="O4611" s="14"/>
      <c r="P4611" s="15" t="s">
        <v>47</v>
      </c>
      <c r="Q4611" s="16">
        <v>3999</v>
      </c>
      <c r="R4611" s="17">
        <v>40</v>
      </c>
      <c r="S4611" s="18">
        <v>2759.31</v>
      </c>
      <c r="T4611" s="19" t="s">
        <v>36</v>
      </c>
      <c r="U4611" s="20" t="s">
        <v>408</v>
      </c>
      <c r="V4611" s="21" t="s">
        <v>409</v>
      </c>
      <c r="W4611" s="22">
        <v>1</v>
      </c>
      <c r="X4611" s="23"/>
    </row>
    <row r="4612" spans="1:24" s="1" customFormat="1" ht="26" customHeight="1" x14ac:dyDescent="0.3">
      <c r="A4612" s="11" t="s">
        <v>23</v>
      </c>
      <c r="B4612" s="11" t="s">
        <v>3780</v>
      </c>
      <c r="C4612" s="12" t="s">
        <v>4164</v>
      </c>
      <c r="D4612" s="59"/>
      <c r="E4612" s="41" t="str">
        <f>HYPERLINK("https://www.google.ru/search?q=1390066-002&amp;newwindow=1&amp;tbm=isch","Еще фото")</f>
        <v>Еще фото</v>
      </c>
      <c r="F4612" s="13"/>
      <c r="G4612" s="11" t="s">
        <v>3609</v>
      </c>
      <c r="H4612" s="11" t="s">
        <v>27</v>
      </c>
      <c r="I4612" s="14" t="s">
        <v>3599</v>
      </c>
      <c r="J4612" s="14" t="s">
        <v>29</v>
      </c>
      <c r="K4612" s="15" t="s">
        <v>50</v>
      </c>
      <c r="L4612" s="57" t="s">
        <v>3782</v>
      </c>
      <c r="M4612" s="14"/>
      <c r="N4612" s="14" t="s">
        <v>33</v>
      </c>
      <c r="O4612" s="14"/>
      <c r="P4612" s="15" t="s">
        <v>252</v>
      </c>
      <c r="Q4612" s="16">
        <v>2599</v>
      </c>
      <c r="R4612" s="17">
        <v>40</v>
      </c>
      <c r="S4612" s="18">
        <v>1793.31</v>
      </c>
      <c r="T4612" s="19" t="s">
        <v>36</v>
      </c>
      <c r="U4612" s="20" t="s">
        <v>99</v>
      </c>
      <c r="V4612" s="21" t="s">
        <v>100</v>
      </c>
      <c r="W4612" s="22">
        <v>3</v>
      </c>
      <c r="X4612" s="23"/>
    </row>
    <row r="4613" spans="1:24" s="1" customFormat="1" ht="26" customHeight="1" x14ac:dyDescent="0.3">
      <c r="A4613" s="24" t="s">
        <v>23</v>
      </c>
      <c r="B4613" s="24" t="s">
        <v>3780</v>
      </c>
      <c r="C4613" s="12" t="s">
        <v>4164</v>
      </c>
      <c r="D4613" s="60"/>
      <c r="E4613" s="41" t="str">
        <f>HYPERLINK("https://www.google.ru/search?q=1390066-002&amp;newwindow=1&amp;tbm=isch","Еще фото")</f>
        <v>Еще фото</v>
      </c>
      <c r="F4613" s="13"/>
      <c r="G4613" s="24" t="s">
        <v>3609</v>
      </c>
      <c r="H4613" s="24" t="s">
        <v>27</v>
      </c>
      <c r="I4613" s="24" t="s">
        <v>3599</v>
      </c>
      <c r="J4613" s="14" t="s">
        <v>29</v>
      </c>
      <c r="K4613" s="15" t="s">
        <v>50</v>
      </c>
      <c r="L4613" s="62"/>
      <c r="M4613" s="14"/>
      <c r="N4613" s="14" t="s">
        <v>33</v>
      </c>
      <c r="O4613" s="14"/>
      <c r="P4613" s="15" t="s">
        <v>252</v>
      </c>
      <c r="Q4613" s="16">
        <v>2599</v>
      </c>
      <c r="R4613" s="17">
        <v>40</v>
      </c>
      <c r="S4613" s="18">
        <v>1793.31</v>
      </c>
      <c r="T4613" s="19" t="s">
        <v>36</v>
      </c>
      <c r="U4613" s="20" t="s">
        <v>54</v>
      </c>
      <c r="V4613" s="21" t="s">
        <v>55</v>
      </c>
      <c r="W4613" s="22">
        <v>2</v>
      </c>
      <c r="X4613" s="23"/>
    </row>
    <row r="4614" spans="1:24" s="1" customFormat="1" ht="26" customHeight="1" x14ac:dyDescent="0.3">
      <c r="A4614" s="24" t="s">
        <v>23</v>
      </c>
      <c r="B4614" s="24" t="s">
        <v>3780</v>
      </c>
      <c r="C4614" s="12" t="s">
        <v>4164</v>
      </c>
      <c r="D4614" s="60"/>
      <c r="E4614" s="41" t="str">
        <f>HYPERLINK("https://www.google.ru/search?q=1390066-002&amp;newwindow=1&amp;tbm=isch","Еще фото")</f>
        <v>Еще фото</v>
      </c>
      <c r="F4614" s="13"/>
      <c r="G4614" s="24" t="s">
        <v>3609</v>
      </c>
      <c r="H4614" s="24" t="s">
        <v>27</v>
      </c>
      <c r="I4614" s="24" t="s">
        <v>3599</v>
      </c>
      <c r="J4614" s="14" t="s">
        <v>29</v>
      </c>
      <c r="K4614" s="15" t="s">
        <v>50</v>
      </c>
      <c r="L4614" s="62"/>
      <c r="M4614" s="14"/>
      <c r="N4614" s="14" t="s">
        <v>33</v>
      </c>
      <c r="O4614" s="14"/>
      <c r="P4614" s="15" t="s">
        <v>252</v>
      </c>
      <c r="Q4614" s="16">
        <v>2599</v>
      </c>
      <c r="R4614" s="17">
        <v>40</v>
      </c>
      <c r="S4614" s="18">
        <v>1793.31</v>
      </c>
      <c r="T4614" s="19" t="s">
        <v>36</v>
      </c>
      <c r="U4614" s="20" t="s">
        <v>71</v>
      </c>
      <c r="V4614" s="21" t="s">
        <v>72</v>
      </c>
      <c r="W4614" s="22">
        <v>7</v>
      </c>
      <c r="X4614" s="23"/>
    </row>
    <row r="4615" spans="1:24" s="1" customFormat="1" ht="26" customHeight="1" x14ac:dyDescent="0.3">
      <c r="A4615" s="24" t="s">
        <v>23</v>
      </c>
      <c r="B4615" s="24" t="s">
        <v>3780</v>
      </c>
      <c r="C4615" s="12" t="s">
        <v>4164</v>
      </c>
      <c r="D4615" s="61"/>
      <c r="E4615" s="41" t="str">
        <f>HYPERLINK("https://www.google.ru/search?q=1390066-002&amp;newwindow=1&amp;tbm=isch","Еще фото")</f>
        <v>Еще фото</v>
      </c>
      <c r="F4615" s="13"/>
      <c r="G4615" s="24" t="s">
        <v>3609</v>
      </c>
      <c r="H4615" s="24" t="s">
        <v>27</v>
      </c>
      <c r="I4615" s="24" t="s">
        <v>3599</v>
      </c>
      <c r="J4615" s="14" t="s">
        <v>29</v>
      </c>
      <c r="K4615" s="15" t="s">
        <v>50</v>
      </c>
      <c r="L4615" s="58"/>
      <c r="M4615" s="14"/>
      <c r="N4615" s="14" t="s">
        <v>33</v>
      </c>
      <c r="O4615" s="14"/>
      <c r="P4615" s="15" t="s">
        <v>252</v>
      </c>
      <c r="Q4615" s="16">
        <v>2599</v>
      </c>
      <c r="R4615" s="17">
        <v>40</v>
      </c>
      <c r="S4615" s="18">
        <v>1793.31</v>
      </c>
      <c r="T4615" s="19" t="s">
        <v>36</v>
      </c>
      <c r="U4615" s="20" t="s">
        <v>73</v>
      </c>
      <c r="V4615" s="21" t="s">
        <v>74</v>
      </c>
      <c r="W4615" s="22">
        <v>6</v>
      </c>
      <c r="X4615" s="23"/>
    </row>
    <row r="4616" spans="1:24" s="1" customFormat="1" ht="52.05" customHeight="1" x14ac:dyDescent="0.3">
      <c r="A4616" s="11" t="s">
        <v>23</v>
      </c>
      <c r="B4616" s="11" t="s">
        <v>4165</v>
      </c>
      <c r="C4616" s="12" t="s">
        <v>4166</v>
      </c>
      <c r="D4616" s="55"/>
      <c r="E4616" s="41" t="str">
        <f>HYPERLINK("https://www.google.ru/search?q=1390300-001&amp;newwindow=1&amp;tbm=isch","Еще фото")</f>
        <v>Еще фото</v>
      </c>
      <c r="F4616" s="13" t="s">
        <v>103</v>
      </c>
      <c r="G4616" s="11" t="s">
        <v>3604</v>
      </c>
      <c r="H4616" s="11" t="s">
        <v>27</v>
      </c>
      <c r="I4616" s="14" t="s">
        <v>3599</v>
      </c>
      <c r="J4616" s="14" t="s">
        <v>43</v>
      </c>
      <c r="K4616" s="15" t="s">
        <v>30</v>
      </c>
      <c r="L4616" s="57" t="s">
        <v>4167</v>
      </c>
      <c r="M4616" s="14"/>
      <c r="N4616" s="14" t="s">
        <v>33</v>
      </c>
      <c r="O4616" s="14"/>
      <c r="P4616" s="15" t="s">
        <v>2951</v>
      </c>
      <c r="Q4616" s="16">
        <v>4499</v>
      </c>
      <c r="R4616" s="17">
        <v>40</v>
      </c>
      <c r="S4616" s="18">
        <v>3104.31</v>
      </c>
      <c r="T4616" s="19" t="s">
        <v>36</v>
      </c>
      <c r="U4616" s="20" t="s">
        <v>63</v>
      </c>
      <c r="V4616" s="21" t="s">
        <v>85</v>
      </c>
      <c r="W4616" s="22">
        <v>2</v>
      </c>
      <c r="X4616" s="23"/>
    </row>
    <row r="4617" spans="1:24" s="1" customFormat="1" ht="61.05" customHeight="1" x14ac:dyDescent="0.3">
      <c r="A4617" s="24" t="s">
        <v>23</v>
      </c>
      <c r="B4617" s="24" t="s">
        <v>4165</v>
      </c>
      <c r="C4617" s="12" t="s">
        <v>4166</v>
      </c>
      <c r="D4617" s="56"/>
      <c r="E4617" s="41" t="str">
        <f>HYPERLINK("https://www.google.ru/search?q=1390300-001&amp;newwindow=1&amp;tbm=isch","Еще фото")</f>
        <v>Еще фото</v>
      </c>
      <c r="F4617" s="13" t="s">
        <v>103</v>
      </c>
      <c r="G4617" s="24" t="s">
        <v>3604</v>
      </c>
      <c r="H4617" s="24" t="s">
        <v>27</v>
      </c>
      <c r="I4617" s="24" t="s">
        <v>3599</v>
      </c>
      <c r="J4617" s="14" t="s">
        <v>43</v>
      </c>
      <c r="K4617" s="15" t="s">
        <v>30</v>
      </c>
      <c r="L4617" s="58"/>
      <c r="M4617" s="14"/>
      <c r="N4617" s="14" t="s">
        <v>33</v>
      </c>
      <c r="O4617" s="14"/>
      <c r="P4617" s="15" t="s">
        <v>2951</v>
      </c>
      <c r="Q4617" s="16">
        <v>4499</v>
      </c>
      <c r="R4617" s="17">
        <v>40</v>
      </c>
      <c r="S4617" s="18">
        <v>3104.31</v>
      </c>
      <c r="T4617" s="19" t="s">
        <v>36</v>
      </c>
      <c r="U4617" s="20" t="s">
        <v>39</v>
      </c>
      <c r="V4617" s="21" t="s">
        <v>40</v>
      </c>
      <c r="W4617" s="22">
        <v>9</v>
      </c>
      <c r="X4617" s="23"/>
    </row>
    <row r="4618" spans="1:24" s="1" customFormat="1" ht="21" customHeight="1" x14ac:dyDescent="0.3">
      <c r="A4618" s="11" t="s">
        <v>23</v>
      </c>
      <c r="B4618" s="11" t="s">
        <v>4165</v>
      </c>
      <c r="C4618" s="26" t="s">
        <v>4168</v>
      </c>
      <c r="D4618" s="59"/>
      <c r="E4618" s="41" t="str">
        <f>HYPERLINK("https://www.google.ru/search?q=1390300-100&amp;newwindow=1&amp;tbm=isch","Еще фото")</f>
        <v>Еще фото</v>
      </c>
      <c r="F4618" s="13" t="s">
        <v>103</v>
      </c>
      <c r="G4618" s="11" t="s">
        <v>3604</v>
      </c>
      <c r="H4618" s="11" t="s">
        <v>27</v>
      </c>
      <c r="I4618" s="14" t="s">
        <v>3599</v>
      </c>
      <c r="J4618" s="14" t="s">
        <v>43</v>
      </c>
      <c r="K4618" s="15" t="s">
        <v>30</v>
      </c>
      <c r="L4618" s="57" t="s">
        <v>4167</v>
      </c>
      <c r="M4618" s="14"/>
      <c r="N4618" s="14" t="s">
        <v>84</v>
      </c>
      <c r="O4618" s="14"/>
      <c r="P4618" s="15" t="s">
        <v>2951</v>
      </c>
      <c r="Q4618" s="16">
        <v>4499</v>
      </c>
      <c r="R4618" s="17">
        <v>40</v>
      </c>
      <c r="S4618" s="18">
        <v>3104.31</v>
      </c>
      <c r="T4618" s="19" t="s">
        <v>36</v>
      </c>
      <c r="U4618" s="20" t="s">
        <v>37</v>
      </c>
      <c r="V4618" s="21" t="s">
        <v>38</v>
      </c>
      <c r="W4618" s="22">
        <v>5</v>
      </c>
      <c r="X4618" s="23"/>
    </row>
    <row r="4619" spans="1:24" s="1" customFormat="1" ht="21" customHeight="1" x14ac:dyDescent="0.3">
      <c r="A4619" s="24" t="s">
        <v>23</v>
      </c>
      <c r="B4619" s="24" t="s">
        <v>4165</v>
      </c>
      <c r="C4619" s="27" t="s">
        <v>4168</v>
      </c>
      <c r="D4619" s="60"/>
      <c r="E4619" s="41" t="str">
        <f>HYPERLINK("https://www.google.ru/search?q=1390300-100&amp;newwindow=1&amp;tbm=isch","Еще фото")</f>
        <v>Еще фото</v>
      </c>
      <c r="F4619" s="13" t="s">
        <v>103</v>
      </c>
      <c r="G4619" s="24" t="s">
        <v>3604</v>
      </c>
      <c r="H4619" s="24" t="s">
        <v>27</v>
      </c>
      <c r="I4619" s="24" t="s">
        <v>3599</v>
      </c>
      <c r="J4619" s="14" t="s">
        <v>43</v>
      </c>
      <c r="K4619" s="15" t="s">
        <v>30</v>
      </c>
      <c r="L4619" s="62"/>
      <c r="M4619" s="14"/>
      <c r="N4619" s="14" t="s">
        <v>84</v>
      </c>
      <c r="O4619" s="14"/>
      <c r="P4619" s="15" t="s">
        <v>2951</v>
      </c>
      <c r="Q4619" s="16">
        <v>4499</v>
      </c>
      <c r="R4619" s="17">
        <v>40</v>
      </c>
      <c r="S4619" s="18">
        <v>3104.31</v>
      </c>
      <c r="T4619" s="19" t="s">
        <v>36</v>
      </c>
      <c r="U4619" s="20" t="s">
        <v>39</v>
      </c>
      <c r="V4619" s="21" t="s">
        <v>40</v>
      </c>
      <c r="W4619" s="22">
        <v>16</v>
      </c>
      <c r="X4619" s="23"/>
    </row>
    <row r="4620" spans="1:24" s="1" customFormat="1" ht="21" customHeight="1" x14ac:dyDescent="0.3">
      <c r="A4620" s="24" t="s">
        <v>23</v>
      </c>
      <c r="B4620" s="24" t="s">
        <v>4165</v>
      </c>
      <c r="C4620" s="27" t="s">
        <v>4168</v>
      </c>
      <c r="D4620" s="60"/>
      <c r="E4620" s="41" t="str">
        <f>HYPERLINK("https://www.google.ru/search?q=1390300-100&amp;newwindow=1&amp;tbm=isch","Еще фото")</f>
        <v>Еще фото</v>
      </c>
      <c r="F4620" s="13" t="s">
        <v>103</v>
      </c>
      <c r="G4620" s="24" t="s">
        <v>3604</v>
      </c>
      <c r="H4620" s="24" t="s">
        <v>27</v>
      </c>
      <c r="I4620" s="24" t="s">
        <v>3599</v>
      </c>
      <c r="J4620" s="14" t="s">
        <v>43</v>
      </c>
      <c r="K4620" s="15" t="s">
        <v>30</v>
      </c>
      <c r="L4620" s="62"/>
      <c r="M4620" s="14"/>
      <c r="N4620" s="14" t="s">
        <v>84</v>
      </c>
      <c r="O4620" s="14"/>
      <c r="P4620" s="15" t="s">
        <v>2951</v>
      </c>
      <c r="Q4620" s="16">
        <v>4499</v>
      </c>
      <c r="R4620" s="17">
        <v>40</v>
      </c>
      <c r="S4620" s="18">
        <v>3104.31</v>
      </c>
      <c r="T4620" s="19" t="s">
        <v>36</v>
      </c>
      <c r="U4620" s="20" t="s">
        <v>86</v>
      </c>
      <c r="V4620" s="21" t="s">
        <v>87</v>
      </c>
      <c r="W4620" s="22">
        <v>10</v>
      </c>
      <c r="X4620" s="23"/>
    </row>
    <row r="4621" spans="1:24" s="1" customFormat="1" ht="21" customHeight="1" x14ac:dyDescent="0.3">
      <c r="A4621" s="24" t="s">
        <v>23</v>
      </c>
      <c r="B4621" s="24" t="s">
        <v>4165</v>
      </c>
      <c r="C4621" s="27" t="s">
        <v>4168</v>
      </c>
      <c r="D4621" s="60"/>
      <c r="E4621" s="41" t="str">
        <f>HYPERLINK("https://www.google.ru/search?q=1390300-100&amp;newwindow=1&amp;tbm=isch","Еще фото")</f>
        <v>Еще фото</v>
      </c>
      <c r="F4621" s="13" t="s">
        <v>103</v>
      </c>
      <c r="G4621" s="24" t="s">
        <v>3604</v>
      </c>
      <c r="H4621" s="24" t="s">
        <v>27</v>
      </c>
      <c r="I4621" s="24" t="s">
        <v>3599</v>
      </c>
      <c r="J4621" s="14" t="s">
        <v>43</v>
      </c>
      <c r="K4621" s="15" t="s">
        <v>30</v>
      </c>
      <c r="L4621" s="62"/>
      <c r="M4621" s="14"/>
      <c r="N4621" s="14" t="s">
        <v>84</v>
      </c>
      <c r="O4621" s="14"/>
      <c r="P4621" s="15" t="s">
        <v>2951</v>
      </c>
      <c r="Q4621" s="16">
        <v>4499</v>
      </c>
      <c r="R4621" s="17">
        <v>40</v>
      </c>
      <c r="S4621" s="18">
        <v>3104.31</v>
      </c>
      <c r="T4621" s="19" t="s">
        <v>36</v>
      </c>
      <c r="U4621" s="20" t="s">
        <v>88</v>
      </c>
      <c r="V4621" s="21" t="s">
        <v>89</v>
      </c>
      <c r="W4621" s="22">
        <v>5</v>
      </c>
      <c r="X4621" s="23"/>
    </row>
    <row r="4622" spans="1:24" s="1" customFormat="1" ht="32" customHeight="1" x14ac:dyDescent="0.3">
      <c r="A4622" s="24" t="s">
        <v>23</v>
      </c>
      <c r="B4622" s="24" t="s">
        <v>4165</v>
      </c>
      <c r="C4622" s="27" t="s">
        <v>4168</v>
      </c>
      <c r="D4622" s="61"/>
      <c r="E4622" s="41" t="str">
        <f>HYPERLINK("https://www.google.ru/search?q=1390300-100&amp;newwindow=1&amp;tbm=isch","Еще фото")</f>
        <v>Еще фото</v>
      </c>
      <c r="F4622" s="13" t="s">
        <v>103</v>
      </c>
      <c r="G4622" s="24" t="s">
        <v>3604</v>
      </c>
      <c r="H4622" s="24" t="s">
        <v>27</v>
      </c>
      <c r="I4622" s="24" t="s">
        <v>3599</v>
      </c>
      <c r="J4622" s="14" t="s">
        <v>43</v>
      </c>
      <c r="K4622" s="15" t="s">
        <v>30</v>
      </c>
      <c r="L4622" s="58"/>
      <c r="M4622" s="14"/>
      <c r="N4622" s="14" t="s">
        <v>84</v>
      </c>
      <c r="O4622" s="14"/>
      <c r="P4622" s="15" t="s">
        <v>2951</v>
      </c>
      <c r="Q4622" s="16">
        <v>4499</v>
      </c>
      <c r="R4622" s="17">
        <v>40</v>
      </c>
      <c r="S4622" s="18">
        <v>3104.31</v>
      </c>
      <c r="T4622" s="19" t="s">
        <v>36</v>
      </c>
      <c r="U4622" s="20" t="s">
        <v>90</v>
      </c>
      <c r="V4622" s="21" t="s">
        <v>91</v>
      </c>
      <c r="W4622" s="22">
        <v>2</v>
      </c>
      <c r="X4622" s="23"/>
    </row>
    <row r="4623" spans="1:24" s="1" customFormat="1" ht="26" customHeight="1" x14ac:dyDescent="0.3">
      <c r="A4623" s="11" t="s">
        <v>23</v>
      </c>
      <c r="B4623" s="11" t="s">
        <v>4169</v>
      </c>
      <c r="C4623" s="12" t="s">
        <v>4170</v>
      </c>
      <c r="D4623" s="59"/>
      <c r="E4623" s="41" t="str">
        <f>HYPERLINK("https://www.google.ru/search?q=6000264-001&amp;newwindow=1&amp;tbm=isch","Еще фото")</f>
        <v>Еще фото</v>
      </c>
      <c r="F4623" s="13"/>
      <c r="G4623" s="11" t="s">
        <v>3604</v>
      </c>
      <c r="H4623" s="11" t="s">
        <v>27</v>
      </c>
      <c r="I4623" s="14" t="s">
        <v>3599</v>
      </c>
      <c r="J4623" s="14" t="s">
        <v>43</v>
      </c>
      <c r="K4623" s="15" t="s">
        <v>59</v>
      </c>
      <c r="L4623" s="57" t="s">
        <v>4171</v>
      </c>
      <c r="M4623" s="14"/>
      <c r="N4623" s="14" t="s">
        <v>33</v>
      </c>
      <c r="O4623" s="14"/>
      <c r="P4623" s="15" t="s">
        <v>1063</v>
      </c>
      <c r="Q4623" s="16">
        <v>2799</v>
      </c>
      <c r="R4623" s="17">
        <v>40</v>
      </c>
      <c r="S4623" s="18">
        <v>1931.31</v>
      </c>
      <c r="T4623" s="19" t="s">
        <v>36</v>
      </c>
      <c r="U4623" s="20" t="s">
        <v>63</v>
      </c>
      <c r="V4623" s="21" t="s">
        <v>64</v>
      </c>
      <c r="W4623" s="22">
        <v>11</v>
      </c>
      <c r="X4623" s="23"/>
    </row>
    <row r="4624" spans="1:24" s="1" customFormat="1" ht="26" customHeight="1" x14ac:dyDescent="0.3">
      <c r="A4624" s="24" t="s">
        <v>23</v>
      </c>
      <c r="B4624" s="24" t="s">
        <v>4169</v>
      </c>
      <c r="C4624" s="12" t="s">
        <v>4170</v>
      </c>
      <c r="D4624" s="60"/>
      <c r="E4624" s="41" t="str">
        <f>HYPERLINK("https://www.google.ru/search?q=6000264-001&amp;newwindow=1&amp;tbm=isch","Еще фото")</f>
        <v>Еще фото</v>
      </c>
      <c r="F4624" s="13"/>
      <c r="G4624" s="24" t="s">
        <v>3604</v>
      </c>
      <c r="H4624" s="24" t="s">
        <v>27</v>
      </c>
      <c r="I4624" s="24" t="s">
        <v>3599</v>
      </c>
      <c r="J4624" s="14" t="s">
        <v>43</v>
      </c>
      <c r="K4624" s="15" t="s">
        <v>59</v>
      </c>
      <c r="L4624" s="62"/>
      <c r="M4624" s="14"/>
      <c r="N4624" s="14" t="s">
        <v>33</v>
      </c>
      <c r="O4624" s="14"/>
      <c r="P4624" s="15" t="s">
        <v>1063</v>
      </c>
      <c r="Q4624" s="16">
        <v>2799</v>
      </c>
      <c r="R4624" s="17">
        <v>40</v>
      </c>
      <c r="S4624" s="18">
        <v>1931.31</v>
      </c>
      <c r="T4624" s="19" t="s">
        <v>36</v>
      </c>
      <c r="U4624" s="20" t="s">
        <v>37</v>
      </c>
      <c r="V4624" s="21" t="s">
        <v>106</v>
      </c>
      <c r="W4624" s="22">
        <v>8</v>
      </c>
      <c r="X4624" s="23"/>
    </row>
    <row r="4625" spans="1:24" s="1" customFormat="1" ht="26" customHeight="1" x14ac:dyDescent="0.3">
      <c r="A4625" s="24" t="s">
        <v>23</v>
      </c>
      <c r="B4625" s="24" t="s">
        <v>4169</v>
      </c>
      <c r="C4625" s="12" t="s">
        <v>4170</v>
      </c>
      <c r="D4625" s="60"/>
      <c r="E4625" s="41" t="str">
        <f>HYPERLINK("https://www.google.ru/search?q=6000264-001&amp;newwindow=1&amp;tbm=isch","Еще фото")</f>
        <v>Еще фото</v>
      </c>
      <c r="F4625" s="13"/>
      <c r="G4625" s="24" t="s">
        <v>3604</v>
      </c>
      <c r="H4625" s="24" t="s">
        <v>27</v>
      </c>
      <c r="I4625" s="24" t="s">
        <v>3599</v>
      </c>
      <c r="J4625" s="14" t="s">
        <v>43</v>
      </c>
      <c r="K4625" s="15" t="s">
        <v>59</v>
      </c>
      <c r="L4625" s="62"/>
      <c r="M4625" s="14"/>
      <c r="N4625" s="14" t="s">
        <v>33</v>
      </c>
      <c r="O4625" s="14"/>
      <c r="P4625" s="15" t="s">
        <v>1063</v>
      </c>
      <c r="Q4625" s="16">
        <v>2799</v>
      </c>
      <c r="R4625" s="17">
        <v>40</v>
      </c>
      <c r="S4625" s="18">
        <v>1931.31</v>
      </c>
      <c r="T4625" s="19" t="s">
        <v>36</v>
      </c>
      <c r="U4625" s="20" t="s">
        <v>39</v>
      </c>
      <c r="V4625" s="21" t="s">
        <v>85</v>
      </c>
      <c r="W4625" s="22">
        <v>16</v>
      </c>
      <c r="X4625" s="23"/>
    </row>
    <row r="4626" spans="1:24" s="1" customFormat="1" ht="26" customHeight="1" x14ac:dyDescent="0.3">
      <c r="A4626" s="24" t="s">
        <v>23</v>
      </c>
      <c r="B4626" s="24" t="s">
        <v>4169</v>
      </c>
      <c r="C4626" s="12" t="s">
        <v>4170</v>
      </c>
      <c r="D4626" s="61"/>
      <c r="E4626" s="41" t="str">
        <f>HYPERLINK("https://www.google.ru/search?q=6000264-001&amp;newwindow=1&amp;tbm=isch","Еще фото")</f>
        <v>Еще фото</v>
      </c>
      <c r="F4626" s="13"/>
      <c r="G4626" s="24" t="s">
        <v>3604</v>
      </c>
      <c r="H4626" s="24" t="s">
        <v>27</v>
      </c>
      <c r="I4626" s="24" t="s">
        <v>3599</v>
      </c>
      <c r="J4626" s="14" t="s">
        <v>43</v>
      </c>
      <c r="K4626" s="15" t="s">
        <v>59</v>
      </c>
      <c r="L4626" s="58"/>
      <c r="M4626" s="14"/>
      <c r="N4626" s="14" t="s">
        <v>33</v>
      </c>
      <c r="O4626" s="14"/>
      <c r="P4626" s="15" t="s">
        <v>1063</v>
      </c>
      <c r="Q4626" s="16">
        <v>2799</v>
      </c>
      <c r="R4626" s="17">
        <v>40</v>
      </c>
      <c r="S4626" s="18">
        <v>1931.31</v>
      </c>
      <c r="T4626" s="19" t="s">
        <v>36</v>
      </c>
      <c r="U4626" s="20" t="s">
        <v>86</v>
      </c>
      <c r="V4626" s="21" t="s">
        <v>38</v>
      </c>
      <c r="W4626" s="22">
        <v>15</v>
      </c>
      <c r="X4626" s="23"/>
    </row>
    <row r="4627" spans="1:24" s="1" customFormat="1" ht="21" customHeight="1" x14ac:dyDescent="0.3">
      <c r="A4627" s="11" t="s">
        <v>23</v>
      </c>
      <c r="B4627" s="11" t="s">
        <v>4169</v>
      </c>
      <c r="C4627" s="26" t="s">
        <v>4172</v>
      </c>
      <c r="D4627" s="59"/>
      <c r="E4627" s="41" t="str">
        <f>HYPERLINK("https://www.google.ru/search?q=6000264-100&amp;newwindow=1&amp;tbm=isch","Еще фото")</f>
        <v>Еще фото</v>
      </c>
      <c r="F4627" s="13"/>
      <c r="G4627" s="11" t="s">
        <v>3604</v>
      </c>
      <c r="H4627" s="11" t="s">
        <v>27</v>
      </c>
      <c r="I4627" s="14" t="s">
        <v>3599</v>
      </c>
      <c r="J4627" s="14" t="s">
        <v>43</v>
      </c>
      <c r="K4627" s="15" t="s">
        <v>59</v>
      </c>
      <c r="L4627" s="57" t="s">
        <v>4171</v>
      </c>
      <c r="M4627" s="14"/>
      <c r="N4627" s="14" t="s">
        <v>84</v>
      </c>
      <c r="O4627" s="14"/>
      <c r="P4627" s="15" t="s">
        <v>1063</v>
      </c>
      <c r="Q4627" s="16">
        <v>2799</v>
      </c>
      <c r="R4627" s="17">
        <v>40</v>
      </c>
      <c r="S4627" s="18">
        <v>1931.31</v>
      </c>
      <c r="T4627" s="19" t="s">
        <v>36</v>
      </c>
      <c r="U4627" s="20" t="s">
        <v>63</v>
      </c>
      <c r="V4627" s="21" t="s">
        <v>64</v>
      </c>
      <c r="W4627" s="22">
        <v>7</v>
      </c>
      <c r="X4627" s="23"/>
    </row>
    <row r="4628" spans="1:24" s="1" customFormat="1" ht="21" customHeight="1" x14ac:dyDescent="0.3">
      <c r="A4628" s="24" t="s">
        <v>23</v>
      </c>
      <c r="B4628" s="24" t="s">
        <v>4169</v>
      </c>
      <c r="C4628" s="27" t="s">
        <v>4172</v>
      </c>
      <c r="D4628" s="60"/>
      <c r="E4628" s="41" t="str">
        <f>HYPERLINK("https://www.google.ru/search?q=6000264-100&amp;newwindow=1&amp;tbm=isch","Еще фото")</f>
        <v>Еще фото</v>
      </c>
      <c r="F4628" s="13"/>
      <c r="G4628" s="24" t="s">
        <v>3604</v>
      </c>
      <c r="H4628" s="24" t="s">
        <v>27</v>
      </c>
      <c r="I4628" s="24" t="s">
        <v>3599</v>
      </c>
      <c r="J4628" s="14" t="s">
        <v>43</v>
      </c>
      <c r="K4628" s="15" t="s">
        <v>59</v>
      </c>
      <c r="L4628" s="62"/>
      <c r="M4628" s="14"/>
      <c r="N4628" s="14" t="s">
        <v>84</v>
      </c>
      <c r="O4628" s="14"/>
      <c r="P4628" s="15" t="s">
        <v>1063</v>
      </c>
      <c r="Q4628" s="16">
        <v>2799</v>
      </c>
      <c r="R4628" s="17">
        <v>40</v>
      </c>
      <c r="S4628" s="18">
        <v>1931.31</v>
      </c>
      <c r="T4628" s="19" t="s">
        <v>36</v>
      </c>
      <c r="U4628" s="20" t="s">
        <v>37</v>
      </c>
      <c r="V4628" s="21" t="s">
        <v>106</v>
      </c>
      <c r="W4628" s="22">
        <v>15</v>
      </c>
      <c r="X4628" s="23"/>
    </row>
    <row r="4629" spans="1:24" s="1" customFormat="1" ht="21" customHeight="1" x14ac:dyDescent="0.3">
      <c r="A4629" s="24" t="s">
        <v>23</v>
      </c>
      <c r="B4629" s="24" t="s">
        <v>4169</v>
      </c>
      <c r="C4629" s="27" t="s">
        <v>4172</v>
      </c>
      <c r="D4629" s="60"/>
      <c r="E4629" s="41" t="str">
        <f>HYPERLINK("https://www.google.ru/search?q=6000264-100&amp;newwindow=1&amp;tbm=isch","Еще фото")</f>
        <v>Еще фото</v>
      </c>
      <c r="F4629" s="13"/>
      <c r="G4629" s="24" t="s">
        <v>3604</v>
      </c>
      <c r="H4629" s="24" t="s">
        <v>27</v>
      </c>
      <c r="I4629" s="24" t="s">
        <v>3599</v>
      </c>
      <c r="J4629" s="14" t="s">
        <v>43</v>
      </c>
      <c r="K4629" s="15" t="s">
        <v>59</v>
      </c>
      <c r="L4629" s="62"/>
      <c r="M4629" s="14"/>
      <c r="N4629" s="14" t="s">
        <v>84</v>
      </c>
      <c r="O4629" s="14"/>
      <c r="P4629" s="15" t="s">
        <v>1063</v>
      </c>
      <c r="Q4629" s="16">
        <v>2799</v>
      </c>
      <c r="R4629" s="17">
        <v>40</v>
      </c>
      <c r="S4629" s="18">
        <v>1931.31</v>
      </c>
      <c r="T4629" s="19" t="s">
        <v>36</v>
      </c>
      <c r="U4629" s="20" t="s">
        <v>39</v>
      </c>
      <c r="V4629" s="21" t="s">
        <v>85</v>
      </c>
      <c r="W4629" s="22">
        <v>18</v>
      </c>
      <c r="X4629" s="23"/>
    </row>
    <row r="4630" spans="1:24" s="1" customFormat="1" ht="21" customHeight="1" x14ac:dyDescent="0.3">
      <c r="A4630" s="24" t="s">
        <v>23</v>
      </c>
      <c r="B4630" s="24" t="s">
        <v>4169</v>
      </c>
      <c r="C4630" s="27" t="s">
        <v>4172</v>
      </c>
      <c r="D4630" s="60"/>
      <c r="E4630" s="41" t="str">
        <f>HYPERLINK("https://www.google.ru/search?q=6000264-100&amp;newwindow=1&amp;tbm=isch","Еще фото")</f>
        <v>Еще фото</v>
      </c>
      <c r="F4630" s="13"/>
      <c r="G4630" s="24" t="s">
        <v>3604</v>
      </c>
      <c r="H4630" s="24" t="s">
        <v>27</v>
      </c>
      <c r="I4630" s="24" t="s">
        <v>3599</v>
      </c>
      <c r="J4630" s="14" t="s">
        <v>43</v>
      </c>
      <c r="K4630" s="15" t="s">
        <v>59</v>
      </c>
      <c r="L4630" s="62"/>
      <c r="M4630" s="14"/>
      <c r="N4630" s="14" t="s">
        <v>84</v>
      </c>
      <c r="O4630" s="14"/>
      <c r="P4630" s="15" t="s">
        <v>1063</v>
      </c>
      <c r="Q4630" s="16">
        <v>2799</v>
      </c>
      <c r="R4630" s="17">
        <v>40</v>
      </c>
      <c r="S4630" s="18">
        <v>1931.31</v>
      </c>
      <c r="T4630" s="19" t="s">
        <v>36</v>
      </c>
      <c r="U4630" s="20" t="s">
        <v>86</v>
      </c>
      <c r="V4630" s="21" t="s">
        <v>38</v>
      </c>
      <c r="W4630" s="22">
        <v>15</v>
      </c>
      <c r="X4630" s="23"/>
    </row>
    <row r="4631" spans="1:24" s="1" customFormat="1" ht="32" customHeight="1" x14ac:dyDescent="0.3">
      <c r="A4631" s="24" t="s">
        <v>23</v>
      </c>
      <c r="B4631" s="24" t="s">
        <v>4169</v>
      </c>
      <c r="C4631" s="27" t="s">
        <v>4172</v>
      </c>
      <c r="D4631" s="61"/>
      <c r="E4631" s="41" t="str">
        <f>HYPERLINK("https://www.google.ru/search?q=6000264-100&amp;newwindow=1&amp;tbm=isch","Еще фото")</f>
        <v>Еще фото</v>
      </c>
      <c r="F4631" s="13"/>
      <c r="G4631" s="24" t="s">
        <v>3604</v>
      </c>
      <c r="H4631" s="24" t="s">
        <v>27</v>
      </c>
      <c r="I4631" s="24" t="s">
        <v>3599</v>
      </c>
      <c r="J4631" s="14" t="s">
        <v>43</v>
      </c>
      <c r="K4631" s="15" t="s">
        <v>59</v>
      </c>
      <c r="L4631" s="58"/>
      <c r="M4631" s="14"/>
      <c r="N4631" s="14" t="s">
        <v>84</v>
      </c>
      <c r="O4631" s="14"/>
      <c r="P4631" s="15" t="s">
        <v>1063</v>
      </c>
      <c r="Q4631" s="16">
        <v>2799</v>
      </c>
      <c r="R4631" s="17">
        <v>40</v>
      </c>
      <c r="S4631" s="18">
        <v>1931.31</v>
      </c>
      <c r="T4631" s="19" t="s">
        <v>36</v>
      </c>
      <c r="U4631" s="20" t="s">
        <v>88</v>
      </c>
      <c r="V4631" s="21" t="s">
        <v>40</v>
      </c>
      <c r="W4631" s="22">
        <v>4</v>
      </c>
      <c r="X4631" s="23"/>
    </row>
    <row r="4632" spans="1:24" s="1" customFormat="1" ht="52.05" customHeight="1" x14ac:dyDescent="0.3">
      <c r="A4632" s="11" t="s">
        <v>23</v>
      </c>
      <c r="B4632" s="11" t="s">
        <v>4173</v>
      </c>
      <c r="C4632" s="12" t="s">
        <v>4174</v>
      </c>
      <c r="D4632" s="55"/>
      <c r="E4632" s="41" t="str">
        <f>HYPERLINK("https://www.google.ru/search?q=6000939-001&amp;newwindow=1&amp;tbm=isch","Еще фото")</f>
        <v>Еще фото</v>
      </c>
      <c r="F4632" s="13" t="s">
        <v>152</v>
      </c>
      <c r="G4632" s="11" t="s">
        <v>3604</v>
      </c>
      <c r="H4632" s="11" t="s">
        <v>27</v>
      </c>
      <c r="I4632" s="14" t="s">
        <v>3599</v>
      </c>
      <c r="J4632" s="14" t="s">
        <v>29</v>
      </c>
      <c r="K4632" s="15" t="s">
        <v>30</v>
      </c>
      <c r="L4632" s="57" t="s">
        <v>4175</v>
      </c>
      <c r="M4632" s="14"/>
      <c r="N4632" s="14" t="s">
        <v>33</v>
      </c>
      <c r="O4632" s="14"/>
      <c r="P4632" s="15" t="s">
        <v>508</v>
      </c>
      <c r="Q4632" s="16">
        <v>5699</v>
      </c>
      <c r="R4632" s="17">
        <v>40</v>
      </c>
      <c r="S4632" s="18">
        <v>3932.31</v>
      </c>
      <c r="T4632" s="19" t="s">
        <v>36</v>
      </c>
      <c r="U4632" s="20" t="s">
        <v>39</v>
      </c>
      <c r="V4632" s="21" t="s">
        <v>40</v>
      </c>
      <c r="W4632" s="22">
        <v>2</v>
      </c>
      <c r="X4632" s="23"/>
    </row>
    <row r="4633" spans="1:24" s="1" customFormat="1" ht="61.05" customHeight="1" x14ac:dyDescent="0.3">
      <c r="A4633" s="24" t="s">
        <v>23</v>
      </c>
      <c r="B4633" s="24" t="s">
        <v>4173</v>
      </c>
      <c r="C4633" s="12" t="s">
        <v>4174</v>
      </c>
      <c r="D4633" s="56"/>
      <c r="E4633" s="41" t="str">
        <f>HYPERLINK("https://www.google.ru/search?q=6000939-001&amp;newwindow=1&amp;tbm=isch","Еще фото")</f>
        <v>Еще фото</v>
      </c>
      <c r="F4633" s="13" t="s">
        <v>152</v>
      </c>
      <c r="G4633" s="24" t="s">
        <v>3604</v>
      </c>
      <c r="H4633" s="24" t="s">
        <v>27</v>
      </c>
      <c r="I4633" s="24" t="s">
        <v>3599</v>
      </c>
      <c r="J4633" s="14" t="s">
        <v>29</v>
      </c>
      <c r="K4633" s="15" t="s">
        <v>30</v>
      </c>
      <c r="L4633" s="58"/>
      <c r="M4633" s="14"/>
      <c r="N4633" s="14" t="s">
        <v>33</v>
      </c>
      <c r="O4633" s="14"/>
      <c r="P4633" s="15" t="s">
        <v>508</v>
      </c>
      <c r="Q4633" s="16">
        <v>5699</v>
      </c>
      <c r="R4633" s="17">
        <v>40</v>
      </c>
      <c r="S4633" s="18">
        <v>3932.31</v>
      </c>
      <c r="T4633" s="19" t="s">
        <v>36</v>
      </c>
      <c r="U4633" s="20" t="s">
        <v>86</v>
      </c>
      <c r="V4633" s="21" t="s">
        <v>87</v>
      </c>
      <c r="W4633" s="22">
        <v>4</v>
      </c>
      <c r="X4633" s="23"/>
    </row>
    <row r="4634" spans="1:24" s="1" customFormat="1" ht="35" customHeight="1" x14ac:dyDescent="0.3">
      <c r="A4634" s="11" t="s">
        <v>23</v>
      </c>
      <c r="B4634" s="11" t="s">
        <v>4173</v>
      </c>
      <c r="C4634" s="12" t="s">
        <v>4176</v>
      </c>
      <c r="D4634" s="59"/>
      <c r="E4634" s="41" t="str">
        <f>HYPERLINK("https://www.google.ru/search?q=6000939-410&amp;newwindow=1&amp;tbm=isch","Еще фото")</f>
        <v>Еще фото</v>
      </c>
      <c r="F4634" s="13"/>
      <c r="G4634" s="11" t="s">
        <v>3604</v>
      </c>
      <c r="H4634" s="11" t="s">
        <v>27</v>
      </c>
      <c r="I4634" s="14" t="s">
        <v>3599</v>
      </c>
      <c r="J4634" s="14" t="s">
        <v>29</v>
      </c>
      <c r="K4634" s="15" t="s">
        <v>30</v>
      </c>
      <c r="L4634" s="57" t="s">
        <v>4177</v>
      </c>
      <c r="M4634" s="14"/>
      <c r="N4634" s="14" t="s">
        <v>115</v>
      </c>
      <c r="O4634" s="14"/>
      <c r="P4634" s="15" t="s">
        <v>508</v>
      </c>
      <c r="Q4634" s="16">
        <v>5699</v>
      </c>
      <c r="R4634" s="17">
        <v>40</v>
      </c>
      <c r="S4634" s="18">
        <v>3932.31</v>
      </c>
      <c r="T4634" s="19" t="s">
        <v>36</v>
      </c>
      <c r="U4634" s="20" t="s">
        <v>37</v>
      </c>
      <c r="V4634" s="21" t="s">
        <v>38</v>
      </c>
      <c r="W4634" s="22">
        <v>4</v>
      </c>
      <c r="X4634" s="23"/>
    </row>
    <row r="4635" spans="1:24" s="1" customFormat="1" ht="35" customHeight="1" x14ac:dyDescent="0.3">
      <c r="A4635" s="24" t="s">
        <v>23</v>
      </c>
      <c r="B4635" s="24" t="s">
        <v>4173</v>
      </c>
      <c r="C4635" s="12" t="s">
        <v>4176</v>
      </c>
      <c r="D4635" s="60"/>
      <c r="E4635" s="41" t="str">
        <f>HYPERLINK("https://www.google.ru/search?q=6000939-410&amp;newwindow=1&amp;tbm=isch","Еще фото")</f>
        <v>Еще фото</v>
      </c>
      <c r="F4635" s="13"/>
      <c r="G4635" s="24" t="s">
        <v>3604</v>
      </c>
      <c r="H4635" s="24" t="s">
        <v>27</v>
      </c>
      <c r="I4635" s="24" t="s">
        <v>3599</v>
      </c>
      <c r="J4635" s="14" t="s">
        <v>29</v>
      </c>
      <c r="K4635" s="15" t="s">
        <v>30</v>
      </c>
      <c r="L4635" s="62"/>
      <c r="M4635" s="14"/>
      <c r="N4635" s="14" t="s">
        <v>115</v>
      </c>
      <c r="O4635" s="14"/>
      <c r="P4635" s="15" t="s">
        <v>508</v>
      </c>
      <c r="Q4635" s="16">
        <v>5699</v>
      </c>
      <c r="R4635" s="17">
        <v>40</v>
      </c>
      <c r="S4635" s="18">
        <v>3932.31</v>
      </c>
      <c r="T4635" s="19" t="s">
        <v>36</v>
      </c>
      <c r="U4635" s="20" t="s">
        <v>39</v>
      </c>
      <c r="V4635" s="21" t="s">
        <v>40</v>
      </c>
      <c r="W4635" s="22">
        <v>21</v>
      </c>
      <c r="X4635" s="23"/>
    </row>
    <row r="4636" spans="1:24" s="1" customFormat="1" ht="37.049999999999997" customHeight="1" x14ac:dyDescent="0.3">
      <c r="A4636" s="24" t="s">
        <v>23</v>
      </c>
      <c r="B4636" s="24" t="s">
        <v>4173</v>
      </c>
      <c r="C4636" s="12" t="s">
        <v>4176</v>
      </c>
      <c r="D4636" s="61"/>
      <c r="E4636" s="41" t="str">
        <f>HYPERLINK("https://www.google.ru/search?q=6000939-410&amp;newwindow=1&amp;tbm=isch","Еще фото")</f>
        <v>Еще фото</v>
      </c>
      <c r="F4636" s="13"/>
      <c r="G4636" s="24" t="s">
        <v>3604</v>
      </c>
      <c r="H4636" s="24" t="s">
        <v>27</v>
      </c>
      <c r="I4636" s="24" t="s">
        <v>3599</v>
      </c>
      <c r="J4636" s="14" t="s">
        <v>29</v>
      </c>
      <c r="K4636" s="15" t="s">
        <v>30</v>
      </c>
      <c r="L4636" s="58"/>
      <c r="M4636" s="14"/>
      <c r="N4636" s="14" t="s">
        <v>115</v>
      </c>
      <c r="O4636" s="14"/>
      <c r="P4636" s="15" t="s">
        <v>508</v>
      </c>
      <c r="Q4636" s="16">
        <v>5699</v>
      </c>
      <c r="R4636" s="17">
        <v>40</v>
      </c>
      <c r="S4636" s="18">
        <v>3932.31</v>
      </c>
      <c r="T4636" s="19" t="s">
        <v>36</v>
      </c>
      <c r="U4636" s="20" t="s">
        <v>86</v>
      </c>
      <c r="V4636" s="21" t="s">
        <v>87</v>
      </c>
      <c r="W4636" s="22">
        <v>15</v>
      </c>
      <c r="X4636" s="23"/>
    </row>
    <row r="4637" spans="1:24" s="1" customFormat="1" ht="108" customHeight="1" x14ac:dyDescent="0.3">
      <c r="A4637" s="11" t="s">
        <v>23</v>
      </c>
      <c r="B4637" s="11" t="s">
        <v>4178</v>
      </c>
      <c r="C4637" s="12" t="s">
        <v>4179</v>
      </c>
      <c r="D4637" s="25"/>
      <c r="E4637" s="41" t="str">
        <f>HYPERLINK("https://www.google.ru/search?q=6003985-673&amp;newwindow=1&amp;tbm=isch","Еще фото")</f>
        <v>Еще фото</v>
      </c>
      <c r="F4637" s="13" t="s">
        <v>152</v>
      </c>
      <c r="G4637" s="11" t="s">
        <v>3598</v>
      </c>
      <c r="H4637" s="11" t="s">
        <v>27</v>
      </c>
      <c r="I4637" s="14" t="s">
        <v>3599</v>
      </c>
      <c r="J4637" s="14" t="s">
        <v>29</v>
      </c>
      <c r="K4637" s="15" t="s">
        <v>59</v>
      </c>
      <c r="L4637" s="14" t="s">
        <v>4180</v>
      </c>
      <c r="M4637" s="14"/>
      <c r="N4637" s="14" t="s">
        <v>69</v>
      </c>
      <c r="O4637" s="14"/>
      <c r="P4637" s="15" t="s">
        <v>53</v>
      </c>
      <c r="Q4637" s="16">
        <v>4299</v>
      </c>
      <c r="R4637" s="17">
        <v>40</v>
      </c>
      <c r="S4637" s="18">
        <v>2966.31</v>
      </c>
      <c r="T4637" s="19" t="s">
        <v>36</v>
      </c>
      <c r="U4637" s="20" t="s">
        <v>86</v>
      </c>
      <c r="V4637" s="21" t="s">
        <v>38</v>
      </c>
      <c r="W4637" s="22">
        <v>1</v>
      </c>
      <c r="X4637" s="23"/>
    </row>
    <row r="4638" spans="1:24" s="1" customFormat="1" ht="21" customHeight="1" x14ac:dyDescent="0.3">
      <c r="A4638" s="11" t="s">
        <v>23</v>
      </c>
      <c r="B4638" s="11" t="s">
        <v>4181</v>
      </c>
      <c r="C4638" s="26" t="s">
        <v>4182</v>
      </c>
      <c r="D4638" s="59"/>
      <c r="E4638" s="41" t="str">
        <f>HYPERLINK("https://www.google.ru/search?q=6005655-001&amp;newwindow=1&amp;tbm=isch","Еще фото")</f>
        <v>Еще фото</v>
      </c>
      <c r="F4638" s="13" t="s">
        <v>103</v>
      </c>
      <c r="G4638" s="11" t="s">
        <v>3604</v>
      </c>
      <c r="H4638" s="11" t="s">
        <v>27</v>
      </c>
      <c r="I4638" s="14" t="s">
        <v>3599</v>
      </c>
      <c r="J4638" s="14" t="s">
        <v>43</v>
      </c>
      <c r="K4638" s="15" t="s">
        <v>30</v>
      </c>
      <c r="L4638" s="57" t="s">
        <v>4183</v>
      </c>
      <c r="M4638" s="14"/>
      <c r="N4638" s="14" t="s">
        <v>33</v>
      </c>
      <c r="O4638" s="14"/>
      <c r="P4638" s="15" t="s">
        <v>2951</v>
      </c>
      <c r="Q4638" s="16">
        <v>5199</v>
      </c>
      <c r="R4638" s="17">
        <v>40</v>
      </c>
      <c r="S4638" s="18">
        <v>3587.31</v>
      </c>
      <c r="T4638" s="19" t="s">
        <v>36</v>
      </c>
      <c r="U4638" s="20" t="s">
        <v>63</v>
      </c>
      <c r="V4638" s="21" t="s">
        <v>85</v>
      </c>
      <c r="W4638" s="22">
        <v>3</v>
      </c>
      <c r="X4638" s="23"/>
    </row>
    <row r="4639" spans="1:24" s="1" customFormat="1" ht="21" customHeight="1" x14ac:dyDescent="0.3">
      <c r="A4639" s="24" t="s">
        <v>23</v>
      </c>
      <c r="B4639" s="24" t="s">
        <v>4181</v>
      </c>
      <c r="C4639" s="27" t="s">
        <v>4182</v>
      </c>
      <c r="D4639" s="60"/>
      <c r="E4639" s="41" t="str">
        <f>HYPERLINK("https://www.google.ru/search?q=6005655-001&amp;newwindow=1&amp;tbm=isch","Еще фото")</f>
        <v>Еще фото</v>
      </c>
      <c r="F4639" s="13" t="s">
        <v>103</v>
      </c>
      <c r="G4639" s="24" t="s">
        <v>3604</v>
      </c>
      <c r="H4639" s="24" t="s">
        <v>27</v>
      </c>
      <c r="I4639" s="24" t="s">
        <v>3599</v>
      </c>
      <c r="J4639" s="14" t="s">
        <v>43</v>
      </c>
      <c r="K4639" s="15" t="s">
        <v>30</v>
      </c>
      <c r="L4639" s="62"/>
      <c r="M4639" s="14"/>
      <c r="N4639" s="14" t="s">
        <v>33</v>
      </c>
      <c r="O4639" s="14"/>
      <c r="P4639" s="15" t="s">
        <v>2951</v>
      </c>
      <c r="Q4639" s="16">
        <v>5199</v>
      </c>
      <c r="R4639" s="17">
        <v>40</v>
      </c>
      <c r="S4639" s="18">
        <v>3587.31</v>
      </c>
      <c r="T4639" s="19" t="s">
        <v>36</v>
      </c>
      <c r="U4639" s="20" t="s">
        <v>37</v>
      </c>
      <c r="V4639" s="21" t="s">
        <v>38</v>
      </c>
      <c r="W4639" s="22">
        <v>5</v>
      </c>
      <c r="X4639" s="23"/>
    </row>
    <row r="4640" spans="1:24" s="1" customFormat="1" ht="21" customHeight="1" x14ac:dyDescent="0.3">
      <c r="A4640" s="24" t="s">
        <v>23</v>
      </c>
      <c r="B4640" s="24" t="s">
        <v>4181</v>
      </c>
      <c r="C4640" s="27" t="s">
        <v>4182</v>
      </c>
      <c r="D4640" s="60"/>
      <c r="E4640" s="41" t="str">
        <f>HYPERLINK("https://www.google.ru/search?q=6005655-001&amp;newwindow=1&amp;tbm=isch","Еще фото")</f>
        <v>Еще фото</v>
      </c>
      <c r="F4640" s="13" t="s">
        <v>103</v>
      </c>
      <c r="G4640" s="24" t="s">
        <v>3604</v>
      </c>
      <c r="H4640" s="24" t="s">
        <v>27</v>
      </c>
      <c r="I4640" s="24" t="s">
        <v>3599</v>
      </c>
      <c r="J4640" s="14" t="s">
        <v>43</v>
      </c>
      <c r="K4640" s="15" t="s">
        <v>30</v>
      </c>
      <c r="L4640" s="62"/>
      <c r="M4640" s="14"/>
      <c r="N4640" s="14" t="s">
        <v>33</v>
      </c>
      <c r="O4640" s="14"/>
      <c r="P4640" s="15" t="s">
        <v>2951</v>
      </c>
      <c r="Q4640" s="16">
        <v>5199</v>
      </c>
      <c r="R4640" s="17">
        <v>40</v>
      </c>
      <c r="S4640" s="18">
        <v>3587.31</v>
      </c>
      <c r="T4640" s="19" t="s">
        <v>36</v>
      </c>
      <c r="U4640" s="20" t="s">
        <v>39</v>
      </c>
      <c r="V4640" s="21" t="s">
        <v>40</v>
      </c>
      <c r="W4640" s="22">
        <v>7</v>
      </c>
      <c r="X4640" s="23"/>
    </row>
    <row r="4641" spans="1:24" s="1" customFormat="1" ht="21" customHeight="1" x14ac:dyDescent="0.3">
      <c r="A4641" s="24" t="s">
        <v>23</v>
      </c>
      <c r="B4641" s="24" t="s">
        <v>4181</v>
      </c>
      <c r="C4641" s="27" t="s">
        <v>4182</v>
      </c>
      <c r="D4641" s="60"/>
      <c r="E4641" s="41" t="str">
        <f>HYPERLINK("https://www.google.ru/search?q=6005655-001&amp;newwindow=1&amp;tbm=isch","Еще фото")</f>
        <v>Еще фото</v>
      </c>
      <c r="F4641" s="13" t="s">
        <v>103</v>
      </c>
      <c r="G4641" s="24" t="s">
        <v>3604</v>
      </c>
      <c r="H4641" s="24" t="s">
        <v>27</v>
      </c>
      <c r="I4641" s="24" t="s">
        <v>3599</v>
      </c>
      <c r="J4641" s="14" t="s">
        <v>43</v>
      </c>
      <c r="K4641" s="15" t="s">
        <v>30</v>
      </c>
      <c r="L4641" s="62"/>
      <c r="M4641" s="14"/>
      <c r="N4641" s="14" t="s">
        <v>33</v>
      </c>
      <c r="O4641" s="14"/>
      <c r="P4641" s="15" t="s">
        <v>2951</v>
      </c>
      <c r="Q4641" s="16">
        <v>5199</v>
      </c>
      <c r="R4641" s="17">
        <v>40</v>
      </c>
      <c r="S4641" s="18">
        <v>3587.31</v>
      </c>
      <c r="T4641" s="19" t="s">
        <v>36</v>
      </c>
      <c r="U4641" s="20" t="s">
        <v>86</v>
      </c>
      <c r="V4641" s="21" t="s">
        <v>87</v>
      </c>
      <c r="W4641" s="22">
        <v>5</v>
      </c>
      <c r="X4641" s="23"/>
    </row>
    <row r="4642" spans="1:24" s="1" customFormat="1" ht="32" customHeight="1" x14ac:dyDescent="0.3">
      <c r="A4642" s="24" t="s">
        <v>23</v>
      </c>
      <c r="B4642" s="24" t="s">
        <v>4181</v>
      </c>
      <c r="C4642" s="27" t="s">
        <v>4182</v>
      </c>
      <c r="D4642" s="61"/>
      <c r="E4642" s="41" t="str">
        <f>HYPERLINK("https://www.google.ru/search?q=6005655-001&amp;newwindow=1&amp;tbm=isch","Еще фото")</f>
        <v>Еще фото</v>
      </c>
      <c r="F4642" s="13" t="s">
        <v>103</v>
      </c>
      <c r="G4642" s="24" t="s">
        <v>3604</v>
      </c>
      <c r="H4642" s="24" t="s">
        <v>27</v>
      </c>
      <c r="I4642" s="24" t="s">
        <v>3599</v>
      </c>
      <c r="J4642" s="14" t="s">
        <v>43</v>
      </c>
      <c r="K4642" s="15" t="s">
        <v>30</v>
      </c>
      <c r="L4642" s="58"/>
      <c r="M4642" s="14"/>
      <c r="N4642" s="14" t="s">
        <v>33</v>
      </c>
      <c r="O4642" s="14"/>
      <c r="P4642" s="15" t="s">
        <v>2951</v>
      </c>
      <c r="Q4642" s="16">
        <v>5199</v>
      </c>
      <c r="R4642" s="17">
        <v>40</v>
      </c>
      <c r="S4642" s="18">
        <v>3587.31</v>
      </c>
      <c r="T4642" s="19" t="s">
        <v>36</v>
      </c>
      <c r="U4642" s="20" t="s">
        <v>88</v>
      </c>
      <c r="V4642" s="21" t="s">
        <v>89</v>
      </c>
      <c r="W4642" s="22">
        <v>3</v>
      </c>
      <c r="X4642" s="23"/>
    </row>
    <row r="4643" spans="1:24" s="1" customFormat="1" ht="17" customHeight="1" x14ac:dyDescent="0.3">
      <c r="A4643" s="11" t="s">
        <v>23</v>
      </c>
      <c r="B4643" s="11" t="s">
        <v>4181</v>
      </c>
      <c r="C4643" s="12" t="s">
        <v>4184</v>
      </c>
      <c r="D4643" s="59"/>
      <c r="E4643" s="41" t="str">
        <f t="shared" ref="E4643:E4648" si="167">HYPERLINK("https://www.google.ru/search?q=6005655-279&amp;newwindow=1&amp;tbm=isch","Еще фото")</f>
        <v>Еще фото</v>
      </c>
      <c r="F4643" s="13" t="s">
        <v>103</v>
      </c>
      <c r="G4643" s="11" t="s">
        <v>3604</v>
      </c>
      <c r="H4643" s="11" t="s">
        <v>27</v>
      </c>
      <c r="I4643" s="14" t="s">
        <v>3599</v>
      </c>
      <c r="J4643" s="14" t="s">
        <v>43</v>
      </c>
      <c r="K4643" s="15" t="s">
        <v>30</v>
      </c>
      <c r="L4643" s="57" t="s">
        <v>4183</v>
      </c>
      <c r="M4643" s="14"/>
      <c r="N4643" s="14" t="s">
        <v>229</v>
      </c>
      <c r="O4643" s="14"/>
      <c r="P4643" s="15" t="s">
        <v>2951</v>
      </c>
      <c r="Q4643" s="16">
        <v>5199</v>
      </c>
      <c r="R4643" s="17">
        <v>40</v>
      </c>
      <c r="S4643" s="18">
        <v>3587.31</v>
      </c>
      <c r="T4643" s="19" t="s">
        <v>36</v>
      </c>
      <c r="U4643" s="20" t="s">
        <v>63</v>
      </c>
      <c r="V4643" s="21" t="s">
        <v>85</v>
      </c>
      <c r="W4643" s="22">
        <v>4</v>
      </c>
      <c r="X4643" s="23"/>
    </row>
    <row r="4644" spans="1:24" s="1" customFormat="1" ht="17" customHeight="1" x14ac:dyDescent="0.3">
      <c r="A4644" s="24" t="s">
        <v>23</v>
      </c>
      <c r="B4644" s="24" t="s">
        <v>4181</v>
      </c>
      <c r="C4644" s="12" t="s">
        <v>4184</v>
      </c>
      <c r="D4644" s="60"/>
      <c r="E4644" s="41" t="str">
        <f t="shared" si="167"/>
        <v>Еще фото</v>
      </c>
      <c r="F4644" s="13" t="s">
        <v>103</v>
      </c>
      <c r="G4644" s="24" t="s">
        <v>3604</v>
      </c>
      <c r="H4644" s="24" t="s">
        <v>27</v>
      </c>
      <c r="I4644" s="24" t="s">
        <v>3599</v>
      </c>
      <c r="J4644" s="14" t="s">
        <v>43</v>
      </c>
      <c r="K4644" s="15" t="s">
        <v>30</v>
      </c>
      <c r="L4644" s="62"/>
      <c r="M4644" s="14"/>
      <c r="N4644" s="14" t="s">
        <v>229</v>
      </c>
      <c r="O4644" s="14"/>
      <c r="P4644" s="15" t="s">
        <v>2951</v>
      </c>
      <c r="Q4644" s="16">
        <v>5199</v>
      </c>
      <c r="R4644" s="17">
        <v>40</v>
      </c>
      <c r="S4644" s="18">
        <v>3587.31</v>
      </c>
      <c r="T4644" s="19" t="s">
        <v>36</v>
      </c>
      <c r="U4644" s="20" t="s">
        <v>37</v>
      </c>
      <c r="V4644" s="21" t="s">
        <v>38</v>
      </c>
      <c r="W4644" s="22">
        <v>1</v>
      </c>
      <c r="X4644" s="23"/>
    </row>
    <row r="4645" spans="1:24" s="1" customFormat="1" ht="17" customHeight="1" x14ac:dyDescent="0.3">
      <c r="A4645" s="24" t="s">
        <v>23</v>
      </c>
      <c r="B4645" s="24" t="s">
        <v>4181</v>
      </c>
      <c r="C4645" s="12" t="s">
        <v>4184</v>
      </c>
      <c r="D4645" s="60"/>
      <c r="E4645" s="41" t="str">
        <f t="shared" si="167"/>
        <v>Еще фото</v>
      </c>
      <c r="F4645" s="13" t="s">
        <v>103</v>
      </c>
      <c r="G4645" s="24" t="s">
        <v>3604</v>
      </c>
      <c r="H4645" s="24" t="s">
        <v>27</v>
      </c>
      <c r="I4645" s="24" t="s">
        <v>3599</v>
      </c>
      <c r="J4645" s="14" t="s">
        <v>43</v>
      </c>
      <c r="K4645" s="15" t="s">
        <v>30</v>
      </c>
      <c r="L4645" s="62"/>
      <c r="M4645" s="14"/>
      <c r="N4645" s="14" t="s">
        <v>229</v>
      </c>
      <c r="O4645" s="14"/>
      <c r="P4645" s="15" t="s">
        <v>2951</v>
      </c>
      <c r="Q4645" s="16">
        <v>5199</v>
      </c>
      <c r="R4645" s="17">
        <v>40</v>
      </c>
      <c r="S4645" s="18">
        <v>3587.31</v>
      </c>
      <c r="T4645" s="19" t="s">
        <v>36</v>
      </c>
      <c r="U4645" s="20" t="s">
        <v>39</v>
      </c>
      <c r="V4645" s="21" t="s">
        <v>40</v>
      </c>
      <c r="W4645" s="22">
        <v>7</v>
      </c>
      <c r="X4645" s="23"/>
    </row>
    <row r="4646" spans="1:24" s="1" customFormat="1" ht="17" customHeight="1" x14ac:dyDescent="0.3">
      <c r="A4646" s="24" t="s">
        <v>23</v>
      </c>
      <c r="B4646" s="24" t="s">
        <v>4181</v>
      </c>
      <c r="C4646" s="12" t="s">
        <v>4184</v>
      </c>
      <c r="D4646" s="60"/>
      <c r="E4646" s="41" t="str">
        <f t="shared" si="167"/>
        <v>Еще фото</v>
      </c>
      <c r="F4646" s="13" t="s">
        <v>103</v>
      </c>
      <c r="G4646" s="24" t="s">
        <v>3604</v>
      </c>
      <c r="H4646" s="24" t="s">
        <v>27</v>
      </c>
      <c r="I4646" s="24" t="s">
        <v>3599</v>
      </c>
      <c r="J4646" s="14" t="s">
        <v>43</v>
      </c>
      <c r="K4646" s="15" t="s">
        <v>30</v>
      </c>
      <c r="L4646" s="62"/>
      <c r="M4646" s="14"/>
      <c r="N4646" s="14" t="s">
        <v>229</v>
      </c>
      <c r="O4646" s="14"/>
      <c r="P4646" s="15" t="s">
        <v>2951</v>
      </c>
      <c r="Q4646" s="16">
        <v>5199</v>
      </c>
      <c r="R4646" s="17">
        <v>40</v>
      </c>
      <c r="S4646" s="18">
        <v>3587.31</v>
      </c>
      <c r="T4646" s="19" t="s">
        <v>36</v>
      </c>
      <c r="U4646" s="20" t="s">
        <v>86</v>
      </c>
      <c r="V4646" s="21" t="s">
        <v>87</v>
      </c>
      <c r="W4646" s="22">
        <v>6</v>
      </c>
      <c r="X4646" s="23"/>
    </row>
    <row r="4647" spans="1:24" s="1" customFormat="1" ht="17" customHeight="1" x14ac:dyDescent="0.3">
      <c r="A4647" s="24" t="s">
        <v>23</v>
      </c>
      <c r="B4647" s="24" t="s">
        <v>4181</v>
      </c>
      <c r="C4647" s="12" t="s">
        <v>4184</v>
      </c>
      <c r="D4647" s="60"/>
      <c r="E4647" s="41" t="str">
        <f t="shared" si="167"/>
        <v>Еще фото</v>
      </c>
      <c r="F4647" s="13" t="s">
        <v>103</v>
      </c>
      <c r="G4647" s="24" t="s">
        <v>3604</v>
      </c>
      <c r="H4647" s="24" t="s">
        <v>27</v>
      </c>
      <c r="I4647" s="24" t="s">
        <v>3599</v>
      </c>
      <c r="J4647" s="14" t="s">
        <v>43</v>
      </c>
      <c r="K4647" s="15" t="s">
        <v>30</v>
      </c>
      <c r="L4647" s="62"/>
      <c r="M4647" s="14"/>
      <c r="N4647" s="14" t="s">
        <v>229</v>
      </c>
      <c r="O4647" s="14"/>
      <c r="P4647" s="15" t="s">
        <v>2951</v>
      </c>
      <c r="Q4647" s="16">
        <v>5199</v>
      </c>
      <c r="R4647" s="17">
        <v>40</v>
      </c>
      <c r="S4647" s="18">
        <v>3587.31</v>
      </c>
      <c r="T4647" s="19" t="s">
        <v>36</v>
      </c>
      <c r="U4647" s="20" t="s">
        <v>88</v>
      </c>
      <c r="V4647" s="21" t="s">
        <v>89</v>
      </c>
      <c r="W4647" s="22">
        <v>3</v>
      </c>
      <c r="X4647" s="23"/>
    </row>
    <row r="4648" spans="1:24" s="1" customFormat="1" ht="22.05" customHeight="1" x14ac:dyDescent="0.3">
      <c r="A4648" s="24" t="s">
        <v>23</v>
      </c>
      <c r="B4648" s="24" t="s">
        <v>4181</v>
      </c>
      <c r="C4648" s="12" t="s">
        <v>4184</v>
      </c>
      <c r="D4648" s="61"/>
      <c r="E4648" s="41" t="str">
        <f t="shared" si="167"/>
        <v>Еще фото</v>
      </c>
      <c r="F4648" s="13" t="s">
        <v>103</v>
      </c>
      <c r="G4648" s="24" t="s">
        <v>3604</v>
      </c>
      <c r="H4648" s="24" t="s">
        <v>27</v>
      </c>
      <c r="I4648" s="24" t="s">
        <v>3599</v>
      </c>
      <c r="J4648" s="14" t="s">
        <v>43</v>
      </c>
      <c r="K4648" s="15" t="s">
        <v>30</v>
      </c>
      <c r="L4648" s="58"/>
      <c r="M4648" s="14"/>
      <c r="N4648" s="14" t="s">
        <v>229</v>
      </c>
      <c r="O4648" s="14"/>
      <c r="P4648" s="15" t="s">
        <v>2951</v>
      </c>
      <c r="Q4648" s="16">
        <v>5199</v>
      </c>
      <c r="R4648" s="17">
        <v>40</v>
      </c>
      <c r="S4648" s="18">
        <v>3587.31</v>
      </c>
      <c r="T4648" s="19" t="s">
        <v>36</v>
      </c>
      <c r="U4648" s="20" t="s">
        <v>90</v>
      </c>
      <c r="V4648" s="21" t="s">
        <v>91</v>
      </c>
      <c r="W4648" s="22">
        <v>1</v>
      </c>
      <c r="X4648" s="23"/>
    </row>
    <row r="4649" spans="1:24" s="1" customFormat="1" ht="14" customHeight="1" x14ac:dyDescent="0.3">
      <c r="A4649" s="11" t="s">
        <v>23</v>
      </c>
      <c r="B4649" s="11" t="s">
        <v>4181</v>
      </c>
      <c r="C4649" s="12" t="s">
        <v>4185</v>
      </c>
      <c r="D4649" s="59"/>
      <c r="E4649" s="41" t="str">
        <f t="shared" ref="E4649:E4655" si="168">HYPERLINK("https://www.google.ru/search?q=6005655-498&amp;newwindow=1&amp;tbm=isch","Еще фото")</f>
        <v>Еще фото</v>
      </c>
      <c r="F4649" s="13" t="s">
        <v>103</v>
      </c>
      <c r="G4649" s="11" t="s">
        <v>3604</v>
      </c>
      <c r="H4649" s="11" t="s">
        <v>27</v>
      </c>
      <c r="I4649" s="14" t="s">
        <v>3599</v>
      </c>
      <c r="J4649" s="14" t="s">
        <v>43</v>
      </c>
      <c r="K4649" s="15" t="s">
        <v>30</v>
      </c>
      <c r="L4649" s="57" t="s">
        <v>4183</v>
      </c>
      <c r="M4649" s="14"/>
      <c r="N4649" s="14" t="s">
        <v>115</v>
      </c>
      <c r="O4649" s="14"/>
      <c r="P4649" s="15" t="s">
        <v>2951</v>
      </c>
      <c r="Q4649" s="16">
        <v>5199</v>
      </c>
      <c r="R4649" s="17">
        <v>40</v>
      </c>
      <c r="S4649" s="18">
        <v>3587.31</v>
      </c>
      <c r="T4649" s="19" t="s">
        <v>36</v>
      </c>
      <c r="U4649" s="20" t="s">
        <v>63</v>
      </c>
      <c r="V4649" s="21" t="s">
        <v>85</v>
      </c>
      <c r="W4649" s="22">
        <v>5</v>
      </c>
      <c r="X4649" s="23"/>
    </row>
    <row r="4650" spans="1:24" s="1" customFormat="1" ht="14" customHeight="1" x14ac:dyDescent="0.3">
      <c r="A4650" s="24" t="s">
        <v>23</v>
      </c>
      <c r="B4650" s="24" t="s">
        <v>4181</v>
      </c>
      <c r="C4650" s="12" t="s">
        <v>4185</v>
      </c>
      <c r="D4650" s="60"/>
      <c r="E4650" s="41" t="str">
        <f t="shared" si="168"/>
        <v>Еще фото</v>
      </c>
      <c r="F4650" s="13" t="s">
        <v>103</v>
      </c>
      <c r="G4650" s="24" t="s">
        <v>3604</v>
      </c>
      <c r="H4650" s="24" t="s">
        <v>27</v>
      </c>
      <c r="I4650" s="24" t="s">
        <v>3599</v>
      </c>
      <c r="J4650" s="14" t="s">
        <v>43</v>
      </c>
      <c r="K4650" s="15" t="s">
        <v>30</v>
      </c>
      <c r="L4650" s="62"/>
      <c r="M4650" s="14"/>
      <c r="N4650" s="14" t="s">
        <v>115</v>
      </c>
      <c r="O4650" s="14"/>
      <c r="P4650" s="15" t="s">
        <v>2951</v>
      </c>
      <c r="Q4650" s="16">
        <v>5199</v>
      </c>
      <c r="R4650" s="17">
        <v>40</v>
      </c>
      <c r="S4650" s="18">
        <v>3587.31</v>
      </c>
      <c r="T4650" s="19" t="s">
        <v>36</v>
      </c>
      <c r="U4650" s="20" t="s">
        <v>37</v>
      </c>
      <c r="V4650" s="21" t="s">
        <v>38</v>
      </c>
      <c r="W4650" s="22">
        <v>4</v>
      </c>
      <c r="X4650" s="23"/>
    </row>
    <row r="4651" spans="1:24" s="1" customFormat="1" ht="14" customHeight="1" x14ac:dyDescent="0.3">
      <c r="A4651" s="24" t="s">
        <v>23</v>
      </c>
      <c r="B4651" s="24" t="s">
        <v>4181</v>
      </c>
      <c r="C4651" s="12" t="s">
        <v>4185</v>
      </c>
      <c r="D4651" s="60"/>
      <c r="E4651" s="41" t="str">
        <f t="shared" si="168"/>
        <v>Еще фото</v>
      </c>
      <c r="F4651" s="13" t="s">
        <v>103</v>
      </c>
      <c r="G4651" s="24" t="s">
        <v>3604</v>
      </c>
      <c r="H4651" s="24" t="s">
        <v>27</v>
      </c>
      <c r="I4651" s="24" t="s">
        <v>3599</v>
      </c>
      <c r="J4651" s="14" t="s">
        <v>43</v>
      </c>
      <c r="K4651" s="15" t="s">
        <v>30</v>
      </c>
      <c r="L4651" s="62"/>
      <c r="M4651" s="14"/>
      <c r="N4651" s="14" t="s">
        <v>115</v>
      </c>
      <c r="O4651" s="14"/>
      <c r="P4651" s="15" t="s">
        <v>2951</v>
      </c>
      <c r="Q4651" s="16">
        <v>5199</v>
      </c>
      <c r="R4651" s="17">
        <v>40</v>
      </c>
      <c r="S4651" s="18">
        <v>3587.31</v>
      </c>
      <c r="T4651" s="19" t="s">
        <v>36</v>
      </c>
      <c r="U4651" s="20" t="s">
        <v>39</v>
      </c>
      <c r="V4651" s="21" t="s">
        <v>40</v>
      </c>
      <c r="W4651" s="22">
        <v>18</v>
      </c>
      <c r="X4651" s="23"/>
    </row>
    <row r="4652" spans="1:24" s="1" customFormat="1" ht="14" customHeight="1" x14ac:dyDescent="0.3">
      <c r="A4652" s="24" t="s">
        <v>23</v>
      </c>
      <c r="B4652" s="24" t="s">
        <v>4181</v>
      </c>
      <c r="C4652" s="12" t="s">
        <v>4185</v>
      </c>
      <c r="D4652" s="60"/>
      <c r="E4652" s="41" t="str">
        <f t="shared" si="168"/>
        <v>Еще фото</v>
      </c>
      <c r="F4652" s="13" t="s">
        <v>103</v>
      </c>
      <c r="G4652" s="24" t="s">
        <v>3604</v>
      </c>
      <c r="H4652" s="24" t="s">
        <v>27</v>
      </c>
      <c r="I4652" s="24" t="s">
        <v>3599</v>
      </c>
      <c r="J4652" s="14" t="s">
        <v>43</v>
      </c>
      <c r="K4652" s="15" t="s">
        <v>30</v>
      </c>
      <c r="L4652" s="62"/>
      <c r="M4652" s="14"/>
      <c r="N4652" s="14" t="s">
        <v>115</v>
      </c>
      <c r="O4652" s="14"/>
      <c r="P4652" s="15" t="s">
        <v>2951</v>
      </c>
      <c r="Q4652" s="16">
        <v>5199</v>
      </c>
      <c r="R4652" s="17">
        <v>40</v>
      </c>
      <c r="S4652" s="18">
        <v>3587.31</v>
      </c>
      <c r="T4652" s="19" t="s">
        <v>36</v>
      </c>
      <c r="U4652" s="20" t="s">
        <v>86</v>
      </c>
      <c r="V4652" s="21" t="s">
        <v>87</v>
      </c>
      <c r="W4652" s="22">
        <v>18</v>
      </c>
      <c r="X4652" s="23"/>
    </row>
    <row r="4653" spans="1:24" s="1" customFormat="1" ht="14" customHeight="1" x14ac:dyDescent="0.3">
      <c r="A4653" s="24" t="s">
        <v>23</v>
      </c>
      <c r="B4653" s="24" t="s">
        <v>4181</v>
      </c>
      <c r="C4653" s="12" t="s">
        <v>4185</v>
      </c>
      <c r="D4653" s="60"/>
      <c r="E4653" s="41" t="str">
        <f t="shared" si="168"/>
        <v>Еще фото</v>
      </c>
      <c r="F4653" s="13" t="s">
        <v>103</v>
      </c>
      <c r="G4653" s="24" t="s">
        <v>3604</v>
      </c>
      <c r="H4653" s="24" t="s">
        <v>27</v>
      </c>
      <c r="I4653" s="24" t="s">
        <v>3599</v>
      </c>
      <c r="J4653" s="14" t="s">
        <v>43</v>
      </c>
      <c r="K4653" s="15" t="s">
        <v>30</v>
      </c>
      <c r="L4653" s="62"/>
      <c r="M4653" s="14"/>
      <c r="N4653" s="14" t="s">
        <v>115</v>
      </c>
      <c r="O4653" s="14"/>
      <c r="P4653" s="15" t="s">
        <v>2951</v>
      </c>
      <c r="Q4653" s="16">
        <v>5199</v>
      </c>
      <c r="R4653" s="17">
        <v>40</v>
      </c>
      <c r="S4653" s="18">
        <v>3587.31</v>
      </c>
      <c r="T4653" s="19" t="s">
        <v>36</v>
      </c>
      <c r="U4653" s="20" t="s">
        <v>88</v>
      </c>
      <c r="V4653" s="21" t="s">
        <v>89</v>
      </c>
      <c r="W4653" s="22">
        <v>16</v>
      </c>
      <c r="X4653" s="23"/>
    </row>
    <row r="4654" spans="1:24" s="1" customFormat="1" ht="14" customHeight="1" x14ac:dyDescent="0.3">
      <c r="A4654" s="24" t="s">
        <v>23</v>
      </c>
      <c r="B4654" s="24" t="s">
        <v>4181</v>
      </c>
      <c r="C4654" s="12" t="s">
        <v>4185</v>
      </c>
      <c r="D4654" s="60"/>
      <c r="E4654" s="41" t="str">
        <f t="shared" si="168"/>
        <v>Еще фото</v>
      </c>
      <c r="F4654" s="13" t="s">
        <v>103</v>
      </c>
      <c r="G4654" s="24" t="s">
        <v>3604</v>
      </c>
      <c r="H4654" s="24" t="s">
        <v>27</v>
      </c>
      <c r="I4654" s="24" t="s">
        <v>3599</v>
      </c>
      <c r="J4654" s="14" t="s">
        <v>43</v>
      </c>
      <c r="K4654" s="15" t="s">
        <v>30</v>
      </c>
      <c r="L4654" s="62"/>
      <c r="M4654" s="14"/>
      <c r="N4654" s="14" t="s">
        <v>115</v>
      </c>
      <c r="O4654" s="14"/>
      <c r="P4654" s="15" t="s">
        <v>2951</v>
      </c>
      <c r="Q4654" s="16">
        <v>5199</v>
      </c>
      <c r="R4654" s="17">
        <v>40</v>
      </c>
      <c r="S4654" s="18">
        <v>3587.31</v>
      </c>
      <c r="T4654" s="19" t="s">
        <v>36</v>
      </c>
      <c r="U4654" s="20" t="s">
        <v>90</v>
      </c>
      <c r="V4654" s="21" t="s">
        <v>91</v>
      </c>
      <c r="W4654" s="22">
        <v>9</v>
      </c>
      <c r="X4654" s="23"/>
    </row>
    <row r="4655" spans="1:24" s="1" customFormat="1" ht="17" customHeight="1" x14ac:dyDescent="0.3">
      <c r="A4655" s="24" t="s">
        <v>23</v>
      </c>
      <c r="B4655" s="24" t="s">
        <v>4181</v>
      </c>
      <c r="C4655" s="12" t="s">
        <v>4185</v>
      </c>
      <c r="D4655" s="61"/>
      <c r="E4655" s="41" t="str">
        <f t="shared" si="168"/>
        <v>Еще фото</v>
      </c>
      <c r="F4655" s="13" t="s">
        <v>103</v>
      </c>
      <c r="G4655" s="24" t="s">
        <v>3604</v>
      </c>
      <c r="H4655" s="24" t="s">
        <v>27</v>
      </c>
      <c r="I4655" s="24" t="s">
        <v>3599</v>
      </c>
      <c r="J4655" s="14" t="s">
        <v>43</v>
      </c>
      <c r="K4655" s="15" t="s">
        <v>30</v>
      </c>
      <c r="L4655" s="58"/>
      <c r="M4655" s="14"/>
      <c r="N4655" s="14" t="s">
        <v>115</v>
      </c>
      <c r="O4655" s="14"/>
      <c r="P4655" s="15" t="s">
        <v>2951</v>
      </c>
      <c r="Q4655" s="16">
        <v>5199</v>
      </c>
      <c r="R4655" s="17">
        <v>40</v>
      </c>
      <c r="S4655" s="18">
        <v>3587.31</v>
      </c>
      <c r="T4655" s="19" t="s">
        <v>36</v>
      </c>
      <c r="U4655" s="20" t="s">
        <v>408</v>
      </c>
      <c r="V4655" s="21" t="s">
        <v>409</v>
      </c>
      <c r="W4655" s="22">
        <v>4</v>
      </c>
      <c r="X4655" s="23"/>
    </row>
    <row r="4656" spans="1:24" s="1" customFormat="1" ht="108" customHeight="1" x14ac:dyDescent="0.3">
      <c r="A4656" s="11" t="s">
        <v>23</v>
      </c>
      <c r="B4656" s="11" t="s">
        <v>4186</v>
      </c>
      <c r="C4656" s="12" t="s">
        <v>4187</v>
      </c>
      <c r="D4656" s="25"/>
      <c r="E4656" s="41" t="str">
        <f>HYPERLINK("https://www.google.ru/search?q=6006763-001&amp;newwindow=1&amp;tbm=isch","Еще фото")</f>
        <v>Еще фото</v>
      </c>
      <c r="F4656" s="13"/>
      <c r="G4656" s="11" t="s">
        <v>3604</v>
      </c>
      <c r="H4656" s="11" t="s">
        <v>27</v>
      </c>
      <c r="I4656" s="14" t="s">
        <v>3599</v>
      </c>
      <c r="J4656" s="14" t="s">
        <v>43</v>
      </c>
      <c r="K4656" s="15" t="s">
        <v>30</v>
      </c>
      <c r="L4656" s="14" t="s">
        <v>4188</v>
      </c>
      <c r="M4656" s="14"/>
      <c r="N4656" s="14" t="s">
        <v>33</v>
      </c>
      <c r="O4656" s="14"/>
      <c r="P4656" s="15" t="s">
        <v>2951</v>
      </c>
      <c r="Q4656" s="16">
        <v>8499</v>
      </c>
      <c r="R4656" s="17">
        <v>40</v>
      </c>
      <c r="S4656" s="18">
        <v>5864.3099999999995</v>
      </c>
      <c r="T4656" s="19" t="s">
        <v>36</v>
      </c>
      <c r="U4656" s="20" t="s">
        <v>39</v>
      </c>
      <c r="V4656" s="21" t="s">
        <v>40</v>
      </c>
      <c r="W4656" s="22">
        <v>1</v>
      </c>
      <c r="X4656" s="23"/>
    </row>
    <row r="4657" spans="1:24" s="1" customFormat="1" ht="108" customHeight="1" x14ac:dyDescent="0.3">
      <c r="A4657" s="11" t="s">
        <v>23</v>
      </c>
      <c r="B4657" s="11" t="s">
        <v>4186</v>
      </c>
      <c r="C4657" s="12" t="s">
        <v>4189</v>
      </c>
      <c r="D4657" s="25"/>
      <c r="E4657" s="41" t="str">
        <f>HYPERLINK("https://www.google.ru/search?q=6006763-651&amp;newwindow=1&amp;tbm=isch","Еще фото")</f>
        <v>Еще фото</v>
      </c>
      <c r="F4657" s="13" t="s">
        <v>152</v>
      </c>
      <c r="G4657" s="11" t="s">
        <v>3604</v>
      </c>
      <c r="H4657" s="11" t="s">
        <v>27</v>
      </c>
      <c r="I4657" s="14" t="s">
        <v>3599</v>
      </c>
      <c r="J4657" s="14" t="s">
        <v>43</v>
      </c>
      <c r="K4657" s="15" t="s">
        <v>30</v>
      </c>
      <c r="L4657" s="14" t="s">
        <v>4188</v>
      </c>
      <c r="M4657" s="14"/>
      <c r="N4657" s="14" t="s">
        <v>332</v>
      </c>
      <c r="O4657" s="14"/>
      <c r="P4657" s="15" t="s">
        <v>2951</v>
      </c>
      <c r="Q4657" s="16">
        <v>8499</v>
      </c>
      <c r="R4657" s="17">
        <v>40</v>
      </c>
      <c r="S4657" s="18">
        <v>5864.3099999999995</v>
      </c>
      <c r="T4657" s="19" t="s">
        <v>36</v>
      </c>
      <c r="U4657" s="20" t="s">
        <v>39</v>
      </c>
      <c r="V4657" s="21" t="s">
        <v>40</v>
      </c>
      <c r="W4657" s="22">
        <v>1</v>
      </c>
      <c r="X4657" s="23"/>
    </row>
    <row r="4658" spans="1:24" s="1" customFormat="1" ht="35" customHeight="1" x14ac:dyDescent="0.3">
      <c r="A4658" s="11" t="s">
        <v>23</v>
      </c>
      <c r="B4658" s="11" t="s">
        <v>3740</v>
      </c>
      <c r="C4658" s="12" t="s">
        <v>4190</v>
      </c>
      <c r="D4658" s="59"/>
      <c r="E4658" s="41" t="str">
        <f>HYPERLINK("https://www.google.ru/search?q=6007149-308&amp;newwindow=1&amp;tbm=isch","Еще фото")</f>
        <v>Еще фото</v>
      </c>
      <c r="F4658" s="13" t="s">
        <v>152</v>
      </c>
      <c r="G4658" s="11" t="s">
        <v>3604</v>
      </c>
      <c r="H4658" s="11" t="s">
        <v>27</v>
      </c>
      <c r="I4658" s="14" t="s">
        <v>3599</v>
      </c>
      <c r="J4658" s="14" t="s">
        <v>29</v>
      </c>
      <c r="K4658" s="15" t="s">
        <v>30</v>
      </c>
      <c r="L4658" s="57" t="s">
        <v>3742</v>
      </c>
      <c r="M4658" s="14"/>
      <c r="N4658" s="14" t="s">
        <v>127</v>
      </c>
      <c r="O4658" s="14"/>
      <c r="P4658" s="15" t="s">
        <v>3606</v>
      </c>
      <c r="Q4658" s="16">
        <v>7799</v>
      </c>
      <c r="R4658" s="17">
        <v>40</v>
      </c>
      <c r="S4658" s="18">
        <v>5381.3099999999995</v>
      </c>
      <c r="T4658" s="19" t="s">
        <v>36</v>
      </c>
      <c r="U4658" s="20" t="s">
        <v>37</v>
      </c>
      <c r="V4658" s="21" t="s">
        <v>38</v>
      </c>
      <c r="W4658" s="22">
        <v>2</v>
      </c>
      <c r="X4658" s="23"/>
    </row>
    <row r="4659" spans="1:24" s="1" customFormat="1" ht="35" customHeight="1" x14ac:dyDescent="0.3">
      <c r="A4659" s="24" t="s">
        <v>23</v>
      </c>
      <c r="B4659" s="24" t="s">
        <v>3740</v>
      </c>
      <c r="C4659" s="12" t="s">
        <v>4190</v>
      </c>
      <c r="D4659" s="60"/>
      <c r="E4659" s="41" t="str">
        <f>HYPERLINK("https://www.google.ru/search?q=6007149-308&amp;newwindow=1&amp;tbm=isch","Еще фото")</f>
        <v>Еще фото</v>
      </c>
      <c r="F4659" s="13" t="s">
        <v>152</v>
      </c>
      <c r="G4659" s="24" t="s">
        <v>3604</v>
      </c>
      <c r="H4659" s="24" t="s">
        <v>27</v>
      </c>
      <c r="I4659" s="24" t="s">
        <v>3599</v>
      </c>
      <c r="J4659" s="14" t="s">
        <v>29</v>
      </c>
      <c r="K4659" s="15" t="s">
        <v>30</v>
      </c>
      <c r="L4659" s="62"/>
      <c r="M4659" s="14"/>
      <c r="N4659" s="14" t="s">
        <v>127</v>
      </c>
      <c r="O4659" s="14"/>
      <c r="P4659" s="15" t="s">
        <v>3606</v>
      </c>
      <c r="Q4659" s="16">
        <v>7799</v>
      </c>
      <c r="R4659" s="17">
        <v>40</v>
      </c>
      <c r="S4659" s="18">
        <v>5381.3099999999995</v>
      </c>
      <c r="T4659" s="19" t="s">
        <v>36</v>
      </c>
      <c r="U4659" s="20" t="s">
        <v>39</v>
      </c>
      <c r="V4659" s="21" t="s">
        <v>40</v>
      </c>
      <c r="W4659" s="22">
        <v>1</v>
      </c>
      <c r="X4659" s="23"/>
    </row>
    <row r="4660" spans="1:24" s="1" customFormat="1" ht="37.049999999999997" customHeight="1" x14ac:dyDescent="0.3">
      <c r="A4660" s="24" t="s">
        <v>23</v>
      </c>
      <c r="B4660" s="24" t="s">
        <v>3740</v>
      </c>
      <c r="C4660" s="12" t="s">
        <v>4190</v>
      </c>
      <c r="D4660" s="61"/>
      <c r="E4660" s="41" t="str">
        <f>HYPERLINK("https://www.google.ru/search?q=6007149-308&amp;newwindow=1&amp;tbm=isch","Еще фото")</f>
        <v>Еще фото</v>
      </c>
      <c r="F4660" s="13" t="s">
        <v>152</v>
      </c>
      <c r="G4660" s="24" t="s">
        <v>3604</v>
      </c>
      <c r="H4660" s="24" t="s">
        <v>27</v>
      </c>
      <c r="I4660" s="24" t="s">
        <v>3599</v>
      </c>
      <c r="J4660" s="14" t="s">
        <v>29</v>
      </c>
      <c r="K4660" s="15" t="s">
        <v>30</v>
      </c>
      <c r="L4660" s="58"/>
      <c r="M4660" s="14"/>
      <c r="N4660" s="14" t="s">
        <v>127</v>
      </c>
      <c r="O4660" s="14"/>
      <c r="P4660" s="15" t="s">
        <v>3606</v>
      </c>
      <c r="Q4660" s="16">
        <v>7799</v>
      </c>
      <c r="R4660" s="17">
        <v>40</v>
      </c>
      <c r="S4660" s="18">
        <v>5381.3099999999995</v>
      </c>
      <c r="T4660" s="19" t="s">
        <v>36</v>
      </c>
      <c r="U4660" s="20" t="s">
        <v>86</v>
      </c>
      <c r="V4660" s="21" t="s">
        <v>87</v>
      </c>
      <c r="W4660" s="22">
        <v>2</v>
      </c>
      <c r="X4660" s="23"/>
    </row>
    <row r="4661" spans="1:24" s="1" customFormat="1" ht="108" customHeight="1" x14ac:dyDescent="0.3">
      <c r="A4661" s="11" t="s">
        <v>23</v>
      </c>
      <c r="B4661" s="11" t="s">
        <v>3740</v>
      </c>
      <c r="C4661" s="12" t="s">
        <v>4191</v>
      </c>
      <c r="D4661" s="25"/>
      <c r="E4661" s="41" t="str">
        <f>HYPERLINK("https://www.google.ru/search?q=6007149-651&amp;newwindow=1&amp;tbm=isch","Еще фото")</f>
        <v>Еще фото</v>
      </c>
      <c r="F4661" s="13" t="s">
        <v>152</v>
      </c>
      <c r="G4661" s="11" t="s">
        <v>3604</v>
      </c>
      <c r="H4661" s="11" t="s">
        <v>27</v>
      </c>
      <c r="I4661" s="14" t="s">
        <v>3599</v>
      </c>
      <c r="J4661" s="14" t="s">
        <v>29</v>
      </c>
      <c r="K4661" s="15" t="s">
        <v>30</v>
      </c>
      <c r="L4661" s="14" t="s">
        <v>3742</v>
      </c>
      <c r="M4661" s="14"/>
      <c r="N4661" s="14" t="s">
        <v>332</v>
      </c>
      <c r="O4661" s="14"/>
      <c r="P4661" s="15" t="s">
        <v>3606</v>
      </c>
      <c r="Q4661" s="16">
        <v>7799</v>
      </c>
      <c r="R4661" s="17">
        <v>40</v>
      </c>
      <c r="S4661" s="18">
        <v>5381.3099999999995</v>
      </c>
      <c r="T4661" s="19" t="s">
        <v>36</v>
      </c>
      <c r="U4661" s="20" t="s">
        <v>37</v>
      </c>
      <c r="V4661" s="21" t="s">
        <v>38</v>
      </c>
      <c r="W4661" s="22">
        <v>2</v>
      </c>
      <c r="X4661" s="23"/>
    </row>
    <row r="4662" spans="1:24" s="1" customFormat="1" ht="108" customHeight="1" x14ac:dyDescent="0.3">
      <c r="A4662" s="11" t="s">
        <v>23</v>
      </c>
      <c r="B4662" s="11" t="s">
        <v>4192</v>
      </c>
      <c r="C4662" s="12" t="s">
        <v>4193</v>
      </c>
      <c r="D4662" s="25"/>
      <c r="E4662" s="41" t="str">
        <f>HYPERLINK("https://www.google.ru/search?q=6007179-044&amp;newwindow=1&amp;tbm=isch","Еще фото")</f>
        <v>Еще фото</v>
      </c>
      <c r="F4662" s="13"/>
      <c r="G4662" s="11" t="s">
        <v>3598</v>
      </c>
      <c r="H4662" s="11" t="s">
        <v>27</v>
      </c>
      <c r="I4662" s="14" t="s">
        <v>3599</v>
      </c>
      <c r="J4662" s="14" t="s">
        <v>29</v>
      </c>
      <c r="K4662" s="15" t="s">
        <v>30</v>
      </c>
      <c r="L4662" s="14" t="s">
        <v>4194</v>
      </c>
      <c r="M4662" s="14"/>
      <c r="N4662" s="14" t="s">
        <v>62</v>
      </c>
      <c r="O4662" s="14"/>
      <c r="P4662" s="15" t="s">
        <v>3606</v>
      </c>
      <c r="Q4662" s="16">
        <v>6399</v>
      </c>
      <c r="R4662" s="17">
        <v>40</v>
      </c>
      <c r="S4662" s="18">
        <v>4415.3099999999995</v>
      </c>
      <c r="T4662" s="19" t="s">
        <v>36</v>
      </c>
      <c r="U4662" s="20" t="s">
        <v>37</v>
      </c>
      <c r="V4662" s="21" t="s">
        <v>38</v>
      </c>
      <c r="W4662" s="22">
        <v>1</v>
      </c>
      <c r="X4662" s="23"/>
    </row>
    <row r="4663" spans="1:24" s="1" customFormat="1" ht="21" customHeight="1" x14ac:dyDescent="0.3">
      <c r="A4663" s="11" t="s">
        <v>23</v>
      </c>
      <c r="B4663" s="11" t="s">
        <v>4195</v>
      </c>
      <c r="C4663" s="26" t="s">
        <v>4196</v>
      </c>
      <c r="D4663" s="59"/>
      <c r="E4663" s="41" t="str">
        <f>HYPERLINK("https://www.google.ru/search?q=6007621-001&amp;newwindow=1&amp;tbm=isch","Еще фото")</f>
        <v>Еще фото</v>
      </c>
      <c r="F4663" s="13"/>
      <c r="G4663" s="11" t="s">
        <v>4197</v>
      </c>
      <c r="H4663" s="11" t="s">
        <v>27</v>
      </c>
      <c r="I4663" s="14" t="s">
        <v>3599</v>
      </c>
      <c r="J4663" s="14" t="s">
        <v>43</v>
      </c>
      <c r="K4663" s="15" t="s">
        <v>30</v>
      </c>
      <c r="L4663" s="57" t="s">
        <v>4198</v>
      </c>
      <c r="M4663" s="14"/>
      <c r="N4663" s="14" t="s">
        <v>33</v>
      </c>
      <c r="O4663" s="14"/>
      <c r="P4663" s="15" t="s">
        <v>1067</v>
      </c>
      <c r="Q4663" s="16">
        <v>5599</v>
      </c>
      <c r="R4663" s="17">
        <v>40</v>
      </c>
      <c r="S4663" s="18">
        <v>3863.31</v>
      </c>
      <c r="T4663" s="19" t="s">
        <v>36</v>
      </c>
      <c r="U4663" s="20" t="s">
        <v>37</v>
      </c>
      <c r="V4663" s="21" t="s">
        <v>38</v>
      </c>
      <c r="W4663" s="22">
        <v>24</v>
      </c>
      <c r="X4663" s="23"/>
    </row>
    <row r="4664" spans="1:24" s="1" customFormat="1" ht="21" customHeight="1" x14ac:dyDescent="0.3">
      <c r="A4664" s="24" t="s">
        <v>23</v>
      </c>
      <c r="B4664" s="24" t="s">
        <v>4195</v>
      </c>
      <c r="C4664" s="27" t="s">
        <v>4196</v>
      </c>
      <c r="D4664" s="60"/>
      <c r="E4664" s="41" t="str">
        <f>HYPERLINK("https://www.google.ru/search?q=6007621-001&amp;newwindow=1&amp;tbm=isch","Еще фото")</f>
        <v>Еще фото</v>
      </c>
      <c r="F4664" s="13"/>
      <c r="G4664" s="24" t="s">
        <v>4197</v>
      </c>
      <c r="H4664" s="24" t="s">
        <v>27</v>
      </c>
      <c r="I4664" s="24" t="s">
        <v>3599</v>
      </c>
      <c r="J4664" s="14" t="s">
        <v>43</v>
      </c>
      <c r="K4664" s="15" t="s">
        <v>30</v>
      </c>
      <c r="L4664" s="62"/>
      <c r="M4664" s="14"/>
      <c r="N4664" s="14" t="s">
        <v>33</v>
      </c>
      <c r="O4664" s="14"/>
      <c r="P4664" s="15" t="s">
        <v>1067</v>
      </c>
      <c r="Q4664" s="16">
        <v>5599</v>
      </c>
      <c r="R4664" s="17">
        <v>40</v>
      </c>
      <c r="S4664" s="18">
        <v>3863.31</v>
      </c>
      <c r="T4664" s="19" t="s">
        <v>36</v>
      </c>
      <c r="U4664" s="20" t="s">
        <v>39</v>
      </c>
      <c r="V4664" s="21" t="s">
        <v>40</v>
      </c>
      <c r="W4664" s="22">
        <v>50</v>
      </c>
      <c r="X4664" s="23"/>
    </row>
    <row r="4665" spans="1:24" s="1" customFormat="1" ht="21" customHeight="1" x14ac:dyDescent="0.3">
      <c r="A4665" s="24" t="s">
        <v>23</v>
      </c>
      <c r="B4665" s="24" t="s">
        <v>4195</v>
      </c>
      <c r="C4665" s="27" t="s">
        <v>4196</v>
      </c>
      <c r="D4665" s="60"/>
      <c r="E4665" s="41" t="str">
        <f>HYPERLINK("https://www.google.ru/search?q=6007621-001&amp;newwindow=1&amp;tbm=isch","Еще фото")</f>
        <v>Еще фото</v>
      </c>
      <c r="F4665" s="13"/>
      <c r="G4665" s="24" t="s">
        <v>4197</v>
      </c>
      <c r="H4665" s="24" t="s">
        <v>27</v>
      </c>
      <c r="I4665" s="24" t="s">
        <v>3599</v>
      </c>
      <c r="J4665" s="14" t="s">
        <v>43</v>
      </c>
      <c r="K4665" s="15" t="s">
        <v>30</v>
      </c>
      <c r="L4665" s="62"/>
      <c r="M4665" s="14"/>
      <c r="N4665" s="14" t="s">
        <v>33</v>
      </c>
      <c r="O4665" s="14"/>
      <c r="P4665" s="15" t="s">
        <v>1067</v>
      </c>
      <c r="Q4665" s="16">
        <v>5599</v>
      </c>
      <c r="R4665" s="17">
        <v>40</v>
      </c>
      <c r="S4665" s="18">
        <v>3863.31</v>
      </c>
      <c r="T4665" s="19" t="s">
        <v>36</v>
      </c>
      <c r="U4665" s="20" t="s">
        <v>86</v>
      </c>
      <c r="V4665" s="21" t="s">
        <v>87</v>
      </c>
      <c r="W4665" s="22">
        <v>57</v>
      </c>
      <c r="X4665" s="23"/>
    </row>
    <row r="4666" spans="1:24" s="1" customFormat="1" ht="21" customHeight="1" x14ac:dyDescent="0.3">
      <c r="A4666" s="24" t="s">
        <v>23</v>
      </c>
      <c r="B4666" s="24" t="s">
        <v>4195</v>
      </c>
      <c r="C4666" s="27" t="s">
        <v>4196</v>
      </c>
      <c r="D4666" s="60"/>
      <c r="E4666" s="41" t="str">
        <f>HYPERLINK("https://www.google.ru/search?q=6007621-001&amp;newwindow=1&amp;tbm=isch","Еще фото")</f>
        <v>Еще фото</v>
      </c>
      <c r="F4666" s="13"/>
      <c r="G4666" s="24" t="s">
        <v>4197</v>
      </c>
      <c r="H4666" s="24" t="s">
        <v>27</v>
      </c>
      <c r="I4666" s="24" t="s">
        <v>3599</v>
      </c>
      <c r="J4666" s="14" t="s">
        <v>43</v>
      </c>
      <c r="K4666" s="15" t="s">
        <v>30</v>
      </c>
      <c r="L4666" s="62"/>
      <c r="M4666" s="14"/>
      <c r="N4666" s="14" t="s">
        <v>33</v>
      </c>
      <c r="O4666" s="14"/>
      <c r="P4666" s="15" t="s">
        <v>1067</v>
      </c>
      <c r="Q4666" s="16">
        <v>5599</v>
      </c>
      <c r="R4666" s="17">
        <v>40</v>
      </c>
      <c r="S4666" s="18">
        <v>3863.31</v>
      </c>
      <c r="T4666" s="19" t="s">
        <v>36</v>
      </c>
      <c r="U4666" s="20" t="s">
        <v>88</v>
      </c>
      <c r="V4666" s="21" t="s">
        <v>89</v>
      </c>
      <c r="W4666" s="22">
        <v>32</v>
      </c>
      <c r="X4666" s="23"/>
    </row>
    <row r="4667" spans="1:24" s="1" customFormat="1" ht="32" customHeight="1" x14ac:dyDescent="0.3">
      <c r="A4667" s="24" t="s">
        <v>23</v>
      </c>
      <c r="B4667" s="24" t="s">
        <v>4195</v>
      </c>
      <c r="C4667" s="27" t="s">
        <v>4196</v>
      </c>
      <c r="D4667" s="61"/>
      <c r="E4667" s="41" t="str">
        <f>HYPERLINK("https://www.google.ru/search?q=6007621-001&amp;newwindow=1&amp;tbm=isch","Еще фото")</f>
        <v>Еще фото</v>
      </c>
      <c r="F4667" s="13"/>
      <c r="G4667" s="24" t="s">
        <v>4197</v>
      </c>
      <c r="H4667" s="24" t="s">
        <v>27</v>
      </c>
      <c r="I4667" s="24" t="s">
        <v>3599</v>
      </c>
      <c r="J4667" s="14" t="s">
        <v>43</v>
      </c>
      <c r="K4667" s="15" t="s">
        <v>30</v>
      </c>
      <c r="L4667" s="58"/>
      <c r="M4667" s="14"/>
      <c r="N4667" s="14" t="s">
        <v>33</v>
      </c>
      <c r="O4667" s="14"/>
      <c r="P4667" s="15" t="s">
        <v>1067</v>
      </c>
      <c r="Q4667" s="16">
        <v>5599</v>
      </c>
      <c r="R4667" s="17">
        <v>40</v>
      </c>
      <c r="S4667" s="18">
        <v>3863.31</v>
      </c>
      <c r="T4667" s="19" t="s">
        <v>36</v>
      </c>
      <c r="U4667" s="20" t="s">
        <v>90</v>
      </c>
      <c r="V4667" s="21" t="s">
        <v>91</v>
      </c>
      <c r="W4667" s="22">
        <v>8</v>
      </c>
      <c r="X4667" s="23"/>
    </row>
    <row r="4668" spans="1:24" s="1" customFormat="1" ht="21" customHeight="1" x14ac:dyDescent="0.3">
      <c r="A4668" s="11" t="s">
        <v>23</v>
      </c>
      <c r="B4668" s="11" t="s">
        <v>4195</v>
      </c>
      <c r="C4668" s="26" t="s">
        <v>4199</v>
      </c>
      <c r="D4668" s="59"/>
      <c r="E4668" s="41" t="str">
        <f>HYPERLINK("https://www.google.ru/search?q=6007621-100&amp;newwindow=1&amp;tbm=isch","Еще фото")</f>
        <v>Еще фото</v>
      </c>
      <c r="F4668" s="13"/>
      <c r="G4668" s="11" t="s">
        <v>4197</v>
      </c>
      <c r="H4668" s="11" t="s">
        <v>27</v>
      </c>
      <c r="I4668" s="14" t="s">
        <v>3599</v>
      </c>
      <c r="J4668" s="14" t="s">
        <v>43</v>
      </c>
      <c r="K4668" s="15" t="s">
        <v>30</v>
      </c>
      <c r="L4668" s="57" t="s">
        <v>4198</v>
      </c>
      <c r="M4668" s="14"/>
      <c r="N4668" s="14" t="s">
        <v>84</v>
      </c>
      <c r="O4668" s="14"/>
      <c r="P4668" s="15" t="s">
        <v>1067</v>
      </c>
      <c r="Q4668" s="16">
        <v>5599</v>
      </c>
      <c r="R4668" s="17">
        <v>40</v>
      </c>
      <c r="S4668" s="18">
        <v>3863.31</v>
      </c>
      <c r="T4668" s="19" t="s">
        <v>36</v>
      </c>
      <c r="U4668" s="20" t="s">
        <v>37</v>
      </c>
      <c r="V4668" s="21" t="s">
        <v>38</v>
      </c>
      <c r="W4668" s="22">
        <v>21</v>
      </c>
      <c r="X4668" s="23"/>
    </row>
    <row r="4669" spans="1:24" s="1" customFormat="1" ht="21" customHeight="1" x14ac:dyDescent="0.3">
      <c r="A4669" s="24" t="s">
        <v>23</v>
      </c>
      <c r="B4669" s="24" t="s">
        <v>4195</v>
      </c>
      <c r="C4669" s="27" t="s">
        <v>4199</v>
      </c>
      <c r="D4669" s="60"/>
      <c r="E4669" s="41" t="str">
        <f>HYPERLINK("https://www.google.ru/search?q=6007621-100&amp;newwindow=1&amp;tbm=isch","Еще фото")</f>
        <v>Еще фото</v>
      </c>
      <c r="F4669" s="13"/>
      <c r="G4669" s="24" t="s">
        <v>4197</v>
      </c>
      <c r="H4669" s="24" t="s">
        <v>27</v>
      </c>
      <c r="I4669" s="24" t="s">
        <v>3599</v>
      </c>
      <c r="J4669" s="14" t="s">
        <v>43</v>
      </c>
      <c r="K4669" s="15" t="s">
        <v>30</v>
      </c>
      <c r="L4669" s="62"/>
      <c r="M4669" s="14"/>
      <c r="N4669" s="14" t="s">
        <v>84</v>
      </c>
      <c r="O4669" s="14"/>
      <c r="P4669" s="15" t="s">
        <v>1067</v>
      </c>
      <c r="Q4669" s="16">
        <v>5599</v>
      </c>
      <c r="R4669" s="17">
        <v>40</v>
      </c>
      <c r="S4669" s="18">
        <v>3863.31</v>
      </c>
      <c r="T4669" s="19" t="s">
        <v>36</v>
      </c>
      <c r="U4669" s="20" t="s">
        <v>39</v>
      </c>
      <c r="V4669" s="21" t="s">
        <v>40</v>
      </c>
      <c r="W4669" s="22">
        <v>39</v>
      </c>
      <c r="X4669" s="23"/>
    </row>
    <row r="4670" spans="1:24" s="1" customFormat="1" ht="21" customHeight="1" x14ac:dyDescent="0.3">
      <c r="A4670" s="24" t="s">
        <v>23</v>
      </c>
      <c r="B4670" s="24" t="s">
        <v>4195</v>
      </c>
      <c r="C4670" s="27" t="s">
        <v>4199</v>
      </c>
      <c r="D4670" s="60"/>
      <c r="E4670" s="41" t="str">
        <f>HYPERLINK("https://www.google.ru/search?q=6007621-100&amp;newwindow=1&amp;tbm=isch","Еще фото")</f>
        <v>Еще фото</v>
      </c>
      <c r="F4670" s="13"/>
      <c r="G4670" s="24" t="s">
        <v>4197</v>
      </c>
      <c r="H4670" s="24" t="s">
        <v>27</v>
      </c>
      <c r="I4670" s="24" t="s">
        <v>3599</v>
      </c>
      <c r="J4670" s="14" t="s">
        <v>43</v>
      </c>
      <c r="K4670" s="15" t="s">
        <v>30</v>
      </c>
      <c r="L4670" s="62"/>
      <c r="M4670" s="14"/>
      <c r="N4670" s="14" t="s">
        <v>84</v>
      </c>
      <c r="O4670" s="14"/>
      <c r="P4670" s="15" t="s">
        <v>1067</v>
      </c>
      <c r="Q4670" s="16">
        <v>5599</v>
      </c>
      <c r="R4670" s="17">
        <v>40</v>
      </c>
      <c r="S4670" s="18">
        <v>3863.31</v>
      </c>
      <c r="T4670" s="19" t="s">
        <v>36</v>
      </c>
      <c r="U4670" s="20" t="s">
        <v>86</v>
      </c>
      <c r="V4670" s="21" t="s">
        <v>87</v>
      </c>
      <c r="W4670" s="22">
        <v>38</v>
      </c>
      <c r="X4670" s="23"/>
    </row>
    <row r="4671" spans="1:24" s="1" customFormat="1" ht="21" customHeight="1" x14ac:dyDescent="0.3">
      <c r="A4671" s="24" t="s">
        <v>23</v>
      </c>
      <c r="B4671" s="24" t="s">
        <v>4195</v>
      </c>
      <c r="C4671" s="27" t="s">
        <v>4199</v>
      </c>
      <c r="D4671" s="60"/>
      <c r="E4671" s="41" t="str">
        <f>HYPERLINK("https://www.google.ru/search?q=6007621-100&amp;newwindow=1&amp;tbm=isch","Еще фото")</f>
        <v>Еще фото</v>
      </c>
      <c r="F4671" s="13"/>
      <c r="G4671" s="24" t="s">
        <v>4197</v>
      </c>
      <c r="H4671" s="24" t="s">
        <v>27</v>
      </c>
      <c r="I4671" s="24" t="s">
        <v>3599</v>
      </c>
      <c r="J4671" s="14" t="s">
        <v>43</v>
      </c>
      <c r="K4671" s="15" t="s">
        <v>30</v>
      </c>
      <c r="L4671" s="62"/>
      <c r="M4671" s="14"/>
      <c r="N4671" s="14" t="s">
        <v>84</v>
      </c>
      <c r="O4671" s="14"/>
      <c r="P4671" s="15" t="s">
        <v>1067</v>
      </c>
      <c r="Q4671" s="16">
        <v>5599</v>
      </c>
      <c r="R4671" s="17">
        <v>40</v>
      </c>
      <c r="S4671" s="18">
        <v>3863.31</v>
      </c>
      <c r="T4671" s="19" t="s">
        <v>36</v>
      </c>
      <c r="U4671" s="20" t="s">
        <v>88</v>
      </c>
      <c r="V4671" s="21" t="s">
        <v>89</v>
      </c>
      <c r="W4671" s="22">
        <v>25</v>
      </c>
      <c r="X4671" s="23"/>
    </row>
    <row r="4672" spans="1:24" s="1" customFormat="1" ht="32" customHeight="1" x14ac:dyDescent="0.3">
      <c r="A4672" s="24" t="s">
        <v>23</v>
      </c>
      <c r="B4672" s="24" t="s">
        <v>4195</v>
      </c>
      <c r="C4672" s="27" t="s">
        <v>4199</v>
      </c>
      <c r="D4672" s="61"/>
      <c r="E4672" s="41" t="str">
        <f>HYPERLINK("https://www.google.ru/search?q=6007621-100&amp;newwindow=1&amp;tbm=isch","Еще фото")</f>
        <v>Еще фото</v>
      </c>
      <c r="F4672" s="13"/>
      <c r="G4672" s="24" t="s">
        <v>4197</v>
      </c>
      <c r="H4672" s="24" t="s">
        <v>27</v>
      </c>
      <c r="I4672" s="24" t="s">
        <v>3599</v>
      </c>
      <c r="J4672" s="14" t="s">
        <v>43</v>
      </c>
      <c r="K4672" s="15" t="s">
        <v>30</v>
      </c>
      <c r="L4672" s="58"/>
      <c r="M4672" s="14"/>
      <c r="N4672" s="14" t="s">
        <v>84</v>
      </c>
      <c r="O4672" s="14"/>
      <c r="P4672" s="15" t="s">
        <v>1067</v>
      </c>
      <c r="Q4672" s="16">
        <v>5599</v>
      </c>
      <c r="R4672" s="17">
        <v>40</v>
      </c>
      <c r="S4672" s="18">
        <v>3863.31</v>
      </c>
      <c r="T4672" s="19" t="s">
        <v>36</v>
      </c>
      <c r="U4672" s="20" t="s">
        <v>90</v>
      </c>
      <c r="V4672" s="21" t="s">
        <v>91</v>
      </c>
      <c r="W4672" s="22">
        <v>9</v>
      </c>
      <c r="X4672" s="23"/>
    </row>
    <row r="4673" spans="1:24" s="1" customFormat="1" ht="26" customHeight="1" x14ac:dyDescent="0.3">
      <c r="A4673" s="11" t="s">
        <v>23</v>
      </c>
      <c r="B4673" s="11" t="s">
        <v>4200</v>
      </c>
      <c r="C4673" s="12" t="s">
        <v>4201</v>
      </c>
      <c r="D4673" s="59"/>
      <c r="E4673" s="41" t="str">
        <f>HYPERLINK("https://www.google.ru/search?q=6007622-001&amp;newwindow=1&amp;tbm=isch","Еще фото")</f>
        <v>Еще фото</v>
      </c>
      <c r="F4673" s="13"/>
      <c r="G4673" s="11" t="s">
        <v>4202</v>
      </c>
      <c r="H4673" s="11" t="s">
        <v>27</v>
      </c>
      <c r="I4673" s="14" t="s">
        <v>3599</v>
      </c>
      <c r="J4673" s="14" t="s">
        <v>43</v>
      </c>
      <c r="K4673" s="15" t="s">
        <v>30</v>
      </c>
      <c r="L4673" s="57" t="s">
        <v>4203</v>
      </c>
      <c r="M4673" s="14"/>
      <c r="N4673" s="14" t="s">
        <v>33</v>
      </c>
      <c r="O4673" s="14"/>
      <c r="P4673" s="15" t="s">
        <v>4204</v>
      </c>
      <c r="Q4673" s="16">
        <v>4199</v>
      </c>
      <c r="R4673" s="17">
        <v>40</v>
      </c>
      <c r="S4673" s="18">
        <v>2897.31</v>
      </c>
      <c r="T4673" s="19" t="s">
        <v>36</v>
      </c>
      <c r="U4673" s="20" t="s">
        <v>37</v>
      </c>
      <c r="V4673" s="21" t="s">
        <v>38</v>
      </c>
      <c r="W4673" s="22">
        <v>9</v>
      </c>
      <c r="X4673" s="23"/>
    </row>
    <row r="4674" spans="1:24" s="1" customFormat="1" ht="26" customHeight="1" x14ac:dyDescent="0.3">
      <c r="A4674" s="24" t="s">
        <v>23</v>
      </c>
      <c r="B4674" s="24" t="s">
        <v>4200</v>
      </c>
      <c r="C4674" s="12" t="s">
        <v>4201</v>
      </c>
      <c r="D4674" s="60"/>
      <c r="E4674" s="41" t="str">
        <f>HYPERLINK("https://www.google.ru/search?q=6007622-001&amp;newwindow=1&amp;tbm=isch","Еще фото")</f>
        <v>Еще фото</v>
      </c>
      <c r="F4674" s="13"/>
      <c r="G4674" s="24" t="s">
        <v>4202</v>
      </c>
      <c r="H4674" s="24" t="s">
        <v>27</v>
      </c>
      <c r="I4674" s="24" t="s">
        <v>3599</v>
      </c>
      <c r="J4674" s="14" t="s">
        <v>43</v>
      </c>
      <c r="K4674" s="15" t="s">
        <v>30</v>
      </c>
      <c r="L4674" s="62"/>
      <c r="M4674" s="14"/>
      <c r="N4674" s="14" t="s">
        <v>33</v>
      </c>
      <c r="O4674" s="14"/>
      <c r="P4674" s="15" t="s">
        <v>4204</v>
      </c>
      <c r="Q4674" s="16">
        <v>4199</v>
      </c>
      <c r="R4674" s="17">
        <v>40</v>
      </c>
      <c r="S4674" s="18">
        <v>2897.31</v>
      </c>
      <c r="T4674" s="19" t="s">
        <v>36</v>
      </c>
      <c r="U4674" s="20" t="s">
        <v>39</v>
      </c>
      <c r="V4674" s="21" t="s">
        <v>40</v>
      </c>
      <c r="W4674" s="22">
        <v>33</v>
      </c>
      <c r="X4674" s="23"/>
    </row>
    <row r="4675" spans="1:24" s="1" customFormat="1" ht="26" customHeight="1" x14ac:dyDescent="0.3">
      <c r="A4675" s="24" t="s">
        <v>23</v>
      </c>
      <c r="B4675" s="24" t="s">
        <v>4200</v>
      </c>
      <c r="C4675" s="12" t="s">
        <v>4201</v>
      </c>
      <c r="D4675" s="60"/>
      <c r="E4675" s="41" t="str">
        <f>HYPERLINK("https://www.google.ru/search?q=6007622-001&amp;newwindow=1&amp;tbm=isch","Еще фото")</f>
        <v>Еще фото</v>
      </c>
      <c r="F4675" s="13"/>
      <c r="G4675" s="24" t="s">
        <v>4202</v>
      </c>
      <c r="H4675" s="24" t="s">
        <v>27</v>
      </c>
      <c r="I4675" s="24" t="s">
        <v>3599</v>
      </c>
      <c r="J4675" s="14" t="s">
        <v>43</v>
      </c>
      <c r="K4675" s="15" t="s">
        <v>30</v>
      </c>
      <c r="L4675" s="62"/>
      <c r="M4675" s="14"/>
      <c r="N4675" s="14" t="s">
        <v>33</v>
      </c>
      <c r="O4675" s="14"/>
      <c r="P4675" s="15" t="s">
        <v>4204</v>
      </c>
      <c r="Q4675" s="16">
        <v>4199</v>
      </c>
      <c r="R4675" s="17">
        <v>40</v>
      </c>
      <c r="S4675" s="18">
        <v>2897.31</v>
      </c>
      <c r="T4675" s="19" t="s">
        <v>36</v>
      </c>
      <c r="U4675" s="20" t="s">
        <v>86</v>
      </c>
      <c r="V4675" s="21" t="s">
        <v>87</v>
      </c>
      <c r="W4675" s="22">
        <v>52</v>
      </c>
      <c r="X4675" s="23"/>
    </row>
    <row r="4676" spans="1:24" s="1" customFormat="1" ht="26" customHeight="1" x14ac:dyDescent="0.3">
      <c r="A4676" s="24" t="s">
        <v>23</v>
      </c>
      <c r="B4676" s="24" t="s">
        <v>4200</v>
      </c>
      <c r="C4676" s="12" t="s">
        <v>4201</v>
      </c>
      <c r="D4676" s="61"/>
      <c r="E4676" s="41" t="str">
        <f>HYPERLINK("https://www.google.ru/search?q=6007622-001&amp;newwindow=1&amp;tbm=isch","Еще фото")</f>
        <v>Еще фото</v>
      </c>
      <c r="F4676" s="13"/>
      <c r="G4676" s="24" t="s">
        <v>4202</v>
      </c>
      <c r="H4676" s="24" t="s">
        <v>27</v>
      </c>
      <c r="I4676" s="24" t="s">
        <v>3599</v>
      </c>
      <c r="J4676" s="14" t="s">
        <v>43</v>
      </c>
      <c r="K4676" s="15" t="s">
        <v>30</v>
      </c>
      <c r="L4676" s="58"/>
      <c r="M4676" s="14"/>
      <c r="N4676" s="14" t="s">
        <v>33</v>
      </c>
      <c r="O4676" s="14"/>
      <c r="P4676" s="15" t="s">
        <v>4204</v>
      </c>
      <c r="Q4676" s="16">
        <v>4199</v>
      </c>
      <c r="R4676" s="17">
        <v>40</v>
      </c>
      <c r="S4676" s="18">
        <v>2897.31</v>
      </c>
      <c r="T4676" s="19" t="s">
        <v>36</v>
      </c>
      <c r="U4676" s="20" t="s">
        <v>88</v>
      </c>
      <c r="V4676" s="21" t="s">
        <v>89</v>
      </c>
      <c r="W4676" s="22">
        <v>23</v>
      </c>
      <c r="X4676" s="23"/>
    </row>
    <row r="4677" spans="1:24" s="1" customFormat="1" ht="21" customHeight="1" x14ac:dyDescent="0.3">
      <c r="A4677" s="11" t="s">
        <v>23</v>
      </c>
      <c r="B4677" s="11" t="s">
        <v>4200</v>
      </c>
      <c r="C4677" s="26" t="s">
        <v>4205</v>
      </c>
      <c r="D4677" s="59"/>
      <c r="E4677" s="41" t="str">
        <f>HYPERLINK("https://www.google.ru/search?q=6007622-100&amp;newwindow=1&amp;tbm=isch","Еще фото")</f>
        <v>Еще фото</v>
      </c>
      <c r="F4677" s="13"/>
      <c r="G4677" s="11" t="s">
        <v>4202</v>
      </c>
      <c r="H4677" s="11" t="s">
        <v>27</v>
      </c>
      <c r="I4677" s="14" t="s">
        <v>3599</v>
      </c>
      <c r="J4677" s="14" t="s">
        <v>43</v>
      </c>
      <c r="K4677" s="15" t="s">
        <v>30</v>
      </c>
      <c r="L4677" s="57" t="s">
        <v>4203</v>
      </c>
      <c r="M4677" s="14"/>
      <c r="N4677" s="14" t="s">
        <v>84</v>
      </c>
      <c r="O4677" s="14"/>
      <c r="P4677" s="15" t="s">
        <v>4204</v>
      </c>
      <c r="Q4677" s="16">
        <v>4199</v>
      </c>
      <c r="R4677" s="17">
        <v>40</v>
      </c>
      <c r="S4677" s="18">
        <v>2897.31</v>
      </c>
      <c r="T4677" s="19" t="s">
        <v>36</v>
      </c>
      <c r="U4677" s="20" t="s">
        <v>37</v>
      </c>
      <c r="V4677" s="21" t="s">
        <v>38</v>
      </c>
      <c r="W4677" s="22">
        <v>16</v>
      </c>
      <c r="X4677" s="23"/>
    </row>
    <row r="4678" spans="1:24" s="1" customFormat="1" ht="21" customHeight="1" x14ac:dyDescent="0.3">
      <c r="A4678" s="24" t="s">
        <v>23</v>
      </c>
      <c r="B4678" s="24" t="s">
        <v>4200</v>
      </c>
      <c r="C4678" s="27" t="s">
        <v>4205</v>
      </c>
      <c r="D4678" s="60"/>
      <c r="E4678" s="41" t="str">
        <f>HYPERLINK("https://www.google.ru/search?q=6007622-100&amp;newwindow=1&amp;tbm=isch","Еще фото")</f>
        <v>Еще фото</v>
      </c>
      <c r="F4678" s="13"/>
      <c r="G4678" s="24" t="s">
        <v>4202</v>
      </c>
      <c r="H4678" s="24" t="s">
        <v>27</v>
      </c>
      <c r="I4678" s="24" t="s">
        <v>3599</v>
      </c>
      <c r="J4678" s="14" t="s">
        <v>43</v>
      </c>
      <c r="K4678" s="15" t="s">
        <v>30</v>
      </c>
      <c r="L4678" s="62"/>
      <c r="M4678" s="14"/>
      <c r="N4678" s="14" t="s">
        <v>84</v>
      </c>
      <c r="O4678" s="14"/>
      <c r="P4678" s="15" t="s">
        <v>4204</v>
      </c>
      <c r="Q4678" s="16">
        <v>4199</v>
      </c>
      <c r="R4678" s="17">
        <v>40</v>
      </c>
      <c r="S4678" s="18">
        <v>2897.31</v>
      </c>
      <c r="T4678" s="19" t="s">
        <v>36</v>
      </c>
      <c r="U4678" s="20" t="s">
        <v>39</v>
      </c>
      <c r="V4678" s="21" t="s">
        <v>40</v>
      </c>
      <c r="W4678" s="22">
        <v>33</v>
      </c>
      <c r="X4678" s="23"/>
    </row>
    <row r="4679" spans="1:24" s="1" customFormat="1" ht="21" customHeight="1" x14ac:dyDescent="0.3">
      <c r="A4679" s="24" t="s">
        <v>23</v>
      </c>
      <c r="B4679" s="24" t="s">
        <v>4200</v>
      </c>
      <c r="C4679" s="27" t="s">
        <v>4205</v>
      </c>
      <c r="D4679" s="60"/>
      <c r="E4679" s="41" t="str">
        <f>HYPERLINK("https://www.google.ru/search?q=6007622-100&amp;newwindow=1&amp;tbm=isch","Еще фото")</f>
        <v>Еще фото</v>
      </c>
      <c r="F4679" s="13"/>
      <c r="G4679" s="24" t="s">
        <v>4202</v>
      </c>
      <c r="H4679" s="24" t="s">
        <v>27</v>
      </c>
      <c r="I4679" s="24" t="s">
        <v>3599</v>
      </c>
      <c r="J4679" s="14" t="s">
        <v>43</v>
      </c>
      <c r="K4679" s="15" t="s">
        <v>30</v>
      </c>
      <c r="L4679" s="62"/>
      <c r="M4679" s="14"/>
      <c r="N4679" s="14" t="s">
        <v>84</v>
      </c>
      <c r="O4679" s="14"/>
      <c r="P4679" s="15" t="s">
        <v>4204</v>
      </c>
      <c r="Q4679" s="16">
        <v>4199</v>
      </c>
      <c r="R4679" s="17">
        <v>40</v>
      </c>
      <c r="S4679" s="18">
        <v>2897.31</v>
      </c>
      <c r="T4679" s="19" t="s">
        <v>36</v>
      </c>
      <c r="U4679" s="20" t="s">
        <v>86</v>
      </c>
      <c r="V4679" s="21" t="s">
        <v>87</v>
      </c>
      <c r="W4679" s="22">
        <v>51</v>
      </c>
      <c r="X4679" s="23"/>
    </row>
    <row r="4680" spans="1:24" s="1" customFormat="1" ht="21" customHeight="1" x14ac:dyDescent="0.3">
      <c r="A4680" s="24" t="s">
        <v>23</v>
      </c>
      <c r="B4680" s="24" t="s">
        <v>4200</v>
      </c>
      <c r="C4680" s="27" t="s">
        <v>4205</v>
      </c>
      <c r="D4680" s="60"/>
      <c r="E4680" s="41" t="str">
        <f>HYPERLINK("https://www.google.ru/search?q=6007622-100&amp;newwindow=1&amp;tbm=isch","Еще фото")</f>
        <v>Еще фото</v>
      </c>
      <c r="F4680" s="13"/>
      <c r="G4680" s="24" t="s">
        <v>4202</v>
      </c>
      <c r="H4680" s="24" t="s">
        <v>27</v>
      </c>
      <c r="I4680" s="24" t="s">
        <v>3599</v>
      </c>
      <c r="J4680" s="14" t="s">
        <v>43</v>
      </c>
      <c r="K4680" s="15" t="s">
        <v>30</v>
      </c>
      <c r="L4680" s="62"/>
      <c r="M4680" s="14"/>
      <c r="N4680" s="14" t="s">
        <v>84</v>
      </c>
      <c r="O4680" s="14"/>
      <c r="P4680" s="15" t="s">
        <v>4204</v>
      </c>
      <c r="Q4680" s="16">
        <v>4199</v>
      </c>
      <c r="R4680" s="17">
        <v>40</v>
      </c>
      <c r="S4680" s="18">
        <v>2897.31</v>
      </c>
      <c r="T4680" s="19" t="s">
        <v>36</v>
      </c>
      <c r="U4680" s="20" t="s">
        <v>88</v>
      </c>
      <c r="V4680" s="21" t="s">
        <v>89</v>
      </c>
      <c r="W4680" s="22">
        <v>20</v>
      </c>
      <c r="X4680" s="23"/>
    </row>
    <row r="4681" spans="1:24" s="1" customFormat="1" ht="32" customHeight="1" x14ac:dyDescent="0.3">
      <c r="A4681" s="24" t="s">
        <v>23</v>
      </c>
      <c r="B4681" s="24" t="s">
        <v>4200</v>
      </c>
      <c r="C4681" s="27" t="s">
        <v>4205</v>
      </c>
      <c r="D4681" s="61"/>
      <c r="E4681" s="41" t="str">
        <f>HYPERLINK("https://www.google.ru/search?q=6007622-100&amp;newwindow=1&amp;tbm=isch","Еще фото")</f>
        <v>Еще фото</v>
      </c>
      <c r="F4681" s="13"/>
      <c r="G4681" s="24" t="s">
        <v>4202</v>
      </c>
      <c r="H4681" s="24" t="s">
        <v>27</v>
      </c>
      <c r="I4681" s="24" t="s">
        <v>3599</v>
      </c>
      <c r="J4681" s="14" t="s">
        <v>43</v>
      </c>
      <c r="K4681" s="15" t="s">
        <v>30</v>
      </c>
      <c r="L4681" s="58"/>
      <c r="M4681" s="14"/>
      <c r="N4681" s="14" t="s">
        <v>84</v>
      </c>
      <c r="O4681" s="14"/>
      <c r="P4681" s="15" t="s">
        <v>4204</v>
      </c>
      <c r="Q4681" s="16">
        <v>4199</v>
      </c>
      <c r="R4681" s="17">
        <v>40</v>
      </c>
      <c r="S4681" s="18">
        <v>2897.31</v>
      </c>
      <c r="T4681" s="19" t="s">
        <v>36</v>
      </c>
      <c r="U4681" s="20" t="s">
        <v>90</v>
      </c>
      <c r="V4681" s="21" t="s">
        <v>91</v>
      </c>
      <c r="W4681" s="22">
        <v>3</v>
      </c>
      <c r="X4681" s="23"/>
    </row>
    <row r="4682" spans="1:24" s="1" customFormat="1" ht="26" customHeight="1" x14ac:dyDescent="0.3">
      <c r="A4682" s="11" t="s">
        <v>23</v>
      </c>
      <c r="B4682" s="11" t="s">
        <v>4206</v>
      </c>
      <c r="C4682" s="12" t="s">
        <v>4207</v>
      </c>
      <c r="D4682" s="59"/>
      <c r="E4682" s="41" t="str">
        <f>HYPERLINK("https://www.google.ru/search?q=6007656-338&amp;newwindow=1&amp;tbm=isch","Еще фото")</f>
        <v>Еще фото</v>
      </c>
      <c r="F4682" s="13"/>
      <c r="G4682" s="11" t="s">
        <v>3598</v>
      </c>
      <c r="H4682" s="11" t="s">
        <v>27</v>
      </c>
      <c r="I4682" s="14" t="s">
        <v>3599</v>
      </c>
      <c r="J4682" s="14" t="s">
        <v>29</v>
      </c>
      <c r="K4682" s="15" t="s">
        <v>59</v>
      </c>
      <c r="L4682" s="57" t="s">
        <v>4208</v>
      </c>
      <c r="M4682" s="14"/>
      <c r="N4682" s="14" t="s">
        <v>127</v>
      </c>
      <c r="O4682" s="14"/>
      <c r="P4682" s="15" t="s">
        <v>213</v>
      </c>
      <c r="Q4682" s="16">
        <v>3499</v>
      </c>
      <c r="R4682" s="17">
        <v>40</v>
      </c>
      <c r="S4682" s="18">
        <v>2414.31</v>
      </c>
      <c r="T4682" s="19" t="s">
        <v>36</v>
      </c>
      <c r="U4682" s="20" t="s">
        <v>63</v>
      </c>
      <c r="V4682" s="21" t="s">
        <v>64</v>
      </c>
      <c r="W4682" s="22">
        <v>12</v>
      </c>
      <c r="X4682" s="23"/>
    </row>
    <row r="4683" spans="1:24" s="1" customFormat="1" ht="26" customHeight="1" x14ac:dyDescent="0.3">
      <c r="A4683" s="24" t="s">
        <v>23</v>
      </c>
      <c r="B4683" s="24" t="s">
        <v>4206</v>
      </c>
      <c r="C4683" s="12" t="s">
        <v>4207</v>
      </c>
      <c r="D4683" s="60"/>
      <c r="E4683" s="41" t="str">
        <f>HYPERLINK("https://www.google.ru/search?q=6007656-338&amp;newwindow=1&amp;tbm=isch","Еще фото")</f>
        <v>Еще фото</v>
      </c>
      <c r="F4683" s="13"/>
      <c r="G4683" s="24" t="s">
        <v>3598</v>
      </c>
      <c r="H4683" s="24" t="s">
        <v>27</v>
      </c>
      <c r="I4683" s="24" t="s">
        <v>3599</v>
      </c>
      <c r="J4683" s="14" t="s">
        <v>29</v>
      </c>
      <c r="K4683" s="15" t="s">
        <v>59</v>
      </c>
      <c r="L4683" s="62"/>
      <c r="M4683" s="14"/>
      <c r="N4683" s="14" t="s">
        <v>127</v>
      </c>
      <c r="O4683" s="14"/>
      <c r="P4683" s="15" t="s">
        <v>213</v>
      </c>
      <c r="Q4683" s="16">
        <v>3499</v>
      </c>
      <c r="R4683" s="17">
        <v>40</v>
      </c>
      <c r="S4683" s="18">
        <v>2414.31</v>
      </c>
      <c r="T4683" s="19" t="s">
        <v>36</v>
      </c>
      <c r="U4683" s="20" t="s">
        <v>37</v>
      </c>
      <c r="V4683" s="21" t="s">
        <v>106</v>
      </c>
      <c r="W4683" s="22">
        <v>10</v>
      </c>
      <c r="X4683" s="23"/>
    </row>
    <row r="4684" spans="1:24" s="1" customFormat="1" ht="26" customHeight="1" x14ac:dyDescent="0.3">
      <c r="A4684" s="24" t="s">
        <v>23</v>
      </c>
      <c r="B4684" s="24" t="s">
        <v>4206</v>
      </c>
      <c r="C4684" s="12" t="s">
        <v>4207</v>
      </c>
      <c r="D4684" s="60"/>
      <c r="E4684" s="41" t="str">
        <f>HYPERLINK("https://www.google.ru/search?q=6007656-338&amp;newwindow=1&amp;tbm=isch","Еще фото")</f>
        <v>Еще фото</v>
      </c>
      <c r="F4684" s="13"/>
      <c r="G4684" s="24" t="s">
        <v>3598</v>
      </c>
      <c r="H4684" s="24" t="s">
        <v>27</v>
      </c>
      <c r="I4684" s="24" t="s">
        <v>3599</v>
      </c>
      <c r="J4684" s="14" t="s">
        <v>29</v>
      </c>
      <c r="K4684" s="15" t="s">
        <v>59</v>
      </c>
      <c r="L4684" s="62"/>
      <c r="M4684" s="14"/>
      <c r="N4684" s="14" t="s">
        <v>127</v>
      </c>
      <c r="O4684" s="14"/>
      <c r="P4684" s="15" t="s">
        <v>213</v>
      </c>
      <c r="Q4684" s="16">
        <v>3499</v>
      </c>
      <c r="R4684" s="17">
        <v>40</v>
      </c>
      <c r="S4684" s="18">
        <v>2414.31</v>
      </c>
      <c r="T4684" s="19" t="s">
        <v>36</v>
      </c>
      <c r="U4684" s="20" t="s">
        <v>39</v>
      </c>
      <c r="V4684" s="21" t="s">
        <v>85</v>
      </c>
      <c r="W4684" s="22">
        <v>16</v>
      </c>
      <c r="X4684" s="23"/>
    </row>
    <row r="4685" spans="1:24" s="1" customFormat="1" ht="26" customHeight="1" x14ac:dyDescent="0.3">
      <c r="A4685" s="24" t="s">
        <v>23</v>
      </c>
      <c r="B4685" s="24" t="s">
        <v>4206</v>
      </c>
      <c r="C4685" s="12" t="s">
        <v>4207</v>
      </c>
      <c r="D4685" s="61"/>
      <c r="E4685" s="41" t="str">
        <f>HYPERLINK("https://www.google.ru/search?q=6007656-338&amp;newwindow=1&amp;tbm=isch","Еще фото")</f>
        <v>Еще фото</v>
      </c>
      <c r="F4685" s="13"/>
      <c r="G4685" s="24" t="s">
        <v>3598</v>
      </c>
      <c r="H4685" s="24" t="s">
        <v>27</v>
      </c>
      <c r="I4685" s="24" t="s">
        <v>3599</v>
      </c>
      <c r="J4685" s="14" t="s">
        <v>29</v>
      </c>
      <c r="K4685" s="15" t="s">
        <v>59</v>
      </c>
      <c r="L4685" s="58"/>
      <c r="M4685" s="14"/>
      <c r="N4685" s="14" t="s">
        <v>127</v>
      </c>
      <c r="O4685" s="14"/>
      <c r="P4685" s="15" t="s">
        <v>213</v>
      </c>
      <c r="Q4685" s="16">
        <v>3499</v>
      </c>
      <c r="R4685" s="17">
        <v>40</v>
      </c>
      <c r="S4685" s="18">
        <v>2414.31</v>
      </c>
      <c r="T4685" s="19" t="s">
        <v>36</v>
      </c>
      <c r="U4685" s="20" t="s">
        <v>86</v>
      </c>
      <c r="V4685" s="21" t="s">
        <v>38</v>
      </c>
      <c r="W4685" s="22">
        <v>13</v>
      </c>
      <c r="X4685" s="23"/>
    </row>
    <row r="4686" spans="1:24" s="1" customFormat="1" ht="26" customHeight="1" x14ac:dyDescent="0.3">
      <c r="A4686" s="11" t="s">
        <v>23</v>
      </c>
      <c r="B4686" s="11" t="s">
        <v>4209</v>
      </c>
      <c r="C4686" s="12" t="s">
        <v>4210</v>
      </c>
      <c r="D4686" s="59"/>
      <c r="E4686" s="41" t="str">
        <f>HYPERLINK("https://www.google.ru/search?q=6007876-338&amp;newwindow=1&amp;tbm=isch","Еще фото")</f>
        <v>Еще фото</v>
      </c>
      <c r="F4686" s="28" t="s">
        <v>138</v>
      </c>
      <c r="G4686" s="11" t="s">
        <v>4211</v>
      </c>
      <c r="H4686" s="11" t="s">
        <v>27</v>
      </c>
      <c r="I4686" s="14" t="s">
        <v>3599</v>
      </c>
      <c r="J4686" s="14" t="s">
        <v>29</v>
      </c>
      <c r="K4686" s="15" t="s">
        <v>59</v>
      </c>
      <c r="L4686" s="57"/>
      <c r="M4686" s="14"/>
      <c r="N4686" s="14" t="s">
        <v>127</v>
      </c>
      <c r="O4686" s="14"/>
      <c r="P4686" s="15" t="s">
        <v>458</v>
      </c>
      <c r="Q4686" s="16">
        <v>4799</v>
      </c>
      <c r="R4686" s="17">
        <v>40</v>
      </c>
      <c r="S4686" s="18">
        <v>3311.31</v>
      </c>
      <c r="T4686" s="19" t="s">
        <v>36</v>
      </c>
      <c r="U4686" s="20" t="s">
        <v>63</v>
      </c>
      <c r="V4686" s="21" t="s">
        <v>64</v>
      </c>
      <c r="W4686" s="22">
        <v>16</v>
      </c>
      <c r="X4686" s="23"/>
    </row>
    <row r="4687" spans="1:24" s="1" customFormat="1" ht="26" customHeight="1" x14ac:dyDescent="0.3">
      <c r="A4687" s="24" t="s">
        <v>23</v>
      </c>
      <c r="B4687" s="24" t="s">
        <v>4209</v>
      </c>
      <c r="C4687" s="12" t="s">
        <v>4210</v>
      </c>
      <c r="D4687" s="60"/>
      <c r="E4687" s="41" t="str">
        <f>HYPERLINK("https://www.google.ru/search?q=6007876-338&amp;newwindow=1&amp;tbm=isch","Еще фото")</f>
        <v>Еще фото</v>
      </c>
      <c r="F4687" s="28" t="s">
        <v>138</v>
      </c>
      <c r="G4687" s="24" t="s">
        <v>4211</v>
      </c>
      <c r="H4687" s="24" t="s">
        <v>27</v>
      </c>
      <c r="I4687" s="24" t="s">
        <v>3599</v>
      </c>
      <c r="J4687" s="14" t="s">
        <v>29</v>
      </c>
      <c r="K4687" s="15" t="s">
        <v>59</v>
      </c>
      <c r="L4687" s="62"/>
      <c r="M4687" s="14"/>
      <c r="N4687" s="14" t="s">
        <v>127</v>
      </c>
      <c r="O4687" s="14"/>
      <c r="P4687" s="15" t="s">
        <v>458</v>
      </c>
      <c r="Q4687" s="16">
        <v>4799</v>
      </c>
      <c r="R4687" s="17">
        <v>40</v>
      </c>
      <c r="S4687" s="18">
        <v>3311.31</v>
      </c>
      <c r="T4687" s="19" t="s">
        <v>36</v>
      </c>
      <c r="U4687" s="20" t="s">
        <v>37</v>
      </c>
      <c r="V4687" s="21" t="s">
        <v>106</v>
      </c>
      <c r="W4687" s="22">
        <v>20</v>
      </c>
      <c r="X4687" s="23"/>
    </row>
    <row r="4688" spans="1:24" s="1" customFormat="1" ht="26" customHeight="1" x14ac:dyDescent="0.3">
      <c r="A4688" s="24" t="s">
        <v>23</v>
      </c>
      <c r="B4688" s="24" t="s">
        <v>4209</v>
      </c>
      <c r="C4688" s="12" t="s">
        <v>4210</v>
      </c>
      <c r="D4688" s="60"/>
      <c r="E4688" s="41" t="str">
        <f>HYPERLINK("https://www.google.ru/search?q=6007876-338&amp;newwindow=1&amp;tbm=isch","Еще фото")</f>
        <v>Еще фото</v>
      </c>
      <c r="F4688" s="28" t="s">
        <v>138</v>
      </c>
      <c r="G4688" s="24" t="s">
        <v>4211</v>
      </c>
      <c r="H4688" s="24" t="s">
        <v>27</v>
      </c>
      <c r="I4688" s="24" t="s">
        <v>3599</v>
      </c>
      <c r="J4688" s="14" t="s">
        <v>29</v>
      </c>
      <c r="K4688" s="15" t="s">
        <v>59</v>
      </c>
      <c r="L4688" s="62"/>
      <c r="M4688" s="14"/>
      <c r="N4688" s="14" t="s">
        <v>127</v>
      </c>
      <c r="O4688" s="14"/>
      <c r="P4688" s="15" t="s">
        <v>458</v>
      </c>
      <c r="Q4688" s="16">
        <v>4799</v>
      </c>
      <c r="R4688" s="17">
        <v>40</v>
      </c>
      <c r="S4688" s="18">
        <v>3311.31</v>
      </c>
      <c r="T4688" s="19" t="s">
        <v>36</v>
      </c>
      <c r="U4688" s="20" t="s">
        <v>39</v>
      </c>
      <c r="V4688" s="21" t="s">
        <v>85</v>
      </c>
      <c r="W4688" s="22">
        <v>19</v>
      </c>
      <c r="X4688" s="23"/>
    </row>
    <row r="4689" spans="1:24" s="1" customFormat="1" ht="26" customHeight="1" x14ac:dyDescent="0.3">
      <c r="A4689" s="24" t="s">
        <v>23</v>
      </c>
      <c r="B4689" s="24" t="s">
        <v>4209</v>
      </c>
      <c r="C4689" s="12" t="s">
        <v>4210</v>
      </c>
      <c r="D4689" s="61"/>
      <c r="E4689" s="41" t="str">
        <f>HYPERLINK("https://www.google.ru/search?q=6007876-338&amp;newwindow=1&amp;tbm=isch","Еще фото")</f>
        <v>Еще фото</v>
      </c>
      <c r="F4689" s="28" t="s">
        <v>138</v>
      </c>
      <c r="G4689" s="24" t="s">
        <v>4211</v>
      </c>
      <c r="H4689" s="24" t="s">
        <v>27</v>
      </c>
      <c r="I4689" s="24" t="s">
        <v>3599</v>
      </c>
      <c r="J4689" s="14" t="s">
        <v>29</v>
      </c>
      <c r="K4689" s="15" t="s">
        <v>59</v>
      </c>
      <c r="L4689" s="58"/>
      <c r="M4689" s="14"/>
      <c r="N4689" s="14" t="s">
        <v>127</v>
      </c>
      <c r="O4689" s="14"/>
      <c r="P4689" s="15" t="s">
        <v>458</v>
      </c>
      <c r="Q4689" s="16">
        <v>4799</v>
      </c>
      <c r="R4689" s="17">
        <v>40</v>
      </c>
      <c r="S4689" s="18">
        <v>3311.31</v>
      </c>
      <c r="T4689" s="19" t="s">
        <v>36</v>
      </c>
      <c r="U4689" s="20" t="s">
        <v>86</v>
      </c>
      <c r="V4689" s="21" t="s">
        <v>38</v>
      </c>
      <c r="W4689" s="22">
        <v>15</v>
      </c>
      <c r="X4689" s="23"/>
    </row>
    <row r="4690" spans="1:24" s="1" customFormat="1" ht="26" customHeight="1" x14ac:dyDescent="0.3">
      <c r="A4690" s="11" t="s">
        <v>23</v>
      </c>
      <c r="B4690" s="11" t="s">
        <v>4212</v>
      </c>
      <c r="C4690" s="12" t="s">
        <v>4213</v>
      </c>
      <c r="D4690" s="59"/>
      <c r="E4690" s="41" t="str">
        <f>HYPERLINK("https://www.google.ru/search?q=6007883-001&amp;newwindow=1&amp;tbm=isch","Еще фото")</f>
        <v>Еще фото</v>
      </c>
      <c r="F4690" s="13"/>
      <c r="G4690" s="11" t="s">
        <v>3604</v>
      </c>
      <c r="H4690" s="11" t="s">
        <v>27</v>
      </c>
      <c r="I4690" s="14" t="s">
        <v>3599</v>
      </c>
      <c r="J4690" s="14" t="s">
        <v>43</v>
      </c>
      <c r="K4690" s="15" t="s">
        <v>59</v>
      </c>
      <c r="L4690" s="57" t="s">
        <v>4214</v>
      </c>
      <c r="M4690" s="14"/>
      <c r="N4690" s="14" t="s">
        <v>33</v>
      </c>
      <c r="O4690" s="14"/>
      <c r="P4690" s="15" t="s">
        <v>2951</v>
      </c>
      <c r="Q4690" s="16">
        <v>2899</v>
      </c>
      <c r="R4690" s="17">
        <v>40</v>
      </c>
      <c r="S4690" s="18">
        <v>2000.31</v>
      </c>
      <c r="T4690" s="19" t="s">
        <v>36</v>
      </c>
      <c r="U4690" s="20" t="s">
        <v>63</v>
      </c>
      <c r="V4690" s="21" t="s">
        <v>64</v>
      </c>
      <c r="W4690" s="22">
        <v>12</v>
      </c>
      <c r="X4690" s="23"/>
    </row>
    <row r="4691" spans="1:24" s="1" customFormat="1" ht="26" customHeight="1" x14ac:dyDescent="0.3">
      <c r="A4691" s="24" t="s">
        <v>23</v>
      </c>
      <c r="B4691" s="24" t="s">
        <v>4212</v>
      </c>
      <c r="C4691" s="12" t="s">
        <v>4213</v>
      </c>
      <c r="D4691" s="60"/>
      <c r="E4691" s="41" t="str">
        <f>HYPERLINK("https://www.google.ru/search?q=6007883-001&amp;newwindow=1&amp;tbm=isch","Еще фото")</f>
        <v>Еще фото</v>
      </c>
      <c r="F4691" s="13"/>
      <c r="G4691" s="24" t="s">
        <v>3604</v>
      </c>
      <c r="H4691" s="24" t="s">
        <v>27</v>
      </c>
      <c r="I4691" s="24" t="s">
        <v>3599</v>
      </c>
      <c r="J4691" s="14" t="s">
        <v>43</v>
      </c>
      <c r="K4691" s="15" t="s">
        <v>59</v>
      </c>
      <c r="L4691" s="62"/>
      <c r="M4691" s="14"/>
      <c r="N4691" s="14" t="s">
        <v>33</v>
      </c>
      <c r="O4691" s="14"/>
      <c r="P4691" s="15" t="s">
        <v>2951</v>
      </c>
      <c r="Q4691" s="16">
        <v>2899</v>
      </c>
      <c r="R4691" s="17">
        <v>40</v>
      </c>
      <c r="S4691" s="18">
        <v>2000.31</v>
      </c>
      <c r="T4691" s="19" t="s">
        <v>36</v>
      </c>
      <c r="U4691" s="20" t="s">
        <v>37</v>
      </c>
      <c r="V4691" s="21" t="s">
        <v>106</v>
      </c>
      <c r="W4691" s="22">
        <v>4</v>
      </c>
      <c r="X4691" s="23"/>
    </row>
    <row r="4692" spans="1:24" s="1" customFormat="1" ht="26" customHeight="1" x14ac:dyDescent="0.3">
      <c r="A4692" s="24" t="s">
        <v>23</v>
      </c>
      <c r="B4692" s="24" t="s">
        <v>4212</v>
      </c>
      <c r="C4692" s="12" t="s">
        <v>4213</v>
      </c>
      <c r="D4692" s="60"/>
      <c r="E4692" s="41" t="str">
        <f>HYPERLINK("https://www.google.ru/search?q=6007883-001&amp;newwindow=1&amp;tbm=isch","Еще фото")</f>
        <v>Еще фото</v>
      </c>
      <c r="F4692" s="13"/>
      <c r="G4692" s="24" t="s">
        <v>3604</v>
      </c>
      <c r="H4692" s="24" t="s">
        <v>27</v>
      </c>
      <c r="I4692" s="24" t="s">
        <v>3599</v>
      </c>
      <c r="J4692" s="14" t="s">
        <v>43</v>
      </c>
      <c r="K4692" s="15" t="s">
        <v>59</v>
      </c>
      <c r="L4692" s="62"/>
      <c r="M4692" s="14"/>
      <c r="N4692" s="14" t="s">
        <v>33</v>
      </c>
      <c r="O4692" s="14"/>
      <c r="P4692" s="15" t="s">
        <v>2951</v>
      </c>
      <c r="Q4692" s="16">
        <v>2899</v>
      </c>
      <c r="R4692" s="17">
        <v>40</v>
      </c>
      <c r="S4692" s="18">
        <v>2000.31</v>
      </c>
      <c r="T4692" s="19" t="s">
        <v>36</v>
      </c>
      <c r="U4692" s="20" t="s">
        <v>39</v>
      </c>
      <c r="V4692" s="21" t="s">
        <v>85</v>
      </c>
      <c r="W4692" s="22">
        <v>4</v>
      </c>
      <c r="X4692" s="23"/>
    </row>
    <row r="4693" spans="1:24" s="1" customFormat="1" ht="26" customHeight="1" x14ac:dyDescent="0.3">
      <c r="A4693" s="24" t="s">
        <v>23</v>
      </c>
      <c r="B4693" s="24" t="s">
        <v>4212</v>
      </c>
      <c r="C4693" s="12" t="s">
        <v>4213</v>
      </c>
      <c r="D4693" s="61"/>
      <c r="E4693" s="41" t="str">
        <f>HYPERLINK("https://www.google.ru/search?q=6007883-001&amp;newwindow=1&amp;tbm=isch","Еще фото")</f>
        <v>Еще фото</v>
      </c>
      <c r="F4693" s="13"/>
      <c r="G4693" s="24" t="s">
        <v>3604</v>
      </c>
      <c r="H4693" s="24" t="s">
        <v>27</v>
      </c>
      <c r="I4693" s="24" t="s">
        <v>3599</v>
      </c>
      <c r="J4693" s="14" t="s">
        <v>43</v>
      </c>
      <c r="K4693" s="15" t="s">
        <v>59</v>
      </c>
      <c r="L4693" s="58"/>
      <c r="M4693" s="14"/>
      <c r="N4693" s="14" t="s">
        <v>33</v>
      </c>
      <c r="O4693" s="14"/>
      <c r="P4693" s="15" t="s">
        <v>2951</v>
      </c>
      <c r="Q4693" s="16">
        <v>2899</v>
      </c>
      <c r="R4693" s="17">
        <v>40</v>
      </c>
      <c r="S4693" s="18">
        <v>2000.31</v>
      </c>
      <c r="T4693" s="19" t="s">
        <v>36</v>
      </c>
      <c r="U4693" s="20" t="s">
        <v>86</v>
      </c>
      <c r="V4693" s="21" t="s">
        <v>38</v>
      </c>
      <c r="W4693" s="22">
        <v>1</v>
      </c>
      <c r="X4693" s="23"/>
    </row>
    <row r="4694" spans="1:24" s="1" customFormat="1" ht="21" customHeight="1" x14ac:dyDescent="0.3">
      <c r="A4694" s="11" t="s">
        <v>23</v>
      </c>
      <c r="B4694" s="11" t="s">
        <v>4215</v>
      </c>
      <c r="C4694" s="26" t="s">
        <v>4216</v>
      </c>
      <c r="D4694" s="59"/>
      <c r="E4694" s="41" t="str">
        <f>HYPERLINK("https://www.google.ru/search?q=6009174-016&amp;newwindow=1&amp;tbm=isch","Еще фото")</f>
        <v>Еще фото</v>
      </c>
      <c r="F4694" s="28" t="s">
        <v>138</v>
      </c>
      <c r="G4694" s="11" t="s">
        <v>3604</v>
      </c>
      <c r="H4694" s="11" t="s">
        <v>27</v>
      </c>
      <c r="I4694" s="14" t="s">
        <v>3599</v>
      </c>
      <c r="J4694" s="14" t="s">
        <v>674</v>
      </c>
      <c r="K4694" s="15" t="s">
        <v>59</v>
      </c>
      <c r="L4694" s="57" t="s">
        <v>4217</v>
      </c>
      <c r="M4694" s="14"/>
      <c r="N4694" s="14" t="s">
        <v>62</v>
      </c>
      <c r="O4694" s="14"/>
      <c r="P4694" s="15" t="s">
        <v>2662</v>
      </c>
      <c r="Q4694" s="16">
        <v>4299</v>
      </c>
      <c r="R4694" s="17">
        <v>40</v>
      </c>
      <c r="S4694" s="18">
        <v>2966.31</v>
      </c>
      <c r="T4694" s="19" t="s">
        <v>36</v>
      </c>
      <c r="U4694" s="20" t="s">
        <v>63</v>
      </c>
      <c r="V4694" s="21" t="s">
        <v>64</v>
      </c>
      <c r="W4694" s="22">
        <v>16</v>
      </c>
      <c r="X4694" s="23"/>
    </row>
    <row r="4695" spans="1:24" s="1" customFormat="1" ht="21" customHeight="1" x14ac:dyDescent="0.3">
      <c r="A4695" s="24" t="s">
        <v>23</v>
      </c>
      <c r="B4695" s="24" t="s">
        <v>4215</v>
      </c>
      <c r="C4695" s="27" t="s">
        <v>4216</v>
      </c>
      <c r="D4695" s="60"/>
      <c r="E4695" s="41" t="str">
        <f>HYPERLINK("https://www.google.ru/search?q=6009174-016&amp;newwindow=1&amp;tbm=isch","Еще фото")</f>
        <v>Еще фото</v>
      </c>
      <c r="F4695" s="28" t="s">
        <v>138</v>
      </c>
      <c r="G4695" s="24" t="s">
        <v>3604</v>
      </c>
      <c r="H4695" s="24" t="s">
        <v>27</v>
      </c>
      <c r="I4695" s="24" t="s">
        <v>3599</v>
      </c>
      <c r="J4695" s="14" t="s">
        <v>674</v>
      </c>
      <c r="K4695" s="15" t="s">
        <v>59</v>
      </c>
      <c r="L4695" s="62"/>
      <c r="M4695" s="14"/>
      <c r="N4695" s="14" t="s">
        <v>62</v>
      </c>
      <c r="O4695" s="14"/>
      <c r="P4695" s="15" t="s">
        <v>2662</v>
      </c>
      <c r="Q4695" s="16">
        <v>4299</v>
      </c>
      <c r="R4695" s="17">
        <v>40</v>
      </c>
      <c r="S4695" s="18">
        <v>2966.31</v>
      </c>
      <c r="T4695" s="19" t="s">
        <v>36</v>
      </c>
      <c r="U4695" s="20" t="s">
        <v>37</v>
      </c>
      <c r="V4695" s="21" t="s">
        <v>106</v>
      </c>
      <c r="W4695" s="22">
        <v>21</v>
      </c>
      <c r="X4695" s="23"/>
    </row>
    <row r="4696" spans="1:24" s="1" customFormat="1" ht="21" customHeight="1" x14ac:dyDescent="0.3">
      <c r="A4696" s="24" t="s">
        <v>23</v>
      </c>
      <c r="B4696" s="24" t="s">
        <v>4215</v>
      </c>
      <c r="C4696" s="27" t="s">
        <v>4216</v>
      </c>
      <c r="D4696" s="60"/>
      <c r="E4696" s="41" t="str">
        <f>HYPERLINK("https://www.google.ru/search?q=6009174-016&amp;newwindow=1&amp;tbm=isch","Еще фото")</f>
        <v>Еще фото</v>
      </c>
      <c r="F4696" s="28" t="s">
        <v>138</v>
      </c>
      <c r="G4696" s="24" t="s">
        <v>3604</v>
      </c>
      <c r="H4696" s="24" t="s">
        <v>27</v>
      </c>
      <c r="I4696" s="24" t="s">
        <v>3599</v>
      </c>
      <c r="J4696" s="14" t="s">
        <v>674</v>
      </c>
      <c r="K4696" s="15" t="s">
        <v>59</v>
      </c>
      <c r="L4696" s="62"/>
      <c r="M4696" s="14"/>
      <c r="N4696" s="14" t="s">
        <v>62</v>
      </c>
      <c r="O4696" s="14"/>
      <c r="P4696" s="15" t="s">
        <v>2662</v>
      </c>
      <c r="Q4696" s="16">
        <v>4299</v>
      </c>
      <c r="R4696" s="17">
        <v>40</v>
      </c>
      <c r="S4696" s="18">
        <v>2966.31</v>
      </c>
      <c r="T4696" s="19" t="s">
        <v>36</v>
      </c>
      <c r="U4696" s="20" t="s">
        <v>39</v>
      </c>
      <c r="V4696" s="21" t="s">
        <v>85</v>
      </c>
      <c r="W4696" s="22">
        <v>21</v>
      </c>
      <c r="X4696" s="23"/>
    </row>
    <row r="4697" spans="1:24" s="1" customFormat="1" ht="21" customHeight="1" x14ac:dyDescent="0.3">
      <c r="A4697" s="24" t="s">
        <v>23</v>
      </c>
      <c r="B4697" s="24" t="s">
        <v>4215</v>
      </c>
      <c r="C4697" s="27" t="s">
        <v>4216</v>
      </c>
      <c r="D4697" s="60"/>
      <c r="E4697" s="41" t="str">
        <f>HYPERLINK("https://www.google.ru/search?q=6009174-016&amp;newwindow=1&amp;tbm=isch","Еще фото")</f>
        <v>Еще фото</v>
      </c>
      <c r="F4697" s="28" t="s">
        <v>138</v>
      </c>
      <c r="G4697" s="24" t="s">
        <v>3604</v>
      </c>
      <c r="H4697" s="24" t="s">
        <v>27</v>
      </c>
      <c r="I4697" s="24" t="s">
        <v>3599</v>
      </c>
      <c r="J4697" s="14" t="s">
        <v>674</v>
      </c>
      <c r="K4697" s="15" t="s">
        <v>59</v>
      </c>
      <c r="L4697" s="62"/>
      <c r="M4697" s="14"/>
      <c r="N4697" s="14" t="s">
        <v>62</v>
      </c>
      <c r="O4697" s="14"/>
      <c r="P4697" s="15" t="s">
        <v>2662</v>
      </c>
      <c r="Q4697" s="16">
        <v>4299</v>
      </c>
      <c r="R4697" s="17">
        <v>40</v>
      </c>
      <c r="S4697" s="18">
        <v>2966.31</v>
      </c>
      <c r="T4697" s="19" t="s">
        <v>36</v>
      </c>
      <c r="U4697" s="20" t="s">
        <v>86</v>
      </c>
      <c r="V4697" s="21" t="s">
        <v>38</v>
      </c>
      <c r="W4697" s="22">
        <v>15</v>
      </c>
      <c r="X4697" s="23"/>
    </row>
    <row r="4698" spans="1:24" s="1" customFormat="1" ht="32" customHeight="1" x14ac:dyDescent="0.3">
      <c r="A4698" s="24" t="s">
        <v>23</v>
      </c>
      <c r="B4698" s="24" t="s">
        <v>4215</v>
      </c>
      <c r="C4698" s="27" t="s">
        <v>4216</v>
      </c>
      <c r="D4698" s="61"/>
      <c r="E4698" s="41" t="str">
        <f>HYPERLINK("https://www.google.ru/search?q=6009174-016&amp;newwindow=1&amp;tbm=isch","Еще фото")</f>
        <v>Еще фото</v>
      </c>
      <c r="F4698" s="28" t="s">
        <v>138</v>
      </c>
      <c r="G4698" s="24" t="s">
        <v>3604</v>
      </c>
      <c r="H4698" s="24" t="s">
        <v>27</v>
      </c>
      <c r="I4698" s="24" t="s">
        <v>3599</v>
      </c>
      <c r="J4698" s="14" t="s">
        <v>674</v>
      </c>
      <c r="K4698" s="15" t="s">
        <v>59</v>
      </c>
      <c r="L4698" s="58"/>
      <c r="M4698" s="14"/>
      <c r="N4698" s="14" t="s">
        <v>62</v>
      </c>
      <c r="O4698" s="14"/>
      <c r="P4698" s="15" t="s">
        <v>2662</v>
      </c>
      <c r="Q4698" s="16">
        <v>4299</v>
      </c>
      <c r="R4698" s="17">
        <v>40</v>
      </c>
      <c r="S4698" s="18">
        <v>2966.31</v>
      </c>
      <c r="T4698" s="19" t="s">
        <v>36</v>
      </c>
      <c r="U4698" s="20" t="s">
        <v>88</v>
      </c>
      <c r="V4698" s="21" t="s">
        <v>40</v>
      </c>
      <c r="W4698" s="22">
        <v>3</v>
      </c>
      <c r="X4698" s="23"/>
    </row>
    <row r="4699" spans="1:24" s="1" customFormat="1" ht="52.05" customHeight="1" x14ac:dyDescent="0.3">
      <c r="A4699" s="11" t="s">
        <v>23</v>
      </c>
      <c r="B4699" s="11" t="s">
        <v>4218</v>
      </c>
      <c r="C4699" s="12" t="s">
        <v>4219</v>
      </c>
      <c r="D4699" s="55"/>
      <c r="E4699" s="41" t="str">
        <f>HYPERLINK("https://www.google.ru/search?q=6009261-338&amp;newwindow=1&amp;tbm=isch","Еще фото")</f>
        <v>Еще фото</v>
      </c>
      <c r="F4699" s="13"/>
      <c r="G4699" s="11" t="s">
        <v>3604</v>
      </c>
      <c r="H4699" s="11" t="s">
        <v>27</v>
      </c>
      <c r="I4699" s="14" t="s">
        <v>3599</v>
      </c>
      <c r="J4699" s="14" t="s">
        <v>43</v>
      </c>
      <c r="K4699" s="15" t="s">
        <v>30</v>
      </c>
      <c r="L4699" s="57" t="s">
        <v>4220</v>
      </c>
      <c r="M4699" s="14"/>
      <c r="N4699" s="14" t="s">
        <v>127</v>
      </c>
      <c r="O4699" s="14"/>
      <c r="P4699" s="15" t="s">
        <v>1063</v>
      </c>
      <c r="Q4699" s="16">
        <v>3299</v>
      </c>
      <c r="R4699" s="17">
        <v>40</v>
      </c>
      <c r="S4699" s="18">
        <v>2276.31</v>
      </c>
      <c r="T4699" s="19" t="s">
        <v>36</v>
      </c>
      <c r="U4699" s="20" t="s">
        <v>39</v>
      </c>
      <c r="V4699" s="21" t="s">
        <v>40</v>
      </c>
      <c r="W4699" s="22">
        <v>16</v>
      </c>
      <c r="X4699" s="23"/>
    </row>
    <row r="4700" spans="1:24" s="1" customFormat="1" ht="61.05" customHeight="1" x14ac:dyDescent="0.3">
      <c r="A4700" s="24" t="s">
        <v>23</v>
      </c>
      <c r="B4700" s="24" t="s">
        <v>4218</v>
      </c>
      <c r="C4700" s="12" t="s">
        <v>4219</v>
      </c>
      <c r="D4700" s="56"/>
      <c r="E4700" s="41" t="str">
        <f>HYPERLINK("https://www.google.ru/search?q=6009261-338&amp;newwindow=1&amp;tbm=isch","Еще фото")</f>
        <v>Еще фото</v>
      </c>
      <c r="F4700" s="13"/>
      <c r="G4700" s="24" t="s">
        <v>3604</v>
      </c>
      <c r="H4700" s="24" t="s">
        <v>27</v>
      </c>
      <c r="I4700" s="24" t="s">
        <v>3599</v>
      </c>
      <c r="J4700" s="14" t="s">
        <v>43</v>
      </c>
      <c r="K4700" s="15" t="s">
        <v>30</v>
      </c>
      <c r="L4700" s="58"/>
      <c r="M4700" s="14"/>
      <c r="N4700" s="14" t="s">
        <v>127</v>
      </c>
      <c r="O4700" s="14"/>
      <c r="P4700" s="15" t="s">
        <v>1063</v>
      </c>
      <c r="Q4700" s="16">
        <v>3299</v>
      </c>
      <c r="R4700" s="17">
        <v>40</v>
      </c>
      <c r="S4700" s="18">
        <v>2276.31</v>
      </c>
      <c r="T4700" s="19" t="s">
        <v>36</v>
      </c>
      <c r="U4700" s="20" t="s">
        <v>88</v>
      </c>
      <c r="V4700" s="21" t="s">
        <v>89</v>
      </c>
      <c r="W4700" s="22">
        <v>3</v>
      </c>
      <c r="X4700" s="23"/>
    </row>
    <row r="4701" spans="1:24" s="1" customFormat="1" ht="14" customHeight="1" x14ac:dyDescent="0.3">
      <c r="A4701" s="11" t="s">
        <v>23</v>
      </c>
      <c r="B4701" s="11" t="s">
        <v>4221</v>
      </c>
      <c r="C4701" s="12" t="s">
        <v>4222</v>
      </c>
      <c r="D4701" s="59"/>
      <c r="E4701" s="41" t="str">
        <f t="shared" ref="E4701:E4707" si="169">HYPERLINK("https://www.google.ru/search?q=6009266-069&amp;newwindow=1&amp;tbm=isch","Еще фото")</f>
        <v>Еще фото</v>
      </c>
      <c r="F4701" s="28" t="s">
        <v>138</v>
      </c>
      <c r="G4701" s="11" t="s">
        <v>3604</v>
      </c>
      <c r="H4701" s="11" t="s">
        <v>27</v>
      </c>
      <c r="I4701" s="14" t="s">
        <v>3599</v>
      </c>
      <c r="J4701" s="14" t="s">
        <v>43</v>
      </c>
      <c r="K4701" s="15" t="s">
        <v>30</v>
      </c>
      <c r="L4701" s="57" t="s">
        <v>4223</v>
      </c>
      <c r="M4701" s="14"/>
      <c r="N4701" s="14" t="s">
        <v>62</v>
      </c>
      <c r="O4701" s="14"/>
      <c r="P4701" s="15" t="s">
        <v>2951</v>
      </c>
      <c r="Q4701" s="16">
        <v>3799</v>
      </c>
      <c r="R4701" s="17">
        <v>40</v>
      </c>
      <c r="S4701" s="18">
        <v>2621.31</v>
      </c>
      <c r="T4701" s="19" t="s">
        <v>36</v>
      </c>
      <c r="U4701" s="20" t="s">
        <v>63</v>
      </c>
      <c r="V4701" s="21" t="s">
        <v>85</v>
      </c>
      <c r="W4701" s="22">
        <v>3</v>
      </c>
      <c r="X4701" s="23"/>
    </row>
    <row r="4702" spans="1:24" s="1" customFormat="1" ht="14" customHeight="1" x14ac:dyDescent="0.3">
      <c r="A4702" s="24" t="s">
        <v>23</v>
      </c>
      <c r="B4702" s="24" t="s">
        <v>4221</v>
      </c>
      <c r="C4702" s="12" t="s">
        <v>4222</v>
      </c>
      <c r="D4702" s="60"/>
      <c r="E4702" s="41" t="str">
        <f t="shared" si="169"/>
        <v>Еще фото</v>
      </c>
      <c r="F4702" s="28" t="s">
        <v>138</v>
      </c>
      <c r="G4702" s="24" t="s">
        <v>3604</v>
      </c>
      <c r="H4702" s="24" t="s">
        <v>27</v>
      </c>
      <c r="I4702" s="24" t="s">
        <v>3599</v>
      </c>
      <c r="J4702" s="14" t="s">
        <v>43</v>
      </c>
      <c r="K4702" s="15" t="s">
        <v>30</v>
      </c>
      <c r="L4702" s="62"/>
      <c r="M4702" s="14"/>
      <c r="N4702" s="14" t="s">
        <v>62</v>
      </c>
      <c r="O4702" s="14"/>
      <c r="P4702" s="15" t="s">
        <v>2951</v>
      </c>
      <c r="Q4702" s="16">
        <v>3799</v>
      </c>
      <c r="R4702" s="17">
        <v>40</v>
      </c>
      <c r="S4702" s="18">
        <v>2621.31</v>
      </c>
      <c r="T4702" s="19" t="s">
        <v>36</v>
      </c>
      <c r="U4702" s="20" t="s">
        <v>37</v>
      </c>
      <c r="V4702" s="21" t="s">
        <v>38</v>
      </c>
      <c r="W4702" s="22">
        <v>11</v>
      </c>
      <c r="X4702" s="23"/>
    </row>
    <row r="4703" spans="1:24" s="1" customFormat="1" ht="14" customHeight="1" x14ac:dyDescent="0.3">
      <c r="A4703" s="24" t="s">
        <v>23</v>
      </c>
      <c r="B4703" s="24" t="s">
        <v>4221</v>
      </c>
      <c r="C4703" s="12" t="s">
        <v>4222</v>
      </c>
      <c r="D4703" s="60"/>
      <c r="E4703" s="41" t="str">
        <f t="shared" si="169"/>
        <v>Еще фото</v>
      </c>
      <c r="F4703" s="28" t="s">
        <v>138</v>
      </c>
      <c r="G4703" s="24" t="s">
        <v>3604</v>
      </c>
      <c r="H4703" s="24" t="s">
        <v>27</v>
      </c>
      <c r="I4703" s="24" t="s">
        <v>3599</v>
      </c>
      <c r="J4703" s="14" t="s">
        <v>43</v>
      </c>
      <c r="K4703" s="15" t="s">
        <v>30</v>
      </c>
      <c r="L4703" s="62"/>
      <c r="M4703" s="14"/>
      <c r="N4703" s="14" t="s">
        <v>62</v>
      </c>
      <c r="O4703" s="14"/>
      <c r="P4703" s="15" t="s">
        <v>2951</v>
      </c>
      <c r="Q4703" s="16">
        <v>3799</v>
      </c>
      <c r="R4703" s="17">
        <v>40</v>
      </c>
      <c r="S4703" s="18">
        <v>2621.31</v>
      </c>
      <c r="T4703" s="19" t="s">
        <v>36</v>
      </c>
      <c r="U4703" s="20" t="s">
        <v>39</v>
      </c>
      <c r="V4703" s="21" t="s">
        <v>40</v>
      </c>
      <c r="W4703" s="22">
        <v>28</v>
      </c>
      <c r="X4703" s="23"/>
    </row>
    <row r="4704" spans="1:24" s="1" customFormat="1" ht="14" customHeight="1" x14ac:dyDescent="0.3">
      <c r="A4704" s="24" t="s">
        <v>23</v>
      </c>
      <c r="B4704" s="24" t="s">
        <v>4221</v>
      </c>
      <c r="C4704" s="12" t="s">
        <v>4222</v>
      </c>
      <c r="D4704" s="60"/>
      <c r="E4704" s="41" t="str">
        <f t="shared" si="169"/>
        <v>Еще фото</v>
      </c>
      <c r="F4704" s="28" t="s">
        <v>138</v>
      </c>
      <c r="G4704" s="24" t="s">
        <v>3604</v>
      </c>
      <c r="H4704" s="24" t="s">
        <v>27</v>
      </c>
      <c r="I4704" s="24" t="s">
        <v>3599</v>
      </c>
      <c r="J4704" s="14" t="s">
        <v>43</v>
      </c>
      <c r="K4704" s="15" t="s">
        <v>30</v>
      </c>
      <c r="L4704" s="62"/>
      <c r="M4704" s="14"/>
      <c r="N4704" s="14" t="s">
        <v>62</v>
      </c>
      <c r="O4704" s="14"/>
      <c r="P4704" s="15" t="s">
        <v>2951</v>
      </c>
      <c r="Q4704" s="16">
        <v>3799</v>
      </c>
      <c r="R4704" s="17">
        <v>40</v>
      </c>
      <c r="S4704" s="18">
        <v>2621.31</v>
      </c>
      <c r="T4704" s="19" t="s">
        <v>36</v>
      </c>
      <c r="U4704" s="20" t="s">
        <v>86</v>
      </c>
      <c r="V4704" s="21" t="s">
        <v>87</v>
      </c>
      <c r="W4704" s="22">
        <v>25</v>
      </c>
      <c r="X4704" s="23"/>
    </row>
    <row r="4705" spans="1:24" s="1" customFormat="1" ht="14" customHeight="1" x14ac:dyDescent="0.3">
      <c r="A4705" s="24" t="s">
        <v>23</v>
      </c>
      <c r="B4705" s="24" t="s">
        <v>4221</v>
      </c>
      <c r="C4705" s="12" t="s">
        <v>4222</v>
      </c>
      <c r="D4705" s="60"/>
      <c r="E4705" s="41" t="str">
        <f t="shared" si="169"/>
        <v>Еще фото</v>
      </c>
      <c r="F4705" s="28" t="s">
        <v>138</v>
      </c>
      <c r="G4705" s="24" t="s">
        <v>3604</v>
      </c>
      <c r="H4705" s="24" t="s">
        <v>27</v>
      </c>
      <c r="I4705" s="24" t="s">
        <v>3599</v>
      </c>
      <c r="J4705" s="14" t="s">
        <v>43</v>
      </c>
      <c r="K4705" s="15" t="s">
        <v>30</v>
      </c>
      <c r="L4705" s="62"/>
      <c r="M4705" s="14"/>
      <c r="N4705" s="14" t="s">
        <v>62</v>
      </c>
      <c r="O4705" s="14"/>
      <c r="P4705" s="15" t="s">
        <v>2951</v>
      </c>
      <c r="Q4705" s="16">
        <v>3799</v>
      </c>
      <c r="R4705" s="17">
        <v>40</v>
      </c>
      <c r="S4705" s="18">
        <v>2621.31</v>
      </c>
      <c r="T4705" s="19" t="s">
        <v>36</v>
      </c>
      <c r="U4705" s="20" t="s">
        <v>88</v>
      </c>
      <c r="V4705" s="21" t="s">
        <v>89</v>
      </c>
      <c r="W4705" s="22">
        <v>21</v>
      </c>
      <c r="X4705" s="23"/>
    </row>
    <row r="4706" spans="1:24" s="1" customFormat="1" ht="14" customHeight="1" x14ac:dyDescent="0.3">
      <c r="A4706" s="24" t="s">
        <v>23</v>
      </c>
      <c r="B4706" s="24" t="s">
        <v>4221</v>
      </c>
      <c r="C4706" s="12" t="s">
        <v>4222</v>
      </c>
      <c r="D4706" s="60"/>
      <c r="E4706" s="41" t="str">
        <f t="shared" si="169"/>
        <v>Еще фото</v>
      </c>
      <c r="F4706" s="28" t="s">
        <v>138</v>
      </c>
      <c r="G4706" s="24" t="s">
        <v>3604</v>
      </c>
      <c r="H4706" s="24" t="s">
        <v>27</v>
      </c>
      <c r="I4706" s="24" t="s">
        <v>3599</v>
      </c>
      <c r="J4706" s="14" t="s">
        <v>43</v>
      </c>
      <c r="K4706" s="15" t="s">
        <v>30</v>
      </c>
      <c r="L4706" s="62"/>
      <c r="M4706" s="14"/>
      <c r="N4706" s="14" t="s">
        <v>62</v>
      </c>
      <c r="O4706" s="14"/>
      <c r="P4706" s="15" t="s">
        <v>2951</v>
      </c>
      <c r="Q4706" s="16">
        <v>3799</v>
      </c>
      <c r="R4706" s="17">
        <v>40</v>
      </c>
      <c r="S4706" s="18">
        <v>2621.31</v>
      </c>
      <c r="T4706" s="19" t="s">
        <v>36</v>
      </c>
      <c r="U4706" s="20" t="s">
        <v>90</v>
      </c>
      <c r="V4706" s="21" t="s">
        <v>91</v>
      </c>
      <c r="W4706" s="22">
        <v>11</v>
      </c>
      <c r="X4706" s="23"/>
    </row>
    <row r="4707" spans="1:24" s="1" customFormat="1" ht="17" customHeight="1" x14ac:dyDescent="0.3">
      <c r="A4707" s="24" t="s">
        <v>23</v>
      </c>
      <c r="B4707" s="24" t="s">
        <v>4221</v>
      </c>
      <c r="C4707" s="12" t="s">
        <v>4222</v>
      </c>
      <c r="D4707" s="61"/>
      <c r="E4707" s="41" t="str">
        <f t="shared" si="169"/>
        <v>Еще фото</v>
      </c>
      <c r="F4707" s="28" t="s">
        <v>138</v>
      </c>
      <c r="G4707" s="24" t="s">
        <v>3604</v>
      </c>
      <c r="H4707" s="24" t="s">
        <v>27</v>
      </c>
      <c r="I4707" s="24" t="s">
        <v>3599</v>
      </c>
      <c r="J4707" s="14" t="s">
        <v>43</v>
      </c>
      <c r="K4707" s="15" t="s">
        <v>30</v>
      </c>
      <c r="L4707" s="58"/>
      <c r="M4707" s="14"/>
      <c r="N4707" s="14" t="s">
        <v>62</v>
      </c>
      <c r="O4707" s="14"/>
      <c r="P4707" s="15" t="s">
        <v>2951</v>
      </c>
      <c r="Q4707" s="16">
        <v>3799</v>
      </c>
      <c r="R4707" s="17">
        <v>40</v>
      </c>
      <c r="S4707" s="18">
        <v>2621.31</v>
      </c>
      <c r="T4707" s="19" t="s">
        <v>36</v>
      </c>
      <c r="U4707" s="20" t="s">
        <v>408</v>
      </c>
      <c r="V4707" s="21" t="s">
        <v>409</v>
      </c>
      <c r="W4707" s="22">
        <v>3</v>
      </c>
      <c r="X4707" s="23"/>
    </row>
    <row r="4708" spans="1:24" s="1" customFormat="1" ht="17" customHeight="1" x14ac:dyDescent="0.3">
      <c r="A4708" s="11" t="s">
        <v>23</v>
      </c>
      <c r="B4708" s="11" t="s">
        <v>4221</v>
      </c>
      <c r="C4708" s="12" t="s">
        <v>4224</v>
      </c>
      <c r="D4708" s="59"/>
      <c r="E4708" s="41" t="str">
        <f t="shared" ref="E4708:E4713" si="170">HYPERLINK("https://www.google.ru/search?q=6009266-100&amp;newwindow=1&amp;tbm=isch","Еще фото")</f>
        <v>Еще фото</v>
      </c>
      <c r="F4708" s="28" t="s">
        <v>138</v>
      </c>
      <c r="G4708" s="11" t="s">
        <v>3604</v>
      </c>
      <c r="H4708" s="11" t="s">
        <v>27</v>
      </c>
      <c r="I4708" s="14" t="s">
        <v>3599</v>
      </c>
      <c r="J4708" s="14" t="s">
        <v>43</v>
      </c>
      <c r="K4708" s="15" t="s">
        <v>30</v>
      </c>
      <c r="L4708" s="57" t="s">
        <v>4223</v>
      </c>
      <c r="M4708" s="14"/>
      <c r="N4708" s="14" t="s">
        <v>84</v>
      </c>
      <c r="O4708" s="14"/>
      <c r="P4708" s="15" t="s">
        <v>2951</v>
      </c>
      <c r="Q4708" s="16">
        <v>3799</v>
      </c>
      <c r="R4708" s="17">
        <v>40</v>
      </c>
      <c r="S4708" s="18">
        <v>2621.31</v>
      </c>
      <c r="T4708" s="19" t="s">
        <v>36</v>
      </c>
      <c r="U4708" s="20" t="s">
        <v>63</v>
      </c>
      <c r="V4708" s="21" t="s">
        <v>85</v>
      </c>
      <c r="W4708" s="22">
        <v>4</v>
      </c>
      <c r="X4708" s="23"/>
    </row>
    <row r="4709" spans="1:24" s="1" customFormat="1" ht="17" customHeight="1" x14ac:dyDescent="0.3">
      <c r="A4709" s="24" t="s">
        <v>23</v>
      </c>
      <c r="B4709" s="24" t="s">
        <v>4221</v>
      </c>
      <c r="C4709" s="12" t="s">
        <v>4224</v>
      </c>
      <c r="D4709" s="60"/>
      <c r="E4709" s="41" t="str">
        <f t="shared" si="170"/>
        <v>Еще фото</v>
      </c>
      <c r="F4709" s="28" t="s">
        <v>138</v>
      </c>
      <c r="G4709" s="24" t="s">
        <v>3604</v>
      </c>
      <c r="H4709" s="24" t="s">
        <v>27</v>
      </c>
      <c r="I4709" s="24" t="s">
        <v>3599</v>
      </c>
      <c r="J4709" s="14" t="s">
        <v>43</v>
      </c>
      <c r="K4709" s="15" t="s">
        <v>30</v>
      </c>
      <c r="L4709" s="62"/>
      <c r="M4709" s="14"/>
      <c r="N4709" s="14" t="s">
        <v>84</v>
      </c>
      <c r="O4709" s="14"/>
      <c r="P4709" s="15" t="s">
        <v>2951</v>
      </c>
      <c r="Q4709" s="16">
        <v>3799</v>
      </c>
      <c r="R4709" s="17">
        <v>40</v>
      </c>
      <c r="S4709" s="18">
        <v>2621.31</v>
      </c>
      <c r="T4709" s="19" t="s">
        <v>36</v>
      </c>
      <c r="U4709" s="20" t="s">
        <v>37</v>
      </c>
      <c r="V4709" s="21" t="s">
        <v>38</v>
      </c>
      <c r="W4709" s="22">
        <v>11</v>
      </c>
      <c r="X4709" s="23"/>
    </row>
    <row r="4710" spans="1:24" s="1" customFormat="1" ht="17" customHeight="1" x14ac:dyDescent="0.3">
      <c r="A4710" s="24" t="s">
        <v>23</v>
      </c>
      <c r="B4710" s="24" t="s">
        <v>4221</v>
      </c>
      <c r="C4710" s="12" t="s">
        <v>4224</v>
      </c>
      <c r="D4710" s="60"/>
      <c r="E4710" s="41" t="str">
        <f t="shared" si="170"/>
        <v>Еще фото</v>
      </c>
      <c r="F4710" s="28" t="s">
        <v>138</v>
      </c>
      <c r="G4710" s="24" t="s">
        <v>3604</v>
      </c>
      <c r="H4710" s="24" t="s">
        <v>27</v>
      </c>
      <c r="I4710" s="24" t="s">
        <v>3599</v>
      </c>
      <c r="J4710" s="14" t="s">
        <v>43</v>
      </c>
      <c r="K4710" s="15" t="s">
        <v>30</v>
      </c>
      <c r="L4710" s="62"/>
      <c r="M4710" s="14"/>
      <c r="N4710" s="14" t="s">
        <v>84</v>
      </c>
      <c r="O4710" s="14"/>
      <c r="P4710" s="15" t="s">
        <v>2951</v>
      </c>
      <c r="Q4710" s="16">
        <v>3799</v>
      </c>
      <c r="R4710" s="17">
        <v>40</v>
      </c>
      <c r="S4710" s="18">
        <v>2621.31</v>
      </c>
      <c r="T4710" s="19" t="s">
        <v>36</v>
      </c>
      <c r="U4710" s="20" t="s">
        <v>39</v>
      </c>
      <c r="V4710" s="21" t="s">
        <v>40</v>
      </c>
      <c r="W4710" s="22">
        <v>17</v>
      </c>
      <c r="X4710" s="23"/>
    </row>
    <row r="4711" spans="1:24" s="1" customFormat="1" ht="17" customHeight="1" x14ac:dyDescent="0.3">
      <c r="A4711" s="24" t="s">
        <v>23</v>
      </c>
      <c r="B4711" s="24" t="s">
        <v>4221</v>
      </c>
      <c r="C4711" s="12" t="s">
        <v>4224</v>
      </c>
      <c r="D4711" s="60"/>
      <c r="E4711" s="41" t="str">
        <f t="shared" si="170"/>
        <v>Еще фото</v>
      </c>
      <c r="F4711" s="28" t="s">
        <v>138</v>
      </c>
      <c r="G4711" s="24" t="s">
        <v>3604</v>
      </c>
      <c r="H4711" s="24" t="s">
        <v>27</v>
      </c>
      <c r="I4711" s="24" t="s">
        <v>3599</v>
      </c>
      <c r="J4711" s="14" t="s">
        <v>43</v>
      </c>
      <c r="K4711" s="15" t="s">
        <v>30</v>
      </c>
      <c r="L4711" s="62"/>
      <c r="M4711" s="14"/>
      <c r="N4711" s="14" t="s">
        <v>84</v>
      </c>
      <c r="O4711" s="14"/>
      <c r="P4711" s="15" t="s">
        <v>2951</v>
      </c>
      <c r="Q4711" s="16">
        <v>3799</v>
      </c>
      <c r="R4711" s="17">
        <v>40</v>
      </c>
      <c r="S4711" s="18">
        <v>2621.31</v>
      </c>
      <c r="T4711" s="19" t="s">
        <v>36</v>
      </c>
      <c r="U4711" s="20" t="s">
        <v>86</v>
      </c>
      <c r="V4711" s="21" t="s">
        <v>87</v>
      </c>
      <c r="W4711" s="22">
        <v>18</v>
      </c>
      <c r="X4711" s="23"/>
    </row>
    <row r="4712" spans="1:24" s="1" customFormat="1" ht="17" customHeight="1" x14ac:dyDescent="0.3">
      <c r="A4712" s="24" t="s">
        <v>23</v>
      </c>
      <c r="B4712" s="24" t="s">
        <v>4221</v>
      </c>
      <c r="C4712" s="12" t="s">
        <v>4224</v>
      </c>
      <c r="D4712" s="60"/>
      <c r="E4712" s="41" t="str">
        <f t="shared" si="170"/>
        <v>Еще фото</v>
      </c>
      <c r="F4712" s="28" t="s">
        <v>138</v>
      </c>
      <c r="G4712" s="24" t="s">
        <v>3604</v>
      </c>
      <c r="H4712" s="24" t="s">
        <v>27</v>
      </c>
      <c r="I4712" s="24" t="s">
        <v>3599</v>
      </c>
      <c r="J4712" s="14" t="s">
        <v>43</v>
      </c>
      <c r="K4712" s="15" t="s">
        <v>30</v>
      </c>
      <c r="L4712" s="62"/>
      <c r="M4712" s="14"/>
      <c r="N4712" s="14" t="s">
        <v>84</v>
      </c>
      <c r="O4712" s="14"/>
      <c r="P4712" s="15" t="s">
        <v>2951</v>
      </c>
      <c r="Q4712" s="16">
        <v>3799</v>
      </c>
      <c r="R4712" s="17">
        <v>40</v>
      </c>
      <c r="S4712" s="18">
        <v>2621.31</v>
      </c>
      <c r="T4712" s="19" t="s">
        <v>36</v>
      </c>
      <c r="U4712" s="20" t="s">
        <v>88</v>
      </c>
      <c r="V4712" s="21" t="s">
        <v>89</v>
      </c>
      <c r="W4712" s="22">
        <v>15</v>
      </c>
      <c r="X4712" s="23"/>
    </row>
    <row r="4713" spans="1:24" s="1" customFormat="1" ht="22.05" customHeight="1" x14ac:dyDescent="0.3">
      <c r="A4713" s="24" t="s">
        <v>23</v>
      </c>
      <c r="B4713" s="24" t="s">
        <v>4221</v>
      </c>
      <c r="C4713" s="12" t="s">
        <v>4224</v>
      </c>
      <c r="D4713" s="61"/>
      <c r="E4713" s="41" t="str">
        <f t="shared" si="170"/>
        <v>Еще фото</v>
      </c>
      <c r="F4713" s="28" t="s">
        <v>138</v>
      </c>
      <c r="G4713" s="24" t="s">
        <v>3604</v>
      </c>
      <c r="H4713" s="24" t="s">
        <v>27</v>
      </c>
      <c r="I4713" s="24" t="s">
        <v>3599</v>
      </c>
      <c r="J4713" s="14" t="s">
        <v>43</v>
      </c>
      <c r="K4713" s="15" t="s">
        <v>30</v>
      </c>
      <c r="L4713" s="58"/>
      <c r="M4713" s="14"/>
      <c r="N4713" s="14" t="s">
        <v>84</v>
      </c>
      <c r="O4713" s="14"/>
      <c r="P4713" s="15" t="s">
        <v>2951</v>
      </c>
      <c r="Q4713" s="16">
        <v>3799</v>
      </c>
      <c r="R4713" s="17">
        <v>40</v>
      </c>
      <c r="S4713" s="18">
        <v>2621.31</v>
      </c>
      <c r="T4713" s="19" t="s">
        <v>36</v>
      </c>
      <c r="U4713" s="20" t="s">
        <v>90</v>
      </c>
      <c r="V4713" s="21" t="s">
        <v>91</v>
      </c>
      <c r="W4713" s="22">
        <v>9</v>
      </c>
      <c r="X4713" s="23"/>
    </row>
    <row r="4714" spans="1:24" s="1" customFormat="1" ht="17" customHeight="1" x14ac:dyDescent="0.3">
      <c r="A4714" s="11" t="s">
        <v>23</v>
      </c>
      <c r="B4714" s="11" t="s">
        <v>4225</v>
      </c>
      <c r="C4714" s="12" t="s">
        <v>4226</v>
      </c>
      <c r="D4714" s="59"/>
      <c r="E4714" s="41" t="str">
        <f t="shared" ref="E4714:E4719" si="171">HYPERLINK("https://www.google.ru/search?q=6009268-008&amp;newwindow=1&amp;tbm=isch","Еще фото")</f>
        <v>Еще фото</v>
      </c>
      <c r="F4714" s="13"/>
      <c r="G4714" s="11" t="s">
        <v>3604</v>
      </c>
      <c r="H4714" s="11" t="s">
        <v>27</v>
      </c>
      <c r="I4714" s="14" t="s">
        <v>3599</v>
      </c>
      <c r="J4714" s="14" t="s">
        <v>43</v>
      </c>
      <c r="K4714" s="15" t="s">
        <v>30</v>
      </c>
      <c r="L4714" s="57" t="s">
        <v>4227</v>
      </c>
      <c r="M4714" s="14"/>
      <c r="N4714" s="14" t="s">
        <v>33</v>
      </c>
      <c r="O4714" s="14"/>
      <c r="P4714" s="15" t="s">
        <v>2951</v>
      </c>
      <c r="Q4714" s="16">
        <v>4299</v>
      </c>
      <c r="R4714" s="17">
        <v>40</v>
      </c>
      <c r="S4714" s="18">
        <v>2966.31</v>
      </c>
      <c r="T4714" s="19" t="s">
        <v>36</v>
      </c>
      <c r="U4714" s="20" t="s">
        <v>63</v>
      </c>
      <c r="V4714" s="21" t="s">
        <v>85</v>
      </c>
      <c r="W4714" s="22">
        <v>5</v>
      </c>
      <c r="X4714" s="23"/>
    </row>
    <row r="4715" spans="1:24" s="1" customFormat="1" ht="17" customHeight="1" x14ac:dyDescent="0.3">
      <c r="A4715" s="24" t="s">
        <v>23</v>
      </c>
      <c r="B4715" s="24" t="s">
        <v>4225</v>
      </c>
      <c r="C4715" s="12" t="s">
        <v>4226</v>
      </c>
      <c r="D4715" s="60"/>
      <c r="E4715" s="41" t="str">
        <f t="shared" si="171"/>
        <v>Еще фото</v>
      </c>
      <c r="F4715" s="13"/>
      <c r="G4715" s="24" t="s">
        <v>3604</v>
      </c>
      <c r="H4715" s="24" t="s">
        <v>27</v>
      </c>
      <c r="I4715" s="24" t="s">
        <v>3599</v>
      </c>
      <c r="J4715" s="14" t="s">
        <v>43</v>
      </c>
      <c r="K4715" s="15" t="s">
        <v>30</v>
      </c>
      <c r="L4715" s="62"/>
      <c r="M4715" s="14"/>
      <c r="N4715" s="14" t="s">
        <v>33</v>
      </c>
      <c r="O4715" s="14"/>
      <c r="P4715" s="15" t="s">
        <v>2951</v>
      </c>
      <c r="Q4715" s="16">
        <v>4299</v>
      </c>
      <c r="R4715" s="17">
        <v>40</v>
      </c>
      <c r="S4715" s="18">
        <v>2966.31</v>
      </c>
      <c r="T4715" s="19" t="s">
        <v>36</v>
      </c>
      <c r="U4715" s="20" t="s">
        <v>37</v>
      </c>
      <c r="V4715" s="21" t="s">
        <v>38</v>
      </c>
      <c r="W4715" s="22">
        <v>5</v>
      </c>
      <c r="X4715" s="23"/>
    </row>
    <row r="4716" spans="1:24" s="1" customFormat="1" ht="17" customHeight="1" x14ac:dyDescent="0.3">
      <c r="A4716" s="24" t="s">
        <v>23</v>
      </c>
      <c r="B4716" s="24" t="s">
        <v>4225</v>
      </c>
      <c r="C4716" s="12" t="s">
        <v>4226</v>
      </c>
      <c r="D4716" s="60"/>
      <c r="E4716" s="41" t="str">
        <f t="shared" si="171"/>
        <v>Еще фото</v>
      </c>
      <c r="F4716" s="13"/>
      <c r="G4716" s="24" t="s">
        <v>3604</v>
      </c>
      <c r="H4716" s="24" t="s">
        <v>27</v>
      </c>
      <c r="I4716" s="24" t="s">
        <v>3599</v>
      </c>
      <c r="J4716" s="14" t="s">
        <v>43</v>
      </c>
      <c r="K4716" s="15" t="s">
        <v>30</v>
      </c>
      <c r="L4716" s="62"/>
      <c r="M4716" s="14"/>
      <c r="N4716" s="14" t="s">
        <v>33</v>
      </c>
      <c r="O4716" s="14"/>
      <c r="P4716" s="15" t="s">
        <v>2951</v>
      </c>
      <c r="Q4716" s="16">
        <v>4299</v>
      </c>
      <c r="R4716" s="17">
        <v>40</v>
      </c>
      <c r="S4716" s="18">
        <v>2966.31</v>
      </c>
      <c r="T4716" s="19" t="s">
        <v>36</v>
      </c>
      <c r="U4716" s="20" t="s">
        <v>39</v>
      </c>
      <c r="V4716" s="21" t="s">
        <v>40</v>
      </c>
      <c r="W4716" s="22">
        <v>19</v>
      </c>
      <c r="X4716" s="23"/>
    </row>
    <row r="4717" spans="1:24" s="1" customFormat="1" ht="17" customHeight="1" x14ac:dyDescent="0.3">
      <c r="A4717" s="24" t="s">
        <v>23</v>
      </c>
      <c r="B4717" s="24" t="s">
        <v>4225</v>
      </c>
      <c r="C4717" s="12" t="s">
        <v>4226</v>
      </c>
      <c r="D4717" s="60"/>
      <c r="E4717" s="41" t="str">
        <f t="shared" si="171"/>
        <v>Еще фото</v>
      </c>
      <c r="F4717" s="13"/>
      <c r="G4717" s="24" t="s">
        <v>3604</v>
      </c>
      <c r="H4717" s="24" t="s">
        <v>27</v>
      </c>
      <c r="I4717" s="24" t="s">
        <v>3599</v>
      </c>
      <c r="J4717" s="14" t="s">
        <v>43</v>
      </c>
      <c r="K4717" s="15" t="s">
        <v>30</v>
      </c>
      <c r="L4717" s="62"/>
      <c r="M4717" s="14"/>
      <c r="N4717" s="14" t="s">
        <v>33</v>
      </c>
      <c r="O4717" s="14"/>
      <c r="P4717" s="15" t="s">
        <v>2951</v>
      </c>
      <c r="Q4717" s="16">
        <v>4299</v>
      </c>
      <c r="R4717" s="17">
        <v>40</v>
      </c>
      <c r="S4717" s="18">
        <v>2966.31</v>
      </c>
      <c r="T4717" s="19" t="s">
        <v>36</v>
      </c>
      <c r="U4717" s="20" t="s">
        <v>86</v>
      </c>
      <c r="V4717" s="21" t="s">
        <v>87</v>
      </c>
      <c r="W4717" s="22">
        <v>18</v>
      </c>
      <c r="X4717" s="23"/>
    </row>
    <row r="4718" spans="1:24" s="1" customFormat="1" ht="17" customHeight="1" x14ac:dyDescent="0.3">
      <c r="A4718" s="24" t="s">
        <v>23</v>
      </c>
      <c r="B4718" s="24" t="s">
        <v>4225</v>
      </c>
      <c r="C4718" s="12" t="s">
        <v>4226</v>
      </c>
      <c r="D4718" s="60"/>
      <c r="E4718" s="41" t="str">
        <f t="shared" si="171"/>
        <v>Еще фото</v>
      </c>
      <c r="F4718" s="13"/>
      <c r="G4718" s="24" t="s">
        <v>3604</v>
      </c>
      <c r="H4718" s="24" t="s">
        <v>27</v>
      </c>
      <c r="I4718" s="24" t="s">
        <v>3599</v>
      </c>
      <c r="J4718" s="14" t="s">
        <v>43</v>
      </c>
      <c r="K4718" s="15" t="s">
        <v>30</v>
      </c>
      <c r="L4718" s="62"/>
      <c r="M4718" s="14"/>
      <c r="N4718" s="14" t="s">
        <v>33</v>
      </c>
      <c r="O4718" s="14"/>
      <c r="P4718" s="15" t="s">
        <v>2951</v>
      </c>
      <c r="Q4718" s="16">
        <v>4299</v>
      </c>
      <c r="R4718" s="17">
        <v>40</v>
      </c>
      <c r="S4718" s="18">
        <v>2966.31</v>
      </c>
      <c r="T4718" s="19" t="s">
        <v>36</v>
      </c>
      <c r="U4718" s="20" t="s">
        <v>88</v>
      </c>
      <c r="V4718" s="21" t="s">
        <v>89</v>
      </c>
      <c r="W4718" s="22">
        <v>11</v>
      </c>
      <c r="X4718" s="23"/>
    </row>
    <row r="4719" spans="1:24" s="1" customFormat="1" ht="22.05" customHeight="1" x14ac:dyDescent="0.3">
      <c r="A4719" s="24" t="s">
        <v>23</v>
      </c>
      <c r="B4719" s="24" t="s">
        <v>4225</v>
      </c>
      <c r="C4719" s="12" t="s">
        <v>4226</v>
      </c>
      <c r="D4719" s="61"/>
      <c r="E4719" s="41" t="str">
        <f t="shared" si="171"/>
        <v>Еще фото</v>
      </c>
      <c r="F4719" s="13"/>
      <c r="G4719" s="24" t="s">
        <v>3604</v>
      </c>
      <c r="H4719" s="24" t="s">
        <v>27</v>
      </c>
      <c r="I4719" s="24" t="s">
        <v>3599</v>
      </c>
      <c r="J4719" s="14" t="s">
        <v>43</v>
      </c>
      <c r="K4719" s="15" t="s">
        <v>30</v>
      </c>
      <c r="L4719" s="58"/>
      <c r="M4719" s="14"/>
      <c r="N4719" s="14" t="s">
        <v>33</v>
      </c>
      <c r="O4719" s="14"/>
      <c r="P4719" s="15" t="s">
        <v>2951</v>
      </c>
      <c r="Q4719" s="16">
        <v>4299</v>
      </c>
      <c r="R4719" s="17">
        <v>40</v>
      </c>
      <c r="S4719" s="18">
        <v>2966.31</v>
      </c>
      <c r="T4719" s="19" t="s">
        <v>36</v>
      </c>
      <c r="U4719" s="20" t="s">
        <v>90</v>
      </c>
      <c r="V4719" s="21" t="s">
        <v>91</v>
      </c>
      <c r="W4719" s="22">
        <v>8</v>
      </c>
      <c r="X4719" s="23"/>
    </row>
    <row r="4720" spans="1:24" s="1" customFormat="1" ht="17" customHeight="1" x14ac:dyDescent="0.3">
      <c r="A4720" s="11" t="s">
        <v>23</v>
      </c>
      <c r="B4720" s="11" t="s">
        <v>4225</v>
      </c>
      <c r="C4720" s="12" t="s">
        <v>4228</v>
      </c>
      <c r="D4720" s="59"/>
      <c r="E4720" s="41" t="str">
        <f t="shared" ref="E4720:E4725" si="172">HYPERLINK("https://www.google.ru/search?q=6009268-100&amp;newwindow=1&amp;tbm=isch","Еще фото")</f>
        <v>Еще фото</v>
      </c>
      <c r="F4720" s="13"/>
      <c r="G4720" s="11" t="s">
        <v>3604</v>
      </c>
      <c r="H4720" s="11" t="s">
        <v>27</v>
      </c>
      <c r="I4720" s="14" t="s">
        <v>3599</v>
      </c>
      <c r="J4720" s="14" t="s">
        <v>43</v>
      </c>
      <c r="K4720" s="15" t="s">
        <v>30</v>
      </c>
      <c r="L4720" s="57" t="s">
        <v>4227</v>
      </c>
      <c r="M4720" s="14"/>
      <c r="N4720" s="14" t="s">
        <v>84</v>
      </c>
      <c r="O4720" s="14"/>
      <c r="P4720" s="15" t="s">
        <v>2951</v>
      </c>
      <c r="Q4720" s="16">
        <v>4299</v>
      </c>
      <c r="R4720" s="17">
        <v>40</v>
      </c>
      <c r="S4720" s="18">
        <v>2966.31</v>
      </c>
      <c r="T4720" s="19" t="s">
        <v>36</v>
      </c>
      <c r="U4720" s="20" t="s">
        <v>63</v>
      </c>
      <c r="V4720" s="21" t="s">
        <v>85</v>
      </c>
      <c r="W4720" s="22">
        <v>4</v>
      </c>
      <c r="X4720" s="23"/>
    </row>
    <row r="4721" spans="1:24" s="1" customFormat="1" ht="17" customHeight="1" x14ac:dyDescent="0.3">
      <c r="A4721" s="24" t="s">
        <v>23</v>
      </c>
      <c r="B4721" s="24" t="s">
        <v>4225</v>
      </c>
      <c r="C4721" s="12" t="s">
        <v>4228</v>
      </c>
      <c r="D4721" s="60"/>
      <c r="E4721" s="41" t="str">
        <f t="shared" si="172"/>
        <v>Еще фото</v>
      </c>
      <c r="F4721" s="13"/>
      <c r="G4721" s="24" t="s">
        <v>3604</v>
      </c>
      <c r="H4721" s="24" t="s">
        <v>27</v>
      </c>
      <c r="I4721" s="24" t="s">
        <v>3599</v>
      </c>
      <c r="J4721" s="14" t="s">
        <v>43</v>
      </c>
      <c r="K4721" s="15" t="s">
        <v>30</v>
      </c>
      <c r="L4721" s="62"/>
      <c r="M4721" s="14"/>
      <c r="N4721" s="14" t="s">
        <v>84</v>
      </c>
      <c r="O4721" s="14"/>
      <c r="P4721" s="15" t="s">
        <v>2951</v>
      </c>
      <c r="Q4721" s="16">
        <v>4299</v>
      </c>
      <c r="R4721" s="17">
        <v>40</v>
      </c>
      <c r="S4721" s="18">
        <v>2966.31</v>
      </c>
      <c r="T4721" s="19" t="s">
        <v>36</v>
      </c>
      <c r="U4721" s="20" t="s">
        <v>37</v>
      </c>
      <c r="V4721" s="21" t="s">
        <v>38</v>
      </c>
      <c r="W4721" s="22">
        <v>8</v>
      </c>
      <c r="X4721" s="23"/>
    </row>
    <row r="4722" spans="1:24" s="1" customFormat="1" ht="17" customHeight="1" x14ac:dyDescent="0.3">
      <c r="A4722" s="24" t="s">
        <v>23</v>
      </c>
      <c r="B4722" s="24" t="s">
        <v>4225</v>
      </c>
      <c r="C4722" s="12" t="s">
        <v>4228</v>
      </c>
      <c r="D4722" s="60"/>
      <c r="E4722" s="41" t="str">
        <f t="shared" si="172"/>
        <v>Еще фото</v>
      </c>
      <c r="F4722" s="13"/>
      <c r="G4722" s="24" t="s">
        <v>3604</v>
      </c>
      <c r="H4722" s="24" t="s">
        <v>27</v>
      </c>
      <c r="I4722" s="24" t="s">
        <v>3599</v>
      </c>
      <c r="J4722" s="14" t="s">
        <v>43</v>
      </c>
      <c r="K4722" s="15" t="s">
        <v>30</v>
      </c>
      <c r="L4722" s="62"/>
      <c r="M4722" s="14"/>
      <c r="N4722" s="14" t="s">
        <v>84</v>
      </c>
      <c r="O4722" s="14"/>
      <c r="P4722" s="15" t="s">
        <v>2951</v>
      </c>
      <c r="Q4722" s="16">
        <v>4299</v>
      </c>
      <c r="R4722" s="17">
        <v>40</v>
      </c>
      <c r="S4722" s="18">
        <v>2966.31</v>
      </c>
      <c r="T4722" s="19" t="s">
        <v>36</v>
      </c>
      <c r="U4722" s="20" t="s">
        <v>39</v>
      </c>
      <c r="V4722" s="21" t="s">
        <v>40</v>
      </c>
      <c r="W4722" s="22">
        <v>16</v>
      </c>
      <c r="X4722" s="23"/>
    </row>
    <row r="4723" spans="1:24" s="1" customFormat="1" ht="17" customHeight="1" x14ac:dyDescent="0.3">
      <c r="A4723" s="24" t="s">
        <v>23</v>
      </c>
      <c r="B4723" s="24" t="s">
        <v>4225</v>
      </c>
      <c r="C4723" s="12" t="s">
        <v>4228</v>
      </c>
      <c r="D4723" s="60"/>
      <c r="E4723" s="41" t="str">
        <f t="shared" si="172"/>
        <v>Еще фото</v>
      </c>
      <c r="F4723" s="13"/>
      <c r="G4723" s="24" t="s">
        <v>3604</v>
      </c>
      <c r="H4723" s="24" t="s">
        <v>27</v>
      </c>
      <c r="I4723" s="24" t="s">
        <v>3599</v>
      </c>
      <c r="J4723" s="14" t="s">
        <v>43</v>
      </c>
      <c r="K4723" s="15" t="s">
        <v>30</v>
      </c>
      <c r="L4723" s="62"/>
      <c r="M4723" s="14"/>
      <c r="N4723" s="14" t="s">
        <v>84</v>
      </c>
      <c r="O4723" s="14"/>
      <c r="P4723" s="15" t="s">
        <v>2951</v>
      </c>
      <c r="Q4723" s="16">
        <v>4299</v>
      </c>
      <c r="R4723" s="17">
        <v>40</v>
      </c>
      <c r="S4723" s="18">
        <v>2966.31</v>
      </c>
      <c r="T4723" s="19" t="s">
        <v>36</v>
      </c>
      <c r="U4723" s="20" t="s">
        <v>86</v>
      </c>
      <c r="V4723" s="21" t="s">
        <v>87</v>
      </c>
      <c r="W4723" s="22">
        <v>14</v>
      </c>
      <c r="X4723" s="23"/>
    </row>
    <row r="4724" spans="1:24" s="1" customFormat="1" ht="17" customHeight="1" x14ac:dyDescent="0.3">
      <c r="A4724" s="24" t="s">
        <v>23</v>
      </c>
      <c r="B4724" s="24" t="s">
        <v>4225</v>
      </c>
      <c r="C4724" s="12" t="s">
        <v>4228</v>
      </c>
      <c r="D4724" s="60"/>
      <c r="E4724" s="41" t="str">
        <f t="shared" si="172"/>
        <v>Еще фото</v>
      </c>
      <c r="F4724" s="13"/>
      <c r="G4724" s="24" t="s">
        <v>3604</v>
      </c>
      <c r="H4724" s="24" t="s">
        <v>27</v>
      </c>
      <c r="I4724" s="24" t="s">
        <v>3599</v>
      </c>
      <c r="J4724" s="14" t="s">
        <v>43</v>
      </c>
      <c r="K4724" s="15" t="s">
        <v>30</v>
      </c>
      <c r="L4724" s="62"/>
      <c r="M4724" s="14"/>
      <c r="N4724" s="14" t="s">
        <v>84</v>
      </c>
      <c r="O4724" s="14"/>
      <c r="P4724" s="15" t="s">
        <v>2951</v>
      </c>
      <c r="Q4724" s="16">
        <v>4299</v>
      </c>
      <c r="R4724" s="17">
        <v>40</v>
      </c>
      <c r="S4724" s="18">
        <v>2966.31</v>
      </c>
      <c r="T4724" s="19" t="s">
        <v>36</v>
      </c>
      <c r="U4724" s="20" t="s">
        <v>88</v>
      </c>
      <c r="V4724" s="21" t="s">
        <v>89</v>
      </c>
      <c r="W4724" s="22">
        <v>11</v>
      </c>
      <c r="X4724" s="23"/>
    </row>
    <row r="4725" spans="1:24" s="1" customFormat="1" ht="22.05" customHeight="1" x14ac:dyDescent="0.3">
      <c r="A4725" s="24" t="s">
        <v>23</v>
      </c>
      <c r="B4725" s="24" t="s">
        <v>4225</v>
      </c>
      <c r="C4725" s="12" t="s">
        <v>4228</v>
      </c>
      <c r="D4725" s="61"/>
      <c r="E4725" s="41" t="str">
        <f t="shared" si="172"/>
        <v>Еще фото</v>
      </c>
      <c r="F4725" s="13"/>
      <c r="G4725" s="24" t="s">
        <v>3604</v>
      </c>
      <c r="H4725" s="24" t="s">
        <v>27</v>
      </c>
      <c r="I4725" s="24" t="s">
        <v>3599</v>
      </c>
      <c r="J4725" s="14" t="s">
        <v>43</v>
      </c>
      <c r="K4725" s="15" t="s">
        <v>30</v>
      </c>
      <c r="L4725" s="58"/>
      <c r="M4725" s="14"/>
      <c r="N4725" s="14" t="s">
        <v>84</v>
      </c>
      <c r="O4725" s="14"/>
      <c r="P4725" s="15" t="s">
        <v>2951</v>
      </c>
      <c r="Q4725" s="16">
        <v>4299</v>
      </c>
      <c r="R4725" s="17">
        <v>40</v>
      </c>
      <c r="S4725" s="18">
        <v>2966.31</v>
      </c>
      <c r="T4725" s="19" t="s">
        <v>36</v>
      </c>
      <c r="U4725" s="20" t="s">
        <v>90</v>
      </c>
      <c r="V4725" s="21" t="s">
        <v>91</v>
      </c>
      <c r="W4725" s="22">
        <v>8</v>
      </c>
      <c r="X4725" s="23"/>
    </row>
    <row r="4726" spans="1:24" s="1" customFormat="1" ht="35" customHeight="1" x14ac:dyDescent="0.3">
      <c r="A4726" s="11" t="s">
        <v>23</v>
      </c>
      <c r="B4726" s="11" t="s">
        <v>4229</v>
      </c>
      <c r="C4726" s="12" t="s">
        <v>4230</v>
      </c>
      <c r="D4726" s="59"/>
      <c r="E4726" s="41" t="str">
        <f>HYPERLINK("https://www.google.ru/search?q=6009326-008&amp;newwindow=1&amp;tbm=isch","Еще фото")</f>
        <v>Еще фото</v>
      </c>
      <c r="F4726" s="13" t="s">
        <v>103</v>
      </c>
      <c r="G4726" s="11" t="s">
        <v>3604</v>
      </c>
      <c r="H4726" s="11" t="s">
        <v>27</v>
      </c>
      <c r="I4726" s="14" t="s">
        <v>3599</v>
      </c>
      <c r="J4726" s="14" t="s">
        <v>260</v>
      </c>
      <c r="K4726" s="15" t="s">
        <v>30</v>
      </c>
      <c r="L4726" s="57" t="s">
        <v>4231</v>
      </c>
      <c r="M4726" s="14"/>
      <c r="N4726" s="14" t="s">
        <v>33</v>
      </c>
      <c r="O4726" s="14"/>
      <c r="P4726" s="15" t="s">
        <v>1063</v>
      </c>
      <c r="Q4726" s="16">
        <v>4199</v>
      </c>
      <c r="R4726" s="17">
        <v>40</v>
      </c>
      <c r="S4726" s="18">
        <v>2897.31</v>
      </c>
      <c r="T4726" s="19" t="s">
        <v>36</v>
      </c>
      <c r="U4726" s="20" t="s">
        <v>37</v>
      </c>
      <c r="V4726" s="21" t="s">
        <v>38</v>
      </c>
      <c r="W4726" s="22">
        <v>2</v>
      </c>
      <c r="X4726" s="23"/>
    </row>
    <row r="4727" spans="1:24" s="1" customFormat="1" ht="35" customHeight="1" x14ac:dyDescent="0.3">
      <c r="A4727" s="24" t="s">
        <v>23</v>
      </c>
      <c r="B4727" s="24" t="s">
        <v>4229</v>
      </c>
      <c r="C4727" s="12" t="s">
        <v>4230</v>
      </c>
      <c r="D4727" s="60"/>
      <c r="E4727" s="41" t="str">
        <f>HYPERLINK("https://www.google.ru/search?q=6009326-008&amp;newwindow=1&amp;tbm=isch","Еще фото")</f>
        <v>Еще фото</v>
      </c>
      <c r="F4727" s="13" t="s">
        <v>103</v>
      </c>
      <c r="G4727" s="24" t="s">
        <v>3604</v>
      </c>
      <c r="H4727" s="24" t="s">
        <v>27</v>
      </c>
      <c r="I4727" s="24" t="s">
        <v>3599</v>
      </c>
      <c r="J4727" s="14" t="s">
        <v>260</v>
      </c>
      <c r="K4727" s="15" t="s">
        <v>30</v>
      </c>
      <c r="L4727" s="62"/>
      <c r="M4727" s="14"/>
      <c r="N4727" s="14" t="s">
        <v>33</v>
      </c>
      <c r="O4727" s="14"/>
      <c r="P4727" s="15" t="s">
        <v>1063</v>
      </c>
      <c r="Q4727" s="16">
        <v>4199</v>
      </c>
      <c r="R4727" s="17">
        <v>40</v>
      </c>
      <c r="S4727" s="18">
        <v>2897.31</v>
      </c>
      <c r="T4727" s="19" t="s">
        <v>36</v>
      </c>
      <c r="U4727" s="20" t="s">
        <v>39</v>
      </c>
      <c r="V4727" s="21" t="s">
        <v>40</v>
      </c>
      <c r="W4727" s="22">
        <v>11</v>
      </c>
      <c r="X4727" s="23"/>
    </row>
    <row r="4728" spans="1:24" s="1" customFormat="1" ht="37.049999999999997" customHeight="1" x14ac:dyDescent="0.3">
      <c r="A4728" s="24" t="s">
        <v>23</v>
      </c>
      <c r="B4728" s="24" t="s">
        <v>4229</v>
      </c>
      <c r="C4728" s="12" t="s">
        <v>4230</v>
      </c>
      <c r="D4728" s="61"/>
      <c r="E4728" s="41" t="str">
        <f>HYPERLINK("https://www.google.ru/search?q=6009326-008&amp;newwindow=1&amp;tbm=isch","Еще фото")</f>
        <v>Еще фото</v>
      </c>
      <c r="F4728" s="13" t="s">
        <v>103</v>
      </c>
      <c r="G4728" s="24" t="s">
        <v>3604</v>
      </c>
      <c r="H4728" s="24" t="s">
        <v>27</v>
      </c>
      <c r="I4728" s="24" t="s">
        <v>3599</v>
      </c>
      <c r="J4728" s="14" t="s">
        <v>260</v>
      </c>
      <c r="K4728" s="15" t="s">
        <v>30</v>
      </c>
      <c r="L4728" s="58"/>
      <c r="M4728" s="14"/>
      <c r="N4728" s="14" t="s">
        <v>33</v>
      </c>
      <c r="O4728" s="14"/>
      <c r="P4728" s="15" t="s">
        <v>1063</v>
      </c>
      <c r="Q4728" s="16">
        <v>4199</v>
      </c>
      <c r="R4728" s="17">
        <v>40</v>
      </c>
      <c r="S4728" s="18">
        <v>2897.31</v>
      </c>
      <c r="T4728" s="19" t="s">
        <v>36</v>
      </c>
      <c r="U4728" s="20" t="s">
        <v>86</v>
      </c>
      <c r="V4728" s="21" t="s">
        <v>87</v>
      </c>
      <c r="W4728" s="22">
        <v>11</v>
      </c>
      <c r="X4728" s="23"/>
    </row>
    <row r="4729" spans="1:24" s="1" customFormat="1" ht="21" customHeight="1" x14ac:dyDescent="0.3">
      <c r="A4729" s="11" t="s">
        <v>23</v>
      </c>
      <c r="B4729" s="11" t="s">
        <v>4232</v>
      </c>
      <c r="C4729" s="26" t="s">
        <v>4233</v>
      </c>
      <c r="D4729" s="59"/>
      <c r="E4729" s="41" t="str">
        <f>HYPERLINK("https://www.google.ru/search?q=6009506-001&amp;newwindow=1&amp;tbm=isch","Еще фото")</f>
        <v>Еще фото</v>
      </c>
      <c r="F4729" s="28" t="s">
        <v>138</v>
      </c>
      <c r="G4729" s="11" t="s">
        <v>3604</v>
      </c>
      <c r="H4729" s="11" t="s">
        <v>27</v>
      </c>
      <c r="I4729" s="14" t="s">
        <v>3599</v>
      </c>
      <c r="J4729" s="14" t="s">
        <v>29</v>
      </c>
      <c r="K4729" s="15" t="s">
        <v>30</v>
      </c>
      <c r="L4729" s="57"/>
      <c r="M4729" s="14"/>
      <c r="N4729" s="14" t="s">
        <v>33</v>
      </c>
      <c r="O4729" s="14"/>
      <c r="P4729" s="15" t="s">
        <v>3606</v>
      </c>
      <c r="Q4729" s="16">
        <v>6499</v>
      </c>
      <c r="R4729" s="17">
        <v>40</v>
      </c>
      <c r="S4729" s="18">
        <v>4484.3099999999995</v>
      </c>
      <c r="T4729" s="19" t="s">
        <v>36</v>
      </c>
      <c r="U4729" s="20" t="s">
        <v>37</v>
      </c>
      <c r="V4729" s="21" t="s">
        <v>38</v>
      </c>
      <c r="W4729" s="22">
        <v>10</v>
      </c>
      <c r="X4729" s="23"/>
    </row>
    <row r="4730" spans="1:24" s="1" customFormat="1" ht="21" customHeight="1" x14ac:dyDescent="0.3">
      <c r="A4730" s="24" t="s">
        <v>23</v>
      </c>
      <c r="B4730" s="24" t="s">
        <v>4232</v>
      </c>
      <c r="C4730" s="27" t="s">
        <v>4233</v>
      </c>
      <c r="D4730" s="60"/>
      <c r="E4730" s="41" t="str">
        <f>HYPERLINK("https://www.google.ru/search?q=6009506-001&amp;newwindow=1&amp;tbm=isch","Еще фото")</f>
        <v>Еще фото</v>
      </c>
      <c r="F4730" s="28" t="s">
        <v>138</v>
      </c>
      <c r="G4730" s="24" t="s">
        <v>3604</v>
      </c>
      <c r="H4730" s="24" t="s">
        <v>27</v>
      </c>
      <c r="I4730" s="24" t="s">
        <v>3599</v>
      </c>
      <c r="J4730" s="14" t="s">
        <v>29</v>
      </c>
      <c r="K4730" s="15" t="s">
        <v>30</v>
      </c>
      <c r="L4730" s="62"/>
      <c r="M4730" s="14"/>
      <c r="N4730" s="14" t="s">
        <v>33</v>
      </c>
      <c r="O4730" s="14"/>
      <c r="P4730" s="15" t="s">
        <v>3606</v>
      </c>
      <c r="Q4730" s="16">
        <v>6499</v>
      </c>
      <c r="R4730" s="17">
        <v>40</v>
      </c>
      <c r="S4730" s="18">
        <v>4484.3099999999995</v>
      </c>
      <c r="T4730" s="19" t="s">
        <v>36</v>
      </c>
      <c r="U4730" s="20" t="s">
        <v>39</v>
      </c>
      <c r="V4730" s="21" t="s">
        <v>40</v>
      </c>
      <c r="W4730" s="22">
        <v>20</v>
      </c>
      <c r="X4730" s="23"/>
    </row>
    <row r="4731" spans="1:24" s="1" customFormat="1" ht="21" customHeight="1" x14ac:dyDescent="0.3">
      <c r="A4731" s="24" t="s">
        <v>23</v>
      </c>
      <c r="B4731" s="24" t="s">
        <v>4232</v>
      </c>
      <c r="C4731" s="27" t="s">
        <v>4233</v>
      </c>
      <c r="D4731" s="60"/>
      <c r="E4731" s="41" t="str">
        <f>HYPERLINK("https://www.google.ru/search?q=6009506-001&amp;newwindow=1&amp;tbm=isch","Еще фото")</f>
        <v>Еще фото</v>
      </c>
      <c r="F4731" s="28" t="s">
        <v>138</v>
      </c>
      <c r="G4731" s="24" t="s">
        <v>3604</v>
      </c>
      <c r="H4731" s="24" t="s">
        <v>27</v>
      </c>
      <c r="I4731" s="24" t="s">
        <v>3599</v>
      </c>
      <c r="J4731" s="14" t="s">
        <v>29</v>
      </c>
      <c r="K4731" s="15" t="s">
        <v>30</v>
      </c>
      <c r="L4731" s="62"/>
      <c r="M4731" s="14"/>
      <c r="N4731" s="14" t="s">
        <v>33</v>
      </c>
      <c r="O4731" s="14"/>
      <c r="P4731" s="15" t="s">
        <v>3606</v>
      </c>
      <c r="Q4731" s="16">
        <v>6499</v>
      </c>
      <c r="R4731" s="17">
        <v>40</v>
      </c>
      <c r="S4731" s="18">
        <v>4484.3099999999995</v>
      </c>
      <c r="T4731" s="19" t="s">
        <v>36</v>
      </c>
      <c r="U4731" s="20" t="s">
        <v>86</v>
      </c>
      <c r="V4731" s="21" t="s">
        <v>87</v>
      </c>
      <c r="W4731" s="22">
        <v>20</v>
      </c>
      <c r="X4731" s="23"/>
    </row>
    <row r="4732" spans="1:24" s="1" customFormat="1" ht="21" customHeight="1" x14ac:dyDescent="0.3">
      <c r="A4732" s="24" t="s">
        <v>23</v>
      </c>
      <c r="B4732" s="24" t="s">
        <v>4232</v>
      </c>
      <c r="C4732" s="27" t="s">
        <v>4233</v>
      </c>
      <c r="D4732" s="60"/>
      <c r="E4732" s="41" t="str">
        <f>HYPERLINK("https://www.google.ru/search?q=6009506-001&amp;newwindow=1&amp;tbm=isch","Еще фото")</f>
        <v>Еще фото</v>
      </c>
      <c r="F4732" s="28" t="s">
        <v>138</v>
      </c>
      <c r="G4732" s="24" t="s">
        <v>3604</v>
      </c>
      <c r="H4732" s="24" t="s">
        <v>27</v>
      </c>
      <c r="I4732" s="24" t="s">
        <v>3599</v>
      </c>
      <c r="J4732" s="14" t="s">
        <v>29</v>
      </c>
      <c r="K4732" s="15" t="s">
        <v>30</v>
      </c>
      <c r="L4732" s="62"/>
      <c r="M4732" s="14"/>
      <c r="N4732" s="14" t="s">
        <v>33</v>
      </c>
      <c r="O4732" s="14"/>
      <c r="P4732" s="15" t="s">
        <v>3606</v>
      </c>
      <c r="Q4732" s="16">
        <v>6499</v>
      </c>
      <c r="R4732" s="17">
        <v>40</v>
      </c>
      <c r="S4732" s="18">
        <v>4484.3099999999995</v>
      </c>
      <c r="T4732" s="19" t="s">
        <v>36</v>
      </c>
      <c r="U4732" s="20" t="s">
        <v>88</v>
      </c>
      <c r="V4732" s="21" t="s">
        <v>89</v>
      </c>
      <c r="W4732" s="22">
        <v>16</v>
      </c>
      <c r="X4732" s="23"/>
    </row>
    <row r="4733" spans="1:24" s="1" customFormat="1" ht="32" customHeight="1" x14ac:dyDescent="0.3">
      <c r="A4733" s="24" t="s">
        <v>23</v>
      </c>
      <c r="B4733" s="24" t="s">
        <v>4232</v>
      </c>
      <c r="C4733" s="27" t="s">
        <v>4233</v>
      </c>
      <c r="D4733" s="61"/>
      <c r="E4733" s="41" t="str">
        <f>HYPERLINK("https://www.google.ru/search?q=6009506-001&amp;newwindow=1&amp;tbm=isch","Еще фото")</f>
        <v>Еще фото</v>
      </c>
      <c r="F4733" s="28" t="s">
        <v>138</v>
      </c>
      <c r="G4733" s="24" t="s">
        <v>3604</v>
      </c>
      <c r="H4733" s="24" t="s">
        <v>27</v>
      </c>
      <c r="I4733" s="24" t="s">
        <v>3599</v>
      </c>
      <c r="J4733" s="14" t="s">
        <v>29</v>
      </c>
      <c r="K4733" s="15" t="s">
        <v>30</v>
      </c>
      <c r="L4733" s="58"/>
      <c r="M4733" s="14"/>
      <c r="N4733" s="14" t="s">
        <v>33</v>
      </c>
      <c r="O4733" s="14"/>
      <c r="P4733" s="15" t="s">
        <v>3606</v>
      </c>
      <c r="Q4733" s="16">
        <v>6499</v>
      </c>
      <c r="R4733" s="17">
        <v>40</v>
      </c>
      <c r="S4733" s="18">
        <v>4484.3099999999995</v>
      </c>
      <c r="T4733" s="19" t="s">
        <v>36</v>
      </c>
      <c r="U4733" s="20" t="s">
        <v>90</v>
      </c>
      <c r="V4733" s="21" t="s">
        <v>91</v>
      </c>
      <c r="W4733" s="22">
        <v>11</v>
      </c>
      <c r="X4733" s="23"/>
    </row>
    <row r="4734" spans="1:24" s="1" customFormat="1" ht="21" customHeight="1" x14ac:dyDescent="0.3">
      <c r="A4734" s="11" t="s">
        <v>23</v>
      </c>
      <c r="B4734" s="11" t="s">
        <v>4232</v>
      </c>
      <c r="C4734" s="26" t="s">
        <v>4234</v>
      </c>
      <c r="D4734" s="59"/>
      <c r="E4734" s="41" t="str">
        <f>HYPERLINK("https://www.google.ru/search?q=6009506-069&amp;newwindow=1&amp;tbm=isch","Еще фото")</f>
        <v>Еще фото</v>
      </c>
      <c r="F4734" s="28" t="s">
        <v>138</v>
      </c>
      <c r="G4734" s="11" t="s">
        <v>3604</v>
      </c>
      <c r="H4734" s="11" t="s">
        <v>27</v>
      </c>
      <c r="I4734" s="14" t="s">
        <v>3599</v>
      </c>
      <c r="J4734" s="14" t="s">
        <v>29</v>
      </c>
      <c r="K4734" s="15" t="s">
        <v>30</v>
      </c>
      <c r="L4734" s="57"/>
      <c r="M4734" s="14"/>
      <c r="N4734" s="14" t="s">
        <v>62</v>
      </c>
      <c r="O4734" s="14"/>
      <c r="P4734" s="15" t="s">
        <v>3606</v>
      </c>
      <c r="Q4734" s="16">
        <v>6499</v>
      </c>
      <c r="R4734" s="17">
        <v>40</v>
      </c>
      <c r="S4734" s="18">
        <v>4484.3099999999995</v>
      </c>
      <c r="T4734" s="19" t="s">
        <v>36</v>
      </c>
      <c r="U4734" s="20" t="s">
        <v>37</v>
      </c>
      <c r="V4734" s="21" t="s">
        <v>38</v>
      </c>
      <c r="W4734" s="22">
        <v>10</v>
      </c>
      <c r="X4734" s="23"/>
    </row>
    <row r="4735" spans="1:24" s="1" customFormat="1" ht="21" customHeight="1" x14ac:dyDescent="0.3">
      <c r="A4735" s="24" t="s">
        <v>23</v>
      </c>
      <c r="B4735" s="24" t="s">
        <v>4232</v>
      </c>
      <c r="C4735" s="27" t="s">
        <v>4234</v>
      </c>
      <c r="D4735" s="60"/>
      <c r="E4735" s="41" t="str">
        <f>HYPERLINK("https://www.google.ru/search?q=6009506-069&amp;newwindow=1&amp;tbm=isch","Еще фото")</f>
        <v>Еще фото</v>
      </c>
      <c r="F4735" s="28" t="s">
        <v>138</v>
      </c>
      <c r="G4735" s="24" t="s">
        <v>3604</v>
      </c>
      <c r="H4735" s="24" t="s">
        <v>27</v>
      </c>
      <c r="I4735" s="24" t="s">
        <v>3599</v>
      </c>
      <c r="J4735" s="14" t="s">
        <v>29</v>
      </c>
      <c r="K4735" s="15" t="s">
        <v>30</v>
      </c>
      <c r="L4735" s="62"/>
      <c r="M4735" s="14"/>
      <c r="N4735" s="14" t="s">
        <v>62</v>
      </c>
      <c r="O4735" s="14"/>
      <c r="P4735" s="15" t="s">
        <v>3606</v>
      </c>
      <c r="Q4735" s="16">
        <v>6499</v>
      </c>
      <c r="R4735" s="17">
        <v>40</v>
      </c>
      <c r="S4735" s="18">
        <v>4484.3099999999995</v>
      </c>
      <c r="T4735" s="19" t="s">
        <v>36</v>
      </c>
      <c r="U4735" s="20" t="s">
        <v>39</v>
      </c>
      <c r="V4735" s="21" t="s">
        <v>40</v>
      </c>
      <c r="W4735" s="22">
        <v>20</v>
      </c>
      <c r="X4735" s="23"/>
    </row>
    <row r="4736" spans="1:24" s="1" customFormat="1" ht="21" customHeight="1" x14ac:dyDescent="0.3">
      <c r="A4736" s="24" t="s">
        <v>23</v>
      </c>
      <c r="B4736" s="24" t="s">
        <v>4232</v>
      </c>
      <c r="C4736" s="27" t="s">
        <v>4234</v>
      </c>
      <c r="D4736" s="60"/>
      <c r="E4736" s="41" t="str">
        <f>HYPERLINK("https://www.google.ru/search?q=6009506-069&amp;newwindow=1&amp;tbm=isch","Еще фото")</f>
        <v>Еще фото</v>
      </c>
      <c r="F4736" s="28" t="s">
        <v>138</v>
      </c>
      <c r="G4736" s="24" t="s">
        <v>3604</v>
      </c>
      <c r="H4736" s="24" t="s">
        <v>27</v>
      </c>
      <c r="I4736" s="24" t="s">
        <v>3599</v>
      </c>
      <c r="J4736" s="14" t="s">
        <v>29</v>
      </c>
      <c r="K4736" s="15" t="s">
        <v>30</v>
      </c>
      <c r="L4736" s="62"/>
      <c r="M4736" s="14"/>
      <c r="N4736" s="14" t="s">
        <v>62</v>
      </c>
      <c r="O4736" s="14"/>
      <c r="P4736" s="15" t="s">
        <v>3606</v>
      </c>
      <c r="Q4736" s="16">
        <v>6499</v>
      </c>
      <c r="R4736" s="17">
        <v>40</v>
      </c>
      <c r="S4736" s="18">
        <v>4484.3099999999995</v>
      </c>
      <c r="T4736" s="19" t="s">
        <v>36</v>
      </c>
      <c r="U4736" s="20" t="s">
        <v>86</v>
      </c>
      <c r="V4736" s="21" t="s">
        <v>87</v>
      </c>
      <c r="W4736" s="22">
        <v>20</v>
      </c>
      <c r="X4736" s="23"/>
    </row>
    <row r="4737" spans="1:24" s="1" customFormat="1" ht="21" customHeight="1" x14ac:dyDescent="0.3">
      <c r="A4737" s="24" t="s">
        <v>23</v>
      </c>
      <c r="B4737" s="24" t="s">
        <v>4232</v>
      </c>
      <c r="C4737" s="27" t="s">
        <v>4234</v>
      </c>
      <c r="D4737" s="60"/>
      <c r="E4737" s="41" t="str">
        <f>HYPERLINK("https://www.google.ru/search?q=6009506-069&amp;newwindow=1&amp;tbm=isch","Еще фото")</f>
        <v>Еще фото</v>
      </c>
      <c r="F4737" s="28" t="s">
        <v>138</v>
      </c>
      <c r="G4737" s="24" t="s">
        <v>3604</v>
      </c>
      <c r="H4737" s="24" t="s">
        <v>27</v>
      </c>
      <c r="I4737" s="24" t="s">
        <v>3599</v>
      </c>
      <c r="J4737" s="14" t="s">
        <v>29</v>
      </c>
      <c r="K4737" s="15" t="s">
        <v>30</v>
      </c>
      <c r="L4737" s="62"/>
      <c r="M4737" s="14"/>
      <c r="N4737" s="14" t="s">
        <v>62</v>
      </c>
      <c r="O4737" s="14"/>
      <c r="P4737" s="15" t="s">
        <v>3606</v>
      </c>
      <c r="Q4737" s="16">
        <v>6499</v>
      </c>
      <c r="R4737" s="17">
        <v>40</v>
      </c>
      <c r="S4737" s="18">
        <v>4484.3099999999995</v>
      </c>
      <c r="T4737" s="19" t="s">
        <v>36</v>
      </c>
      <c r="U4737" s="20" t="s">
        <v>88</v>
      </c>
      <c r="V4737" s="21" t="s">
        <v>89</v>
      </c>
      <c r="W4737" s="22">
        <v>16</v>
      </c>
      <c r="X4737" s="23"/>
    </row>
    <row r="4738" spans="1:24" s="1" customFormat="1" ht="32" customHeight="1" x14ac:dyDescent="0.3">
      <c r="A4738" s="24" t="s">
        <v>23</v>
      </c>
      <c r="B4738" s="24" t="s">
        <v>4232</v>
      </c>
      <c r="C4738" s="27" t="s">
        <v>4234</v>
      </c>
      <c r="D4738" s="61"/>
      <c r="E4738" s="41" t="str">
        <f>HYPERLINK("https://www.google.ru/search?q=6009506-069&amp;newwindow=1&amp;tbm=isch","Еще фото")</f>
        <v>Еще фото</v>
      </c>
      <c r="F4738" s="28" t="s">
        <v>138</v>
      </c>
      <c r="G4738" s="24" t="s">
        <v>3604</v>
      </c>
      <c r="H4738" s="24" t="s">
        <v>27</v>
      </c>
      <c r="I4738" s="24" t="s">
        <v>3599</v>
      </c>
      <c r="J4738" s="14" t="s">
        <v>29</v>
      </c>
      <c r="K4738" s="15" t="s">
        <v>30</v>
      </c>
      <c r="L4738" s="58"/>
      <c r="M4738" s="14"/>
      <c r="N4738" s="14" t="s">
        <v>62</v>
      </c>
      <c r="O4738" s="14"/>
      <c r="P4738" s="15" t="s">
        <v>3606</v>
      </c>
      <c r="Q4738" s="16">
        <v>6499</v>
      </c>
      <c r="R4738" s="17">
        <v>40</v>
      </c>
      <c r="S4738" s="18">
        <v>4484.3099999999995</v>
      </c>
      <c r="T4738" s="19" t="s">
        <v>36</v>
      </c>
      <c r="U4738" s="20" t="s">
        <v>90</v>
      </c>
      <c r="V4738" s="21" t="s">
        <v>91</v>
      </c>
      <c r="W4738" s="22">
        <v>11</v>
      </c>
      <c r="X4738" s="23"/>
    </row>
    <row r="4739" spans="1:24" s="1" customFormat="1" ht="21" customHeight="1" x14ac:dyDescent="0.3">
      <c r="A4739" s="11" t="s">
        <v>23</v>
      </c>
      <c r="B4739" s="11" t="s">
        <v>4235</v>
      </c>
      <c r="C4739" s="26" t="s">
        <v>4236</v>
      </c>
      <c r="D4739" s="59"/>
      <c r="E4739" s="41" t="str">
        <f>HYPERLINK("https://www.google.ru/search?q=6009507-001&amp;newwindow=1&amp;tbm=isch","Еще фото")</f>
        <v>Еще фото</v>
      </c>
      <c r="F4739" s="28" t="s">
        <v>138</v>
      </c>
      <c r="G4739" s="11" t="s">
        <v>3604</v>
      </c>
      <c r="H4739" s="11" t="s">
        <v>27</v>
      </c>
      <c r="I4739" s="14" t="s">
        <v>3599</v>
      </c>
      <c r="J4739" s="14" t="s">
        <v>29</v>
      </c>
      <c r="K4739" s="15" t="s">
        <v>30</v>
      </c>
      <c r="L4739" s="57"/>
      <c r="M4739" s="14"/>
      <c r="N4739" s="14" t="s">
        <v>33</v>
      </c>
      <c r="O4739" s="14"/>
      <c r="P4739" s="15" t="s">
        <v>3606</v>
      </c>
      <c r="Q4739" s="16">
        <v>7099</v>
      </c>
      <c r="R4739" s="17">
        <v>40</v>
      </c>
      <c r="S4739" s="18">
        <v>4898.3099999999995</v>
      </c>
      <c r="T4739" s="19" t="s">
        <v>36</v>
      </c>
      <c r="U4739" s="20" t="s">
        <v>37</v>
      </c>
      <c r="V4739" s="21" t="s">
        <v>38</v>
      </c>
      <c r="W4739" s="22">
        <v>11</v>
      </c>
      <c r="X4739" s="23"/>
    </row>
    <row r="4740" spans="1:24" s="1" customFormat="1" ht="21" customHeight="1" x14ac:dyDescent="0.3">
      <c r="A4740" s="24" t="s">
        <v>23</v>
      </c>
      <c r="B4740" s="24" t="s">
        <v>4235</v>
      </c>
      <c r="C4740" s="27" t="s">
        <v>4236</v>
      </c>
      <c r="D4740" s="60"/>
      <c r="E4740" s="41" t="str">
        <f>HYPERLINK("https://www.google.ru/search?q=6009507-001&amp;newwindow=1&amp;tbm=isch","Еще фото")</f>
        <v>Еще фото</v>
      </c>
      <c r="F4740" s="28" t="s">
        <v>138</v>
      </c>
      <c r="G4740" s="24" t="s">
        <v>3604</v>
      </c>
      <c r="H4740" s="24" t="s">
        <v>27</v>
      </c>
      <c r="I4740" s="24" t="s">
        <v>3599</v>
      </c>
      <c r="J4740" s="14" t="s">
        <v>29</v>
      </c>
      <c r="K4740" s="15" t="s">
        <v>30</v>
      </c>
      <c r="L4740" s="62"/>
      <c r="M4740" s="14"/>
      <c r="N4740" s="14" t="s">
        <v>33</v>
      </c>
      <c r="O4740" s="14"/>
      <c r="P4740" s="15" t="s">
        <v>3606</v>
      </c>
      <c r="Q4740" s="16">
        <v>7099</v>
      </c>
      <c r="R4740" s="17">
        <v>40</v>
      </c>
      <c r="S4740" s="18">
        <v>4898.3099999999995</v>
      </c>
      <c r="T4740" s="19" t="s">
        <v>36</v>
      </c>
      <c r="U4740" s="20" t="s">
        <v>39</v>
      </c>
      <c r="V4740" s="21" t="s">
        <v>40</v>
      </c>
      <c r="W4740" s="22">
        <v>19</v>
      </c>
      <c r="X4740" s="23"/>
    </row>
    <row r="4741" spans="1:24" s="1" customFormat="1" ht="21" customHeight="1" x14ac:dyDescent="0.3">
      <c r="A4741" s="24" t="s">
        <v>23</v>
      </c>
      <c r="B4741" s="24" t="s">
        <v>4235</v>
      </c>
      <c r="C4741" s="27" t="s">
        <v>4236</v>
      </c>
      <c r="D4741" s="60"/>
      <c r="E4741" s="41" t="str">
        <f>HYPERLINK("https://www.google.ru/search?q=6009507-001&amp;newwindow=1&amp;tbm=isch","Еще фото")</f>
        <v>Еще фото</v>
      </c>
      <c r="F4741" s="28" t="s">
        <v>138</v>
      </c>
      <c r="G4741" s="24" t="s">
        <v>3604</v>
      </c>
      <c r="H4741" s="24" t="s">
        <v>27</v>
      </c>
      <c r="I4741" s="24" t="s">
        <v>3599</v>
      </c>
      <c r="J4741" s="14" t="s">
        <v>29</v>
      </c>
      <c r="K4741" s="15" t="s">
        <v>30</v>
      </c>
      <c r="L4741" s="62"/>
      <c r="M4741" s="14"/>
      <c r="N4741" s="14" t="s">
        <v>33</v>
      </c>
      <c r="O4741" s="14"/>
      <c r="P4741" s="15" t="s">
        <v>3606</v>
      </c>
      <c r="Q4741" s="16">
        <v>7099</v>
      </c>
      <c r="R4741" s="17">
        <v>40</v>
      </c>
      <c r="S4741" s="18">
        <v>4898.3099999999995</v>
      </c>
      <c r="T4741" s="19" t="s">
        <v>36</v>
      </c>
      <c r="U4741" s="20" t="s">
        <v>86</v>
      </c>
      <c r="V4741" s="21" t="s">
        <v>87</v>
      </c>
      <c r="W4741" s="22">
        <v>19</v>
      </c>
      <c r="X4741" s="23"/>
    </row>
    <row r="4742" spans="1:24" s="1" customFormat="1" ht="21" customHeight="1" x14ac:dyDescent="0.3">
      <c r="A4742" s="24" t="s">
        <v>23</v>
      </c>
      <c r="B4742" s="24" t="s">
        <v>4235</v>
      </c>
      <c r="C4742" s="27" t="s">
        <v>4236</v>
      </c>
      <c r="D4742" s="60"/>
      <c r="E4742" s="41" t="str">
        <f>HYPERLINK("https://www.google.ru/search?q=6009507-001&amp;newwindow=1&amp;tbm=isch","Еще фото")</f>
        <v>Еще фото</v>
      </c>
      <c r="F4742" s="28" t="s">
        <v>138</v>
      </c>
      <c r="G4742" s="24" t="s">
        <v>3604</v>
      </c>
      <c r="H4742" s="24" t="s">
        <v>27</v>
      </c>
      <c r="I4742" s="24" t="s">
        <v>3599</v>
      </c>
      <c r="J4742" s="14" t="s">
        <v>29</v>
      </c>
      <c r="K4742" s="15" t="s">
        <v>30</v>
      </c>
      <c r="L4742" s="62"/>
      <c r="M4742" s="14"/>
      <c r="N4742" s="14" t="s">
        <v>33</v>
      </c>
      <c r="O4742" s="14"/>
      <c r="P4742" s="15" t="s">
        <v>3606</v>
      </c>
      <c r="Q4742" s="16">
        <v>7099</v>
      </c>
      <c r="R4742" s="17">
        <v>40</v>
      </c>
      <c r="S4742" s="18">
        <v>4898.3099999999995</v>
      </c>
      <c r="T4742" s="19" t="s">
        <v>36</v>
      </c>
      <c r="U4742" s="20" t="s">
        <v>88</v>
      </c>
      <c r="V4742" s="21" t="s">
        <v>89</v>
      </c>
      <c r="W4742" s="22">
        <v>15</v>
      </c>
      <c r="X4742" s="23"/>
    </row>
    <row r="4743" spans="1:24" s="1" customFormat="1" ht="32" customHeight="1" x14ac:dyDescent="0.3">
      <c r="A4743" s="24" t="s">
        <v>23</v>
      </c>
      <c r="B4743" s="24" t="s">
        <v>4235</v>
      </c>
      <c r="C4743" s="27" t="s">
        <v>4236</v>
      </c>
      <c r="D4743" s="61"/>
      <c r="E4743" s="41" t="str">
        <f>HYPERLINK("https://www.google.ru/search?q=6009507-001&amp;newwindow=1&amp;tbm=isch","Еще фото")</f>
        <v>Еще фото</v>
      </c>
      <c r="F4743" s="28" t="s">
        <v>138</v>
      </c>
      <c r="G4743" s="24" t="s">
        <v>3604</v>
      </c>
      <c r="H4743" s="24" t="s">
        <v>27</v>
      </c>
      <c r="I4743" s="24" t="s">
        <v>3599</v>
      </c>
      <c r="J4743" s="14" t="s">
        <v>29</v>
      </c>
      <c r="K4743" s="15" t="s">
        <v>30</v>
      </c>
      <c r="L4743" s="58"/>
      <c r="M4743" s="14"/>
      <c r="N4743" s="14" t="s">
        <v>33</v>
      </c>
      <c r="O4743" s="14"/>
      <c r="P4743" s="15" t="s">
        <v>3606</v>
      </c>
      <c r="Q4743" s="16">
        <v>7099</v>
      </c>
      <c r="R4743" s="17">
        <v>40</v>
      </c>
      <c r="S4743" s="18">
        <v>4898.3099999999995</v>
      </c>
      <c r="T4743" s="19" t="s">
        <v>36</v>
      </c>
      <c r="U4743" s="20" t="s">
        <v>90</v>
      </c>
      <c r="V4743" s="21" t="s">
        <v>91</v>
      </c>
      <c r="W4743" s="22">
        <v>11</v>
      </c>
      <c r="X4743" s="23"/>
    </row>
    <row r="4744" spans="1:24" s="1" customFormat="1" ht="17" customHeight="1" x14ac:dyDescent="0.3">
      <c r="A4744" s="11" t="s">
        <v>23</v>
      </c>
      <c r="B4744" s="11" t="s">
        <v>4237</v>
      </c>
      <c r="C4744" s="12" t="s">
        <v>4238</v>
      </c>
      <c r="D4744" s="59"/>
      <c r="E4744" s="41" t="str">
        <f t="shared" ref="E4744:E4749" si="173">HYPERLINK("https://www.google.ru/search?q=6009517-001&amp;newwindow=1&amp;tbm=isch","Еще фото")</f>
        <v>Еще фото</v>
      </c>
      <c r="F4744" s="28" t="s">
        <v>138</v>
      </c>
      <c r="G4744" s="11" t="s">
        <v>3604</v>
      </c>
      <c r="H4744" s="11" t="s">
        <v>27</v>
      </c>
      <c r="I4744" s="14" t="s">
        <v>3599</v>
      </c>
      <c r="J4744" s="14" t="s">
        <v>29</v>
      </c>
      <c r="K4744" s="15" t="s">
        <v>30</v>
      </c>
      <c r="L4744" s="57" t="s">
        <v>4239</v>
      </c>
      <c r="M4744" s="14"/>
      <c r="N4744" s="14" t="s">
        <v>33</v>
      </c>
      <c r="O4744" s="14"/>
      <c r="P4744" s="15" t="s">
        <v>47</v>
      </c>
      <c r="Q4744" s="16">
        <v>4299</v>
      </c>
      <c r="R4744" s="17">
        <v>40</v>
      </c>
      <c r="S4744" s="18">
        <v>2966.31</v>
      </c>
      <c r="T4744" s="19" t="s">
        <v>36</v>
      </c>
      <c r="U4744" s="20" t="s">
        <v>37</v>
      </c>
      <c r="V4744" s="21" t="s">
        <v>38</v>
      </c>
      <c r="W4744" s="22">
        <v>9</v>
      </c>
      <c r="X4744" s="23"/>
    </row>
    <row r="4745" spans="1:24" s="1" customFormat="1" ht="17" customHeight="1" x14ac:dyDescent="0.3">
      <c r="A4745" s="24" t="s">
        <v>23</v>
      </c>
      <c r="B4745" s="24" t="s">
        <v>4237</v>
      </c>
      <c r="C4745" s="12" t="s">
        <v>4238</v>
      </c>
      <c r="D4745" s="60"/>
      <c r="E4745" s="41" t="str">
        <f t="shared" si="173"/>
        <v>Еще фото</v>
      </c>
      <c r="F4745" s="28" t="s">
        <v>138</v>
      </c>
      <c r="G4745" s="24" t="s">
        <v>3604</v>
      </c>
      <c r="H4745" s="24" t="s">
        <v>27</v>
      </c>
      <c r="I4745" s="24" t="s">
        <v>3599</v>
      </c>
      <c r="J4745" s="14" t="s">
        <v>29</v>
      </c>
      <c r="K4745" s="15" t="s">
        <v>30</v>
      </c>
      <c r="L4745" s="62"/>
      <c r="M4745" s="14"/>
      <c r="N4745" s="14" t="s">
        <v>33</v>
      </c>
      <c r="O4745" s="14"/>
      <c r="P4745" s="15" t="s">
        <v>47</v>
      </c>
      <c r="Q4745" s="16">
        <v>4299</v>
      </c>
      <c r="R4745" s="17">
        <v>40</v>
      </c>
      <c r="S4745" s="18">
        <v>2966.31</v>
      </c>
      <c r="T4745" s="19" t="s">
        <v>36</v>
      </c>
      <c r="U4745" s="20" t="s">
        <v>39</v>
      </c>
      <c r="V4745" s="21" t="s">
        <v>40</v>
      </c>
      <c r="W4745" s="22">
        <v>31</v>
      </c>
      <c r="X4745" s="23"/>
    </row>
    <row r="4746" spans="1:24" s="1" customFormat="1" ht="17" customHeight="1" x14ac:dyDescent="0.3">
      <c r="A4746" s="24" t="s">
        <v>23</v>
      </c>
      <c r="B4746" s="24" t="s">
        <v>4237</v>
      </c>
      <c r="C4746" s="12" t="s">
        <v>4238</v>
      </c>
      <c r="D4746" s="60"/>
      <c r="E4746" s="41" t="str">
        <f t="shared" si="173"/>
        <v>Еще фото</v>
      </c>
      <c r="F4746" s="28" t="s">
        <v>138</v>
      </c>
      <c r="G4746" s="24" t="s">
        <v>3604</v>
      </c>
      <c r="H4746" s="24" t="s">
        <v>27</v>
      </c>
      <c r="I4746" s="24" t="s">
        <v>3599</v>
      </c>
      <c r="J4746" s="14" t="s">
        <v>29</v>
      </c>
      <c r="K4746" s="15" t="s">
        <v>30</v>
      </c>
      <c r="L4746" s="62"/>
      <c r="M4746" s="14"/>
      <c r="N4746" s="14" t="s">
        <v>33</v>
      </c>
      <c r="O4746" s="14"/>
      <c r="P4746" s="15" t="s">
        <v>47</v>
      </c>
      <c r="Q4746" s="16">
        <v>4299</v>
      </c>
      <c r="R4746" s="17">
        <v>40</v>
      </c>
      <c r="S4746" s="18">
        <v>2966.31</v>
      </c>
      <c r="T4746" s="19" t="s">
        <v>36</v>
      </c>
      <c r="U4746" s="20" t="s">
        <v>86</v>
      </c>
      <c r="V4746" s="21" t="s">
        <v>87</v>
      </c>
      <c r="W4746" s="22">
        <v>30</v>
      </c>
      <c r="X4746" s="23"/>
    </row>
    <row r="4747" spans="1:24" s="1" customFormat="1" ht="17" customHeight="1" x14ac:dyDescent="0.3">
      <c r="A4747" s="24" t="s">
        <v>23</v>
      </c>
      <c r="B4747" s="24" t="s">
        <v>4237</v>
      </c>
      <c r="C4747" s="12" t="s">
        <v>4238</v>
      </c>
      <c r="D4747" s="60"/>
      <c r="E4747" s="41" t="str">
        <f t="shared" si="173"/>
        <v>Еще фото</v>
      </c>
      <c r="F4747" s="28" t="s">
        <v>138</v>
      </c>
      <c r="G4747" s="24" t="s">
        <v>3604</v>
      </c>
      <c r="H4747" s="24" t="s">
        <v>27</v>
      </c>
      <c r="I4747" s="24" t="s">
        <v>3599</v>
      </c>
      <c r="J4747" s="14" t="s">
        <v>29</v>
      </c>
      <c r="K4747" s="15" t="s">
        <v>30</v>
      </c>
      <c r="L4747" s="62"/>
      <c r="M4747" s="14"/>
      <c r="N4747" s="14" t="s">
        <v>33</v>
      </c>
      <c r="O4747" s="14"/>
      <c r="P4747" s="15" t="s">
        <v>47</v>
      </c>
      <c r="Q4747" s="16">
        <v>4299</v>
      </c>
      <c r="R4747" s="17">
        <v>40</v>
      </c>
      <c r="S4747" s="18">
        <v>2966.31</v>
      </c>
      <c r="T4747" s="19" t="s">
        <v>36</v>
      </c>
      <c r="U4747" s="20" t="s">
        <v>88</v>
      </c>
      <c r="V4747" s="21" t="s">
        <v>89</v>
      </c>
      <c r="W4747" s="22">
        <v>16</v>
      </c>
      <c r="X4747" s="23"/>
    </row>
    <row r="4748" spans="1:24" s="1" customFormat="1" ht="17" customHeight="1" x14ac:dyDescent="0.3">
      <c r="A4748" s="24" t="s">
        <v>23</v>
      </c>
      <c r="B4748" s="24" t="s">
        <v>4237</v>
      </c>
      <c r="C4748" s="12" t="s">
        <v>4238</v>
      </c>
      <c r="D4748" s="60"/>
      <c r="E4748" s="41" t="str">
        <f t="shared" si="173"/>
        <v>Еще фото</v>
      </c>
      <c r="F4748" s="28" t="s">
        <v>138</v>
      </c>
      <c r="G4748" s="24" t="s">
        <v>3604</v>
      </c>
      <c r="H4748" s="24" t="s">
        <v>27</v>
      </c>
      <c r="I4748" s="24" t="s">
        <v>3599</v>
      </c>
      <c r="J4748" s="14" t="s">
        <v>29</v>
      </c>
      <c r="K4748" s="15" t="s">
        <v>30</v>
      </c>
      <c r="L4748" s="62"/>
      <c r="M4748" s="14"/>
      <c r="N4748" s="14" t="s">
        <v>33</v>
      </c>
      <c r="O4748" s="14"/>
      <c r="P4748" s="15" t="s">
        <v>47</v>
      </c>
      <c r="Q4748" s="16">
        <v>4299</v>
      </c>
      <c r="R4748" s="17">
        <v>40</v>
      </c>
      <c r="S4748" s="18">
        <v>2966.31</v>
      </c>
      <c r="T4748" s="19" t="s">
        <v>36</v>
      </c>
      <c r="U4748" s="20" t="s">
        <v>90</v>
      </c>
      <c r="V4748" s="21" t="s">
        <v>91</v>
      </c>
      <c r="W4748" s="22">
        <v>8</v>
      </c>
      <c r="X4748" s="23"/>
    </row>
    <row r="4749" spans="1:24" s="1" customFormat="1" ht="22.05" customHeight="1" x14ac:dyDescent="0.3">
      <c r="A4749" s="24" t="s">
        <v>23</v>
      </c>
      <c r="B4749" s="24" t="s">
        <v>4237</v>
      </c>
      <c r="C4749" s="12" t="s">
        <v>4238</v>
      </c>
      <c r="D4749" s="61"/>
      <c r="E4749" s="41" t="str">
        <f t="shared" si="173"/>
        <v>Еще фото</v>
      </c>
      <c r="F4749" s="28" t="s">
        <v>138</v>
      </c>
      <c r="G4749" s="24" t="s">
        <v>3604</v>
      </c>
      <c r="H4749" s="24" t="s">
        <v>27</v>
      </c>
      <c r="I4749" s="24" t="s">
        <v>3599</v>
      </c>
      <c r="J4749" s="14" t="s">
        <v>29</v>
      </c>
      <c r="K4749" s="15" t="s">
        <v>30</v>
      </c>
      <c r="L4749" s="58"/>
      <c r="M4749" s="14"/>
      <c r="N4749" s="14" t="s">
        <v>33</v>
      </c>
      <c r="O4749" s="14"/>
      <c r="P4749" s="15" t="s">
        <v>47</v>
      </c>
      <c r="Q4749" s="16">
        <v>4299</v>
      </c>
      <c r="R4749" s="17">
        <v>40</v>
      </c>
      <c r="S4749" s="18">
        <v>2966.31</v>
      </c>
      <c r="T4749" s="19" t="s">
        <v>36</v>
      </c>
      <c r="U4749" s="20" t="s">
        <v>408</v>
      </c>
      <c r="V4749" s="21" t="s">
        <v>409</v>
      </c>
      <c r="W4749" s="22">
        <v>5</v>
      </c>
      <c r="X4749" s="23"/>
    </row>
    <row r="4750" spans="1:24" s="1" customFormat="1" ht="17" customHeight="1" x14ac:dyDescent="0.3">
      <c r="A4750" s="11" t="s">
        <v>23</v>
      </c>
      <c r="B4750" s="11" t="s">
        <v>4237</v>
      </c>
      <c r="C4750" s="12" t="s">
        <v>4240</v>
      </c>
      <c r="D4750" s="59"/>
      <c r="E4750" s="41" t="str">
        <f t="shared" ref="E4750:E4755" si="174">HYPERLINK("https://www.google.ru/search?q=6009517-100&amp;newwindow=1&amp;tbm=isch","Еще фото")</f>
        <v>Еще фото</v>
      </c>
      <c r="F4750" s="28" t="s">
        <v>138</v>
      </c>
      <c r="G4750" s="11" t="s">
        <v>3604</v>
      </c>
      <c r="H4750" s="11" t="s">
        <v>27</v>
      </c>
      <c r="I4750" s="14" t="s">
        <v>3599</v>
      </c>
      <c r="J4750" s="14" t="s">
        <v>29</v>
      </c>
      <c r="K4750" s="15" t="s">
        <v>30</v>
      </c>
      <c r="L4750" s="57" t="s">
        <v>4239</v>
      </c>
      <c r="M4750" s="14"/>
      <c r="N4750" s="14" t="s">
        <v>84</v>
      </c>
      <c r="O4750" s="14"/>
      <c r="P4750" s="15" t="s">
        <v>47</v>
      </c>
      <c r="Q4750" s="16">
        <v>4299</v>
      </c>
      <c r="R4750" s="17">
        <v>40</v>
      </c>
      <c r="S4750" s="18">
        <v>2966.31</v>
      </c>
      <c r="T4750" s="19" t="s">
        <v>36</v>
      </c>
      <c r="U4750" s="20" t="s">
        <v>37</v>
      </c>
      <c r="V4750" s="21" t="s">
        <v>38</v>
      </c>
      <c r="W4750" s="22">
        <v>6</v>
      </c>
      <c r="X4750" s="23"/>
    </row>
    <row r="4751" spans="1:24" s="1" customFormat="1" ht="17" customHeight="1" x14ac:dyDescent="0.3">
      <c r="A4751" s="24" t="s">
        <v>23</v>
      </c>
      <c r="B4751" s="24" t="s">
        <v>4237</v>
      </c>
      <c r="C4751" s="12" t="s">
        <v>4240</v>
      </c>
      <c r="D4751" s="60"/>
      <c r="E4751" s="41" t="str">
        <f t="shared" si="174"/>
        <v>Еще фото</v>
      </c>
      <c r="F4751" s="28" t="s">
        <v>138</v>
      </c>
      <c r="G4751" s="24" t="s">
        <v>3604</v>
      </c>
      <c r="H4751" s="24" t="s">
        <v>27</v>
      </c>
      <c r="I4751" s="24" t="s">
        <v>3599</v>
      </c>
      <c r="J4751" s="14" t="s">
        <v>29</v>
      </c>
      <c r="K4751" s="15" t="s">
        <v>30</v>
      </c>
      <c r="L4751" s="62"/>
      <c r="M4751" s="14"/>
      <c r="N4751" s="14" t="s">
        <v>84</v>
      </c>
      <c r="O4751" s="14"/>
      <c r="P4751" s="15" t="s">
        <v>47</v>
      </c>
      <c r="Q4751" s="16">
        <v>4299</v>
      </c>
      <c r="R4751" s="17">
        <v>40</v>
      </c>
      <c r="S4751" s="18">
        <v>2966.31</v>
      </c>
      <c r="T4751" s="19" t="s">
        <v>36</v>
      </c>
      <c r="U4751" s="20" t="s">
        <v>39</v>
      </c>
      <c r="V4751" s="21" t="s">
        <v>40</v>
      </c>
      <c r="W4751" s="22">
        <v>19</v>
      </c>
      <c r="X4751" s="23"/>
    </row>
    <row r="4752" spans="1:24" s="1" customFormat="1" ht="17" customHeight="1" x14ac:dyDescent="0.3">
      <c r="A4752" s="24" t="s">
        <v>23</v>
      </c>
      <c r="B4752" s="24" t="s">
        <v>4237</v>
      </c>
      <c r="C4752" s="12" t="s">
        <v>4240</v>
      </c>
      <c r="D4752" s="60"/>
      <c r="E4752" s="41" t="str">
        <f t="shared" si="174"/>
        <v>Еще фото</v>
      </c>
      <c r="F4752" s="28" t="s">
        <v>138</v>
      </c>
      <c r="G4752" s="24" t="s">
        <v>3604</v>
      </c>
      <c r="H4752" s="24" t="s">
        <v>27</v>
      </c>
      <c r="I4752" s="24" t="s">
        <v>3599</v>
      </c>
      <c r="J4752" s="14" t="s">
        <v>29</v>
      </c>
      <c r="K4752" s="15" t="s">
        <v>30</v>
      </c>
      <c r="L4752" s="62"/>
      <c r="M4752" s="14"/>
      <c r="N4752" s="14" t="s">
        <v>84</v>
      </c>
      <c r="O4752" s="14"/>
      <c r="P4752" s="15" t="s">
        <v>47</v>
      </c>
      <c r="Q4752" s="16">
        <v>4299</v>
      </c>
      <c r="R4752" s="17">
        <v>40</v>
      </c>
      <c r="S4752" s="18">
        <v>2966.31</v>
      </c>
      <c r="T4752" s="19" t="s">
        <v>36</v>
      </c>
      <c r="U4752" s="20" t="s">
        <v>86</v>
      </c>
      <c r="V4752" s="21" t="s">
        <v>87</v>
      </c>
      <c r="W4752" s="22">
        <v>16</v>
      </c>
      <c r="X4752" s="23"/>
    </row>
    <row r="4753" spans="1:24" s="1" customFormat="1" ht="17" customHeight="1" x14ac:dyDescent="0.3">
      <c r="A4753" s="24" t="s">
        <v>23</v>
      </c>
      <c r="B4753" s="24" t="s">
        <v>4237</v>
      </c>
      <c r="C4753" s="12" t="s">
        <v>4240</v>
      </c>
      <c r="D4753" s="60"/>
      <c r="E4753" s="41" t="str">
        <f t="shared" si="174"/>
        <v>Еще фото</v>
      </c>
      <c r="F4753" s="28" t="s">
        <v>138</v>
      </c>
      <c r="G4753" s="24" t="s">
        <v>3604</v>
      </c>
      <c r="H4753" s="24" t="s">
        <v>27</v>
      </c>
      <c r="I4753" s="24" t="s">
        <v>3599</v>
      </c>
      <c r="J4753" s="14" t="s">
        <v>29</v>
      </c>
      <c r="K4753" s="15" t="s">
        <v>30</v>
      </c>
      <c r="L4753" s="62"/>
      <c r="M4753" s="14"/>
      <c r="N4753" s="14" t="s">
        <v>84</v>
      </c>
      <c r="O4753" s="14"/>
      <c r="P4753" s="15" t="s">
        <v>47</v>
      </c>
      <c r="Q4753" s="16">
        <v>4299</v>
      </c>
      <c r="R4753" s="17">
        <v>40</v>
      </c>
      <c r="S4753" s="18">
        <v>2966.31</v>
      </c>
      <c r="T4753" s="19" t="s">
        <v>36</v>
      </c>
      <c r="U4753" s="20" t="s">
        <v>88</v>
      </c>
      <c r="V4753" s="21" t="s">
        <v>89</v>
      </c>
      <c r="W4753" s="22">
        <v>11</v>
      </c>
      <c r="X4753" s="23"/>
    </row>
    <row r="4754" spans="1:24" s="1" customFormat="1" ht="17" customHeight="1" x14ac:dyDescent="0.3">
      <c r="A4754" s="24" t="s">
        <v>23</v>
      </c>
      <c r="B4754" s="24" t="s">
        <v>4237</v>
      </c>
      <c r="C4754" s="12" t="s">
        <v>4240</v>
      </c>
      <c r="D4754" s="60"/>
      <c r="E4754" s="41" t="str">
        <f t="shared" si="174"/>
        <v>Еще фото</v>
      </c>
      <c r="F4754" s="28" t="s">
        <v>138</v>
      </c>
      <c r="G4754" s="24" t="s">
        <v>3604</v>
      </c>
      <c r="H4754" s="24" t="s">
        <v>27</v>
      </c>
      <c r="I4754" s="24" t="s">
        <v>3599</v>
      </c>
      <c r="J4754" s="14" t="s">
        <v>29</v>
      </c>
      <c r="K4754" s="15" t="s">
        <v>30</v>
      </c>
      <c r="L4754" s="62"/>
      <c r="M4754" s="14"/>
      <c r="N4754" s="14" t="s">
        <v>84</v>
      </c>
      <c r="O4754" s="14"/>
      <c r="P4754" s="15" t="s">
        <v>47</v>
      </c>
      <c r="Q4754" s="16">
        <v>4299</v>
      </c>
      <c r="R4754" s="17">
        <v>40</v>
      </c>
      <c r="S4754" s="18">
        <v>2966.31</v>
      </c>
      <c r="T4754" s="19" t="s">
        <v>36</v>
      </c>
      <c r="U4754" s="20" t="s">
        <v>90</v>
      </c>
      <c r="V4754" s="21" t="s">
        <v>91</v>
      </c>
      <c r="W4754" s="22">
        <v>8</v>
      </c>
      <c r="X4754" s="23"/>
    </row>
    <row r="4755" spans="1:24" s="1" customFormat="1" ht="22.05" customHeight="1" x14ac:dyDescent="0.3">
      <c r="A4755" s="24" t="s">
        <v>23</v>
      </c>
      <c r="B4755" s="24" t="s">
        <v>4237</v>
      </c>
      <c r="C4755" s="12" t="s">
        <v>4240</v>
      </c>
      <c r="D4755" s="61"/>
      <c r="E4755" s="41" t="str">
        <f t="shared" si="174"/>
        <v>Еще фото</v>
      </c>
      <c r="F4755" s="28" t="s">
        <v>138</v>
      </c>
      <c r="G4755" s="24" t="s">
        <v>3604</v>
      </c>
      <c r="H4755" s="24" t="s">
        <v>27</v>
      </c>
      <c r="I4755" s="24" t="s">
        <v>3599</v>
      </c>
      <c r="J4755" s="14" t="s">
        <v>29</v>
      </c>
      <c r="K4755" s="15" t="s">
        <v>30</v>
      </c>
      <c r="L4755" s="58"/>
      <c r="M4755" s="14"/>
      <c r="N4755" s="14" t="s">
        <v>84</v>
      </c>
      <c r="O4755" s="14"/>
      <c r="P4755" s="15" t="s">
        <v>47</v>
      </c>
      <c r="Q4755" s="16">
        <v>4299</v>
      </c>
      <c r="R4755" s="17">
        <v>40</v>
      </c>
      <c r="S4755" s="18">
        <v>2966.31</v>
      </c>
      <c r="T4755" s="19" t="s">
        <v>36</v>
      </c>
      <c r="U4755" s="20" t="s">
        <v>408</v>
      </c>
      <c r="V4755" s="21" t="s">
        <v>409</v>
      </c>
      <c r="W4755" s="22">
        <v>5</v>
      </c>
      <c r="X4755" s="23"/>
    </row>
    <row r="4756" spans="1:24" s="1" customFormat="1" ht="21" customHeight="1" x14ac:dyDescent="0.3">
      <c r="A4756" s="11" t="s">
        <v>23</v>
      </c>
      <c r="B4756" s="11" t="s">
        <v>4241</v>
      </c>
      <c r="C4756" s="26" t="s">
        <v>4242</v>
      </c>
      <c r="D4756" s="59"/>
      <c r="E4756" s="41" t="str">
        <f>HYPERLINK("https://www.google.ru/search?q=6009540-001&amp;newwindow=1&amp;tbm=isch","Еще фото")</f>
        <v>Еще фото</v>
      </c>
      <c r="F4756" s="28" t="s">
        <v>138</v>
      </c>
      <c r="G4756" s="11" t="s">
        <v>3604</v>
      </c>
      <c r="H4756" s="11" t="s">
        <v>27</v>
      </c>
      <c r="I4756" s="14" t="s">
        <v>3599</v>
      </c>
      <c r="J4756" s="14" t="s">
        <v>29</v>
      </c>
      <c r="K4756" s="15" t="s">
        <v>59</v>
      </c>
      <c r="L4756" s="57"/>
      <c r="M4756" s="14"/>
      <c r="N4756" s="14" t="s">
        <v>33</v>
      </c>
      <c r="O4756" s="14"/>
      <c r="P4756" s="15" t="s">
        <v>47</v>
      </c>
      <c r="Q4756" s="16">
        <v>3599</v>
      </c>
      <c r="R4756" s="17">
        <v>40</v>
      </c>
      <c r="S4756" s="18">
        <v>2483.31</v>
      </c>
      <c r="T4756" s="19" t="s">
        <v>36</v>
      </c>
      <c r="U4756" s="20" t="s">
        <v>63</v>
      </c>
      <c r="V4756" s="21" t="s">
        <v>64</v>
      </c>
      <c r="W4756" s="22">
        <v>16</v>
      </c>
      <c r="X4756" s="23"/>
    </row>
    <row r="4757" spans="1:24" s="1" customFormat="1" ht="21" customHeight="1" x14ac:dyDescent="0.3">
      <c r="A4757" s="24" t="s">
        <v>23</v>
      </c>
      <c r="B4757" s="24" t="s">
        <v>4241</v>
      </c>
      <c r="C4757" s="27" t="s">
        <v>4242</v>
      </c>
      <c r="D4757" s="60"/>
      <c r="E4757" s="41" t="str">
        <f>HYPERLINK("https://www.google.ru/search?q=6009540-001&amp;newwindow=1&amp;tbm=isch","Еще фото")</f>
        <v>Еще фото</v>
      </c>
      <c r="F4757" s="28" t="s">
        <v>138</v>
      </c>
      <c r="G4757" s="24" t="s">
        <v>3604</v>
      </c>
      <c r="H4757" s="24" t="s">
        <v>27</v>
      </c>
      <c r="I4757" s="24" t="s">
        <v>3599</v>
      </c>
      <c r="J4757" s="14" t="s">
        <v>29</v>
      </c>
      <c r="K4757" s="15" t="s">
        <v>59</v>
      </c>
      <c r="L4757" s="62"/>
      <c r="M4757" s="14"/>
      <c r="N4757" s="14" t="s">
        <v>33</v>
      </c>
      <c r="O4757" s="14"/>
      <c r="P4757" s="15" t="s">
        <v>47</v>
      </c>
      <c r="Q4757" s="16">
        <v>3599</v>
      </c>
      <c r="R4757" s="17">
        <v>40</v>
      </c>
      <c r="S4757" s="18">
        <v>2483.31</v>
      </c>
      <c r="T4757" s="19" t="s">
        <v>36</v>
      </c>
      <c r="U4757" s="20" t="s">
        <v>37</v>
      </c>
      <c r="V4757" s="21" t="s">
        <v>106</v>
      </c>
      <c r="W4757" s="22">
        <v>21</v>
      </c>
      <c r="X4757" s="23"/>
    </row>
    <row r="4758" spans="1:24" s="1" customFormat="1" ht="21" customHeight="1" x14ac:dyDescent="0.3">
      <c r="A4758" s="24" t="s">
        <v>23</v>
      </c>
      <c r="B4758" s="24" t="s">
        <v>4241</v>
      </c>
      <c r="C4758" s="27" t="s">
        <v>4242</v>
      </c>
      <c r="D4758" s="60"/>
      <c r="E4758" s="41" t="str">
        <f>HYPERLINK("https://www.google.ru/search?q=6009540-001&amp;newwindow=1&amp;tbm=isch","Еще фото")</f>
        <v>Еще фото</v>
      </c>
      <c r="F4758" s="28" t="s">
        <v>138</v>
      </c>
      <c r="G4758" s="24" t="s">
        <v>3604</v>
      </c>
      <c r="H4758" s="24" t="s">
        <v>27</v>
      </c>
      <c r="I4758" s="24" t="s">
        <v>3599</v>
      </c>
      <c r="J4758" s="14" t="s">
        <v>29</v>
      </c>
      <c r="K4758" s="15" t="s">
        <v>59</v>
      </c>
      <c r="L4758" s="62"/>
      <c r="M4758" s="14"/>
      <c r="N4758" s="14" t="s">
        <v>33</v>
      </c>
      <c r="O4758" s="14"/>
      <c r="P4758" s="15" t="s">
        <v>47</v>
      </c>
      <c r="Q4758" s="16">
        <v>3599</v>
      </c>
      <c r="R4758" s="17">
        <v>40</v>
      </c>
      <c r="S4758" s="18">
        <v>2483.31</v>
      </c>
      <c r="T4758" s="19" t="s">
        <v>36</v>
      </c>
      <c r="U4758" s="20" t="s">
        <v>39</v>
      </c>
      <c r="V4758" s="21" t="s">
        <v>85</v>
      </c>
      <c r="W4758" s="22">
        <v>21</v>
      </c>
      <c r="X4758" s="23"/>
    </row>
    <row r="4759" spans="1:24" s="1" customFormat="1" ht="21" customHeight="1" x14ac:dyDescent="0.3">
      <c r="A4759" s="24" t="s">
        <v>23</v>
      </c>
      <c r="B4759" s="24" t="s">
        <v>4241</v>
      </c>
      <c r="C4759" s="27" t="s">
        <v>4242</v>
      </c>
      <c r="D4759" s="60"/>
      <c r="E4759" s="41" t="str">
        <f>HYPERLINK("https://www.google.ru/search?q=6009540-001&amp;newwindow=1&amp;tbm=isch","Еще фото")</f>
        <v>Еще фото</v>
      </c>
      <c r="F4759" s="28" t="s">
        <v>138</v>
      </c>
      <c r="G4759" s="24" t="s">
        <v>3604</v>
      </c>
      <c r="H4759" s="24" t="s">
        <v>27</v>
      </c>
      <c r="I4759" s="24" t="s">
        <v>3599</v>
      </c>
      <c r="J4759" s="14" t="s">
        <v>29</v>
      </c>
      <c r="K4759" s="15" t="s">
        <v>59</v>
      </c>
      <c r="L4759" s="62"/>
      <c r="M4759" s="14"/>
      <c r="N4759" s="14" t="s">
        <v>33</v>
      </c>
      <c r="O4759" s="14"/>
      <c r="P4759" s="15" t="s">
        <v>47</v>
      </c>
      <c r="Q4759" s="16">
        <v>3599</v>
      </c>
      <c r="R4759" s="17">
        <v>40</v>
      </c>
      <c r="S4759" s="18">
        <v>2483.31</v>
      </c>
      <c r="T4759" s="19" t="s">
        <v>36</v>
      </c>
      <c r="U4759" s="20" t="s">
        <v>86</v>
      </c>
      <c r="V4759" s="21" t="s">
        <v>38</v>
      </c>
      <c r="W4759" s="22">
        <v>16</v>
      </c>
      <c r="X4759" s="23"/>
    </row>
    <row r="4760" spans="1:24" s="1" customFormat="1" ht="32" customHeight="1" x14ac:dyDescent="0.3">
      <c r="A4760" s="24" t="s">
        <v>23</v>
      </c>
      <c r="B4760" s="24" t="s">
        <v>4241</v>
      </c>
      <c r="C4760" s="27" t="s">
        <v>4242</v>
      </c>
      <c r="D4760" s="61"/>
      <c r="E4760" s="41" t="str">
        <f>HYPERLINK("https://www.google.ru/search?q=6009540-001&amp;newwindow=1&amp;tbm=isch","Еще фото")</f>
        <v>Еще фото</v>
      </c>
      <c r="F4760" s="28" t="s">
        <v>138</v>
      </c>
      <c r="G4760" s="24" t="s">
        <v>3604</v>
      </c>
      <c r="H4760" s="24" t="s">
        <v>27</v>
      </c>
      <c r="I4760" s="24" t="s">
        <v>3599</v>
      </c>
      <c r="J4760" s="14" t="s">
        <v>29</v>
      </c>
      <c r="K4760" s="15" t="s">
        <v>59</v>
      </c>
      <c r="L4760" s="58"/>
      <c r="M4760" s="14"/>
      <c r="N4760" s="14" t="s">
        <v>33</v>
      </c>
      <c r="O4760" s="14"/>
      <c r="P4760" s="15" t="s">
        <v>47</v>
      </c>
      <c r="Q4760" s="16">
        <v>3599</v>
      </c>
      <c r="R4760" s="17">
        <v>40</v>
      </c>
      <c r="S4760" s="18">
        <v>2483.31</v>
      </c>
      <c r="T4760" s="19" t="s">
        <v>36</v>
      </c>
      <c r="U4760" s="20" t="s">
        <v>88</v>
      </c>
      <c r="V4760" s="21" t="s">
        <v>40</v>
      </c>
      <c r="W4760" s="22">
        <v>4</v>
      </c>
      <c r="X4760" s="23"/>
    </row>
    <row r="4761" spans="1:24" s="1" customFormat="1" ht="108" customHeight="1" x14ac:dyDescent="0.3">
      <c r="A4761" s="11" t="s">
        <v>23</v>
      </c>
      <c r="B4761" s="11" t="s">
        <v>4241</v>
      </c>
      <c r="C4761" s="12" t="s">
        <v>4243</v>
      </c>
      <c r="D4761" s="25"/>
      <c r="E4761" s="41" t="str">
        <f>HYPERLINK("https://www.google.ru/search?q=6009540-025&amp;newwindow=1&amp;tbm=isch","Еще фото")</f>
        <v>Еще фото</v>
      </c>
      <c r="F4761" s="13"/>
      <c r="G4761" s="11" t="s">
        <v>3604</v>
      </c>
      <c r="H4761" s="11" t="s">
        <v>27</v>
      </c>
      <c r="I4761" s="14" t="s">
        <v>3599</v>
      </c>
      <c r="J4761" s="14" t="s">
        <v>29</v>
      </c>
      <c r="K4761" s="15" t="s">
        <v>59</v>
      </c>
      <c r="L4761" s="14"/>
      <c r="M4761" s="14"/>
      <c r="N4761" s="14" t="s">
        <v>62</v>
      </c>
      <c r="O4761" s="14"/>
      <c r="P4761" s="15" t="s">
        <v>47</v>
      </c>
      <c r="Q4761" s="16">
        <v>3599</v>
      </c>
      <c r="R4761" s="17">
        <v>40</v>
      </c>
      <c r="S4761" s="18">
        <v>2483.31</v>
      </c>
      <c r="T4761" s="19" t="s">
        <v>36</v>
      </c>
      <c r="U4761" s="20" t="s">
        <v>39</v>
      </c>
      <c r="V4761" s="21" t="s">
        <v>85</v>
      </c>
      <c r="W4761" s="22">
        <v>1</v>
      </c>
      <c r="X4761" s="23"/>
    </row>
    <row r="4762" spans="1:24" s="1" customFormat="1" ht="26" customHeight="1" x14ac:dyDescent="0.3">
      <c r="A4762" s="11" t="s">
        <v>23</v>
      </c>
      <c r="B4762" s="11" t="s">
        <v>4241</v>
      </c>
      <c r="C4762" s="12" t="s">
        <v>4244</v>
      </c>
      <c r="D4762" s="59"/>
      <c r="E4762" s="41" t="str">
        <f>HYPERLINK("https://www.google.ru/search?q=6009540-703&amp;newwindow=1&amp;tbm=isch","Еще фото")</f>
        <v>Еще фото</v>
      </c>
      <c r="F4762" s="28" t="s">
        <v>138</v>
      </c>
      <c r="G4762" s="11" t="s">
        <v>3604</v>
      </c>
      <c r="H4762" s="11" t="s">
        <v>27</v>
      </c>
      <c r="I4762" s="14" t="s">
        <v>3599</v>
      </c>
      <c r="J4762" s="14" t="s">
        <v>29</v>
      </c>
      <c r="K4762" s="15" t="s">
        <v>59</v>
      </c>
      <c r="L4762" s="57"/>
      <c r="M4762" s="14"/>
      <c r="N4762" s="14" t="s">
        <v>46</v>
      </c>
      <c r="O4762" s="14"/>
      <c r="P4762" s="15" t="s">
        <v>47</v>
      </c>
      <c r="Q4762" s="16">
        <v>3599</v>
      </c>
      <c r="R4762" s="17">
        <v>40</v>
      </c>
      <c r="S4762" s="18">
        <v>2483.31</v>
      </c>
      <c r="T4762" s="19" t="s">
        <v>36</v>
      </c>
      <c r="U4762" s="20" t="s">
        <v>63</v>
      </c>
      <c r="V4762" s="21" t="s">
        <v>64</v>
      </c>
      <c r="W4762" s="22">
        <v>16</v>
      </c>
      <c r="X4762" s="23"/>
    </row>
    <row r="4763" spans="1:24" s="1" customFormat="1" ht="26" customHeight="1" x14ac:dyDescent="0.3">
      <c r="A4763" s="24" t="s">
        <v>23</v>
      </c>
      <c r="B4763" s="24" t="s">
        <v>4241</v>
      </c>
      <c r="C4763" s="12" t="s">
        <v>4244</v>
      </c>
      <c r="D4763" s="60"/>
      <c r="E4763" s="41" t="str">
        <f>HYPERLINK("https://www.google.ru/search?q=6009540-703&amp;newwindow=1&amp;tbm=isch","Еще фото")</f>
        <v>Еще фото</v>
      </c>
      <c r="F4763" s="28" t="s">
        <v>138</v>
      </c>
      <c r="G4763" s="24" t="s">
        <v>3604</v>
      </c>
      <c r="H4763" s="24" t="s">
        <v>27</v>
      </c>
      <c r="I4763" s="24" t="s">
        <v>3599</v>
      </c>
      <c r="J4763" s="14" t="s">
        <v>29</v>
      </c>
      <c r="K4763" s="15" t="s">
        <v>59</v>
      </c>
      <c r="L4763" s="62"/>
      <c r="M4763" s="14"/>
      <c r="N4763" s="14" t="s">
        <v>46</v>
      </c>
      <c r="O4763" s="14"/>
      <c r="P4763" s="15" t="s">
        <v>47</v>
      </c>
      <c r="Q4763" s="16">
        <v>3599</v>
      </c>
      <c r="R4763" s="17">
        <v>40</v>
      </c>
      <c r="S4763" s="18">
        <v>2483.31</v>
      </c>
      <c r="T4763" s="19" t="s">
        <v>36</v>
      </c>
      <c r="U4763" s="20" t="s">
        <v>37</v>
      </c>
      <c r="V4763" s="21" t="s">
        <v>106</v>
      </c>
      <c r="W4763" s="22">
        <v>19</v>
      </c>
      <c r="X4763" s="23"/>
    </row>
    <row r="4764" spans="1:24" s="1" customFormat="1" ht="26" customHeight="1" x14ac:dyDescent="0.3">
      <c r="A4764" s="24" t="s">
        <v>23</v>
      </c>
      <c r="B4764" s="24" t="s">
        <v>4241</v>
      </c>
      <c r="C4764" s="12" t="s">
        <v>4244</v>
      </c>
      <c r="D4764" s="60"/>
      <c r="E4764" s="41" t="str">
        <f>HYPERLINK("https://www.google.ru/search?q=6009540-703&amp;newwindow=1&amp;tbm=isch","Еще фото")</f>
        <v>Еще фото</v>
      </c>
      <c r="F4764" s="28" t="s">
        <v>138</v>
      </c>
      <c r="G4764" s="24" t="s">
        <v>3604</v>
      </c>
      <c r="H4764" s="24" t="s">
        <v>27</v>
      </c>
      <c r="I4764" s="24" t="s">
        <v>3599</v>
      </c>
      <c r="J4764" s="14" t="s">
        <v>29</v>
      </c>
      <c r="K4764" s="15" t="s">
        <v>59</v>
      </c>
      <c r="L4764" s="62"/>
      <c r="M4764" s="14"/>
      <c r="N4764" s="14" t="s">
        <v>46</v>
      </c>
      <c r="O4764" s="14"/>
      <c r="P4764" s="15" t="s">
        <v>47</v>
      </c>
      <c r="Q4764" s="16">
        <v>3599</v>
      </c>
      <c r="R4764" s="17">
        <v>40</v>
      </c>
      <c r="S4764" s="18">
        <v>2483.31</v>
      </c>
      <c r="T4764" s="19" t="s">
        <v>36</v>
      </c>
      <c r="U4764" s="20" t="s">
        <v>39</v>
      </c>
      <c r="V4764" s="21" t="s">
        <v>85</v>
      </c>
      <c r="W4764" s="22">
        <v>18</v>
      </c>
      <c r="X4764" s="23"/>
    </row>
    <row r="4765" spans="1:24" s="1" customFormat="1" ht="26" customHeight="1" x14ac:dyDescent="0.3">
      <c r="A4765" s="24" t="s">
        <v>23</v>
      </c>
      <c r="B4765" s="24" t="s">
        <v>4241</v>
      </c>
      <c r="C4765" s="12" t="s">
        <v>4244</v>
      </c>
      <c r="D4765" s="61"/>
      <c r="E4765" s="41" t="str">
        <f>HYPERLINK("https://www.google.ru/search?q=6009540-703&amp;newwindow=1&amp;tbm=isch","Еще фото")</f>
        <v>Еще фото</v>
      </c>
      <c r="F4765" s="28" t="s">
        <v>138</v>
      </c>
      <c r="G4765" s="24" t="s">
        <v>3604</v>
      </c>
      <c r="H4765" s="24" t="s">
        <v>27</v>
      </c>
      <c r="I4765" s="24" t="s">
        <v>3599</v>
      </c>
      <c r="J4765" s="14" t="s">
        <v>29</v>
      </c>
      <c r="K4765" s="15" t="s">
        <v>59</v>
      </c>
      <c r="L4765" s="58"/>
      <c r="M4765" s="14"/>
      <c r="N4765" s="14" t="s">
        <v>46</v>
      </c>
      <c r="O4765" s="14"/>
      <c r="P4765" s="15" t="s">
        <v>47</v>
      </c>
      <c r="Q4765" s="16">
        <v>3599</v>
      </c>
      <c r="R4765" s="17">
        <v>40</v>
      </c>
      <c r="S4765" s="18">
        <v>2483.31</v>
      </c>
      <c r="T4765" s="19" t="s">
        <v>36</v>
      </c>
      <c r="U4765" s="20" t="s">
        <v>86</v>
      </c>
      <c r="V4765" s="21" t="s">
        <v>38</v>
      </c>
      <c r="W4765" s="22">
        <v>15</v>
      </c>
      <c r="X4765" s="23"/>
    </row>
    <row r="4766" spans="1:24" s="1" customFormat="1" ht="26" customHeight="1" x14ac:dyDescent="0.3">
      <c r="A4766" s="11" t="s">
        <v>23</v>
      </c>
      <c r="B4766" s="11" t="s">
        <v>4245</v>
      </c>
      <c r="C4766" s="12" t="s">
        <v>4246</v>
      </c>
      <c r="D4766" s="59"/>
      <c r="E4766" s="41" t="str">
        <f>HYPERLINK("https://www.google.ru/search?q=6009652-477&amp;newwindow=1&amp;tbm=isch","Еще фото")</f>
        <v>Еще фото</v>
      </c>
      <c r="F4766" s="13"/>
      <c r="G4766" s="11" t="s">
        <v>3632</v>
      </c>
      <c r="H4766" s="11" t="s">
        <v>27</v>
      </c>
      <c r="I4766" s="14" t="s">
        <v>3599</v>
      </c>
      <c r="J4766" s="14" t="s">
        <v>211</v>
      </c>
      <c r="K4766" s="15" t="s">
        <v>30</v>
      </c>
      <c r="L4766" s="57" t="s">
        <v>4247</v>
      </c>
      <c r="M4766" s="14"/>
      <c r="N4766" s="14" t="s">
        <v>46</v>
      </c>
      <c r="O4766" s="14"/>
      <c r="P4766" s="15" t="s">
        <v>47</v>
      </c>
      <c r="Q4766" s="16">
        <v>7899</v>
      </c>
      <c r="R4766" s="17">
        <v>40</v>
      </c>
      <c r="S4766" s="18">
        <v>5450.3099999999995</v>
      </c>
      <c r="T4766" s="19" t="s">
        <v>36</v>
      </c>
      <c r="U4766" s="20" t="s">
        <v>37</v>
      </c>
      <c r="V4766" s="21" t="s">
        <v>38</v>
      </c>
      <c r="W4766" s="22">
        <v>9</v>
      </c>
      <c r="X4766" s="23"/>
    </row>
    <row r="4767" spans="1:24" s="1" customFormat="1" ht="26" customHeight="1" x14ac:dyDescent="0.3">
      <c r="A4767" s="24" t="s">
        <v>23</v>
      </c>
      <c r="B4767" s="24" t="s">
        <v>4245</v>
      </c>
      <c r="C4767" s="12" t="s">
        <v>4246</v>
      </c>
      <c r="D4767" s="60"/>
      <c r="E4767" s="41" t="str">
        <f>HYPERLINK("https://www.google.ru/search?q=6009652-477&amp;newwindow=1&amp;tbm=isch","Еще фото")</f>
        <v>Еще фото</v>
      </c>
      <c r="F4767" s="13"/>
      <c r="G4767" s="24" t="s">
        <v>3632</v>
      </c>
      <c r="H4767" s="24" t="s">
        <v>27</v>
      </c>
      <c r="I4767" s="24" t="s">
        <v>3599</v>
      </c>
      <c r="J4767" s="14" t="s">
        <v>211</v>
      </c>
      <c r="K4767" s="15" t="s">
        <v>30</v>
      </c>
      <c r="L4767" s="62"/>
      <c r="M4767" s="14"/>
      <c r="N4767" s="14" t="s">
        <v>46</v>
      </c>
      <c r="O4767" s="14"/>
      <c r="P4767" s="15" t="s">
        <v>47</v>
      </c>
      <c r="Q4767" s="16">
        <v>7899</v>
      </c>
      <c r="R4767" s="17">
        <v>40</v>
      </c>
      <c r="S4767" s="18">
        <v>5450.3099999999995</v>
      </c>
      <c r="T4767" s="19" t="s">
        <v>36</v>
      </c>
      <c r="U4767" s="20" t="s">
        <v>39</v>
      </c>
      <c r="V4767" s="21" t="s">
        <v>40</v>
      </c>
      <c r="W4767" s="22">
        <v>12</v>
      </c>
      <c r="X4767" s="23"/>
    </row>
    <row r="4768" spans="1:24" s="1" customFormat="1" ht="26" customHeight="1" x14ac:dyDescent="0.3">
      <c r="A4768" s="24" t="s">
        <v>23</v>
      </c>
      <c r="B4768" s="24" t="s">
        <v>4245</v>
      </c>
      <c r="C4768" s="12" t="s">
        <v>4246</v>
      </c>
      <c r="D4768" s="60"/>
      <c r="E4768" s="41" t="str">
        <f>HYPERLINK("https://www.google.ru/search?q=6009652-477&amp;newwindow=1&amp;tbm=isch","Еще фото")</f>
        <v>Еще фото</v>
      </c>
      <c r="F4768" s="13"/>
      <c r="G4768" s="24" t="s">
        <v>3632</v>
      </c>
      <c r="H4768" s="24" t="s">
        <v>27</v>
      </c>
      <c r="I4768" s="24" t="s">
        <v>3599</v>
      </c>
      <c r="J4768" s="14" t="s">
        <v>211</v>
      </c>
      <c r="K4768" s="15" t="s">
        <v>30</v>
      </c>
      <c r="L4768" s="62"/>
      <c r="M4768" s="14"/>
      <c r="N4768" s="14" t="s">
        <v>46</v>
      </c>
      <c r="O4768" s="14"/>
      <c r="P4768" s="15" t="s">
        <v>47</v>
      </c>
      <c r="Q4768" s="16">
        <v>7899</v>
      </c>
      <c r="R4768" s="17">
        <v>40</v>
      </c>
      <c r="S4768" s="18">
        <v>5450.3099999999995</v>
      </c>
      <c r="T4768" s="19" t="s">
        <v>36</v>
      </c>
      <c r="U4768" s="20" t="s">
        <v>88</v>
      </c>
      <c r="V4768" s="21" t="s">
        <v>89</v>
      </c>
      <c r="W4768" s="22">
        <v>8</v>
      </c>
      <c r="X4768" s="23"/>
    </row>
    <row r="4769" spans="1:24" s="1" customFormat="1" ht="26" customHeight="1" x14ac:dyDescent="0.3">
      <c r="A4769" s="24" t="s">
        <v>23</v>
      </c>
      <c r="B4769" s="24" t="s">
        <v>4245</v>
      </c>
      <c r="C4769" s="12" t="s">
        <v>4246</v>
      </c>
      <c r="D4769" s="61"/>
      <c r="E4769" s="41" t="str">
        <f>HYPERLINK("https://www.google.ru/search?q=6009652-477&amp;newwindow=1&amp;tbm=isch","Еще фото")</f>
        <v>Еще фото</v>
      </c>
      <c r="F4769" s="13"/>
      <c r="G4769" s="24" t="s">
        <v>3632</v>
      </c>
      <c r="H4769" s="24" t="s">
        <v>27</v>
      </c>
      <c r="I4769" s="24" t="s">
        <v>3599</v>
      </c>
      <c r="J4769" s="14" t="s">
        <v>211</v>
      </c>
      <c r="K4769" s="15" t="s">
        <v>30</v>
      </c>
      <c r="L4769" s="58"/>
      <c r="M4769" s="14"/>
      <c r="N4769" s="14" t="s">
        <v>46</v>
      </c>
      <c r="O4769" s="14"/>
      <c r="P4769" s="15" t="s">
        <v>47</v>
      </c>
      <c r="Q4769" s="16">
        <v>7899</v>
      </c>
      <c r="R4769" s="17">
        <v>40</v>
      </c>
      <c r="S4769" s="18">
        <v>5450.3099999999995</v>
      </c>
      <c r="T4769" s="19" t="s">
        <v>36</v>
      </c>
      <c r="U4769" s="20" t="s">
        <v>90</v>
      </c>
      <c r="V4769" s="21" t="s">
        <v>91</v>
      </c>
      <c r="W4769" s="22">
        <v>5</v>
      </c>
      <c r="X4769" s="23"/>
    </row>
    <row r="4770" spans="1:24" s="1" customFormat="1" ht="21" customHeight="1" x14ac:dyDescent="0.3">
      <c r="A4770" s="11" t="s">
        <v>23</v>
      </c>
      <c r="B4770" s="11" t="s">
        <v>4248</v>
      </c>
      <c r="C4770" s="26" t="s">
        <v>4249</v>
      </c>
      <c r="D4770" s="59"/>
      <c r="E4770" s="41" t="str">
        <f>HYPERLINK("https://www.google.ru/search?q=6009719-014&amp;newwindow=1&amp;tbm=isch","Еще фото")</f>
        <v>Еще фото</v>
      </c>
      <c r="F4770" s="13"/>
      <c r="G4770" s="11" t="s">
        <v>3632</v>
      </c>
      <c r="H4770" s="11" t="s">
        <v>27</v>
      </c>
      <c r="I4770" s="14" t="s">
        <v>3599</v>
      </c>
      <c r="J4770" s="14" t="s">
        <v>211</v>
      </c>
      <c r="K4770" s="15" t="s">
        <v>30</v>
      </c>
      <c r="L4770" s="57" t="s">
        <v>4250</v>
      </c>
      <c r="M4770" s="14"/>
      <c r="N4770" s="14" t="s">
        <v>62</v>
      </c>
      <c r="O4770" s="14"/>
      <c r="P4770" s="15" t="s">
        <v>47</v>
      </c>
      <c r="Q4770" s="16">
        <v>8499</v>
      </c>
      <c r="R4770" s="17">
        <v>40</v>
      </c>
      <c r="S4770" s="18">
        <v>5864.3099999999995</v>
      </c>
      <c r="T4770" s="19" t="s">
        <v>36</v>
      </c>
      <c r="U4770" s="20" t="s">
        <v>37</v>
      </c>
      <c r="V4770" s="21" t="s">
        <v>38</v>
      </c>
      <c r="W4770" s="22">
        <v>8</v>
      </c>
      <c r="X4770" s="23"/>
    </row>
    <row r="4771" spans="1:24" s="1" customFormat="1" ht="21" customHeight="1" x14ac:dyDescent="0.3">
      <c r="A4771" s="24" t="s">
        <v>23</v>
      </c>
      <c r="B4771" s="24" t="s">
        <v>4248</v>
      </c>
      <c r="C4771" s="27" t="s">
        <v>4249</v>
      </c>
      <c r="D4771" s="60"/>
      <c r="E4771" s="41" t="str">
        <f>HYPERLINK("https://www.google.ru/search?q=6009719-014&amp;newwindow=1&amp;tbm=isch","Еще фото")</f>
        <v>Еще фото</v>
      </c>
      <c r="F4771" s="13"/>
      <c r="G4771" s="24" t="s">
        <v>3632</v>
      </c>
      <c r="H4771" s="24" t="s">
        <v>27</v>
      </c>
      <c r="I4771" s="24" t="s">
        <v>3599</v>
      </c>
      <c r="J4771" s="14" t="s">
        <v>211</v>
      </c>
      <c r="K4771" s="15" t="s">
        <v>30</v>
      </c>
      <c r="L4771" s="62"/>
      <c r="M4771" s="14"/>
      <c r="N4771" s="14" t="s">
        <v>62</v>
      </c>
      <c r="O4771" s="14"/>
      <c r="P4771" s="15" t="s">
        <v>47</v>
      </c>
      <c r="Q4771" s="16">
        <v>8499</v>
      </c>
      <c r="R4771" s="17">
        <v>40</v>
      </c>
      <c r="S4771" s="18">
        <v>5864.3099999999995</v>
      </c>
      <c r="T4771" s="19" t="s">
        <v>36</v>
      </c>
      <c r="U4771" s="20" t="s">
        <v>39</v>
      </c>
      <c r="V4771" s="21" t="s">
        <v>40</v>
      </c>
      <c r="W4771" s="22">
        <v>22</v>
      </c>
      <c r="X4771" s="23"/>
    </row>
    <row r="4772" spans="1:24" s="1" customFormat="1" ht="21" customHeight="1" x14ac:dyDescent="0.3">
      <c r="A4772" s="24" t="s">
        <v>23</v>
      </c>
      <c r="B4772" s="24" t="s">
        <v>4248</v>
      </c>
      <c r="C4772" s="27" t="s">
        <v>4249</v>
      </c>
      <c r="D4772" s="60"/>
      <c r="E4772" s="41" t="str">
        <f>HYPERLINK("https://www.google.ru/search?q=6009719-014&amp;newwindow=1&amp;tbm=isch","Еще фото")</f>
        <v>Еще фото</v>
      </c>
      <c r="F4772" s="13"/>
      <c r="G4772" s="24" t="s">
        <v>3632</v>
      </c>
      <c r="H4772" s="24" t="s">
        <v>27</v>
      </c>
      <c r="I4772" s="24" t="s">
        <v>3599</v>
      </c>
      <c r="J4772" s="14" t="s">
        <v>211</v>
      </c>
      <c r="K4772" s="15" t="s">
        <v>30</v>
      </c>
      <c r="L4772" s="62"/>
      <c r="M4772" s="14"/>
      <c r="N4772" s="14" t="s">
        <v>62</v>
      </c>
      <c r="O4772" s="14"/>
      <c r="P4772" s="15" t="s">
        <v>47</v>
      </c>
      <c r="Q4772" s="16">
        <v>8499</v>
      </c>
      <c r="R4772" s="17">
        <v>40</v>
      </c>
      <c r="S4772" s="18">
        <v>5864.3099999999995</v>
      </c>
      <c r="T4772" s="19" t="s">
        <v>36</v>
      </c>
      <c r="U4772" s="20" t="s">
        <v>86</v>
      </c>
      <c r="V4772" s="21" t="s">
        <v>87</v>
      </c>
      <c r="W4772" s="22">
        <v>21</v>
      </c>
      <c r="X4772" s="23"/>
    </row>
    <row r="4773" spans="1:24" s="1" customFormat="1" ht="21" customHeight="1" x14ac:dyDescent="0.3">
      <c r="A4773" s="24" t="s">
        <v>23</v>
      </c>
      <c r="B4773" s="24" t="s">
        <v>4248</v>
      </c>
      <c r="C4773" s="27" t="s">
        <v>4249</v>
      </c>
      <c r="D4773" s="60"/>
      <c r="E4773" s="41" t="str">
        <f>HYPERLINK("https://www.google.ru/search?q=6009719-014&amp;newwindow=1&amp;tbm=isch","Еще фото")</f>
        <v>Еще фото</v>
      </c>
      <c r="F4773" s="13"/>
      <c r="G4773" s="24" t="s">
        <v>3632</v>
      </c>
      <c r="H4773" s="24" t="s">
        <v>27</v>
      </c>
      <c r="I4773" s="24" t="s">
        <v>3599</v>
      </c>
      <c r="J4773" s="14" t="s">
        <v>211</v>
      </c>
      <c r="K4773" s="15" t="s">
        <v>30</v>
      </c>
      <c r="L4773" s="62"/>
      <c r="M4773" s="14"/>
      <c r="N4773" s="14" t="s">
        <v>62</v>
      </c>
      <c r="O4773" s="14"/>
      <c r="P4773" s="15" t="s">
        <v>47</v>
      </c>
      <c r="Q4773" s="16">
        <v>8499</v>
      </c>
      <c r="R4773" s="17">
        <v>40</v>
      </c>
      <c r="S4773" s="18">
        <v>5864.3099999999995</v>
      </c>
      <c r="T4773" s="19" t="s">
        <v>36</v>
      </c>
      <c r="U4773" s="20" t="s">
        <v>88</v>
      </c>
      <c r="V4773" s="21" t="s">
        <v>89</v>
      </c>
      <c r="W4773" s="22">
        <v>15</v>
      </c>
      <c r="X4773" s="23"/>
    </row>
    <row r="4774" spans="1:24" s="1" customFormat="1" ht="32" customHeight="1" x14ac:dyDescent="0.3">
      <c r="A4774" s="24" t="s">
        <v>23</v>
      </c>
      <c r="B4774" s="24" t="s">
        <v>4248</v>
      </c>
      <c r="C4774" s="27" t="s">
        <v>4249</v>
      </c>
      <c r="D4774" s="61"/>
      <c r="E4774" s="41" t="str">
        <f>HYPERLINK("https://www.google.ru/search?q=6009719-014&amp;newwindow=1&amp;tbm=isch","Еще фото")</f>
        <v>Еще фото</v>
      </c>
      <c r="F4774" s="13"/>
      <c r="G4774" s="24" t="s">
        <v>3632</v>
      </c>
      <c r="H4774" s="24" t="s">
        <v>27</v>
      </c>
      <c r="I4774" s="24" t="s">
        <v>3599</v>
      </c>
      <c r="J4774" s="14" t="s">
        <v>211</v>
      </c>
      <c r="K4774" s="15" t="s">
        <v>30</v>
      </c>
      <c r="L4774" s="58"/>
      <c r="M4774" s="14"/>
      <c r="N4774" s="14" t="s">
        <v>62</v>
      </c>
      <c r="O4774" s="14"/>
      <c r="P4774" s="15" t="s">
        <v>47</v>
      </c>
      <c r="Q4774" s="16">
        <v>8499</v>
      </c>
      <c r="R4774" s="17">
        <v>40</v>
      </c>
      <c r="S4774" s="18">
        <v>5864.3099999999995</v>
      </c>
      <c r="T4774" s="19" t="s">
        <v>36</v>
      </c>
      <c r="U4774" s="20" t="s">
        <v>90</v>
      </c>
      <c r="V4774" s="21" t="s">
        <v>91</v>
      </c>
      <c r="W4774" s="22">
        <v>11</v>
      </c>
      <c r="X4774" s="23"/>
    </row>
    <row r="4775" spans="1:24" s="1" customFormat="1" ht="21" customHeight="1" x14ac:dyDescent="0.3">
      <c r="A4775" s="11" t="s">
        <v>23</v>
      </c>
      <c r="B4775" s="11" t="s">
        <v>4251</v>
      </c>
      <c r="C4775" s="26" t="s">
        <v>4252</v>
      </c>
      <c r="D4775" s="59"/>
      <c r="E4775" s="41" t="str">
        <f>HYPERLINK("https://www.google.ru/search?q=6009724-001&amp;newwindow=1&amp;tbm=isch","Еще фото")</f>
        <v>Еще фото</v>
      </c>
      <c r="F4775" s="13"/>
      <c r="G4775" s="11" t="s">
        <v>3632</v>
      </c>
      <c r="H4775" s="11" t="s">
        <v>27</v>
      </c>
      <c r="I4775" s="14" t="s">
        <v>3599</v>
      </c>
      <c r="J4775" s="14" t="s">
        <v>211</v>
      </c>
      <c r="K4775" s="15" t="s">
        <v>30</v>
      </c>
      <c r="L4775" s="57" t="s">
        <v>4253</v>
      </c>
      <c r="M4775" s="14"/>
      <c r="N4775" s="14" t="s">
        <v>98</v>
      </c>
      <c r="O4775" s="14"/>
      <c r="P4775" s="15" t="s">
        <v>4254</v>
      </c>
      <c r="Q4775" s="16">
        <v>8099</v>
      </c>
      <c r="R4775" s="17">
        <v>40</v>
      </c>
      <c r="S4775" s="18">
        <v>5588.3099999999995</v>
      </c>
      <c r="T4775" s="19" t="s">
        <v>36</v>
      </c>
      <c r="U4775" s="20" t="s">
        <v>37</v>
      </c>
      <c r="V4775" s="21" t="s">
        <v>38</v>
      </c>
      <c r="W4775" s="22">
        <v>10</v>
      </c>
      <c r="X4775" s="23"/>
    </row>
    <row r="4776" spans="1:24" s="1" customFormat="1" ht="21" customHeight="1" x14ac:dyDescent="0.3">
      <c r="A4776" s="24" t="s">
        <v>23</v>
      </c>
      <c r="B4776" s="24" t="s">
        <v>4251</v>
      </c>
      <c r="C4776" s="27" t="s">
        <v>4252</v>
      </c>
      <c r="D4776" s="60"/>
      <c r="E4776" s="41" t="str">
        <f>HYPERLINK("https://www.google.ru/search?q=6009724-001&amp;newwindow=1&amp;tbm=isch","Еще фото")</f>
        <v>Еще фото</v>
      </c>
      <c r="F4776" s="13"/>
      <c r="G4776" s="24" t="s">
        <v>3632</v>
      </c>
      <c r="H4776" s="24" t="s">
        <v>27</v>
      </c>
      <c r="I4776" s="24" t="s">
        <v>3599</v>
      </c>
      <c r="J4776" s="14" t="s">
        <v>211</v>
      </c>
      <c r="K4776" s="15" t="s">
        <v>30</v>
      </c>
      <c r="L4776" s="62"/>
      <c r="M4776" s="14"/>
      <c r="N4776" s="14" t="s">
        <v>98</v>
      </c>
      <c r="O4776" s="14"/>
      <c r="P4776" s="15" t="s">
        <v>4254</v>
      </c>
      <c r="Q4776" s="16">
        <v>8099</v>
      </c>
      <c r="R4776" s="17">
        <v>40</v>
      </c>
      <c r="S4776" s="18">
        <v>5588.3099999999995</v>
      </c>
      <c r="T4776" s="19" t="s">
        <v>36</v>
      </c>
      <c r="U4776" s="20" t="s">
        <v>39</v>
      </c>
      <c r="V4776" s="21" t="s">
        <v>40</v>
      </c>
      <c r="W4776" s="22">
        <v>20</v>
      </c>
      <c r="X4776" s="23"/>
    </row>
    <row r="4777" spans="1:24" s="1" customFormat="1" ht="21" customHeight="1" x14ac:dyDescent="0.3">
      <c r="A4777" s="24" t="s">
        <v>23</v>
      </c>
      <c r="B4777" s="24" t="s">
        <v>4251</v>
      </c>
      <c r="C4777" s="27" t="s">
        <v>4252</v>
      </c>
      <c r="D4777" s="60"/>
      <c r="E4777" s="41" t="str">
        <f>HYPERLINK("https://www.google.ru/search?q=6009724-001&amp;newwindow=1&amp;tbm=isch","Еще фото")</f>
        <v>Еще фото</v>
      </c>
      <c r="F4777" s="13"/>
      <c r="G4777" s="24" t="s">
        <v>3632</v>
      </c>
      <c r="H4777" s="24" t="s">
        <v>27</v>
      </c>
      <c r="I4777" s="24" t="s">
        <v>3599</v>
      </c>
      <c r="J4777" s="14" t="s">
        <v>211</v>
      </c>
      <c r="K4777" s="15" t="s">
        <v>30</v>
      </c>
      <c r="L4777" s="62"/>
      <c r="M4777" s="14"/>
      <c r="N4777" s="14" t="s">
        <v>98</v>
      </c>
      <c r="O4777" s="14"/>
      <c r="P4777" s="15" t="s">
        <v>4254</v>
      </c>
      <c r="Q4777" s="16">
        <v>8099</v>
      </c>
      <c r="R4777" s="17">
        <v>40</v>
      </c>
      <c r="S4777" s="18">
        <v>5588.3099999999995</v>
      </c>
      <c r="T4777" s="19" t="s">
        <v>36</v>
      </c>
      <c r="U4777" s="20" t="s">
        <v>86</v>
      </c>
      <c r="V4777" s="21" t="s">
        <v>87</v>
      </c>
      <c r="W4777" s="22">
        <v>17</v>
      </c>
      <c r="X4777" s="23"/>
    </row>
    <row r="4778" spans="1:24" s="1" customFormat="1" ht="21" customHeight="1" x14ac:dyDescent="0.3">
      <c r="A4778" s="24" t="s">
        <v>23</v>
      </c>
      <c r="B4778" s="24" t="s">
        <v>4251</v>
      </c>
      <c r="C4778" s="27" t="s">
        <v>4252</v>
      </c>
      <c r="D4778" s="60"/>
      <c r="E4778" s="41" t="str">
        <f>HYPERLINK("https://www.google.ru/search?q=6009724-001&amp;newwindow=1&amp;tbm=isch","Еще фото")</f>
        <v>Еще фото</v>
      </c>
      <c r="F4778" s="13"/>
      <c r="G4778" s="24" t="s">
        <v>3632</v>
      </c>
      <c r="H4778" s="24" t="s">
        <v>27</v>
      </c>
      <c r="I4778" s="24" t="s">
        <v>3599</v>
      </c>
      <c r="J4778" s="14" t="s">
        <v>211</v>
      </c>
      <c r="K4778" s="15" t="s">
        <v>30</v>
      </c>
      <c r="L4778" s="62"/>
      <c r="M4778" s="14"/>
      <c r="N4778" s="14" t="s">
        <v>98</v>
      </c>
      <c r="O4778" s="14"/>
      <c r="P4778" s="15" t="s">
        <v>4254</v>
      </c>
      <c r="Q4778" s="16">
        <v>8099</v>
      </c>
      <c r="R4778" s="17">
        <v>40</v>
      </c>
      <c r="S4778" s="18">
        <v>5588.3099999999995</v>
      </c>
      <c r="T4778" s="19" t="s">
        <v>36</v>
      </c>
      <c r="U4778" s="20" t="s">
        <v>88</v>
      </c>
      <c r="V4778" s="21" t="s">
        <v>89</v>
      </c>
      <c r="W4778" s="22">
        <v>14</v>
      </c>
      <c r="X4778" s="23"/>
    </row>
    <row r="4779" spans="1:24" s="1" customFormat="1" ht="32" customHeight="1" x14ac:dyDescent="0.3">
      <c r="A4779" s="24" t="s">
        <v>23</v>
      </c>
      <c r="B4779" s="24" t="s">
        <v>4251</v>
      </c>
      <c r="C4779" s="27" t="s">
        <v>4252</v>
      </c>
      <c r="D4779" s="61"/>
      <c r="E4779" s="41" t="str">
        <f>HYPERLINK("https://www.google.ru/search?q=6009724-001&amp;newwindow=1&amp;tbm=isch","Еще фото")</f>
        <v>Еще фото</v>
      </c>
      <c r="F4779" s="13"/>
      <c r="G4779" s="24" t="s">
        <v>3632</v>
      </c>
      <c r="H4779" s="24" t="s">
        <v>27</v>
      </c>
      <c r="I4779" s="24" t="s">
        <v>3599</v>
      </c>
      <c r="J4779" s="14" t="s">
        <v>211</v>
      </c>
      <c r="K4779" s="15" t="s">
        <v>30</v>
      </c>
      <c r="L4779" s="58"/>
      <c r="M4779" s="14"/>
      <c r="N4779" s="14" t="s">
        <v>98</v>
      </c>
      <c r="O4779" s="14"/>
      <c r="P4779" s="15" t="s">
        <v>4254</v>
      </c>
      <c r="Q4779" s="16">
        <v>8099</v>
      </c>
      <c r="R4779" s="17">
        <v>40</v>
      </c>
      <c r="S4779" s="18">
        <v>5588.3099999999995</v>
      </c>
      <c r="T4779" s="19" t="s">
        <v>36</v>
      </c>
      <c r="U4779" s="20" t="s">
        <v>90</v>
      </c>
      <c r="V4779" s="21" t="s">
        <v>91</v>
      </c>
      <c r="W4779" s="22">
        <v>10</v>
      </c>
      <c r="X4779" s="23"/>
    </row>
    <row r="4780" spans="1:24" s="1" customFormat="1" ht="21" customHeight="1" x14ac:dyDescent="0.3">
      <c r="A4780" s="11" t="s">
        <v>23</v>
      </c>
      <c r="B4780" s="11" t="s">
        <v>4251</v>
      </c>
      <c r="C4780" s="26" t="s">
        <v>4255</v>
      </c>
      <c r="D4780" s="59"/>
      <c r="E4780" s="41" t="str">
        <f>HYPERLINK("https://www.google.ru/search?q=6009724-411&amp;newwindow=1&amp;tbm=isch","Еще фото")</f>
        <v>Еще фото</v>
      </c>
      <c r="F4780" s="13"/>
      <c r="G4780" s="11" t="s">
        <v>3632</v>
      </c>
      <c r="H4780" s="11" t="s">
        <v>27</v>
      </c>
      <c r="I4780" s="14" t="s">
        <v>3599</v>
      </c>
      <c r="J4780" s="14" t="s">
        <v>211</v>
      </c>
      <c r="K4780" s="15" t="s">
        <v>30</v>
      </c>
      <c r="L4780" s="57" t="s">
        <v>4253</v>
      </c>
      <c r="M4780" s="14"/>
      <c r="N4780" s="14" t="s">
        <v>115</v>
      </c>
      <c r="O4780" s="14"/>
      <c r="P4780" s="15" t="s">
        <v>4254</v>
      </c>
      <c r="Q4780" s="16">
        <v>8099</v>
      </c>
      <c r="R4780" s="17">
        <v>40</v>
      </c>
      <c r="S4780" s="18">
        <v>5588.3099999999995</v>
      </c>
      <c r="T4780" s="19" t="s">
        <v>36</v>
      </c>
      <c r="U4780" s="20" t="s">
        <v>37</v>
      </c>
      <c r="V4780" s="21" t="s">
        <v>38</v>
      </c>
      <c r="W4780" s="22">
        <v>10</v>
      </c>
      <c r="X4780" s="23"/>
    </row>
    <row r="4781" spans="1:24" s="1" customFormat="1" ht="21" customHeight="1" x14ac:dyDescent="0.3">
      <c r="A4781" s="24" t="s">
        <v>23</v>
      </c>
      <c r="B4781" s="24" t="s">
        <v>4251</v>
      </c>
      <c r="C4781" s="27" t="s">
        <v>4255</v>
      </c>
      <c r="D4781" s="60"/>
      <c r="E4781" s="41" t="str">
        <f>HYPERLINK("https://www.google.ru/search?q=6009724-411&amp;newwindow=1&amp;tbm=isch","Еще фото")</f>
        <v>Еще фото</v>
      </c>
      <c r="F4781" s="13"/>
      <c r="G4781" s="24" t="s">
        <v>3632</v>
      </c>
      <c r="H4781" s="24" t="s">
        <v>27</v>
      </c>
      <c r="I4781" s="24" t="s">
        <v>3599</v>
      </c>
      <c r="J4781" s="14" t="s">
        <v>211</v>
      </c>
      <c r="K4781" s="15" t="s">
        <v>30</v>
      </c>
      <c r="L4781" s="62"/>
      <c r="M4781" s="14"/>
      <c r="N4781" s="14" t="s">
        <v>115</v>
      </c>
      <c r="O4781" s="14"/>
      <c r="P4781" s="15" t="s">
        <v>4254</v>
      </c>
      <c r="Q4781" s="16">
        <v>8099</v>
      </c>
      <c r="R4781" s="17">
        <v>40</v>
      </c>
      <c r="S4781" s="18">
        <v>5588.3099999999995</v>
      </c>
      <c r="T4781" s="19" t="s">
        <v>36</v>
      </c>
      <c r="U4781" s="20" t="s">
        <v>39</v>
      </c>
      <c r="V4781" s="21" t="s">
        <v>40</v>
      </c>
      <c r="W4781" s="22">
        <v>20</v>
      </c>
      <c r="X4781" s="23"/>
    </row>
    <row r="4782" spans="1:24" s="1" customFormat="1" ht="21" customHeight="1" x14ac:dyDescent="0.3">
      <c r="A4782" s="24" t="s">
        <v>23</v>
      </c>
      <c r="B4782" s="24" t="s">
        <v>4251</v>
      </c>
      <c r="C4782" s="27" t="s">
        <v>4255</v>
      </c>
      <c r="D4782" s="60"/>
      <c r="E4782" s="41" t="str">
        <f>HYPERLINK("https://www.google.ru/search?q=6009724-411&amp;newwindow=1&amp;tbm=isch","Еще фото")</f>
        <v>Еще фото</v>
      </c>
      <c r="F4782" s="13"/>
      <c r="G4782" s="24" t="s">
        <v>3632</v>
      </c>
      <c r="H4782" s="24" t="s">
        <v>27</v>
      </c>
      <c r="I4782" s="24" t="s">
        <v>3599</v>
      </c>
      <c r="J4782" s="14" t="s">
        <v>211</v>
      </c>
      <c r="K4782" s="15" t="s">
        <v>30</v>
      </c>
      <c r="L4782" s="62"/>
      <c r="M4782" s="14"/>
      <c r="N4782" s="14" t="s">
        <v>115</v>
      </c>
      <c r="O4782" s="14"/>
      <c r="P4782" s="15" t="s">
        <v>4254</v>
      </c>
      <c r="Q4782" s="16">
        <v>8099</v>
      </c>
      <c r="R4782" s="17">
        <v>40</v>
      </c>
      <c r="S4782" s="18">
        <v>5588.3099999999995</v>
      </c>
      <c r="T4782" s="19" t="s">
        <v>36</v>
      </c>
      <c r="U4782" s="20" t="s">
        <v>86</v>
      </c>
      <c r="V4782" s="21" t="s">
        <v>87</v>
      </c>
      <c r="W4782" s="22">
        <v>19</v>
      </c>
      <c r="X4782" s="23"/>
    </row>
    <row r="4783" spans="1:24" s="1" customFormat="1" ht="21" customHeight="1" x14ac:dyDescent="0.3">
      <c r="A4783" s="24" t="s">
        <v>23</v>
      </c>
      <c r="B4783" s="24" t="s">
        <v>4251</v>
      </c>
      <c r="C4783" s="27" t="s">
        <v>4255</v>
      </c>
      <c r="D4783" s="60"/>
      <c r="E4783" s="41" t="str">
        <f>HYPERLINK("https://www.google.ru/search?q=6009724-411&amp;newwindow=1&amp;tbm=isch","Еще фото")</f>
        <v>Еще фото</v>
      </c>
      <c r="F4783" s="13"/>
      <c r="G4783" s="24" t="s">
        <v>3632</v>
      </c>
      <c r="H4783" s="24" t="s">
        <v>27</v>
      </c>
      <c r="I4783" s="24" t="s">
        <v>3599</v>
      </c>
      <c r="J4783" s="14" t="s">
        <v>211</v>
      </c>
      <c r="K4783" s="15" t="s">
        <v>30</v>
      </c>
      <c r="L4783" s="62"/>
      <c r="M4783" s="14"/>
      <c r="N4783" s="14" t="s">
        <v>115</v>
      </c>
      <c r="O4783" s="14"/>
      <c r="P4783" s="15" t="s">
        <v>4254</v>
      </c>
      <c r="Q4783" s="16">
        <v>8099</v>
      </c>
      <c r="R4783" s="17">
        <v>40</v>
      </c>
      <c r="S4783" s="18">
        <v>5588.3099999999995</v>
      </c>
      <c r="T4783" s="19" t="s">
        <v>36</v>
      </c>
      <c r="U4783" s="20" t="s">
        <v>88</v>
      </c>
      <c r="V4783" s="21" t="s">
        <v>89</v>
      </c>
      <c r="W4783" s="22">
        <v>13</v>
      </c>
      <c r="X4783" s="23"/>
    </row>
    <row r="4784" spans="1:24" s="1" customFormat="1" ht="32" customHeight="1" x14ac:dyDescent="0.3">
      <c r="A4784" s="24" t="s">
        <v>23</v>
      </c>
      <c r="B4784" s="24" t="s">
        <v>4251</v>
      </c>
      <c r="C4784" s="27" t="s">
        <v>4255</v>
      </c>
      <c r="D4784" s="61"/>
      <c r="E4784" s="41" t="str">
        <f>HYPERLINK("https://www.google.ru/search?q=6009724-411&amp;newwindow=1&amp;tbm=isch","Еще фото")</f>
        <v>Еще фото</v>
      </c>
      <c r="F4784" s="13"/>
      <c r="G4784" s="24" t="s">
        <v>3632</v>
      </c>
      <c r="H4784" s="24" t="s">
        <v>27</v>
      </c>
      <c r="I4784" s="24" t="s">
        <v>3599</v>
      </c>
      <c r="J4784" s="14" t="s">
        <v>211</v>
      </c>
      <c r="K4784" s="15" t="s">
        <v>30</v>
      </c>
      <c r="L4784" s="58"/>
      <c r="M4784" s="14"/>
      <c r="N4784" s="14" t="s">
        <v>115</v>
      </c>
      <c r="O4784" s="14"/>
      <c r="P4784" s="15" t="s">
        <v>4254</v>
      </c>
      <c r="Q4784" s="16">
        <v>8099</v>
      </c>
      <c r="R4784" s="17">
        <v>40</v>
      </c>
      <c r="S4784" s="18">
        <v>5588.3099999999995</v>
      </c>
      <c r="T4784" s="19" t="s">
        <v>36</v>
      </c>
      <c r="U4784" s="20" t="s">
        <v>90</v>
      </c>
      <c r="V4784" s="21" t="s">
        <v>91</v>
      </c>
      <c r="W4784" s="22">
        <v>9</v>
      </c>
      <c r="X4784" s="23"/>
    </row>
    <row r="4785" spans="1:24" s="1" customFormat="1" ht="21" customHeight="1" x14ac:dyDescent="0.3">
      <c r="A4785" s="11" t="s">
        <v>23</v>
      </c>
      <c r="B4785" s="11" t="s">
        <v>4256</v>
      </c>
      <c r="C4785" s="26" t="s">
        <v>4257</v>
      </c>
      <c r="D4785" s="59"/>
      <c r="E4785" s="41" t="str">
        <f>HYPERLINK("https://www.google.ru/search?q=6009737-001&amp;newwindow=1&amp;tbm=isch","Еще фото")</f>
        <v>Еще фото</v>
      </c>
      <c r="F4785" s="13"/>
      <c r="G4785" s="11" t="s">
        <v>3632</v>
      </c>
      <c r="H4785" s="11" t="s">
        <v>27</v>
      </c>
      <c r="I4785" s="14" t="s">
        <v>3599</v>
      </c>
      <c r="J4785" s="14" t="s">
        <v>211</v>
      </c>
      <c r="K4785" s="15" t="s">
        <v>30</v>
      </c>
      <c r="L4785" s="57" t="s">
        <v>4258</v>
      </c>
      <c r="M4785" s="14"/>
      <c r="N4785" s="14" t="s">
        <v>33</v>
      </c>
      <c r="O4785" s="14"/>
      <c r="P4785" s="15" t="s">
        <v>47</v>
      </c>
      <c r="Q4785" s="16">
        <v>8299</v>
      </c>
      <c r="R4785" s="17">
        <v>40</v>
      </c>
      <c r="S4785" s="18">
        <v>5726.3099999999995</v>
      </c>
      <c r="T4785" s="19" t="s">
        <v>36</v>
      </c>
      <c r="U4785" s="20" t="s">
        <v>37</v>
      </c>
      <c r="V4785" s="21" t="s">
        <v>38</v>
      </c>
      <c r="W4785" s="22">
        <v>10</v>
      </c>
      <c r="X4785" s="23"/>
    </row>
    <row r="4786" spans="1:24" s="1" customFormat="1" ht="21" customHeight="1" x14ac:dyDescent="0.3">
      <c r="A4786" s="24" t="s">
        <v>23</v>
      </c>
      <c r="B4786" s="24" t="s">
        <v>4256</v>
      </c>
      <c r="C4786" s="27" t="s">
        <v>4257</v>
      </c>
      <c r="D4786" s="60"/>
      <c r="E4786" s="41" t="str">
        <f>HYPERLINK("https://www.google.ru/search?q=6009737-001&amp;newwindow=1&amp;tbm=isch","Еще фото")</f>
        <v>Еще фото</v>
      </c>
      <c r="F4786" s="13"/>
      <c r="G4786" s="24" t="s">
        <v>3632</v>
      </c>
      <c r="H4786" s="24" t="s">
        <v>27</v>
      </c>
      <c r="I4786" s="24" t="s">
        <v>3599</v>
      </c>
      <c r="J4786" s="14" t="s">
        <v>211</v>
      </c>
      <c r="K4786" s="15" t="s">
        <v>30</v>
      </c>
      <c r="L4786" s="62"/>
      <c r="M4786" s="14"/>
      <c r="N4786" s="14" t="s">
        <v>33</v>
      </c>
      <c r="O4786" s="14"/>
      <c r="P4786" s="15" t="s">
        <v>47</v>
      </c>
      <c r="Q4786" s="16">
        <v>8299</v>
      </c>
      <c r="R4786" s="17">
        <v>40</v>
      </c>
      <c r="S4786" s="18">
        <v>5726.3099999999995</v>
      </c>
      <c r="T4786" s="19" t="s">
        <v>36</v>
      </c>
      <c r="U4786" s="20" t="s">
        <v>39</v>
      </c>
      <c r="V4786" s="21" t="s">
        <v>40</v>
      </c>
      <c r="W4786" s="22">
        <v>17</v>
      </c>
      <c r="X4786" s="23"/>
    </row>
    <row r="4787" spans="1:24" s="1" customFormat="1" ht="21" customHeight="1" x14ac:dyDescent="0.3">
      <c r="A4787" s="24" t="s">
        <v>23</v>
      </c>
      <c r="B4787" s="24" t="s">
        <v>4256</v>
      </c>
      <c r="C4787" s="27" t="s">
        <v>4257</v>
      </c>
      <c r="D4787" s="60"/>
      <c r="E4787" s="41" t="str">
        <f>HYPERLINK("https://www.google.ru/search?q=6009737-001&amp;newwindow=1&amp;tbm=isch","Еще фото")</f>
        <v>Еще фото</v>
      </c>
      <c r="F4787" s="13"/>
      <c r="G4787" s="24" t="s">
        <v>3632</v>
      </c>
      <c r="H4787" s="24" t="s">
        <v>27</v>
      </c>
      <c r="I4787" s="24" t="s">
        <v>3599</v>
      </c>
      <c r="J4787" s="14" t="s">
        <v>211</v>
      </c>
      <c r="K4787" s="15" t="s">
        <v>30</v>
      </c>
      <c r="L4787" s="62"/>
      <c r="M4787" s="14"/>
      <c r="N4787" s="14" t="s">
        <v>33</v>
      </c>
      <c r="O4787" s="14"/>
      <c r="P4787" s="15" t="s">
        <v>47</v>
      </c>
      <c r="Q4787" s="16">
        <v>8299</v>
      </c>
      <c r="R4787" s="17">
        <v>40</v>
      </c>
      <c r="S4787" s="18">
        <v>5726.3099999999995</v>
      </c>
      <c r="T4787" s="19" t="s">
        <v>36</v>
      </c>
      <c r="U4787" s="20" t="s">
        <v>86</v>
      </c>
      <c r="V4787" s="21" t="s">
        <v>87</v>
      </c>
      <c r="W4787" s="22">
        <v>17</v>
      </c>
      <c r="X4787" s="23"/>
    </row>
    <row r="4788" spans="1:24" s="1" customFormat="1" ht="21" customHeight="1" x14ac:dyDescent="0.3">
      <c r="A4788" s="24" t="s">
        <v>23</v>
      </c>
      <c r="B4788" s="24" t="s">
        <v>4256</v>
      </c>
      <c r="C4788" s="27" t="s">
        <v>4257</v>
      </c>
      <c r="D4788" s="60"/>
      <c r="E4788" s="41" t="str">
        <f>HYPERLINK("https://www.google.ru/search?q=6009737-001&amp;newwindow=1&amp;tbm=isch","Еще фото")</f>
        <v>Еще фото</v>
      </c>
      <c r="F4788" s="13"/>
      <c r="G4788" s="24" t="s">
        <v>3632</v>
      </c>
      <c r="H4788" s="24" t="s">
        <v>27</v>
      </c>
      <c r="I4788" s="24" t="s">
        <v>3599</v>
      </c>
      <c r="J4788" s="14" t="s">
        <v>211</v>
      </c>
      <c r="K4788" s="15" t="s">
        <v>30</v>
      </c>
      <c r="L4788" s="62"/>
      <c r="M4788" s="14"/>
      <c r="N4788" s="14" t="s">
        <v>33</v>
      </c>
      <c r="O4788" s="14"/>
      <c r="P4788" s="15" t="s">
        <v>47</v>
      </c>
      <c r="Q4788" s="16">
        <v>8299</v>
      </c>
      <c r="R4788" s="17">
        <v>40</v>
      </c>
      <c r="S4788" s="18">
        <v>5726.3099999999995</v>
      </c>
      <c r="T4788" s="19" t="s">
        <v>36</v>
      </c>
      <c r="U4788" s="20" t="s">
        <v>88</v>
      </c>
      <c r="V4788" s="21" t="s">
        <v>89</v>
      </c>
      <c r="W4788" s="22">
        <v>15</v>
      </c>
      <c r="X4788" s="23"/>
    </row>
    <row r="4789" spans="1:24" s="1" customFormat="1" ht="32" customHeight="1" x14ac:dyDescent="0.3">
      <c r="A4789" s="24" t="s">
        <v>23</v>
      </c>
      <c r="B4789" s="24" t="s">
        <v>4256</v>
      </c>
      <c r="C4789" s="27" t="s">
        <v>4257</v>
      </c>
      <c r="D4789" s="61"/>
      <c r="E4789" s="41" t="str">
        <f>HYPERLINK("https://www.google.ru/search?q=6009737-001&amp;newwindow=1&amp;tbm=isch","Еще фото")</f>
        <v>Еще фото</v>
      </c>
      <c r="F4789" s="13"/>
      <c r="G4789" s="24" t="s">
        <v>3632</v>
      </c>
      <c r="H4789" s="24" t="s">
        <v>27</v>
      </c>
      <c r="I4789" s="24" t="s">
        <v>3599</v>
      </c>
      <c r="J4789" s="14" t="s">
        <v>211</v>
      </c>
      <c r="K4789" s="15" t="s">
        <v>30</v>
      </c>
      <c r="L4789" s="58"/>
      <c r="M4789" s="14"/>
      <c r="N4789" s="14" t="s">
        <v>33</v>
      </c>
      <c r="O4789" s="14"/>
      <c r="P4789" s="15" t="s">
        <v>47</v>
      </c>
      <c r="Q4789" s="16">
        <v>8299</v>
      </c>
      <c r="R4789" s="17">
        <v>40</v>
      </c>
      <c r="S4789" s="18">
        <v>5726.3099999999995</v>
      </c>
      <c r="T4789" s="19" t="s">
        <v>36</v>
      </c>
      <c r="U4789" s="20" t="s">
        <v>90</v>
      </c>
      <c r="V4789" s="21" t="s">
        <v>91</v>
      </c>
      <c r="W4789" s="22">
        <v>10</v>
      </c>
      <c r="X4789" s="23"/>
    </row>
    <row r="4790" spans="1:24" s="1" customFormat="1" ht="17" customHeight="1" x14ac:dyDescent="0.3">
      <c r="A4790" s="11" t="s">
        <v>23</v>
      </c>
      <c r="B4790" s="11" t="s">
        <v>4259</v>
      </c>
      <c r="C4790" s="12" t="s">
        <v>4260</v>
      </c>
      <c r="D4790" s="59"/>
      <c r="E4790" s="41" t="str">
        <f t="shared" ref="E4790:E4795" si="175">HYPERLINK("https://www.google.ru/search?q=6009798-069&amp;newwindow=1&amp;tbm=isch","Еще фото")</f>
        <v>Еще фото</v>
      </c>
      <c r="F4790" s="13"/>
      <c r="G4790" s="11" t="s">
        <v>3632</v>
      </c>
      <c r="H4790" s="11" t="s">
        <v>27</v>
      </c>
      <c r="I4790" s="14" t="s">
        <v>3599</v>
      </c>
      <c r="J4790" s="14" t="s">
        <v>211</v>
      </c>
      <c r="K4790" s="15" t="s">
        <v>30</v>
      </c>
      <c r="L4790" s="57" t="s">
        <v>4261</v>
      </c>
      <c r="M4790" s="14"/>
      <c r="N4790" s="14" t="s">
        <v>4262</v>
      </c>
      <c r="O4790" s="14"/>
      <c r="P4790" s="15" t="s">
        <v>1008</v>
      </c>
      <c r="Q4790" s="16">
        <v>6699</v>
      </c>
      <c r="R4790" s="17">
        <v>40</v>
      </c>
      <c r="S4790" s="18">
        <v>4622.3099999999995</v>
      </c>
      <c r="T4790" s="19" t="s">
        <v>36</v>
      </c>
      <c r="U4790" s="20" t="s">
        <v>37</v>
      </c>
      <c r="V4790" s="21" t="s">
        <v>38</v>
      </c>
      <c r="W4790" s="22">
        <v>3</v>
      </c>
      <c r="X4790" s="23"/>
    </row>
    <row r="4791" spans="1:24" s="1" customFormat="1" ht="17" customHeight="1" x14ac:dyDescent="0.3">
      <c r="A4791" s="24" t="s">
        <v>23</v>
      </c>
      <c r="B4791" s="24" t="s">
        <v>4259</v>
      </c>
      <c r="C4791" s="12" t="s">
        <v>4260</v>
      </c>
      <c r="D4791" s="60"/>
      <c r="E4791" s="41" t="str">
        <f t="shared" si="175"/>
        <v>Еще фото</v>
      </c>
      <c r="F4791" s="13"/>
      <c r="G4791" s="24" t="s">
        <v>3632</v>
      </c>
      <c r="H4791" s="24" t="s">
        <v>27</v>
      </c>
      <c r="I4791" s="24" t="s">
        <v>3599</v>
      </c>
      <c r="J4791" s="14" t="s">
        <v>211</v>
      </c>
      <c r="K4791" s="15" t="s">
        <v>30</v>
      </c>
      <c r="L4791" s="62"/>
      <c r="M4791" s="14"/>
      <c r="N4791" s="14" t="s">
        <v>4262</v>
      </c>
      <c r="O4791" s="14"/>
      <c r="P4791" s="15" t="s">
        <v>1008</v>
      </c>
      <c r="Q4791" s="16">
        <v>6699</v>
      </c>
      <c r="R4791" s="17">
        <v>40</v>
      </c>
      <c r="S4791" s="18">
        <v>4622.3099999999995</v>
      </c>
      <c r="T4791" s="19" t="s">
        <v>36</v>
      </c>
      <c r="U4791" s="20" t="s">
        <v>39</v>
      </c>
      <c r="V4791" s="21" t="s">
        <v>40</v>
      </c>
      <c r="W4791" s="22">
        <v>19</v>
      </c>
      <c r="X4791" s="23"/>
    </row>
    <row r="4792" spans="1:24" s="1" customFormat="1" ht="17" customHeight="1" x14ac:dyDescent="0.3">
      <c r="A4792" s="24" t="s">
        <v>23</v>
      </c>
      <c r="B4792" s="24" t="s">
        <v>4259</v>
      </c>
      <c r="C4792" s="12" t="s">
        <v>4260</v>
      </c>
      <c r="D4792" s="60"/>
      <c r="E4792" s="41" t="str">
        <f t="shared" si="175"/>
        <v>Еще фото</v>
      </c>
      <c r="F4792" s="13"/>
      <c r="G4792" s="24" t="s">
        <v>3632</v>
      </c>
      <c r="H4792" s="24" t="s">
        <v>27</v>
      </c>
      <c r="I4792" s="24" t="s">
        <v>3599</v>
      </c>
      <c r="J4792" s="14" t="s">
        <v>211</v>
      </c>
      <c r="K4792" s="15" t="s">
        <v>30</v>
      </c>
      <c r="L4792" s="62"/>
      <c r="M4792" s="14"/>
      <c r="N4792" s="14" t="s">
        <v>4262</v>
      </c>
      <c r="O4792" s="14"/>
      <c r="P4792" s="15" t="s">
        <v>1008</v>
      </c>
      <c r="Q4792" s="16">
        <v>6699</v>
      </c>
      <c r="R4792" s="17">
        <v>40</v>
      </c>
      <c r="S4792" s="18">
        <v>4622.3099999999995</v>
      </c>
      <c r="T4792" s="19" t="s">
        <v>36</v>
      </c>
      <c r="U4792" s="20" t="s">
        <v>86</v>
      </c>
      <c r="V4792" s="21" t="s">
        <v>87</v>
      </c>
      <c r="W4792" s="22">
        <v>10</v>
      </c>
      <c r="X4792" s="23"/>
    </row>
    <row r="4793" spans="1:24" s="1" customFormat="1" ht="17" customHeight="1" x14ac:dyDescent="0.3">
      <c r="A4793" s="24" t="s">
        <v>23</v>
      </c>
      <c r="B4793" s="24" t="s">
        <v>4259</v>
      </c>
      <c r="C4793" s="12" t="s">
        <v>4260</v>
      </c>
      <c r="D4793" s="60"/>
      <c r="E4793" s="41" t="str">
        <f t="shared" si="175"/>
        <v>Еще фото</v>
      </c>
      <c r="F4793" s="13"/>
      <c r="G4793" s="24" t="s">
        <v>3632</v>
      </c>
      <c r="H4793" s="24" t="s">
        <v>27</v>
      </c>
      <c r="I4793" s="24" t="s">
        <v>3599</v>
      </c>
      <c r="J4793" s="14" t="s">
        <v>211</v>
      </c>
      <c r="K4793" s="15" t="s">
        <v>30</v>
      </c>
      <c r="L4793" s="62"/>
      <c r="M4793" s="14"/>
      <c r="N4793" s="14" t="s">
        <v>4262</v>
      </c>
      <c r="O4793" s="14"/>
      <c r="P4793" s="15" t="s">
        <v>1008</v>
      </c>
      <c r="Q4793" s="16">
        <v>6699</v>
      </c>
      <c r="R4793" s="17">
        <v>40</v>
      </c>
      <c r="S4793" s="18">
        <v>4622.3099999999995</v>
      </c>
      <c r="T4793" s="19" t="s">
        <v>36</v>
      </c>
      <c r="U4793" s="20" t="s">
        <v>88</v>
      </c>
      <c r="V4793" s="21" t="s">
        <v>89</v>
      </c>
      <c r="W4793" s="22">
        <v>13</v>
      </c>
      <c r="X4793" s="23"/>
    </row>
    <row r="4794" spans="1:24" s="1" customFormat="1" ht="17" customHeight="1" x14ac:dyDescent="0.3">
      <c r="A4794" s="24" t="s">
        <v>23</v>
      </c>
      <c r="B4794" s="24" t="s">
        <v>4259</v>
      </c>
      <c r="C4794" s="12" t="s">
        <v>4260</v>
      </c>
      <c r="D4794" s="60"/>
      <c r="E4794" s="41" t="str">
        <f t="shared" si="175"/>
        <v>Еще фото</v>
      </c>
      <c r="F4794" s="13"/>
      <c r="G4794" s="24" t="s">
        <v>3632</v>
      </c>
      <c r="H4794" s="24" t="s">
        <v>27</v>
      </c>
      <c r="I4794" s="24" t="s">
        <v>3599</v>
      </c>
      <c r="J4794" s="14" t="s">
        <v>211</v>
      </c>
      <c r="K4794" s="15" t="s">
        <v>30</v>
      </c>
      <c r="L4794" s="62"/>
      <c r="M4794" s="14"/>
      <c r="N4794" s="14" t="s">
        <v>4262</v>
      </c>
      <c r="O4794" s="14"/>
      <c r="P4794" s="15" t="s">
        <v>1008</v>
      </c>
      <c r="Q4794" s="16">
        <v>6699</v>
      </c>
      <c r="R4794" s="17">
        <v>40</v>
      </c>
      <c r="S4794" s="18">
        <v>4622.3099999999995</v>
      </c>
      <c r="T4794" s="19" t="s">
        <v>36</v>
      </c>
      <c r="U4794" s="20" t="s">
        <v>90</v>
      </c>
      <c r="V4794" s="21" t="s">
        <v>91</v>
      </c>
      <c r="W4794" s="22">
        <v>9</v>
      </c>
      <c r="X4794" s="23"/>
    </row>
    <row r="4795" spans="1:24" s="1" customFormat="1" ht="22.05" customHeight="1" x14ac:dyDescent="0.3">
      <c r="A4795" s="24" t="s">
        <v>23</v>
      </c>
      <c r="B4795" s="24" t="s">
        <v>4259</v>
      </c>
      <c r="C4795" s="12" t="s">
        <v>4260</v>
      </c>
      <c r="D4795" s="61"/>
      <c r="E4795" s="41" t="str">
        <f t="shared" si="175"/>
        <v>Еще фото</v>
      </c>
      <c r="F4795" s="13"/>
      <c r="G4795" s="24" t="s">
        <v>3632</v>
      </c>
      <c r="H4795" s="24" t="s">
        <v>27</v>
      </c>
      <c r="I4795" s="24" t="s">
        <v>3599</v>
      </c>
      <c r="J4795" s="14" t="s">
        <v>211</v>
      </c>
      <c r="K4795" s="15" t="s">
        <v>30</v>
      </c>
      <c r="L4795" s="58"/>
      <c r="M4795" s="14"/>
      <c r="N4795" s="14" t="s">
        <v>4262</v>
      </c>
      <c r="O4795" s="14"/>
      <c r="P4795" s="15" t="s">
        <v>1008</v>
      </c>
      <c r="Q4795" s="16">
        <v>6699</v>
      </c>
      <c r="R4795" s="17">
        <v>40</v>
      </c>
      <c r="S4795" s="18">
        <v>4622.3099999999995</v>
      </c>
      <c r="T4795" s="19" t="s">
        <v>36</v>
      </c>
      <c r="U4795" s="20" t="s">
        <v>408</v>
      </c>
      <c r="V4795" s="21" t="s">
        <v>409</v>
      </c>
      <c r="W4795" s="22">
        <v>4</v>
      </c>
      <c r="X4795" s="23"/>
    </row>
    <row r="4796" spans="1:24" s="1" customFormat="1" ht="21" customHeight="1" x14ac:dyDescent="0.3">
      <c r="A4796" s="11" t="s">
        <v>23</v>
      </c>
      <c r="B4796" s="11" t="s">
        <v>4259</v>
      </c>
      <c r="C4796" s="26" t="s">
        <v>4263</v>
      </c>
      <c r="D4796" s="59"/>
      <c r="E4796" s="41" t="str">
        <f>HYPERLINK("https://www.google.ru/search?q=6009798-426&amp;newwindow=1&amp;tbm=isch","Еще фото")</f>
        <v>Еще фото</v>
      </c>
      <c r="F4796" s="13"/>
      <c r="G4796" s="11" t="s">
        <v>3632</v>
      </c>
      <c r="H4796" s="11" t="s">
        <v>27</v>
      </c>
      <c r="I4796" s="14" t="s">
        <v>3599</v>
      </c>
      <c r="J4796" s="14" t="s">
        <v>211</v>
      </c>
      <c r="K4796" s="15" t="s">
        <v>30</v>
      </c>
      <c r="L4796" s="57" t="s">
        <v>4261</v>
      </c>
      <c r="M4796" s="14"/>
      <c r="N4796" s="14" t="s">
        <v>115</v>
      </c>
      <c r="O4796" s="14"/>
      <c r="P4796" s="15" t="s">
        <v>1008</v>
      </c>
      <c r="Q4796" s="16">
        <v>6699</v>
      </c>
      <c r="R4796" s="17">
        <v>40</v>
      </c>
      <c r="S4796" s="18">
        <v>4622.3099999999995</v>
      </c>
      <c r="T4796" s="19" t="s">
        <v>36</v>
      </c>
      <c r="U4796" s="20" t="s">
        <v>37</v>
      </c>
      <c r="V4796" s="21" t="s">
        <v>38</v>
      </c>
      <c r="W4796" s="22">
        <v>5</v>
      </c>
      <c r="X4796" s="23"/>
    </row>
    <row r="4797" spans="1:24" s="1" customFormat="1" ht="21" customHeight="1" x14ac:dyDescent="0.3">
      <c r="A4797" s="24" t="s">
        <v>23</v>
      </c>
      <c r="B4797" s="24" t="s">
        <v>4259</v>
      </c>
      <c r="C4797" s="27" t="s">
        <v>4263</v>
      </c>
      <c r="D4797" s="60"/>
      <c r="E4797" s="41" t="str">
        <f>HYPERLINK("https://www.google.ru/search?q=6009798-426&amp;newwindow=1&amp;tbm=isch","Еще фото")</f>
        <v>Еще фото</v>
      </c>
      <c r="F4797" s="13"/>
      <c r="G4797" s="24" t="s">
        <v>3632</v>
      </c>
      <c r="H4797" s="24" t="s">
        <v>27</v>
      </c>
      <c r="I4797" s="24" t="s">
        <v>3599</v>
      </c>
      <c r="J4797" s="14" t="s">
        <v>211</v>
      </c>
      <c r="K4797" s="15" t="s">
        <v>30</v>
      </c>
      <c r="L4797" s="62"/>
      <c r="M4797" s="14"/>
      <c r="N4797" s="14" t="s">
        <v>115</v>
      </c>
      <c r="O4797" s="14"/>
      <c r="P4797" s="15" t="s">
        <v>1008</v>
      </c>
      <c r="Q4797" s="16">
        <v>6699</v>
      </c>
      <c r="R4797" s="17">
        <v>40</v>
      </c>
      <c r="S4797" s="18">
        <v>4622.3099999999995</v>
      </c>
      <c r="T4797" s="19" t="s">
        <v>36</v>
      </c>
      <c r="U4797" s="20" t="s">
        <v>39</v>
      </c>
      <c r="V4797" s="21" t="s">
        <v>40</v>
      </c>
      <c r="W4797" s="22">
        <v>21</v>
      </c>
      <c r="X4797" s="23"/>
    </row>
    <row r="4798" spans="1:24" s="1" customFormat="1" ht="21" customHeight="1" x14ac:dyDescent="0.3">
      <c r="A4798" s="24" t="s">
        <v>23</v>
      </c>
      <c r="B4798" s="24" t="s">
        <v>4259</v>
      </c>
      <c r="C4798" s="27" t="s">
        <v>4263</v>
      </c>
      <c r="D4798" s="60"/>
      <c r="E4798" s="41" t="str">
        <f>HYPERLINK("https://www.google.ru/search?q=6009798-426&amp;newwindow=1&amp;tbm=isch","Еще фото")</f>
        <v>Еще фото</v>
      </c>
      <c r="F4798" s="13"/>
      <c r="G4798" s="24" t="s">
        <v>3632</v>
      </c>
      <c r="H4798" s="24" t="s">
        <v>27</v>
      </c>
      <c r="I4798" s="24" t="s">
        <v>3599</v>
      </c>
      <c r="J4798" s="14" t="s">
        <v>211</v>
      </c>
      <c r="K4798" s="15" t="s">
        <v>30</v>
      </c>
      <c r="L4798" s="62"/>
      <c r="M4798" s="14"/>
      <c r="N4798" s="14" t="s">
        <v>115</v>
      </c>
      <c r="O4798" s="14"/>
      <c r="P4798" s="15" t="s">
        <v>1008</v>
      </c>
      <c r="Q4798" s="16">
        <v>6699</v>
      </c>
      <c r="R4798" s="17">
        <v>40</v>
      </c>
      <c r="S4798" s="18">
        <v>4622.3099999999995</v>
      </c>
      <c r="T4798" s="19" t="s">
        <v>36</v>
      </c>
      <c r="U4798" s="20" t="s">
        <v>86</v>
      </c>
      <c r="V4798" s="21" t="s">
        <v>87</v>
      </c>
      <c r="W4798" s="22">
        <v>22</v>
      </c>
      <c r="X4798" s="23"/>
    </row>
    <row r="4799" spans="1:24" s="1" customFormat="1" ht="21" customHeight="1" x14ac:dyDescent="0.3">
      <c r="A4799" s="24" t="s">
        <v>23</v>
      </c>
      <c r="B4799" s="24" t="s">
        <v>4259</v>
      </c>
      <c r="C4799" s="27" t="s">
        <v>4263</v>
      </c>
      <c r="D4799" s="60"/>
      <c r="E4799" s="41" t="str">
        <f>HYPERLINK("https://www.google.ru/search?q=6009798-426&amp;newwindow=1&amp;tbm=isch","Еще фото")</f>
        <v>Еще фото</v>
      </c>
      <c r="F4799" s="13"/>
      <c r="G4799" s="24" t="s">
        <v>3632</v>
      </c>
      <c r="H4799" s="24" t="s">
        <v>27</v>
      </c>
      <c r="I4799" s="24" t="s">
        <v>3599</v>
      </c>
      <c r="J4799" s="14" t="s">
        <v>211</v>
      </c>
      <c r="K4799" s="15" t="s">
        <v>30</v>
      </c>
      <c r="L4799" s="62"/>
      <c r="M4799" s="14"/>
      <c r="N4799" s="14" t="s">
        <v>115</v>
      </c>
      <c r="O4799" s="14"/>
      <c r="P4799" s="15" t="s">
        <v>1008</v>
      </c>
      <c r="Q4799" s="16">
        <v>6699</v>
      </c>
      <c r="R4799" s="17">
        <v>40</v>
      </c>
      <c r="S4799" s="18">
        <v>4622.3099999999995</v>
      </c>
      <c r="T4799" s="19" t="s">
        <v>36</v>
      </c>
      <c r="U4799" s="20" t="s">
        <v>88</v>
      </c>
      <c r="V4799" s="21" t="s">
        <v>89</v>
      </c>
      <c r="W4799" s="22">
        <v>15</v>
      </c>
      <c r="X4799" s="23"/>
    </row>
    <row r="4800" spans="1:24" s="1" customFormat="1" ht="32" customHeight="1" x14ac:dyDescent="0.3">
      <c r="A4800" s="24" t="s">
        <v>23</v>
      </c>
      <c r="B4800" s="24" t="s">
        <v>4259</v>
      </c>
      <c r="C4800" s="27" t="s">
        <v>4263</v>
      </c>
      <c r="D4800" s="61"/>
      <c r="E4800" s="41" t="str">
        <f>HYPERLINK("https://www.google.ru/search?q=6009798-426&amp;newwindow=1&amp;tbm=isch","Еще фото")</f>
        <v>Еще фото</v>
      </c>
      <c r="F4800" s="13"/>
      <c r="G4800" s="24" t="s">
        <v>3632</v>
      </c>
      <c r="H4800" s="24" t="s">
        <v>27</v>
      </c>
      <c r="I4800" s="24" t="s">
        <v>3599</v>
      </c>
      <c r="J4800" s="14" t="s">
        <v>211</v>
      </c>
      <c r="K4800" s="15" t="s">
        <v>30</v>
      </c>
      <c r="L4800" s="58"/>
      <c r="M4800" s="14"/>
      <c r="N4800" s="14" t="s">
        <v>115</v>
      </c>
      <c r="O4800" s="14"/>
      <c r="P4800" s="15" t="s">
        <v>1008</v>
      </c>
      <c r="Q4800" s="16">
        <v>6699</v>
      </c>
      <c r="R4800" s="17">
        <v>40</v>
      </c>
      <c r="S4800" s="18">
        <v>4622.3099999999995</v>
      </c>
      <c r="T4800" s="19" t="s">
        <v>36</v>
      </c>
      <c r="U4800" s="20" t="s">
        <v>90</v>
      </c>
      <c r="V4800" s="21" t="s">
        <v>91</v>
      </c>
      <c r="W4800" s="22">
        <v>5</v>
      </c>
      <c r="X4800" s="23"/>
    </row>
    <row r="4801" spans="1:24" s="1" customFormat="1" ht="21" customHeight="1" x14ac:dyDescent="0.3">
      <c r="A4801" s="11" t="s">
        <v>23</v>
      </c>
      <c r="B4801" s="11" t="s">
        <v>4264</v>
      </c>
      <c r="C4801" s="26" t="s">
        <v>4265</v>
      </c>
      <c r="D4801" s="59"/>
      <c r="E4801" s="41" t="str">
        <f>HYPERLINK("https://www.google.ru/search?q=6009799-100&amp;newwindow=1&amp;tbm=isch","Еще фото")</f>
        <v>Еще фото</v>
      </c>
      <c r="F4801" s="13"/>
      <c r="G4801" s="11" t="s">
        <v>3632</v>
      </c>
      <c r="H4801" s="11" t="s">
        <v>27</v>
      </c>
      <c r="I4801" s="14" t="s">
        <v>3599</v>
      </c>
      <c r="J4801" s="14" t="s">
        <v>211</v>
      </c>
      <c r="K4801" s="15" t="s">
        <v>30</v>
      </c>
      <c r="L4801" s="57" t="s">
        <v>4266</v>
      </c>
      <c r="M4801" s="14"/>
      <c r="N4801" s="14" t="s">
        <v>84</v>
      </c>
      <c r="O4801" s="14"/>
      <c r="P4801" s="15" t="s">
        <v>1181</v>
      </c>
      <c r="Q4801" s="16">
        <v>5399</v>
      </c>
      <c r="R4801" s="17">
        <v>40</v>
      </c>
      <c r="S4801" s="18">
        <v>3725.31</v>
      </c>
      <c r="T4801" s="19" t="s">
        <v>36</v>
      </c>
      <c r="U4801" s="20" t="s">
        <v>37</v>
      </c>
      <c r="V4801" s="21" t="s">
        <v>38</v>
      </c>
      <c r="W4801" s="22">
        <v>1</v>
      </c>
      <c r="X4801" s="23"/>
    </row>
    <row r="4802" spans="1:24" s="1" customFormat="1" ht="21" customHeight="1" x14ac:dyDescent="0.3">
      <c r="A4802" s="24" t="s">
        <v>23</v>
      </c>
      <c r="B4802" s="24" t="s">
        <v>4264</v>
      </c>
      <c r="C4802" s="27" t="s">
        <v>4265</v>
      </c>
      <c r="D4802" s="60"/>
      <c r="E4802" s="41" t="str">
        <f>HYPERLINK("https://www.google.ru/search?q=6009799-100&amp;newwindow=1&amp;tbm=isch","Еще фото")</f>
        <v>Еще фото</v>
      </c>
      <c r="F4802" s="13"/>
      <c r="G4802" s="24" t="s">
        <v>3632</v>
      </c>
      <c r="H4802" s="24" t="s">
        <v>27</v>
      </c>
      <c r="I4802" s="24" t="s">
        <v>3599</v>
      </c>
      <c r="J4802" s="14" t="s">
        <v>211</v>
      </c>
      <c r="K4802" s="15" t="s">
        <v>30</v>
      </c>
      <c r="L4802" s="62"/>
      <c r="M4802" s="14"/>
      <c r="N4802" s="14" t="s">
        <v>84</v>
      </c>
      <c r="O4802" s="14"/>
      <c r="P4802" s="15" t="s">
        <v>1181</v>
      </c>
      <c r="Q4802" s="16">
        <v>5399</v>
      </c>
      <c r="R4802" s="17">
        <v>40</v>
      </c>
      <c r="S4802" s="18">
        <v>3725.31</v>
      </c>
      <c r="T4802" s="19" t="s">
        <v>36</v>
      </c>
      <c r="U4802" s="20" t="s">
        <v>39</v>
      </c>
      <c r="V4802" s="21" t="s">
        <v>40</v>
      </c>
      <c r="W4802" s="22">
        <v>7</v>
      </c>
      <c r="X4802" s="23"/>
    </row>
    <row r="4803" spans="1:24" s="1" customFormat="1" ht="21" customHeight="1" x14ac:dyDescent="0.3">
      <c r="A4803" s="24" t="s">
        <v>23</v>
      </c>
      <c r="B4803" s="24" t="s">
        <v>4264</v>
      </c>
      <c r="C4803" s="27" t="s">
        <v>4265</v>
      </c>
      <c r="D4803" s="60"/>
      <c r="E4803" s="41" t="str">
        <f>HYPERLINK("https://www.google.ru/search?q=6009799-100&amp;newwindow=1&amp;tbm=isch","Еще фото")</f>
        <v>Еще фото</v>
      </c>
      <c r="F4803" s="13"/>
      <c r="G4803" s="24" t="s">
        <v>3632</v>
      </c>
      <c r="H4803" s="24" t="s">
        <v>27</v>
      </c>
      <c r="I4803" s="24" t="s">
        <v>3599</v>
      </c>
      <c r="J4803" s="14" t="s">
        <v>211</v>
      </c>
      <c r="K4803" s="15" t="s">
        <v>30</v>
      </c>
      <c r="L4803" s="62"/>
      <c r="M4803" s="14"/>
      <c r="N4803" s="14" t="s">
        <v>84</v>
      </c>
      <c r="O4803" s="14"/>
      <c r="P4803" s="15" t="s">
        <v>1181</v>
      </c>
      <c r="Q4803" s="16">
        <v>5399</v>
      </c>
      <c r="R4803" s="17">
        <v>40</v>
      </c>
      <c r="S4803" s="18">
        <v>3725.31</v>
      </c>
      <c r="T4803" s="19" t="s">
        <v>36</v>
      </c>
      <c r="U4803" s="20" t="s">
        <v>86</v>
      </c>
      <c r="V4803" s="21" t="s">
        <v>87</v>
      </c>
      <c r="W4803" s="22">
        <v>1</v>
      </c>
      <c r="X4803" s="23"/>
    </row>
    <row r="4804" spans="1:24" s="1" customFormat="1" ht="21" customHeight="1" x14ac:dyDescent="0.3">
      <c r="A4804" s="24" t="s">
        <v>23</v>
      </c>
      <c r="B4804" s="24" t="s">
        <v>4264</v>
      </c>
      <c r="C4804" s="27" t="s">
        <v>4265</v>
      </c>
      <c r="D4804" s="60"/>
      <c r="E4804" s="41" t="str">
        <f>HYPERLINK("https://www.google.ru/search?q=6009799-100&amp;newwindow=1&amp;tbm=isch","Еще фото")</f>
        <v>Еще фото</v>
      </c>
      <c r="F4804" s="13"/>
      <c r="G4804" s="24" t="s">
        <v>3632</v>
      </c>
      <c r="H4804" s="24" t="s">
        <v>27</v>
      </c>
      <c r="I4804" s="24" t="s">
        <v>3599</v>
      </c>
      <c r="J4804" s="14" t="s">
        <v>211</v>
      </c>
      <c r="K4804" s="15" t="s">
        <v>30</v>
      </c>
      <c r="L4804" s="62"/>
      <c r="M4804" s="14"/>
      <c r="N4804" s="14" t="s">
        <v>84</v>
      </c>
      <c r="O4804" s="14"/>
      <c r="P4804" s="15" t="s">
        <v>1181</v>
      </c>
      <c r="Q4804" s="16">
        <v>5399</v>
      </c>
      <c r="R4804" s="17">
        <v>40</v>
      </c>
      <c r="S4804" s="18">
        <v>3725.31</v>
      </c>
      <c r="T4804" s="19" t="s">
        <v>36</v>
      </c>
      <c r="U4804" s="20" t="s">
        <v>90</v>
      </c>
      <c r="V4804" s="21" t="s">
        <v>91</v>
      </c>
      <c r="W4804" s="22">
        <v>6</v>
      </c>
      <c r="X4804" s="23"/>
    </row>
    <row r="4805" spans="1:24" s="1" customFormat="1" ht="32" customHeight="1" x14ac:dyDescent="0.3">
      <c r="A4805" s="24" t="s">
        <v>23</v>
      </c>
      <c r="B4805" s="24" t="s">
        <v>4264</v>
      </c>
      <c r="C4805" s="27" t="s">
        <v>4265</v>
      </c>
      <c r="D4805" s="61"/>
      <c r="E4805" s="41" t="str">
        <f>HYPERLINK("https://www.google.ru/search?q=6009799-100&amp;newwindow=1&amp;tbm=isch","Еще фото")</f>
        <v>Еще фото</v>
      </c>
      <c r="F4805" s="13"/>
      <c r="G4805" s="24" t="s">
        <v>3632</v>
      </c>
      <c r="H4805" s="24" t="s">
        <v>27</v>
      </c>
      <c r="I4805" s="24" t="s">
        <v>3599</v>
      </c>
      <c r="J4805" s="14" t="s">
        <v>211</v>
      </c>
      <c r="K4805" s="15" t="s">
        <v>30</v>
      </c>
      <c r="L4805" s="58"/>
      <c r="M4805" s="14"/>
      <c r="N4805" s="14" t="s">
        <v>84</v>
      </c>
      <c r="O4805" s="14"/>
      <c r="P4805" s="15" t="s">
        <v>1181</v>
      </c>
      <c r="Q4805" s="16">
        <v>5399</v>
      </c>
      <c r="R4805" s="17">
        <v>40</v>
      </c>
      <c r="S4805" s="18">
        <v>3725.31</v>
      </c>
      <c r="T4805" s="19" t="s">
        <v>36</v>
      </c>
      <c r="U4805" s="20" t="s">
        <v>408</v>
      </c>
      <c r="V4805" s="21" t="s">
        <v>409</v>
      </c>
      <c r="W4805" s="22">
        <v>3</v>
      </c>
      <c r="X4805" s="23"/>
    </row>
    <row r="4806" spans="1:24" s="1" customFormat="1" ht="17" customHeight="1" x14ac:dyDescent="0.3">
      <c r="A4806" s="11" t="s">
        <v>23</v>
      </c>
      <c r="B4806" s="11" t="s">
        <v>4267</v>
      </c>
      <c r="C4806" s="12" t="s">
        <v>4268</v>
      </c>
      <c r="D4806" s="59"/>
      <c r="E4806" s="41" t="str">
        <f t="shared" ref="E4806:E4811" si="176">HYPERLINK("https://www.google.ru/search?q=6009805-001&amp;newwindow=1&amp;tbm=isch","Еще фото")</f>
        <v>Еще фото</v>
      </c>
      <c r="F4806" s="13"/>
      <c r="G4806" s="11" t="s">
        <v>3632</v>
      </c>
      <c r="H4806" s="11" t="s">
        <v>27</v>
      </c>
      <c r="I4806" s="14" t="s">
        <v>3599</v>
      </c>
      <c r="J4806" s="14" t="s">
        <v>211</v>
      </c>
      <c r="K4806" s="15" t="s">
        <v>59</v>
      </c>
      <c r="L4806" s="57" t="s">
        <v>4269</v>
      </c>
      <c r="M4806" s="14"/>
      <c r="N4806" s="14" t="s">
        <v>33</v>
      </c>
      <c r="O4806" s="14"/>
      <c r="P4806" s="15" t="s">
        <v>47</v>
      </c>
      <c r="Q4806" s="16">
        <v>4899</v>
      </c>
      <c r="R4806" s="17">
        <v>40</v>
      </c>
      <c r="S4806" s="18">
        <v>3380.31</v>
      </c>
      <c r="T4806" s="19" t="s">
        <v>36</v>
      </c>
      <c r="U4806" s="20" t="s">
        <v>63</v>
      </c>
      <c r="V4806" s="21" t="s">
        <v>64</v>
      </c>
      <c r="W4806" s="22">
        <v>11</v>
      </c>
      <c r="X4806" s="23"/>
    </row>
    <row r="4807" spans="1:24" s="1" customFormat="1" ht="17" customHeight="1" x14ac:dyDescent="0.3">
      <c r="A4807" s="24" t="s">
        <v>23</v>
      </c>
      <c r="B4807" s="24" t="s">
        <v>4267</v>
      </c>
      <c r="C4807" s="12" t="s">
        <v>4268</v>
      </c>
      <c r="D4807" s="60"/>
      <c r="E4807" s="41" t="str">
        <f t="shared" si="176"/>
        <v>Еще фото</v>
      </c>
      <c r="F4807" s="13"/>
      <c r="G4807" s="24" t="s">
        <v>3632</v>
      </c>
      <c r="H4807" s="24" t="s">
        <v>27</v>
      </c>
      <c r="I4807" s="24" t="s">
        <v>3599</v>
      </c>
      <c r="J4807" s="14" t="s">
        <v>211</v>
      </c>
      <c r="K4807" s="15" t="s">
        <v>59</v>
      </c>
      <c r="L4807" s="62"/>
      <c r="M4807" s="14"/>
      <c r="N4807" s="14" t="s">
        <v>33</v>
      </c>
      <c r="O4807" s="14"/>
      <c r="P4807" s="15" t="s">
        <v>47</v>
      </c>
      <c r="Q4807" s="16">
        <v>4899</v>
      </c>
      <c r="R4807" s="17">
        <v>40</v>
      </c>
      <c r="S4807" s="18">
        <v>3380.31</v>
      </c>
      <c r="T4807" s="19" t="s">
        <v>36</v>
      </c>
      <c r="U4807" s="20" t="s">
        <v>37</v>
      </c>
      <c r="V4807" s="21" t="s">
        <v>106</v>
      </c>
      <c r="W4807" s="22">
        <v>7</v>
      </c>
      <c r="X4807" s="23"/>
    </row>
    <row r="4808" spans="1:24" s="1" customFormat="1" ht="17" customHeight="1" x14ac:dyDescent="0.3">
      <c r="A4808" s="24" t="s">
        <v>23</v>
      </c>
      <c r="B4808" s="24" t="s">
        <v>4267</v>
      </c>
      <c r="C4808" s="12" t="s">
        <v>4268</v>
      </c>
      <c r="D4808" s="60"/>
      <c r="E4808" s="41" t="str">
        <f t="shared" si="176"/>
        <v>Еще фото</v>
      </c>
      <c r="F4808" s="13"/>
      <c r="G4808" s="24" t="s">
        <v>3632</v>
      </c>
      <c r="H4808" s="24" t="s">
        <v>27</v>
      </c>
      <c r="I4808" s="24" t="s">
        <v>3599</v>
      </c>
      <c r="J4808" s="14" t="s">
        <v>211</v>
      </c>
      <c r="K4808" s="15" t="s">
        <v>59</v>
      </c>
      <c r="L4808" s="62"/>
      <c r="M4808" s="14"/>
      <c r="N4808" s="14" t="s">
        <v>33</v>
      </c>
      <c r="O4808" s="14"/>
      <c r="P4808" s="15" t="s">
        <v>47</v>
      </c>
      <c r="Q4808" s="16">
        <v>4899</v>
      </c>
      <c r="R4808" s="17">
        <v>40</v>
      </c>
      <c r="S4808" s="18">
        <v>3380.31</v>
      </c>
      <c r="T4808" s="19" t="s">
        <v>36</v>
      </c>
      <c r="U4808" s="20" t="s">
        <v>39</v>
      </c>
      <c r="V4808" s="21" t="s">
        <v>85</v>
      </c>
      <c r="W4808" s="22">
        <v>11</v>
      </c>
      <c r="X4808" s="23"/>
    </row>
    <row r="4809" spans="1:24" s="1" customFormat="1" ht="17" customHeight="1" x14ac:dyDescent="0.3">
      <c r="A4809" s="24" t="s">
        <v>23</v>
      </c>
      <c r="B4809" s="24" t="s">
        <v>4267</v>
      </c>
      <c r="C4809" s="12" t="s">
        <v>4268</v>
      </c>
      <c r="D4809" s="60"/>
      <c r="E4809" s="41" t="str">
        <f t="shared" si="176"/>
        <v>Еще фото</v>
      </c>
      <c r="F4809" s="13"/>
      <c r="G4809" s="24" t="s">
        <v>3632</v>
      </c>
      <c r="H4809" s="24" t="s">
        <v>27</v>
      </c>
      <c r="I4809" s="24" t="s">
        <v>3599</v>
      </c>
      <c r="J4809" s="14" t="s">
        <v>211</v>
      </c>
      <c r="K4809" s="15" t="s">
        <v>59</v>
      </c>
      <c r="L4809" s="62"/>
      <c r="M4809" s="14"/>
      <c r="N4809" s="14" t="s">
        <v>33</v>
      </c>
      <c r="O4809" s="14"/>
      <c r="P4809" s="15" t="s">
        <v>47</v>
      </c>
      <c r="Q4809" s="16">
        <v>4899</v>
      </c>
      <c r="R4809" s="17">
        <v>40</v>
      </c>
      <c r="S4809" s="18">
        <v>3380.31</v>
      </c>
      <c r="T4809" s="19" t="s">
        <v>36</v>
      </c>
      <c r="U4809" s="20" t="s">
        <v>86</v>
      </c>
      <c r="V4809" s="21" t="s">
        <v>38</v>
      </c>
      <c r="W4809" s="22">
        <v>11</v>
      </c>
      <c r="X4809" s="23"/>
    </row>
    <row r="4810" spans="1:24" s="1" customFormat="1" ht="17" customHeight="1" x14ac:dyDescent="0.3">
      <c r="A4810" s="24" t="s">
        <v>23</v>
      </c>
      <c r="B4810" s="24" t="s">
        <v>4267</v>
      </c>
      <c r="C4810" s="12" t="s">
        <v>4268</v>
      </c>
      <c r="D4810" s="60"/>
      <c r="E4810" s="41" t="str">
        <f t="shared" si="176"/>
        <v>Еще фото</v>
      </c>
      <c r="F4810" s="13"/>
      <c r="G4810" s="24" t="s">
        <v>3632</v>
      </c>
      <c r="H4810" s="24" t="s">
        <v>27</v>
      </c>
      <c r="I4810" s="24" t="s">
        <v>3599</v>
      </c>
      <c r="J4810" s="14" t="s">
        <v>211</v>
      </c>
      <c r="K4810" s="15" t="s">
        <v>59</v>
      </c>
      <c r="L4810" s="62"/>
      <c r="M4810" s="14"/>
      <c r="N4810" s="14" t="s">
        <v>33</v>
      </c>
      <c r="O4810" s="14"/>
      <c r="P4810" s="15" t="s">
        <v>47</v>
      </c>
      <c r="Q4810" s="16">
        <v>4899</v>
      </c>
      <c r="R4810" s="17">
        <v>40</v>
      </c>
      <c r="S4810" s="18">
        <v>3380.31</v>
      </c>
      <c r="T4810" s="19" t="s">
        <v>36</v>
      </c>
      <c r="U4810" s="20" t="s">
        <v>88</v>
      </c>
      <c r="V4810" s="21" t="s">
        <v>40</v>
      </c>
      <c r="W4810" s="22">
        <v>3</v>
      </c>
      <c r="X4810" s="23"/>
    </row>
    <row r="4811" spans="1:24" s="1" customFormat="1" ht="22.05" customHeight="1" x14ac:dyDescent="0.3">
      <c r="A4811" s="24" t="s">
        <v>23</v>
      </c>
      <c r="B4811" s="24" t="s">
        <v>4267</v>
      </c>
      <c r="C4811" s="12" t="s">
        <v>4268</v>
      </c>
      <c r="D4811" s="61"/>
      <c r="E4811" s="41" t="str">
        <f t="shared" si="176"/>
        <v>Еще фото</v>
      </c>
      <c r="F4811" s="13"/>
      <c r="G4811" s="24" t="s">
        <v>3632</v>
      </c>
      <c r="H4811" s="24" t="s">
        <v>27</v>
      </c>
      <c r="I4811" s="24" t="s">
        <v>3599</v>
      </c>
      <c r="J4811" s="14" t="s">
        <v>211</v>
      </c>
      <c r="K4811" s="15" t="s">
        <v>59</v>
      </c>
      <c r="L4811" s="58"/>
      <c r="M4811" s="14"/>
      <c r="N4811" s="14" t="s">
        <v>33</v>
      </c>
      <c r="O4811" s="14"/>
      <c r="P4811" s="15" t="s">
        <v>47</v>
      </c>
      <c r="Q4811" s="16">
        <v>4899</v>
      </c>
      <c r="R4811" s="17">
        <v>40</v>
      </c>
      <c r="S4811" s="18">
        <v>3380.31</v>
      </c>
      <c r="T4811" s="19" t="s">
        <v>36</v>
      </c>
      <c r="U4811" s="20" t="s">
        <v>90</v>
      </c>
      <c r="V4811" s="21" t="s">
        <v>87</v>
      </c>
      <c r="W4811" s="22">
        <v>1</v>
      </c>
      <c r="X4811" s="23"/>
    </row>
    <row r="4812" spans="1:24" s="1" customFormat="1" ht="21" customHeight="1" x14ac:dyDescent="0.3">
      <c r="A4812" s="11" t="s">
        <v>23</v>
      </c>
      <c r="B4812" s="11" t="s">
        <v>4270</v>
      </c>
      <c r="C4812" s="26" t="s">
        <v>4271</v>
      </c>
      <c r="D4812" s="59"/>
      <c r="E4812" s="41" t="str">
        <f>HYPERLINK("https://www.google.ru/search?q=6009931-100&amp;newwindow=1&amp;tbm=isch","Еще фото")</f>
        <v>Еще фото</v>
      </c>
      <c r="F4812" s="13"/>
      <c r="G4812" s="11" t="s">
        <v>3604</v>
      </c>
      <c r="H4812" s="11" t="s">
        <v>27</v>
      </c>
      <c r="I4812" s="14" t="s">
        <v>3599</v>
      </c>
      <c r="J4812" s="14" t="s">
        <v>43</v>
      </c>
      <c r="K4812" s="15" t="s">
        <v>30</v>
      </c>
      <c r="L4812" s="57" t="s">
        <v>4272</v>
      </c>
      <c r="M4812" s="14"/>
      <c r="N4812" s="14" t="s">
        <v>84</v>
      </c>
      <c r="O4812" s="14"/>
      <c r="P4812" s="15" t="s">
        <v>2951</v>
      </c>
      <c r="Q4812" s="16">
        <v>7699</v>
      </c>
      <c r="R4812" s="17">
        <v>40</v>
      </c>
      <c r="S4812" s="18">
        <v>5312.3099999999995</v>
      </c>
      <c r="T4812" s="19" t="s">
        <v>36</v>
      </c>
      <c r="U4812" s="20" t="s">
        <v>37</v>
      </c>
      <c r="V4812" s="21" t="s">
        <v>38</v>
      </c>
      <c r="W4812" s="22">
        <v>10</v>
      </c>
      <c r="X4812" s="23"/>
    </row>
    <row r="4813" spans="1:24" s="1" customFormat="1" ht="21" customHeight="1" x14ac:dyDescent="0.3">
      <c r="A4813" s="24" t="s">
        <v>23</v>
      </c>
      <c r="B4813" s="24" t="s">
        <v>4270</v>
      </c>
      <c r="C4813" s="27" t="s">
        <v>4271</v>
      </c>
      <c r="D4813" s="60"/>
      <c r="E4813" s="41" t="str">
        <f>HYPERLINK("https://www.google.ru/search?q=6009931-100&amp;newwindow=1&amp;tbm=isch","Еще фото")</f>
        <v>Еще фото</v>
      </c>
      <c r="F4813" s="13"/>
      <c r="G4813" s="24" t="s">
        <v>3604</v>
      </c>
      <c r="H4813" s="24" t="s">
        <v>27</v>
      </c>
      <c r="I4813" s="24" t="s">
        <v>3599</v>
      </c>
      <c r="J4813" s="14" t="s">
        <v>43</v>
      </c>
      <c r="K4813" s="15" t="s">
        <v>30</v>
      </c>
      <c r="L4813" s="62"/>
      <c r="M4813" s="14"/>
      <c r="N4813" s="14" t="s">
        <v>84</v>
      </c>
      <c r="O4813" s="14"/>
      <c r="P4813" s="15" t="s">
        <v>2951</v>
      </c>
      <c r="Q4813" s="16">
        <v>7699</v>
      </c>
      <c r="R4813" s="17">
        <v>40</v>
      </c>
      <c r="S4813" s="18">
        <v>5312.3099999999995</v>
      </c>
      <c r="T4813" s="19" t="s">
        <v>36</v>
      </c>
      <c r="U4813" s="20" t="s">
        <v>39</v>
      </c>
      <c r="V4813" s="21" t="s">
        <v>40</v>
      </c>
      <c r="W4813" s="22">
        <v>19</v>
      </c>
      <c r="X4813" s="23"/>
    </row>
    <row r="4814" spans="1:24" s="1" customFormat="1" ht="21" customHeight="1" x14ac:dyDescent="0.3">
      <c r="A4814" s="24" t="s">
        <v>23</v>
      </c>
      <c r="B4814" s="24" t="s">
        <v>4270</v>
      </c>
      <c r="C4814" s="27" t="s">
        <v>4271</v>
      </c>
      <c r="D4814" s="60"/>
      <c r="E4814" s="41" t="str">
        <f>HYPERLINK("https://www.google.ru/search?q=6009931-100&amp;newwindow=1&amp;tbm=isch","Еще фото")</f>
        <v>Еще фото</v>
      </c>
      <c r="F4814" s="13"/>
      <c r="G4814" s="24" t="s">
        <v>3604</v>
      </c>
      <c r="H4814" s="24" t="s">
        <v>27</v>
      </c>
      <c r="I4814" s="24" t="s">
        <v>3599</v>
      </c>
      <c r="J4814" s="14" t="s">
        <v>43</v>
      </c>
      <c r="K4814" s="15" t="s">
        <v>30</v>
      </c>
      <c r="L4814" s="62"/>
      <c r="M4814" s="14"/>
      <c r="N4814" s="14" t="s">
        <v>84</v>
      </c>
      <c r="O4814" s="14"/>
      <c r="P4814" s="15" t="s">
        <v>2951</v>
      </c>
      <c r="Q4814" s="16">
        <v>7699</v>
      </c>
      <c r="R4814" s="17">
        <v>40</v>
      </c>
      <c r="S4814" s="18">
        <v>5312.3099999999995</v>
      </c>
      <c r="T4814" s="19" t="s">
        <v>36</v>
      </c>
      <c r="U4814" s="20" t="s">
        <v>86</v>
      </c>
      <c r="V4814" s="21" t="s">
        <v>87</v>
      </c>
      <c r="W4814" s="22">
        <v>20</v>
      </c>
      <c r="X4814" s="23"/>
    </row>
    <row r="4815" spans="1:24" s="1" customFormat="1" ht="21" customHeight="1" x14ac:dyDescent="0.3">
      <c r="A4815" s="24" t="s">
        <v>23</v>
      </c>
      <c r="B4815" s="24" t="s">
        <v>4270</v>
      </c>
      <c r="C4815" s="27" t="s">
        <v>4271</v>
      </c>
      <c r="D4815" s="60"/>
      <c r="E4815" s="41" t="str">
        <f>HYPERLINK("https://www.google.ru/search?q=6009931-100&amp;newwindow=1&amp;tbm=isch","Еще фото")</f>
        <v>Еще фото</v>
      </c>
      <c r="F4815" s="13"/>
      <c r="G4815" s="24" t="s">
        <v>3604</v>
      </c>
      <c r="H4815" s="24" t="s">
        <v>27</v>
      </c>
      <c r="I4815" s="24" t="s">
        <v>3599</v>
      </c>
      <c r="J4815" s="14" t="s">
        <v>43</v>
      </c>
      <c r="K4815" s="15" t="s">
        <v>30</v>
      </c>
      <c r="L4815" s="62"/>
      <c r="M4815" s="14"/>
      <c r="N4815" s="14" t="s">
        <v>84</v>
      </c>
      <c r="O4815" s="14"/>
      <c r="P4815" s="15" t="s">
        <v>2951</v>
      </c>
      <c r="Q4815" s="16">
        <v>7699</v>
      </c>
      <c r="R4815" s="17">
        <v>40</v>
      </c>
      <c r="S4815" s="18">
        <v>5312.3099999999995</v>
      </c>
      <c r="T4815" s="19" t="s">
        <v>36</v>
      </c>
      <c r="U4815" s="20" t="s">
        <v>88</v>
      </c>
      <c r="V4815" s="21" t="s">
        <v>89</v>
      </c>
      <c r="W4815" s="22">
        <v>15</v>
      </c>
      <c r="X4815" s="23"/>
    </row>
    <row r="4816" spans="1:24" s="1" customFormat="1" ht="32" customHeight="1" x14ac:dyDescent="0.3">
      <c r="A4816" s="24" t="s">
        <v>23</v>
      </c>
      <c r="B4816" s="24" t="s">
        <v>4270</v>
      </c>
      <c r="C4816" s="27" t="s">
        <v>4271</v>
      </c>
      <c r="D4816" s="61"/>
      <c r="E4816" s="41" t="str">
        <f>HYPERLINK("https://www.google.ru/search?q=6009931-100&amp;newwindow=1&amp;tbm=isch","Еще фото")</f>
        <v>Еще фото</v>
      </c>
      <c r="F4816" s="13"/>
      <c r="G4816" s="24" t="s">
        <v>3604</v>
      </c>
      <c r="H4816" s="24" t="s">
        <v>27</v>
      </c>
      <c r="I4816" s="24" t="s">
        <v>3599</v>
      </c>
      <c r="J4816" s="14" t="s">
        <v>43</v>
      </c>
      <c r="K4816" s="15" t="s">
        <v>30</v>
      </c>
      <c r="L4816" s="58"/>
      <c r="M4816" s="14"/>
      <c r="N4816" s="14" t="s">
        <v>84</v>
      </c>
      <c r="O4816" s="14"/>
      <c r="P4816" s="15" t="s">
        <v>2951</v>
      </c>
      <c r="Q4816" s="16">
        <v>7699</v>
      </c>
      <c r="R4816" s="17">
        <v>40</v>
      </c>
      <c r="S4816" s="18">
        <v>5312.3099999999995</v>
      </c>
      <c r="T4816" s="19" t="s">
        <v>36</v>
      </c>
      <c r="U4816" s="20" t="s">
        <v>90</v>
      </c>
      <c r="V4816" s="21" t="s">
        <v>91</v>
      </c>
      <c r="W4816" s="22">
        <v>11</v>
      </c>
      <c r="X4816" s="23"/>
    </row>
    <row r="4817" spans="1:24" s="1" customFormat="1" ht="26" customHeight="1" x14ac:dyDescent="0.3">
      <c r="A4817" s="11" t="s">
        <v>23</v>
      </c>
      <c r="B4817" s="11" t="s">
        <v>3820</v>
      </c>
      <c r="C4817" s="12" t="s">
        <v>4273</v>
      </c>
      <c r="D4817" s="59"/>
      <c r="E4817" s="41" t="str">
        <f>HYPERLINK("https://www.google.ru/search?q=6009989-001&amp;newwindow=1&amp;tbm=isch","Еще фото")</f>
        <v>Еще фото</v>
      </c>
      <c r="F4817" s="28" t="s">
        <v>138</v>
      </c>
      <c r="G4817" s="11" t="s">
        <v>3598</v>
      </c>
      <c r="H4817" s="11" t="s">
        <v>27</v>
      </c>
      <c r="I4817" s="14" t="s">
        <v>3599</v>
      </c>
      <c r="J4817" s="14" t="s">
        <v>29</v>
      </c>
      <c r="K4817" s="15" t="s">
        <v>59</v>
      </c>
      <c r="L4817" s="57"/>
      <c r="M4817" s="14"/>
      <c r="N4817" s="14" t="s">
        <v>33</v>
      </c>
      <c r="O4817" s="14"/>
      <c r="P4817" s="15" t="s">
        <v>2662</v>
      </c>
      <c r="Q4817" s="16">
        <v>2999</v>
      </c>
      <c r="R4817" s="17">
        <v>40</v>
      </c>
      <c r="S4817" s="18">
        <v>2069.31</v>
      </c>
      <c r="T4817" s="19" t="s">
        <v>36</v>
      </c>
      <c r="U4817" s="20" t="s">
        <v>63</v>
      </c>
      <c r="V4817" s="21" t="s">
        <v>64</v>
      </c>
      <c r="W4817" s="22">
        <v>15</v>
      </c>
      <c r="X4817" s="23"/>
    </row>
    <row r="4818" spans="1:24" s="1" customFormat="1" ht="26" customHeight="1" x14ac:dyDescent="0.3">
      <c r="A4818" s="24" t="s">
        <v>23</v>
      </c>
      <c r="B4818" s="24" t="s">
        <v>3820</v>
      </c>
      <c r="C4818" s="12" t="s">
        <v>4273</v>
      </c>
      <c r="D4818" s="60"/>
      <c r="E4818" s="41" t="str">
        <f>HYPERLINK("https://www.google.ru/search?q=6009989-001&amp;newwindow=1&amp;tbm=isch","Еще фото")</f>
        <v>Еще фото</v>
      </c>
      <c r="F4818" s="28" t="s">
        <v>138</v>
      </c>
      <c r="G4818" s="24" t="s">
        <v>3598</v>
      </c>
      <c r="H4818" s="24" t="s">
        <v>27</v>
      </c>
      <c r="I4818" s="24" t="s">
        <v>3599</v>
      </c>
      <c r="J4818" s="14" t="s">
        <v>29</v>
      </c>
      <c r="K4818" s="15" t="s">
        <v>59</v>
      </c>
      <c r="L4818" s="62"/>
      <c r="M4818" s="14"/>
      <c r="N4818" s="14" t="s">
        <v>33</v>
      </c>
      <c r="O4818" s="14"/>
      <c r="P4818" s="15" t="s">
        <v>2662</v>
      </c>
      <c r="Q4818" s="16">
        <v>2999</v>
      </c>
      <c r="R4818" s="17">
        <v>40</v>
      </c>
      <c r="S4818" s="18">
        <v>2069.31</v>
      </c>
      <c r="T4818" s="19" t="s">
        <v>36</v>
      </c>
      <c r="U4818" s="20" t="s">
        <v>37</v>
      </c>
      <c r="V4818" s="21" t="s">
        <v>106</v>
      </c>
      <c r="W4818" s="22">
        <v>18</v>
      </c>
      <c r="X4818" s="23"/>
    </row>
    <row r="4819" spans="1:24" s="1" customFormat="1" ht="26" customHeight="1" x14ac:dyDescent="0.3">
      <c r="A4819" s="24" t="s">
        <v>23</v>
      </c>
      <c r="B4819" s="24" t="s">
        <v>3820</v>
      </c>
      <c r="C4819" s="12" t="s">
        <v>4273</v>
      </c>
      <c r="D4819" s="60"/>
      <c r="E4819" s="41" t="str">
        <f>HYPERLINK("https://www.google.ru/search?q=6009989-001&amp;newwindow=1&amp;tbm=isch","Еще фото")</f>
        <v>Еще фото</v>
      </c>
      <c r="F4819" s="28" t="s">
        <v>138</v>
      </c>
      <c r="G4819" s="24" t="s">
        <v>3598</v>
      </c>
      <c r="H4819" s="24" t="s">
        <v>27</v>
      </c>
      <c r="I4819" s="24" t="s">
        <v>3599</v>
      </c>
      <c r="J4819" s="14" t="s">
        <v>29</v>
      </c>
      <c r="K4819" s="15" t="s">
        <v>59</v>
      </c>
      <c r="L4819" s="62"/>
      <c r="M4819" s="14"/>
      <c r="N4819" s="14" t="s">
        <v>33</v>
      </c>
      <c r="O4819" s="14"/>
      <c r="P4819" s="15" t="s">
        <v>2662</v>
      </c>
      <c r="Q4819" s="16">
        <v>2999</v>
      </c>
      <c r="R4819" s="17">
        <v>40</v>
      </c>
      <c r="S4819" s="18">
        <v>2069.31</v>
      </c>
      <c r="T4819" s="19" t="s">
        <v>36</v>
      </c>
      <c r="U4819" s="20" t="s">
        <v>39</v>
      </c>
      <c r="V4819" s="21" t="s">
        <v>85</v>
      </c>
      <c r="W4819" s="22">
        <v>18</v>
      </c>
      <c r="X4819" s="23"/>
    </row>
    <row r="4820" spans="1:24" s="1" customFormat="1" ht="26" customHeight="1" x14ac:dyDescent="0.3">
      <c r="A4820" s="24" t="s">
        <v>23</v>
      </c>
      <c r="B4820" s="24" t="s">
        <v>3820</v>
      </c>
      <c r="C4820" s="12" t="s">
        <v>4273</v>
      </c>
      <c r="D4820" s="61"/>
      <c r="E4820" s="41" t="str">
        <f>HYPERLINK("https://www.google.ru/search?q=6009989-001&amp;newwindow=1&amp;tbm=isch","Еще фото")</f>
        <v>Еще фото</v>
      </c>
      <c r="F4820" s="28" t="s">
        <v>138</v>
      </c>
      <c r="G4820" s="24" t="s">
        <v>3598</v>
      </c>
      <c r="H4820" s="24" t="s">
        <v>27</v>
      </c>
      <c r="I4820" s="24" t="s">
        <v>3599</v>
      </c>
      <c r="J4820" s="14" t="s">
        <v>29</v>
      </c>
      <c r="K4820" s="15" t="s">
        <v>59</v>
      </c>
      <c r="L4820" s="58"/>
      <c r="M4820" s="14"/>
      <c r="N4820" s="14" t="s">
        <v>33</v>
      </c>
      <c r="O4820" s="14"/>
      <c r="P4820" s="15" t="s">
        <v>2662</v>
      </c>
      <c r="Q4820" s="16">
        <v>2999</v>
      </c>
      <c r="R4820" s="17">
        <v>40</v>
      </c>
      <c r="S4820" s="18">
        <v>2069.31</v>
      </c>
      <c r="T4820" s="19" t="s">
        <v>36</v>
      </c>
      <c r="U4820" s="20" t="s">
        <v>86</v>
      </c>
      <c r="V4820" s="21" t="s">
        <v>38</v>
      </c>
      <c r="W4820" s="22">
        <v>15</v>
      </c>
      <c r="X4820" s="23"/>
    </row>
    <row r="4821" spans="1:24" s="1" customFormat="1" ht="26" customHeight="1" x14ac:dyDescent="0.3">
      <c r="A4821" s="11" t="s">
        <v>23</v>
      </c>
      <c r="B4821" s="11" t="s">
        <v>3820</v>
      </c>
      <c r="C4821" s="12" t="s">
        <v>4274</v>
      </c>
      <c r="D4821" s="59"/>
      <c r="E4821" s="41" t="str">
        <f>HYPERLINK("https://www.google.ru/search?q=6009989-100&amp;newwindow=1&amp;tbm=isch","Еще фото")</f>
        <v>Еще фото</v>
      </c>
      <c r="F4821" s="28" t="s">
        <v>138</v>
      </c>
      <c r="G4821" s="11" t="s">
        <v>3598</v>
      </c>
      <c r="H4821" s="11" t="s">
        <v>27</v>
      </c>
      <c r="I4821" s="14" t="s">
        <v>3599</v>
      </c>
      <c r="J4821" s="14" t="s">
        <v>29</v>
      </c>
      <c r="K4821" s="15" t="s">
        <v>59</v>
      </c>
      <c r="L4821" s="57"/>
      <c r="M4821" s="14"/>
      <c r="N4821" s="14" t="s">
        <v>84</v>
      </c>
      <c r="O4821" s="14"/>
      <c r="P4821" s="15" t="s">
        <v>2662</v>
      </c>
      <c r="Q4821" s="16">
        <v>2999</v>
      </c>
      <c r="R4821" s="17">
        <v>40</v>
      </c>
      <c r="S4821" s="18">
        <v>2069.31</v>
      </c>
      <c r="T4821" s="19" t="s">
        <v>36</v>
      </c>
      <c r="U4821" s="20" t="s">
        <v>63</v>
      </c>
      <c r="V4821" s="21" t="s">
        <v>64</v>
      </c>
      <c r="W4821" s="22">
        <v>15</v>
      </c>
      <c r="X4821" s="23"/>
    </row>
    <row r="4822" spans="1:24" s="1" customFormat="1" ht="26" customHeight="1" x14ac:dyDescent="0.3">
      <c r="A4822" s="24" t="s">
        <v>23</v>
      </c>
      <c r="B4822" s="24" t="s">
        <v>3820</v>
      </c>
      <c r="C4822" s="12" t="s">
        <v>4274</v>
      </c>
      <c r="D4822" s="60"/>
      <c r="E4822" s="41" t="str">
        <f>HYPERLINK("https://www.google.ru/search?q=6009989-100&amp;newwindow=1&amp;tbm=isch","Еще фото")</f>
        <v>Еще фото</v>
      </c>
      <c r="F4822" s="28" t="s">
        <v>138</v>
      </c>
      <c r="G4822" s="24" t="s">
        <v>3598</v>
      </c>
      <c r="H4822" s="24" t="s">
        <v>27</v>
      </c>
      <c r="I4822" s="24" t="s">
        <v>3599</v>
      </c>
      <c r="J4822" s="14" t="s">
        <v>29</v>
      </c>
      <c r="K4822" s="15" t="s">
        <v>59</v>
      </c>
      <c r="L4822" s="62"/>
      <c r="M4822" s="14"/>
      <c r="N4822" s="14" t="s">
        <v>84</v>
      </c>
      <c r="O4822" s="14"/>
      <c r="P4822" s="15" t="s">
        <v>2662</v>
      </c>
      <c r="Q4822" s="16">
        <v>2999</v>
      </c>
      <c r="R4822" s="17">
        <v>40</v>
      </c>
      <c r="S4822" s="18">
        <v>2069.31</v>
      </c>
      <c r="T4822" s="19" t="s">
        <v>36</v>
      </c>
      <c r="U4822" s="20" t="s">
        <v>37</v>
      </c>
      <c r="V4822" s="21" t="s">
        <v>106</v>
      </c>
      <c r="W4822" s="22">
        <v>18</v>
      </c>
      <c r="X4822" s="23"/>
    </row>
    <row r="4823" spans="1:24" s="1" customFormat="1" ht="26" customHeight="1" x14ac:dyDescent="0.3">
      <c r="A4823" s="24" t="s">
        <v>23</v>
      </c>
      <c r="B4823" s="24" t="s">
        <v>3820</v>
      </c>
      <c r="C4823" s="12" t="s">
        <v>4274</v>
      </c>
      <c r="D4823" s="60"/>
      <c r="E4823" s="41" t="str">
        <f>HYPERLINK("https://www.google.ru/search?q=6009989-100&amp;newwindow=1&amp;tbm=isch","Еще фото")</f>
        <v>Еще фото</v>
      </c>
      <c r="F4823" s="28" t="s">
        <v>138</v>
      </c>
      <c r="G4823" s="24" t="s">
        <v>3598</v>
      </c>
      <c r="H4823" s="24" t="s">
        <v>27</v>
      </c>
      <c r="I4823" s="24" t="s">
        <v>3599</v>
      </c>
      <c r="J4823" s="14" t="s">
        <v>29</v>
      </c>
      <c r="K4823" s="15" t="s">
        <v>59</v>
      </c>
      <c r="L4823" s="62"/>
      <c r="M4823" s="14"/>
      <c r="N4823" s="14" t="s">
        <v>84</v>
      </c>
      <c r="O4823" s="14"/>
      <c r="P4823" s="15" t="s">
        <v>2662</v>
      </c>
      <c r="Q4823" s="16">
        <v>2999</v>
      </c>
      <c r="R4823" s="17">
        <v>40</v>
      </c>
      <c r="S4823" s="18">
        <v>2069.31</v>
      </c>
      <c r="T4823" s="19" t="s">
        <v>36</v>
      </c>
      <c r="U4823" s="20" t="s">
        <v>39</v>
      </c>
      <c r="V4823" s="21" t="s">
        <v>85</v>
      </c>
      <c r="W4823" s="22">
        <v>17</v>
      </c>
      <c r="X4823" s="23"/>
    </row>
    <row r="4824" spans="1:24" s="1" customFormat="1" ht="26" customHeight="1" x14ac:dyDescent="0.3">
      <c r="A4824" s="24" t="s">
        <v>23</v>
      </c>
      <c r="B4824" s="24" t="s">
        <v>3820</v>
      </c>
      <c r="C4824" s="12" t="s">
        <v>4274</v>
      </c>
      <c r="D4824" s="61"/>
      <c r="E4824" s="41" t="str">
        <f>HYPERLINK("https://www.google.ru/search?q=6009989-100&amp;newwindow=1&amp;tbm=isch","Еще фото")</f>
        <v>Еще фото</v>
      </c>
      <c r="F4824" s="28" t="s">
        <v>138</v>
      </c>
      <c r="G4824" s="24" t="s">
        <v>3598</v>
      </c>
      <c r="H4824" s="24" t="s">
        <v>27</v>
      </c>
      <c r="I4824" s="24" t="s">
        <v>3599</v>
      </c>
      <c r="J4824" s="14" t="s">
        <v>29</v>
      </c>
      <c r="K4824" s="15" t="s">
        <v>59</v>
      </c>
      <c r="L4824" s="58"/>
      <c r="M4824" s="14"/>
      <c r="N4824" s="14" t="s">
        <v>84</v>
      </c>
      <c r="O4824" s="14"/>
      <c r="P4824" s="15" t="s">
        <v>2662</v>
      </c>
      <c r="Q4824" s="16">
        <v>2999</v>
      </c>
      <c r="R4824" s="17">
        <v>40</v>
      </c>
      <c r="S4824" s="18">
        <v>2069.31</v>
      </c>
      <c r="T4824" s="19" t="s">
        <v>36</v>
      </c>
      <c r="U4824" s="20" t="s">
        <v>86</v>
      </c>
      <c r="V4824" s="21" t="s">
        <v>38</v>
      </c>
      <c r="W4824" s="22">
        <v>15</v>
      </c>
      <c r="X4824" s="23"/>
    </row>
    <row r="4825" spans="1:24" s="1" customFormat="1" ht="26" customHeight="1" x14ac:dyDescent="0.3">
      <c r="A4825" s="11" t="s">
        <v>23</v>
      </c>
      <c r="B4825" s="11" t="s">
        <v>3922</v>
      </c>
      <c r="C4825" s="12" t="s">
        <v>4275</v>
      </c>
      <c r="D4825" s="59"/>
      <c r="E4825" s="41" t="str">
        <f>HYPERLINK("https://www.google.ru/search?q=6009990-001&amp;newwindow=1&amp;tbm=isch","Еще фото")</f>
        <v>Еще фото</v>
      </c>
      <c r="F4825" s="28" t="s">
        <v>138</v>
      </c>
      <c r="G4825" s="11" t="s">
        <v>3604</v>
      </c>
      <c r="H4825" s="11" t="s">
        <v>27</v>
      </c>
      <c r="I4825" s="14" t="s">
        <v>3599</v>
      </c>
      <c r="J4825" s="14" t="s">
        <v>29</v>
      </c>
      <c r="K4825" s="15" t="s">
        <v>59</v>
      </c>
      <c r="L4825" s="57"/>
      <c r="M4825" s="14"/>
      <c r="N4825" s="14" t="s">
        <v>33</v>
      </c>
      <c r="O4825" s="14"/>
      <c r="P4825" s="15" t="s">
        <v>2662</v>
      </c>
      <c r="Q4825" s="16">
        <v>3299</v>
      </c>
      <c r="R4825" s="17">
        <v>40</v>
      </c>
      <c r="S4825" s="18">
        <v>2276.31</v>
      </c>
      <c r="T4825" s="19" t="s">
        <v>36</v>
      </c>
      <c r="U4825" s="20" t="s">
        <v>63</v>
      </c>
      <c r="V4825" s="21" t="s">
        <v>64</v>
      </c>
      <c r="W4825" s="22">
        <v>13</v>
      </c>
      <c r="X4825" s="23"/>
    </row>
    <row r="4826" spans="1:24" s="1" customFormat="1" ht="26" customHeight="1" x14ac:dyDescent="0.3">
      <c r="A4826" s="24" t="s">
        <v>23</v>
      </c>
      <c r="B4826" s="24" t="s">
        <v>3922</v>
      </c>
      <c r="C4826" s="12" t="s">
        <v>4275</v>
      </c>
      <c r="D4826" s="60"/>
      <c r="E4826" s="41" t="str">
        <f>HYPERLINK("https://www.google.ru/search?q=6009990-001&amp;newwindow=1&amp;tbm=isch","Еще фото")</f>
        <v>Еще фото</v>
      </c>
      <c r="F4826" s="28" t="s">
        <v>138</v>
      </c>
      <c r="G4826" s="24" t="s">
        <v>3604</v>
      </c>
      <c r="H4826" s="24" t="s">
        <v>27</v>
      </c>
      <c r="I4826" s="24" t="s">
        <v>3599</v>
      </c>
      <c r="J4826" s="14" t="s">
        <v>29</v>
      </c>
      <c r="K4826" s="15" t="s">
        <v>59</v>
      </c>
      <c r="L4826" s="62"/>
      <c r="M4826" s="14"/>
      <c r="N4826" s="14" t="s">
        <v>33</v>
      </c>
      <c r="O4826" s="14"/>
      <c r="P4826" s="15" t="s">
        <v>2662</v>
      </c>
      <c r="Q4826" s="16">
        <v>3299</v>
      </c>
      <c r="R4826" s="17">
        <v>40</v>
      </c>
      <c r="S4826" s="18">
        <v>2276.31</v>
      </c>
      <c r="T4826" s="19" t="s">
        <v>36</v>
      </c>
      <c r="U4826" s="20" t="s">
        <v>37</v>
      </c>
      <c r="V4826" s="21" t="s">
        <v>106</v>
      </c>
      <c r="W4826" s="22">
        <v>18</v>
      </c>
      <c r="X4826" s="23"/>
    </row>
    <row r="4827" spans="1:24" s="1" customFormat="1" ht="26" customHeight="1" x14ac:dyDescent="0.3">
      <c r="A4827" s="24" t="s">
        <v>23</v>
      </c>
      <c r="B4827" s="24" t="s">
        <v>3922</v>
      </c>
      <c r="C4827" s="12" t="s">
        <v>4275</v>
      </c>
      <c r="D4827" s="60"/>
      <c r="E4827" s="41" t="str">
        <f>HYPERLINK("https://www.google.ru/search?q=6009990-001&amp;newwindow=1&amp;tbm=isch","Еще фото")</f>
        <v>Еще фото</v>
      </c>
      <c r="F4827" s="28" t="s">
        <v>138</v>
      </c>
      <c r="G4827" s="24" t="s">
        <v>3604</v>
      </c>
      <c r="H4827" s="24" t="s">
        <v>27</v>
      </c>
      <c r="I4827" s="24" t="s">
        <v>3599</v>
      </c>
      <c r="J4827" s="14" t="s">
        <v>29</v>
      </c>
      <c r="K4827" s="15" t="s">
        <v>59</v>
      </c>
      <c r="L4827" s="62"/>
      <c r="M4827" s="14"/>
      <c r="N4827" s="14" t="s">
        <v>33</v>
      </c>
      <c r="O4827" s="14"/>
      <c r="P4827" s="15" t="s">
        <v>2662</v>
      </c>
      <c r="Q4827" s="16">
        <v>3299</v>
      </c>
      <c r="R4827" s="17">
        <v>40</v>
      </c>
      <c r="S4827" s="18">
        <v>2276.31</v>
      </c>
      <c r="T4827" s="19" t="s">
        <v>36</v>
      </c>
      <c r="U4827" s="20" t="s">
        <v>39</v>
      </c>
      <c r="V4827" s="21" t="s">
        <v>85</v>
      </c>
      <c r="W4827" s="22">
        <v>18</v>
      </c>
      <c r="X4827" s="23"/>
    </row>
    <row r="4828" spans="1:24" s="1" customFormat="1" ht="26" customHeight="1" x14ac:dyDescent="0.3">
      <c r="A4828" s="24" t="s">
        <v>23</v>
      </c>
      <c r="B4828" s="24" t="s">
        <v>3922</v>
      </c>
      <c r="C4828" s="12" t="s">
        <v>4275</v>
      </c>
      <c r="D4828" s="61"/>
      <c r="E4828" s="41" t="str">
        <f>HYPERLINK("https://www.google.ru/search?q=6009990-001&amp;newwindow=1&amp;tbm=isch","Еще фото")</f>
        <v>Еще фото</v>
      </c>
      <c r="F4828" s="28" t="s">
        <v>138</v>
      </c>
      <c r="G4828" s="24" t="s">
        <v>3604</v>
      </c>
      <c r="H4828" s="24" t="s">
        <v>27</v>
      </c>
      <c r="I4828" s="24" t="s">
        <v>3599</v>
      </c>
      <c r="J4828" s="14" t="s">
        <v>29</v>
      </c>
      <c r="K4828" s="15" t="s">
        <v>59</v>
      </c>
      <c r="L4828" s="58"/>
      <c r="M4828" s="14"/>
      <c r="N4828" s="14" t="s">
        <v>33</v>
      </c>
      <c r="O4828" s="14"/>
      <c r="P4828" s="15" t="s">
        <v>2662</v>
      </c>
      <c r="Q4828" s="16">
        <v>3299</v>
      </c>
      <c r="R4828" s="17">
        <v>40</v>
      </c>
      <c r="S4828" s="18">
        <v>2276.31</v>
      </c>
      <c r="T4828" s="19" t="s">
        <v>36</v>
      </c>
      <c r="U4828" s="20" t="s">
        <v>86</v>
      </c>
      <c r="V4828" s="21" t="s">
        <v>38</v>
      </c>
      <c r="W4828" s="22">
        <v>10</v>
      </c>
      <c r="X4828" s="23"/>
    </row>
    <row r="4829" spans="1:24" s="1" customFormat="1" ht="26" customHeight="1" x14ac:dyDescent="0.3">
      <c r="A4829" s="11" t="s">
        <v>23</v>
      </c>
      <c r="B4829" s="11" t="s">
        <v>4276</v>
      </c>
      <c r="C4829" s="12" t="s">
        <v>4277</v>
      </c>
      <c r="D4829" s="59"/>
      <c r="E4829" s="41" t="str">
        <f>HYPERLINK("https://www.google.ru/search?q=6010007-008&amp;newwindow=1&amp;tbm=isch","Еще фото")</f>
        <v>Еще фото</v>
      </c>
      <c r="F4829" s="13"/>
      <c r="G4829" s="11" t="s">
        <v>3598</v>
      </c>
      <c r="H4829" s="11" t="s">
        <v>27</v>
      </c>
      <c r="I4829" s="14" t="s">
        <v>3599</v>
      </c>
      <c r="J4829" s="14" t="s">
        <v>29</v>
      </c>
      <c r="K4829" s="15" t="s">
        <v>59</v>
      </c>
      <c r="L4829" s="57" t="s">
        <v>4278</v>
      </c>
      <c r="M4829" s="14"/>
      <c r="N4829" s="14" t="s">
        <v>33</v>
      </c>
      <c r="O4829" s="14"/>
      <c r="P4829" s="15" t="s">
        <v>298</v>
      </c>
      <c r="Q4829" s="16">
        <v>3099</v>
      </c>
      <c r="R4829" s="17">
        <v>40</v>
      </c>
      <c r="S4829" s="18">
        <v>2138.31</v>
      </c>
      <c r="T4829" s="19" t="s">
        <v>36</v>
      </c>
      <c r="U4829" s="20" t="s">
        <v>63</v>
      </c>
      <c r="V4829" s="21" t="s">
        <v>64</v>
      </c>
      <c r="W4829" s="22">
        <v>11</v>
      </c>
      <c r="X4829" s="23"/>
    </row>
    <row r="4830" spans="1:24" s="1" customFormat="1" ht="26" customHeight="1" x14ac:dyDescent="0.3">
      <c r="A4830" s="24" t="s">
        <v>23</v>
      </c>
      <c r="B4830" s="24" t="s">
        <v>4276</v>
      </c>
      <c r="C4830" s="12" t="s">
        <v>4277</v>
      </c>
      <c r="D4830" s="60"/>
      <c r="E4830" s="41" t="str">
        <f>HYPERLINK("https://www.google.ru/search?q=6010007-008&amp;newwindow=1&amp;tbm=isch","Еще фото")</f>
        <v>Еще фото</v>
      </c>
      <c r="F4830" s="13"/>
      <c r="G4830" s="24" t="s">
        <v>3598</v>
      </c>
      <c r="H4830" s="24" t="s">
        <v>27</v>
      </c>
      <c r="I4830" s="24" t="s">
        <v>3599</v>
      </c>
      <c r="J4830" s="14" t="s">
        <v>29</v>
      </c>
      <c r="K4830" s="15" t="s">
        <v>59</v>
      </c>
      <c r="L4830" s="62"/>
      <c r="M4830" s="14"/>
      <c r="N4830" s="14" t="s">
        <v>33</v>
      </c>
      <c r="O4830" s="14"/>
      <c r="P4830" s="15" t="s">
        <v>298</v>
      </c>
      <c r="Q4830" s="16">
        <v>3099</v>
      </c>
      <c r="R4830" s="17">
        <v>40</v>
      </c>
      <c r="S4830" s="18">
        <v>2138.31</v>
      </c>
      <c r="T4830" s="19" t="s">
        <v>36</v>
      </c>
      <c r="U4830" s="20" t="s">
        <v>37</v>
      </c>
      <c r="V4830" s="21" t="s">
        <v>106</v>
      </c>
      <c r="W4830" s="22">
        <v>10</v>
      </c>
      <c r="X4830" s="23"/>
    </row>
    <row r="4831" spans="1:24" s="1" customFormat="1" ht="26" customHeight="1" x14ac:dyDescent="0.3">
      <c r="A4831" s="24" t="s">
        <v>23</v>
      </c>
      <c r="B4831" s="24" t="s">
        <v>4276</v>
      </c>
      <c r="C4831" s="12" t="s">
        <v>4277</v>
      </c>
      <c r="D4831" s="60"/>
      <c r="E4831" s="41" t="str">
        <f>HYPERLINK("https://www.google.ru/search?q=6010007-008&amp;newwindow=1&amp;tbm=isch","Еще фото")</f>
        <v>Еще фото</v>
      </c>
      <c r="F4831" s="13"/>
      <c r="G4831" s="24" t="s">
        <v>3598</v>
      </c>
      <c r="H4831" s="24" t="s">
        <v>27</v>
      </c>
      <c r="I4831" s="24" t="s">
        <v>3599</v>
      </c>
      <c r="J4831" s="14" t="s">
        <v>29</v>
      </c>
      <c r="K4831" s="15" t="s">
        <v>59</v>
      </c>
      <c r="L4831" s="62"/>
      <c r="M4831" s="14"/>
      <c r="N4831" s="14" t="s">
        <v>33</v>
      </c>
      <c r="O4831" s="14"/>
      <c r="P4831" s="15" t="s">
        <v>298</v>
      </c>
      <c r="Q4831" s="16">
        <v>3099</v>
      </c>
      <c r="R4831" s="17">
        <v>40</v>
      </c>
      <c r="S4831" s="18">
        <v>2138.31</v>
      </c>
      <c r="T4831" s="19" t="s">
        <v>36</v>
      </c>
      <c r="U4831" s="20" t="s">
        <v>39</v>
      </c>
      <c r="V4831" s="21" t="s">
        <v>85</v>
      </c>
      <c r="W4831" s="22">
        <v>15</v>
      </c>
      <c r="X4831" s="23"/>
    </row>
    <row r="4832" spans="1:24" s="1" customFormat="1" ht="26" customHeight="1" x14ac:dyDescent="0.3">
      <c r="A4832" s="24" t="s">
        <v>23</v>
      </c>
      <c r="B4832" s="24" t="s">
        <v>4276</v>
      </c>
      <c r="C4832" s="12" t="s">
        <v>4277</v>
      </c>
      <c r="D4832" s="61"/>
      <c r="E4832" s="41" t="str">
        <f>HYPERLINK("https://www.google.ru/search?q=6010007-008&amp;newwindow=1&amp;tbm=isch","Еще фото")</f>
        <v>Еще фото</v>
      </c>
      <c r="F4832" s="13"/>
      <c r="G4832" s="24" t="s">
        <v>3598</v>
      </c>
      <c r="H4832" s="24" t="s">
        <v>27</v>
      </c>
      <c r="I4832" s="24" t="s">
        <v>3599</v>
      </c>
      <c r="J4832" s="14" t="s">
        <v>29</v>
      </c>
      <c r="K4832" s="15" t="s">
        <v>59</v>
      </c>
      <c r="L4832" s="58"/>
      <c r="M4832" s="14"/>
      <c r="N4832" s="14" t="s">
        <v>33</v>
      </c>
      <c r="O4832" s="14"/>
      <c r="P4832" s="15" t="s">
        <v>298</v>
      </c>
      <c r="Q4832" s="16">
        <v>3099</v>
      </c>
      <c r="R4832" s="17">
        <v>40</v>
      </c>
      <c r="S4832" s="18">
        <v>2138.31</v>
      </c>
      <c r="T4832" s="19" t="s">
        <v>36</v>
      </c>
      <c r="U4832" s="20" t="s">
        <v>86</v>
      </c>
      <c r="V4832" s="21" t="s">
        <v>38</v>
      </c>
      <c r="W4832" s="22">
        <v>14</v>
      </c>
      <c r="X4832" s="23"/>
    </row>
    <row r="4833" spans="1:24" s="1" customFormat="1" ht="52.05" customHeight="1" x14ac:dyDescent="0.3">
      <c r="A4833" s="11" t="s">
        <v>23</v>
      </c>
      <c r="B4833" s="11" t="s">
        <v>4276</v>
      </c>
      <c r="C4833" s="12" t="s">
        <v>4279</v>
      </c>
      <c r="D4833" s="55"/>
      <c r="E4833" s="41" t="str">
        <f>HYPERLINK("https://www.google.ru/search?q=6010007-338&amp;newwindow=1&amp;tbm=isch","Еще фото")</f>
        <v>Еще фото</v>
      </c>
      <c r="F4833" s="13"/>
      <c r="G4833" s="11" t="s">
        <v>3598</v>
      </c>
      <c r="H4833" s="11" t="s">
        <v>27</v>
      </c>
      <c r="I4833" s="14" t="s">
        <v>3599</v>
      </c>
      <c r="J4833" s="14" t="s">
        <v>29</v>
      </c>
      <c r="K4833" s="15" t="s">
        <v>59</v>
      </c>
      <c r="L4833" s="57" t="s">
        <v>4278</v>
      </c>
      <c r="M4833" s="14"/>
      <c r="N4833" s="14" t="s">
        <v>127</v>
      </c>
      <c r="O4833" s="14"/>
      <c r="P4833" s="15" t="s">
        <v>298</v>
      </c>
      <c r="Q4833" s="16">
        <v>3099</v>
      </c>
      <c r="R4833" s="17">
        <v>40</v>
      </c>
      <c r="S4833" s="18">
        <v>2138.31</v>
      </c>
      <c r="T4833" s="19" t="s">
        <v>36</v>
      </c>
      <c r="U4833" s="20" t="s">
        <v>63</v>
      </c>
      <c r="V4833" s="21" t="s">
        <v>64</v>
      </c>
      <c r="W4833" s="22">
        <v>1</v>
      </c>
      <c r="X4833" s="23"/>
    </row>
    <row r="4834" spans="1:24" s="1" customFormat="1" ht="61.05" customHeight="1" x14ac:dyDescent="0.3">
      <c r="A4834" s="24" t="s">
        <v>23</v>
      </c>
      <c r="B4834" s="24" t="s">
        <v>4276</v>
      </c>
      <c r="C4834" s="12" t="s">
        <v>4279</v>
      </c>
      <c r="D4834" s="56"/>
      <c r="E4834" s="41" t="str">
        <f>HYPERLINK("https://www.google.ru/search?q=6010007-338&amp;newwindow=1&amp;tbm=isch","Еще фото")</f>
        <v>Еще фото</v>
      </c>
      <c r="F4834" s="13"/>
      <c r="G4834" s="24" t="s">
        <v>3598</v>
      </c>
      <c r="H4834" s="24" t="s">
        <v>27</v>
      </c>
      <c r="I4834" s="24" t="s">
        <v>3599</v>
      </c>
      <c r="J4834" s="14" t="s">
        <v>29</v>
      </c>
      <c r="K4834" s="15" t="s">
        <v>59</v>
      </c>
      <c r="L4834" s="58"/>
      <c r="M4834" s="14"/>
      <c r="N4834" s="14" t="s">
        <v>127</v>
      </c>
      <c r="O4834" s="14"/>
      <c r="P4834" s="15" t="s">
        <v>298</v>
      </c>
      <c r="Q4834" s="16">
        <v>3099</v>
      </c>
      <c r="R4834" s="17">
        <v>40</v>
      </c>
      <c r="S4834" s="18">
        <v>2138.31</v>
      </c>
      <c r="T4834" s="19" t="s">
        <v>36</v>
      </c>
      <c r="U4834" s="20" t="s">
        <v>86</v>
      </c>
      <c r="V4834" s="21" t="s">
        <v>38</v>
      </c>
      <c r="W4834" s="22">
        <v>6</v>
      </c>
      <c r="X4834" s="23"/>
    </row>
    <row r="4835" spans="1:24" s="1" customFormat="1" ht="35" customHeight="1" x14ac:dyDescent="0.3">
      <c r="A4835" s="11" t="s">
        <v>23</v>
      </c>
      <c r="B4835" s="11" t="s">
        <v>4280</v>
      </c>
      <c r="C4835" s="12" t="s">
        <v>4281</v>
      </c>
      <c r="D4835" s="59"/>
      <c r="E4835" s="41" t="str">
        <f>HYPERLINK("https://www.google.ru/search?q=6010588-001&amp;newwindow=1&amp;tbm=isch","Еще фото")</f>
        <v>Еще фото</v>
      </c>
      <c r="F4835" s="13" t="s">
        <v>103</v>
      </c>
      <c r="G4835" s="11" t="s">
        <v>3604</v>
      </c>
      <c r="H4835" s="11" t="s">
        <v>27</v>
      </c>
      <c r="I4835" s="14" t="s">
        <v>3599</v>
      </c>
      <c r="J4835" s="14" t="s">
        <v>43</v>
      </c>
      <c r="K4835" s="15" t="s">
        <v>59</v>
      </c>
      <c r="L4835" s="57" t="s">
        <v>4282</v>
      </c>
      <c r="M4835" s="14"/>
      <c r="N4835" s="14" t="s">
        <v>33</v>
      </c>
      <c r="O4835" s="14"/>
      <c r="P4835" s="15" t="s">
        <v>2951</v>
      </c>
      <c r="Q4835" s="16">
        <v>2699</v>
      </c>
      <c r="R4835" s="17">
        <v>40</v>
      </c>
      <c r="S4835" s="18">
        <v>1862.31</v>
      </c>
      <c r="T4835" s="19" t="s">
        <v>36</v>
      </c>
      <c r="U4835" s="20" t="s">
        <v>63</v>
      </c>
      <c r="V4835" s="21" t="s">
        <v>64</v>
      </c>
      <c r="W4835" s="22">
        <v>2</v>
      </c>
      <c r="X4835" s="23"/>
    </row>
    <row r="4836" spans="1:24" s="1" customFormat="1" ht="35" customHeight="1" x14ac:dyDescent="0.3">
      <c r="A4836" s="24" t="s">
        <v>23</v>
      </c>
      <c r="B4836" s="24" t="s">
        <v>4280</v>
      </c>
      <c r="C4836" s="12" t="s">
        <v>4281</v>
      </c>
      <c r="D4836" s="60"/>
      <c r="E4836" s="41" t="str">
        <f>HYPERLINK("https://www.google.ru/search?q=6010588-001&amp;newwindow=1&amp;tbm=isch","Еще фото")</f>
        <v>Еще фото</v>
      </c>
      <c r="F4836" s="13" t="s">
        <v>103</v>
      </c>
      <c r="G4836" s="24" t="s">
        <v>3604</v>
      </c>
      <c r="H4836" s="24" t="s">
        <v>27</v>
      </c>
      <c r="I4836" s="24" t="s">
        <v>3599</v>
      </c>
      <c r="J4836" s="14" t="s">
        <v>43</v>
      </c>
      <c r="K4836" s="15" t="s">
        <v>59</v>
      </c>
      <c r="L4836" s="62"/>
      <c r="M4836" s="14"/>
      <c r="N4836" s="14" t="s">
        <v>33</v>
      </c>
      <c r="O4836" s="14"/>
      <c r="P4836" s="15" t="s">
        <v>2951</v>
      </c>
      <c r="Q4836" s="16">
        <v>2699</v>
      </c>
      <c r="R4836" s="17">
        <v>40</v>
      </c>
      <c r="S4836" s="18">
        <v>1862.31</v>
      </c>
      <c r="T4836" s="19" t="s">
        <v>36</v>
      </c>
      <c r="U4836" s="20" t="s">
        <v>39</v>
      </c>
      <c r="V4836" s="21" t="s">
        <v>85</v>
      </c>
      <c r="W4836" s="22">
        <v>10</v>
      </c>
      <c r="X4836" s="23"/>
    </row>
    <row r="4837" spans="1:24" s="1" customFormat="1" ht="37.049999999999997" customHeight="1" x14ac:dyDescent="0.3">
      <c r="A4837" s="24" t="s">
        <v>23</v>
      </c>
      <c r="B4837" s="24" t="s">
        <v>4280</v>
      </c>
      <c r="C4837" s="12" t="s">
        <v>4281</v>
      </c>
      <c r="D4837" s="61"/>
      <c r="E4837" s="41" t="str">
        <f>HYPERLINK("https://www.google.ru/search?q=6010588-001&amp;newwindow=1&amp;tbm=isch","Еще фото")</f>
        <v>Еще фото</v>
      </c>
      <c r="F4837" s="13" t="s">
        <v>103</v>
      </c>
      <c r="G4837" s="24" t="s">
        <v>3604</v>
      </c>
      <c r="H4837" s="24" t="s">
        <v>27</v>
      </c>
      <c r="I4837" s="24" t="s">
        <v>3599</v>
      </c>
      <c r="J4837" s="14" t="s">
        <v>43</v>
      </c>
      <c r="K4837" s="15" t="s">
        <v>59</v>
      </c>
      <c r="L4837" s="58"/>
      <c r="M4837" s="14"/>
      <c r="N4837" s="14" t="s">
        <v>33</v>
      </c>
      <c r="O4837" s="14"/>
      <c r="P4837" s="15" t="s">
        <v>2951</v>
      </c>
      <c r="Q4837" s="16">
        <v>2699</v>
      </c>
      <c r="R4837" s="17">
        <v>40</v>
      </c>
      <c r="S4837" s="18">
        <v>1862.31</v>
      </c>
      <c r="T4837" s="19" t="s">
        <v>36</v>
      </c>
      <c r="U4837" s="20" t="s">
        <v>86</v>
      </c>
      <c r="V4837" s="21" t="s">
        <v>38</v>
      </c>
      <c r="W4837" s="22">
        <v>5</v>
      </c>
      <c r="X4837" s="23"/>
    </row>
    <row r="4838" spans="1:24" s="1" customFormat="1" ht="21" customHeight="1" x14ac:dyDescent="0.3">
      <c r="A4838" s="11" t="s">
        <v>23</v>
      </c>
      <c r="B4838" s="11" t="s">
        <v>4280</v>
      </c>
      <c r="C4838" s="26" t="s">
        <v>4283</v>
      </c>
      <c r="D4838" s="59"/>
      <c r="E4838" s="41" t="str">
        <f>HYPERLINK("https://www.google.ru/search?q=6010588-100&amp;newwindow=1&amp;tbm=isch","Еще фото")</f>
        <v>Еще фото</v>
      </c>
      <c r="F4838" s="13" t="s">
        <v>103</v>
      </c>
      <c r="G4838" s="11" t="s">
        <v>3604</v>
      </c>
      <c r="H4838" s="11" t="s">
        <v>27</v>
      </c>
      <c r="I4838" s="14" t="s">
        <v>3599</v>
      </c>
      <c r="J4838" s="14" t="s">
        <v>43</v>
      </c>
      <c r="K4838" s="15" t="s">
        <v>59</v>
      </c>
      <c r="L4838" s="57" t="s">
        <v>4282</v>
      </c>
      <c r="M4838" s="14"/>
      <c r="N4838" s="14" t="s">
        <v>84</v>
      </c>
      <c r="O4838" s="14"/>
      <c r="P4838" s="15" t="s">
        <v>2951</v>
      </c>
      <c r="Q4838" s="16">
        <v>2699</v>
      </c>
      <c r="R4838" s="17">
        <v>40</v>
      </c>
      <c r="S4838" s="18">
        <v>1862.31</v>
      </c>
      <c r="T4838" s="19" t="s">
        <v>36</v>
      </c>
      <c r="U4838" s="20" t="s">
        <v>63</v>
      </c>
      <c r="V4838" s="21" t="s">
        <v>64</v>
      </c>
      <c r="W4838" s="22">
        <v>5</v>
      </c>
      <c r="X4838" s="23"/>
    </row>
    <row r="4839" spans="1:24" s="1" customFormat="1" ht="21" customHeight="1" x14ac:dyDescent="0.3">
      <c r="A4839" s="24" t="s">
        <v>23</v>
      </c>
      <c r="B4839" s="24" t="s">
        <v>4280</v>
      </c>
      <c r="C4839" s="27" t="s">
        <v>4283</v>
      </c>
      <c r="D4839" s="60"/>
      <c r="E4839" s="41" t="str">
        <f>HYPERLINK("https://www.google.ru/search?q=6010588-100&amp;newwindow=1&amp;tbm=isch","Еще фото")</f>
        <v>Еще фото</v>
      </c>
      <c r="F4839" s="13" t="s">
        <v>103</v>
      </c>
      <c r="G4839" s="24" t="s">
        <v>3604</v>
      </c>
      <c r="H4839" s="24" t="s">
        <v>27</v>
      </c>
      <c r="I4839" s="24" t="s">
        <v>3599</v>
      </c>
      <c r="J4839" s="14" t="s">
        <v>43</v>
      </c>
      <c r="K4839" s="15" t="s">
        <v>59</v>
      </c>
      <c r="L4839" s="62"/>
      <c r="M4839" s="14"/>
      <c r="N4839" s="14" t="s">
        <v>84</v>
      </c>
      <c r="O4839" s="14"/>
      <c r="P4839" s="15" t="s">
        <v>2951</v>
      </c>
      <c r="Q4839" s="16">
        <v>2699</v>
      </c>
      <c r="R4839" s="17">
        <v>40</v>
      </c>
      <c r="S4839" s="18">
        <v>1862.31</v>
      </c>
      <c r="T4839" s="19" t="s">
        <v>36</v>
      </c>
      <c r="U4839" s="20" t="s">
        <v>37</v>
      </c>
      <c r="V4839" s="21" t="s">
        <v>106</v>
      </c>
      <c r="W4839" s="22">
        <v>2</v>
      </c>
      <c r="X4839" s="23"/>
    </row>
    <row r="4840" spans="1:24" s="1" customFormat="1" ht="21" customHeight="1" x14ac:dyDescent="0.3">
      <c r="A4840" s="24" t="s">
        <v>23</v>
      </c>
      <c r="B4840" s="24" t="s">
        <v>4280</v>
      </c>
      <c r="C4840" s="27" t="s">
        <v>4283</v>
      </c>
      <c r="D4840" s="60"/>
      <c r="E4840" s="41" t="str">
        <f>HYPERLINK("https://www.google.ru/search?q=6010588-100&amp;newwindow=1&amp;tbm=isch","Еще фото")</f>
        <v>Еще фото</v>
      </c>
      <c r="F4840" s="13" t="s">
        <v>103</v>
      </c>
      <c r="G4840" s="24" t="s">
        <v>3604</v>
      </c>
      <c r="H4840" s="24" t="s">
        <v>27</v>
      </c>
      <c r="I4840" s="24" t="s">
        <v>3599</v>
      </c>
      <c r="J4840" s="14" t="s">
        <v>43</v>
      </c>
      <c r="K4840" s="15" t="s">
        <v>59</v>
      </c>
      <c r="L4840" s="62"/>
      <c r="M4840" s="14"/>
      <c r="N4840" s="14" t="s">
        <v>84</v>
      </c>
      <c r="O4840" s="14"/>
      <c r="P4840" s="15" t="s">
        <v>2951</v>
      </c>
      <c r="Q4840" s="16">
        <v>2699</v>
      </c>
      <c r="R4840" s="17">
        <v>40</v>
      </c>
      <c r="S4840" s="18">
        <v>1862.31</v>
      </c>
      <c r="T4840" s="19" t="s">
        <v>36</v>
      </c>
      <c r="U4840" s="20" t="s">
        <v>39</v>
      </c>
      <c r="V4840" s="21" t="s">
        <v>85</v>
      </c>
      <c r="W4840" s="22">
        <v>13</v>
      </c>
      <c r="X4840" s="23"/>
    </row>
    <row r="4841" spans="1:24" s="1" customFormat="1" ht="21" customHeight="1" x14ac:dyDescent="0.3">
      <c r="A4841" s="24" t="s">
        <v>23</v>
      </c>
      <c r="B4841" s="24" t="s">
        <v>4280</v>
      </c>
      <c r="C4841" s="27" t="s">
        <v>4283</v>
      </c>
      <c r="D4841" s="60"/>
      <c r="E4841" s="41" t="str">
        <f>HYPERLINK("https://www.google.ru/search?q=6010588-100&amp;newwindow=1&amp;tbm=isch","Еще фото")</f>
        <v>Еще фото</v>
      </c>
      <c r="F4841" s="13" t="s">
        <v>103</v>
      </c>
      <c r="G4841" s="24" t="s">
        <v>3604</v>
      </c>
      <c r="H4841" s="24" t="s">
        <v>27</v>
      </c>
      <c r="I4841" s="24" t="s">
        <v>3599</v>
      </c>
      <c r="J4841" s="14" t="s">
        <v>43</v>
      </c>
      <c r="K4841" s="15" t="s">
        <v>59</v>
      </c>
      <c r="L4841" s="62"/>
      <c r="M4841" s="14"/>
      <c r="N4841" s="14" t="s">
        <v>84</v>
      </c>
      <c r="O4841" s="14"/>
      <c r="P4841" s="15" t="s">
        <v>2951</v>
      </c>
      <c r="Q4841" s="16">
        <v>2699</v>
      </c>
      <c r="R4841" s="17">
        <v>40</v>
      </c>
      <c r="S4841" s="18">
        <v>1862.31</v>
      </c>
      <c r="T4841" s="19" t="s">
        <v>36</v>
      </c>
      <c r="U4841" s="20" t="s">
        <v>86</v>
      </c>
      <c r="V4841" s="21" t="s">
        <v>38</v>
      </c>
      <c r="W4841" s="22">
        <v>12</v>
      </c>
      <c r="X4841" s="23"/>
    </row>
    <row r="4842" spans="1:24" s="1" customFormat="1" ht="32" customHeight="1" x14ac:dyDescent="0.3">
      <c r="A4842" s="24" t="s">
        <v>23</v>
      </c>
      <c r="B4842" s="24" t="s">
        <v>4280</v>
      </c>
      <c r="C4842" s="27" t="s">
        <v>4283</v>
      </c>
      <c r="D4842" s="61"/>
      <c r="E4842" s="41" t="str">
        <f>HYPERLINK("https://www.google.ru/search?q=6010588-100&amp;newwindow=1&amp;tbm=isch","Еще фото")</f>
        <v>Еще фото</v>
      </c>
      <c r="F4842" s="13" t="s">
        <v>103</v>
      </c>
      <c r="G4842" s="24" t="s">
        <v>3604</v>
      </c>
      <c r="H4842" s="24" t="s">
        <v>27</v>
      </c>
      <c r="I4842" s="24" t="s">
        <v>3599</v>
      </c>
      <c r="J4842" s="14" t="s">
        <v>43</v>
      </c>
      <c r="K4842" s="15" t="s">
        <v>59</v>
      </c>
      <c r="L4842" s="58"/>
      <c r="M4842" s="14"/>
      <c r="N4842" s="14" t="s">
        <v>84</v>
      </c>
      <c r="O4842" s="14"/>
      <c r="P4842" s="15" t="s">
        <v>2951</v>
      </c>
      <c r="Q4842" s="16">
        <v>2699</v>
      </c>
      <c r="R4842" s="17">
        <v>40</v>
      </c>
      <c r="S4842" s="18">
        <v>1862.31</v>
      </c>
      <c r="T4842" s="19" t="s">
        <v>36</v>
      </c>
      <c r="U4842" s="20" t="s">
        <v>88</v>
      </c>
      <c r="V4842" s="21" t="s">
        <v>40</v>
      </c>
      <c r="W4842" s="22">
        <v>3</v>
      </c>
      <c r="X4842" s="23"/>
    </row>
    <row r="4843" spans="1:24" s="1" customFormat="1" ht="21" customHeight="1" x14ac:dyDescent="0.3">
      <c r="A4843" s="11" t="s">
        <v>23</v>
      </c>
      <c r="B4843" s="11" t="s">
        <v>4280</v>
      </c>
      <c r="C4843" s="26" t="s">
        <v>4284</v>
      </c>
      <c r="D4843" s="59"/>
      <c r="E4843" s="41" t="str">
        <f>HYPERLINK("https://www.google.ru/search?q=6010588-690&amp;newwindow=1&amp;tbm=isch","Еще фото")</f>
        <v>Еще фото</v>
      </c>
      <c r="F4843" s="13"/>
      <c r="G4843" s="11" t="s">
        <v>3604</v>
      </c>
      <c r="H4843" s="11" t="s">
        <v>27</v>
      </c>
      <c r="I4843" s="14" t="s">
        <v>3599</v>
      </c>
      <c r="J4843" s="14" t="s">
        <v>43</v>
      </c>
      <c r="K4843" s="15" t="s">
        <v>59</v>
      </c>
      <c r="L4843" s="57" t="s">
        <v>4282</v>
      </c>
      <c r="M4843" s="14"/>
      <c r="N4843" s="14" t="s">
        <v>198</v>
      </c>
      <c r="O4843" s="14"/>
      <c r="P4843" s="15" t="s">
        <v>2951</v>
      </c>
      <c r="Q4843" s="16">
        <v>2699</v>
      </c>
      <c r="R4843" s="17">
        <v>40</v>
      </c>
      <c r="S4843" s="18">
        <v>1862.31</v>
      </c>
      <c r="T4843" s="19" t="s">
        <v>36</v>
      </c>
      <c r="U4843" s="20" t="s">
        <v>63</v>
      </c>
      <c r="V4843" s="21" t="s">
        <v>64</v>
      </c>
      <c r="W4843" s="22">
        <v>8</v>
      </c>
      <c r="X4843" s="23"/>
    </row>
    <row r="4844" spans="1:24" s="1" customFormat="1" ht="21" customHeight="1" x14ac:dyDescent="0.3">
      <c r="A4844" s="24" t="s">
        <v>23</v>
      </c>
      <c r="B4844" s="24" t="s">
        <v>4280</v>
      </c>
      <c r="C4844" s="27" t="s">
        <v>4284</v>
      </c>
      <c r="D4844" s="60"/>
      <c r="E4844" s="41" t="str">
        <f>HYPERLINK("https://www.google.ru/search?q=6010588-690&amp;newwindow=1&amp;tbm=isch","Еще фото")</f>
        <v>Еще фото</v>
      </c>
      <c r="F4844" s="13"/>
      <c r="G4844" s="24" t="s">
        <v>3604</v>
      </c>
      <c r="H4844" s="24" t="s">
        <v>27</v>
      </c>
      <c r="I4844" s="24" t="s">
        <v>3599</v>
      </c>
      <c r="J4844" s="14" t="s">
        <v>43</v>
      </c>
      <c r="K4844" s="15" t="s">
        <v>59</v>
      </c>
      <c r="L4844" s="62"/>
      <c r="M4844" s="14"/>
      <c r="N4844" s="14" t="s">
        <v>198</v>
      </c>
      <c r="O4844" s="14"/>
      <c r="P4844" s="15" t="s">
        <v>2951</v>
      </c>
      <c r="Q4844" s="16">
        <v>2699</v>
      </c>
      <c r="R4844" s="17">
        <v>40</v>
      </c>
      <c r="S4844" s="18">
        <v>1862.31</v>
      </c>
      <c r="T4844" s="19" t="s">
        <v>36</v>
      </c>
      <c r="U4844" s="20" t="s">
        <v>37</v>
      </c>
      <c r="V4844" s="21" t="s">
        <v>106</v>
      </c>
      <c r="W4844" s="22">
        <v>9</v>
      </c>
      <c r="X4844" s="23"/>
    </row>
    <row r="4845" spans="1:24" s="1" customFormat="1" ht="21" customHeight="1" x14ac:dyDescent="0.3">
      <c r="A4845" s="24" t="s">
        <v>23</v>
      </c>
      <c r="B4845" s="24" t="s">
        <v>4280</v>
      </c>
      <c r="C4845" s="27" t="s">
        <v>4284</v>
      </c>
      <c r="D4845" s="60"/>
      <c r="E4845" s="41" t="str">
        <f>HYPERLINK("https://www.google.ru/search?q=6010588-690&amp;newwindow=1&amp;tbm=isch","Еще фото")</f>
        <v>Еще фото</v>
      </c>
      <c r="F4845" s="13"/>
      <c r="G4845" s="24" t="s">
        <v>3604</v>
      </c>
      <c r="H4845" s="24" t="s">
        <v>27</v>
      </c>
      <c r="I4845" s="24" t="s">
        <v>3599</v>
      </c>
      <c r="J4845" s="14" t="s">
        <v>43</v>
      </c>
      <c r="K4845" s="15" t="s">
        <v>59</v>
      </c>
      <c r="L4845" s="62"/>
      <c r="M4845" s="14"/>
      <c r="N4845" s="14" t="s">
        <v>198</v>
      </c>
      <c r="O4845" s="14"/>
      <c r="P4845" s="15" t="s">
        <v>2951</v>
      </c>
      <c r="Q4845" s="16">
        <v>2699</v>
      </c>
      <c r="R4845" s="17">
        <v>40</v>
      </c>
      <c r="S4845" s="18">
        <v>1862.31</v>
      </c>
      <c r="T4845" s="19" t="s">
        <v>36</v>
      </c>
      <c r="U4845" s="20" t="s">
        <v>39</v>
      </c>
      <c r="V4845" s="21" t="s">
        <v>85</v>
      </c>
      <c r="W4845" s="22">
        <v>8</v>
      </c>
      <c r="X4845" s="23"/>
    </row>
    <row r="4846" spans="1:24" s="1" customFormat="1" ht="21" customHeight="1" x14ac:dyDescent="0.3">
      <c r="A4846" s="24" t="s">
        <v>23</v>
      </c>
      <c r="B4846" s="24" t="s">
        <v>4280</v>
      </c>
      <c r="C4846" s="27" t="s">
        <v>4284</v>
      </c>
      <c r="D4846" s="60"/>
      <c r="E4846" s="41" t="str">
        <f>HYPERLINK("https://www.google.ru/search?q=6010588-690&amp;newwindow=1&amp;tbm=isch","Еще фото")</f>
        <v>Еще фото</v>
      </c>
      <c r="F4846" s="13"/>
      <c r="G4846" s="24" t="s">
        <v>3604</v>
      </c>
      <c r="H4846" s="24" t="s">
        <v>27</v>
      </c>
      <c r="I4846" s="24" t="s">
        <v>3599</v>
      </c>
      <c r="J4846" s="14" t="s">
        <v>43</v>
      </c>
      <c r="K4846" s="15" t="s">
        <v>59</v>
      </c>
      <c r="L4846" s="62"/>
      <c r="M4846" s="14"/>
      <c r="N4846" s="14" t="s">
        <v>198</v>
      </c>
      <c r="O4846" s="14"/>
      <c r="P4846" s="15" t="s">
        <v>2951</v>
      </c>
      <c r="Q4846" s="16">
        <v>2699</v>
      </c>
      <c r="R4846" s="17">
        <v>40</v>
      </c>
      <c r="S4846" s="18">
        <v>1862.31</v>
      </c>
      <c r="T4846" s="19" t="s">
        <v>36</v>
      </c>
      <c r="U4846" s="20" t="s">
        <v>86</v>
      </c>
      <c r="V4846" s="21" t="s">
        <v>38</v>
      </c>
      <c r="W4846" s="22">
        <v>12</v>
      </c>
      <c r="X4846" s="23"/>
    </row>
    <row r="4847" spans="1:24" s="1" customFormat="1" ht="32" customHeight="1" x14ac:dyDescent="0.3">
      <c r="A4847" s="24" t="s">
        <v>23</v>
      </c>
      <c r="B4847" s="24" t="s">
        <v>4280</v>
      </c>
      <c r="C4847" s="27" t="s">
        <v>4284</v>
      </c>
      <c r="D4847" s="61"/>
      <c r="E4847" s="41" t="str">
        <f>HYPERLINK("https://www.google.ru/search?q=6010588-690&amp;newwindow=1&amp;tbm=isch","Еще фото")</f>
        <v>Еще фото</v>
      </c>
      <c r="F4847" s="13"/>
      <c r="G4847" s="24" t="s">
        <v>3604</v>
      </c>
      <c r="H4847" s="24" t="s">
        <v>27</v>
      </c>
      <c r="I4847" s="24" t="s">
        <v>3599</v>
      </c>
      <c r="J4847" s="14" t="s">
        <v>43</v>
      </c>
      <c r="K4847" s="15" t="s">
        <v>59</v>
      </c>
      <c r="L4847" s="58"/>
      <c r="M4847" s="14"/>
      <c r="N4847" s="14" t="s">
        <v>198</v>
      </c>
      <c r="O4847" s="14"/>
      <c r="P4847" s="15" t="s">
        <v>2951</v>
      </c>
      <c r="Q4847" s="16">
        <v>2699</v>
      </c>
      <c r="R4847" s="17">
        <v>40</v>
      </c>
      <c r="S4847" s="18">
        <v>1862.31</v>
      </c>
      <c r="T4847" s="19" t="s">
        <v>36</v>
      </c>
      <c r="U4847" s="20" t="s">
        <v>88</v>
      </c>
      <c r="V4847" s="21" t="s">
        <v>40</v>
      </c>
      <c r="W4847" s="22">
        <v>2</v>
      </c>
      <c r="X4847" s="23"/>
    </row>
    <row r="4848" spans="1:24" s="1" customFormat="1" ht="52.05" customHeight="1" x14ac:dyDescent="0.3">
      <c r="A4848" s="11" t="s">
        <v>23</v>
      </c>
      <c r="B4848" s="11" t="s">
        <v>4285</v>
      </c>
      <c r="C4848" s="12" t="s">
        <v>4286</v>
      </c>
      <c r="D4848" s="55"/>
      <c r="E4848" s="41" t="str">
        <f>HYPERLINK("https://www.google.ru/search?q=6010592-025&amp;newwindow=1&amp;tbm=isch","Еще фото")</f>
        <v>Еще фото</v>
      </c>
      <c r="F4848" s="13"/>
      <c r="G4848" s="11" t="s">
        <v>3604</v>
      </c>
      <c r="H4848" s="11" t="s">
        <v>27</v>
      </c>
      <c r="I4848" s="14" t="s">
        <v>3599</v>
      </c>
      <c r="J4848" s="14" t="s">
        <v>43</v>
      </c>
      <c r="K4848" s="15" t="s">
        <v>59</v>
      </c>
      <c r="L4848" s="57" t="s">
        <v>4287</v>
      </c>
      <c r="M4848" s="14"/>
      <c r="N4848" s="14" t="s">
        <v>62</v>
      </c>
      <c r="O4848" s="14"/>
      <c r="P4848" s="15" t="s">
        <v>2951</v>
      </c>
      <c r="Q4848" s="16">
        <v>2699</v>
      </c>
      <c r="R4848" s="17">
        <v>40</v>
      </c>
      <c r="S4848" s="18">
        <v>1862.31</v>
      </c>
      <c r="T4848" s="19" t="s">
        <v>36</v>
      </c>
      <c r="U4848" s="20" t="s">
        <v>63</v>
      </c>
      <c r="V4848" s="21" t="s">
        <v>64</v>
      </c>
      <c r="W4848" s="22">
        <v>7</v>
      </c>
      <c r="X4848" s="23"/>
    </row>
    <row r="4849" spans="1:24" s="1" customFormat="1" ht="61.05" customHeight="1" x14ac:dyDescent="0.3">
      <c r="A4849" s="24" t="s">
        <v>23</v>
      </c>
      <c r="B4849" s="24" t="s">
        <v>4285</v>
      </c>
      <c r="C4849" s="12" t="s">
        <v>4286</v>
      </c>
      <c r="D4849" s="56"/>
      <c r="E4849" s="41" t="str">
        <f>HYPERLINK("https://www.google.ru/search?q=6010592-025&amp;newwindow=1&amp;tbm=isch","Еще фото")</f>
        <v>Еще фото</v>
      </c>
      <c r="F4849" s="13"/>
      <c r="G4849" s="24" t="s">
        <v>3604</v>
      </c>
      <c r="H4849" s="24" t="s">
        <v>27</v>
      </c>
      <c r="I4849" s="24" t="s">
        <v>3599</v>
      </c>
      <c r="J4849" s="14" t="s">
        <v>43</v>
      </c>
      <c r="K4849" s="15" t="s">
        <v>59</v>
      </c>
      <c r="L4849" s="58"/>
      <c r="M4849" s="14"/>
      <c r="N4849" s="14" t="s">
        <v>62</v>
      </c>
      <c r="O4849" s="14"/>
      <c r="P4849" s="15" t="s">
        <v>2951</v>
      </c>
      <c r="Q4849" s="16">
        <v>2699</v>
      </c>
      <c r="R4849" s="17">
        <v>40</v>
      </c>
      <c r="S4849" s="18">
        <v>1862.31</v>
      </c>
      <c r="T4849" s="19" t="s">
        <v>36</v>
      </c>
      <c r="U4849" s="20" t="s">
        <v>86</v>
      </c>
      <c r="V4849" s="21" t="s">
        <v>38</v>
      </c>
      <c r="W4849" s="22">
        <v>1</v>
      </c>
      <c r="X4849" s="23"/>
    </row>
    <row r="4850" spans="1:24" s="1" customFormat="1" ht="52.05" customHeight="1" x14ac:dyDescent="0.3">
      <c r="A4850" s="11" t="s">
        <v>23</v>
      </c>
      <c r="B4850" s="11" t="s">
        <v>4285</v>
      </c>
      <c r="C4850" s="12" t="s">
        <v>4288</v>
      </c>
      <c r="D4850" s="55"/>
      <c r="E4850" s="41" t="str">
        <f>HYPERLINK("https://www.google.ru/search?q=6010592-477&amp;newwindow=1&amp;tbm=isch","Еще фото")</f>
        <v>Еще фото</v>
      </c>
      <c r="F4850" s="13"/>
      <c r="G4850" s="11" t="s">
        <v>3604</v>
      </c>
      <c r="H4850" s="11" t="s">
        <v>27</v>
      </c>
      <c r="I4850" s="14" t="s">
        <v>3599</v>
      </c>
      <c r="J4850" s="14" t="s">
        <v>43</v>
      </c>
      <c r="K4850" s="15" t="s">
        <v>59</v>
      </c>
      <c r="L4850" s="57" t="s">
        <v>4287</v>
      </c>
      <c r="M4850" s="14"/>
      <c r="N4850" s="14" t="s">
        <v>46</v>
      </c>
      <c r="O4850" s="14"/>
      <c r="P4850" s="15" t="s">
        <v>2951</v>
      </c>
      <c r="Q4850" s="16">
        <v>2699</v>
      </c>
      <c r="R4850" s="17">
        <v>40</v>
      </c>
      <c r="S4850" s="18">
        <v>1862.31</v>
      </c>
      <c r="T4850" s="19" t="s">
        <v>36</v>
      </c>
      <c r="U4850" s="20" t="s">
        <v>63</v>
      </c>
      <c r="V4850" s="21" t="s">
        <v>64</v>
      </c>
      <c r="W4850" s="22">
        <v>6</v>
      </c>
      <c r="X4850" s="23"/>
    </row>
    <row r="4851" spans="1:24" s="1" customFormat="1" ht="61.05" customHeight="1" x14ac:dyDescent="0.3">
      <c r="A4851" s="24" t="s">
        <v>23</v>
      </c>
      <c r="B4851" s="24" t="s">
        <v>4285</v>
      </c>
      <c r="C4851" s="12" t="s">
        <v>4288</v>
      </c>
      <c r="D4851" s="56"/>
      <c r="E4851" s="41" t="str">
        <f>HYPERLINK("https://www.google.ru/search?q=6010592-477&amp;newwindow=1&amp;tbm=isch","Еще фото")</f>
        <v>Еще фото</v>
      </c>
      <c r="F4851" s="13"/>
      <c r="G4851" s="24" t="s">
        <v>3604</v>
      </c>
      <c r="H4851" s="24" t="s">
        <v>27</v>
      </c>
      <c r="I4851" s="24" t="s">
        <v>3599</v>
      </c>
      <c r="J4851" s="14" t="s">
        <v>43</v>
      </c>
      <c r="K4851" s="15" t="s">
        <v>59</v>
      </c>
      <c r="L4851" s="58"/>
      <c r="M4851" s="14"/>
      <c r="N4851" s="14" t="s">
        <v>46</v>
      </c>
      <c r="O4851" s="14"/>
      <c r="P4851" s="15" t="s">
        <v>2951</v>
      </c>
      <c r="Q4851" s="16">
        <v>2699</v>
      </c>
      <c r="R4851" s="17">
        <v>40</v>
      </c>
      <c r="S4851" s="18">
        <v>1862.31</v>
      </c>
      <c r="T4851" s="19" t="s">
        <v>36</v>
      </c>
      <c r="U4851" s="20" t="s">
        <v>86</v>
      </c>
      <c r="V4851" s="21" t="s">
        <v>38</v>
      </c>
      <c r="W4851" s="22">
        <v>2</v>
      </c>
      <c r="X4851" s="23"/>
    </row>
    <row r="4852" spans="1:24" s="1" customFormat="1" ht="52.05" customHeight="1" x14ac:dyDescent="0.3">
      <c r="A4852" s="11" t="s">
        <v>23</v>
      </c>
      <c r="B4852" s="11" t="s">
        <v>4285</v>
      </c>
      <c r="C4852" s="12" t="s">
        <v>4289</v>
      </c>
      <c r="D4852" s="55"/>
      <c r="E4852" s="41" t="str">
        <f>HYPERLINK("https://www.google.ru/search?q=6010592-603&amp;newwindow=1&amp;tbm=isch","Еще фото")</f>
        <v>Еще фото</v>
      </c>
      <c r="F4852" s="13"/>
      <c r="G4852" s="11" t="s">
        <v>3604</v>
      </c>
      <c r="H4852" s="11" t="s">
        <v>27</v>
      </c>
      <c r="I4852" s="14" t="s">
        <v>3599</v>
      </c>
      <c r="J4852" s="14" t="s">
        <v>43</v>
      </c>
      <c r="K4852" s="15" t="s">
        <v>59</v>
      </c>
      <c r="L4852" s="57" t="s">
        <v>4287</v>
      </c>
      <c r="M4852" s="14"/>
      <c r="N4852" s="14" t="s">
        <v>69</v>
      </c>
      <c r="O4852" s="14"/>
      <c r="P4852" s="15" t="s">
        <v>2951</v>
      </c>
      <c r="Q4852" s="16">
        <v>2699</v>
      </c>
      <c r="R4852" s="17">
        <v>40</v>
      </c>
      <c r="S4852" s="18">
        <v>1862.31</v>
      </c>
      <c r="T4852" s="19" t="s">
        <v>36</v>
      </c>
      <c r="U4852" s="20" t="s">
        <v>63</v>
      </c>
      <c r="V4852" s="21" t="s">
        <v>64</v>
      </c>
      <c r="W4852" s="22">
        <v>7</v>
      </c>
      <c r="X4852" s="23"/>
    </row>
    <row r="4853" spans="1:24" s="1" customFormat="1" ht="61.05" customHeight="1" x14ac:dyDescent="0.3">
      <c r="A4853" s="24" t="s">
        <v>23</v>
      </c>
      <c r="B4853" s="24" t="s">
        <v>4285</v>
      </c>
      <c r="C4853" s="12" t="s">
        <v>4289</v>
      </c>
      <c r="D4853" s="56"/>
      <c r="E4853" s="41" t="str">
        <f>HYPERLINK("https://www.google.ru/search?q=6010592-603&amp;newwindow=1&amp;tbm=isch","Еще фото")</f>
        <v>Еще фото</v>
      </c>
      <c r="F4853" s="13"/>
      <c r="G4853" s="24" t="s">
        <v>3604</v>
      </c>
      <c r="H4853" s="24" t="s">
        <v>27</v>
      </c>
      <c r="I4853" s="24" t="s">
        <v>3599</v>
      </c>
      <c r="J4853" s="14" t="s">
        <v>43</v>
      </c>
      <c r="K4853" s="15" t="s">
        <v>59</v>
      </c>
      <c r="L4853" s="58"/>
      <c r="M4853" s="14"/>
      <c r="N4853" s="14" t="s">
        <v>69</v>
      </c>
      <c r="O4853" s="14"/>
      <c r="P4853" s="15" t="s">
        <v>2951</v>
      </c>
      <c r="Q4853" s="16">
        <v>2699</v>
      </c>
      <c r="R4853" s="17">
        <v>40</v>
      </c>
      <c r="S4853" s="18">
        <v>1862.31</v>
      </c>
      <c r="T4853" s="19" t="s">
        <v>36</v>
      </c>
      <c r="U4853" s="20" t="s">
        <v>86</v>
      </c>
      <c r="V4853" s="21" t="s">
        <v>38</v>
      </c>
      <c r="W4853" s="22">
        <v>4</v>
      </c>
      <c r="X4853" s="23"/>
    </row>
    <row r="4854" spans="1:24" s="1" customFormat="1" ht="35" customHeight="1" x14ac:dyDescent="0.3">
      <c r="A4854" s="11" t="s">
        <v>23</v>
      </c>
      <c r="B4854" s="11" t="s">
        <v>4117</v>
      </c>
      <c r="C4854" s="12" t="s">
        <v>4290</v>
      </c>
      <c r="D4854" s="59"/>
      <c r="E4854" s="41" t="str">
        <f>HYPERLINK("https://www.google.ru/search?q=6010603-001&amp;newwindow=1&amp;tbm=isch","Еще фото")</f>
        <v>Еще фото</v>
      </c>
      <c r="F4854" s="13" t="s">
        <v>103</v>
      </c>
      <c r="G4854" s="11" t="s">
        <v>3604</v>
      </c>
      <c r="H4854" s="11" t="s">
        <v>27</v>
      </c>
      <c r="I4854" s="14" t="s">
        <v>3599</v>
      </c>
      <c r="J4854" s="14" t="s">
        <v>29</v>
      </c>
      <c r="K4854" s="15" t="s">
        <v>30</v>
      </c>
      <c r="L4854" s="57" t="s">
        <v>4291</v>
      </c>
      <c r="M4854" s="14"/>
      <c r="N4854" s="14" t="s">
        <v>33</v>
      </c>
      <c r="O4854" s="14"/>
      <c r="P4854" s="15" t="s">
        <v>4292</v>
      </c>
      <c r="Q4854" s="16">
        <v>4899</v>
      </c>
      <c r="R4854" s="17">
        <v>40</v>
      </c>
      <c r="S4854" s="18">
        <v>3380.31</v>
      </c>
      <c r="T4854" s="19" t="s">
        <v>36</v>
      </c>
      <c r="U4854" s="20" t="s">
        <v>37</v>
      </c>
      <c r="V4854" s="21" t="s">
        <v>38</v>
      </c>
      <c r="W4854" s="22">
        <v>3</v>
      </c>
      <c r="X4854" s="23"/>
    </row>
    <row r="4855" spans="1:24" s="1" customFormat="1" ht="35" customHeight="1" x14ac:dyDescent="0.3">
      <c r="A4855" s="24" t="s">
        <v>23</v>
      </c>
      <c r="B4855" s="24" t="s">
        <v>4117</v>
      </c>
      <c r="C4855" s="12" t="s">
        <v>4290</v>
      </c>
      <c r="D4855" s="60"/>
      <c r="E4855" s="41" t="str">
        <f>HYPERLINK("https://www.google.ru/search?q=6010603-001&amp;newwindow=1&amp;tbm=isch","Еще фото")</f>
        <v>Еще фото</v>
      </c>
      <c r="F4855" s="13" t="s">
        <v>103</v>
      </c>
      <c r="G4855" s="24" t="s">
        <v>3604</v>
      </c>
      <c r="H4855" s="24" t="s">
        <v>27</v>
      </c>
      <c r="I4855" s="24" t="s">
        <v>3599</v>
      </c>
      <c r="J4855" s="14" t="s">
        <v>29</v>
      </c>
      <c r="K4855" s="15" t="s">
        <v>30</v>
      </c>
      <c r="L4855" s="62"/>
      <c r="M4855" s="14"/>
      <c r="N4855" s="14" t="s">
        <v>33</v>
      </c>
      <c r="O4855" s="14"/>
      <c r="P4855" s="15" t="s">
        <v>4292</v>
      </c>
      <c r="Q4855" s="16">
        <v>4899</v>
      </c>
      <c r="R4855" s="17">
        <v>40</v>
      </c>
      <c r="S4855" s="18">
        <v>3380.31</v>
      </c>
      <c r="T4855" s="19" t="s">
        <v>36</v>
      </c>
      <c r="U4855" s="20" t="s">
        <v>39</v>
      </c>
      <c r="V4855" s="21" t="s">
        <v>40</v>
      </c>
      <c r="W4855" s="22">
        <v>1</v>
      </c>
      <c r="X4855" s="23"/>
    </row>
    <row r="4856" spans="1:24" s="1" customFormat="1" ht="37.049999999999997" customHeight="1" x14ac:dyDescent="0.3">
      <c r="A4856" s="24" t="s">
        <v>23</v>
      </c>
      <c r="B4856" s="24" t="s">
        <v>4117</v>
      </c>
      <c r="C4856" s="12" t="s">
        <v>4290</v>
      </c>
      <c r="D4856" s="61"/>
      <c r="E4856" s="41" t="str">
        <f>HYPERLINK("https://www.google.ru/search?q=6010603-001&amp;newwindow=1&amp;tbm=isch","Еще фото")</f>
        <v>Еще фото</v>
      </c>
      <c r="F4856" s="13" t="s">
        <v>103</v>
      </c>
      <c r="G4856" s="24" t="s">
        <v>3604</v>
      </c>
      <c r="H4856" s="24" t="s">
        <v>27</v>
      </c>
      <c r="I4856" s="24" t="s">
        <v>3599</v>
      </c>
      <c r="J4856" s="14" t="s">
        <v>29</v>
      </c>
      <c r="K4856" s="15" t="s">
        <v>30</v>
      </c>
      <c r="L4856" s="58"/>
      <c r="M4856" s="14"/>
      <c r="N4856" s="14" t="s">
        <v>33</v>
      </c>
      <c r="O4856" s="14"/>
      <c r="P4856" s="15" t="s">
        <v>4292</v>
      </c>
      <c r="Q4856" s="16">
        <v>4899</v>
      </c>
      <c r="R4856" s="17">
        <v>40</v>
      </c>
      <c r="S4856" s="18">
        <v>3380.31</v>
      </c>
      <c r="T4856" s="19" t="s">
        <v>36</v>
      </c>
      <c r="U4856" s="20" t="s">
        <v>86</v>
      </c>
      <c r="V4856" s="21" t="s">
        <v>87</v>
      </c>
      <c r="W4856" s="22">
        <v>1</v>
      </c>
      <c r="X4856" s="23"/>
    </row>
    <row r="4857" spans="1:24" s="1" customFormat="1" ht="21" customHeight="1" x14ac:dyDescent="0.3">
      <c r="A4857" s="11" t="s">
        <v>23</v>
      </c>
      <c r="B4857" s="11" t="s">
        <v>4117</v>
      </c>
      <c r="C4857" s="26" t="s">
        <v>4293</v>
      </c>
      <c r="D4857" s="59"/>
      <c r="E4857" s="41" t="str">
        <f>HYPERLINK("https://www.google.ru/search?q=6010603-338&amp;newwindow=1&amp;tbm=isch","Еще фото")</f>
        <v>Еще фото</v>
      </c>
      <c r="F4857" s="13" t="s">
        <v>103</v>
      </c>
      <c r="G4857" s="11" t="s">
        <v>3604</v>
      </c>
      <c r="H4857" s="11" t="s">
        <v>27</v>
      </c>
      <c r="I4857" s="14" t="s">
        <v>3599</v>
      </c>
      <c r="J4857" s="14" t="s">
        <v>29</v>
      </c>
      <c r="K4857" s="15" t="s">
        <v>30</v>
      </c>
      <c r="L4857" s="57" t="s">
        <v>4291</v>
      </c>
      <c r="M4857" s="14"/>
      <c r="N4857" s="14" t="s">
        <v>127</v>
      </c>
      <c r="O4857" s="14"/>
      <c r="P4857" s="15" t="s">
        <v>4292</v>
      </c>
      <c r="Q4857" s="16">
        <v>4899</v>
      </c>
      <c r="R4857" s="17">
        <v>40</v>
      </c>
      <c r="S4857" s="18">
        <v>3380.31</v>
      </c>
      <c r="T4857" s="19" t="s">
        <v>36</v>
      </c>
      <c r="U4857" s="20" t="s">
        <v>37</v>
      </c>
      <c r="V4857" s="21" t="s">
        <v>38</v>
      </c>
      <c r="W4857" s="22">
        <v>5</v>
      </c>
      <c r="X4857" s="23"/>
    </row>
    <row r="4858" spans="1:24" s="1" customFormat="1" ht="21" customHeight="1" x14ac:dyDescent="0.3">
      <c r="A4858" s="24" t="s">
        <v>23</v>
      </c>
      <c r="B4858" s="24" t="s">
        <v>4117</v>
      </c>
      <c r="C4858" s="27" t="s">
        <v>4293</v>
      </c>
      <c r="D4858" s="60"/>
      <c r="E4858" s="41" t="str">
        <f>HYPERLINK("https://www.google.ru/search?q=6010603-338&amp;newwindow=1&amp;tbm=isch","Еще фото")</f>
        <v>Еще фото</v>
      </c>
      <c r="F4858" s="13" t="s">
        <v>103</v>
      </c>
      <c r="G4858" s="24" t="s">
        <v>3604</v>
      </c>
      <c r="H4858" s="24" t="s">
        <v>27</v>
      </c>
      <c r="I4858" s="24" t="s">
        <v>3599</v>
      </c>
      <c r="J4858" s="14" t="s">
        <v>29</v>
      </c>
      <c r="K4858" s="15" t="s">
        <v>30</v>
      </c>
      <c r="L4858" s="62"/>
      <c r="M4858" s="14"/>
      <c r="N4858" s="14" t="s">
        <v>127</v>
      </c>
      <c r="O4858" s="14"/>
      <c r="P4858" s="15" t="s">
        <v>4292</v>
      </c>
      <c r="Q4858" s="16">
        <v>4899</v>
      </c>
      <c r="R4858" s="17">
        <v>40</v>
      </c>
      <c r="S4858" s="18">
        <v>3380.31</v>
      </c>
      <c r="T4858" s="19" t="s">
        <v>36</v>
      </c>
      <c r="U4858" s="20" t="s">
        <v>39</v>
      </c>
      <c r="V4858" s="21" t="s">
        <v>40</v>
      </c>
      <c r="W4858" s="22">
        <v>11</v>
      </c>
      <c r="X4858" s="23"/>
    </row>
    <row r="4859" spans="1:24" s="1" customFormat="1" ht="21" customHeight="1" x14ac:dyDescent="0.3">
      <c r="A4859" s="24" t="s">
        <v>23</v>
      </c>
      <c r="B4859" s="24" t="s">
        <v>4117</v>
      </c>
      <c r="C4859" s="27" t="s">
        <v>4293</v>
      </c>
      <c r="D4859" s="60"/>
      <c r="E4859" s="41" t="str">
        <f>HYPERLINK("https://www.google.ru/search?q=6010603-338&amp;newwindow=1&amp;tbm=isch","Еще фото")</f>
        <v>Еще фото</v>
      </c>
      <c r="F4859" s="13" t="s">
        <v>103</v>
      </c>
      <c r="G4859" s="24" t="s">
        <v>3604</v>
      </c>
      <c r="H4859" s="24" t="s">
        <v>27</v>
      </c>
      <c r="I4859" s="24" t="s">
        <v>3599</v>
      </c>
      <c r="J4859" s="14" t="s">
        <v>29</v>
      </c>
      <c r="K4859" s="15" t="s">
        <v>30</v>
      </c>
      <c r="L4859" s="62"/>
      <c r="M4859" s="14"/>
      <c r="N4859" s="14" t="s">
        <v>127</v>
      </c>
      <c r="O4859" s="14"/>
      <c r="P4859" s="15" t="s">
        <v>4292</v>
      </c>
      <c r="Q4859" s="16">
        <v>4899</v>
      </c>
      <c r="R4859" s="17">
        <v>40</v>
      </c>
      <c r="S4859" s="18">
        <v>3380.31</v>
      </c>
      <c r="T4859" s="19" t="s">
        <v>36</v>
      </c>
      <c r="U4859" s="20" t="s">
        <v>86</v>
      </c>
      <c r="V4859" s="21" t="s">
        <v>87</v>
      </c>
      <c r="W4859" s="22">
        <v>7</v>
      </c>
      <c r="X4859" s="23"/>
    </row>
    <row r="4860" spans="1:24" s="1" customFormat="1" ht="21" customHeight="1" x14ac:dyDescent="0.3">
      <c r="A4860" s="24" t="s">
        <v>23</v>
      </c>
      <c r="B4860" s="24" t="s">
        <v>4117</v>
      </c>
      <c r="C4860" s="27" t="s">
        <v>4293</v>
      </c>
      <c r="D4860" s="60"/>
      <c r="E4860" s="41" t="str">
        <f>HYPERLINK("https://www.google.ru/search?q=6010603-338&amp;newwindow=1&amp;tbm=isch","Еще фото")</f>
        <v>Еще фото</v>
      </c>
      <c r="F4860" s="13" t="s">
        <v>103</v>
      </c>
      <c r="G4860" s="24" t="s">
        <v>3604</v>
      </c>
      <c r="H4860" s="24" t="s">
        <v>27</v>
      </c>
      <c r="I4860" s="24" t="s">
        <v>3599</v>
      </c>
      <c r="J4860" s="14" t="s">
        <v>29</v>
      </c>
      <c r="K4860" s="15" t="s">
        <v>30</v>
      </c>
      <c r="L4860" s="62"/>
      <c r="M4860" s="14"/>
      <c r="N4860" s="14" t="s">
        <v>127</v>
      </c>
      <c r="O4860" s="14"/>
      <c r="P4860" s="15" t="s">
        <v>4292</v>
      </c>
      <c r="Q4860" s="16">
        <v>4899</v>
      </c>
      <c r="R4860" s="17">
        <v>40</v>
      </c>
      <c r="S4860" s="18">
        <v>3380.31</v>
      </c>
      <c r="T4860" s="19" t="s">
        <v>36</v>
      </c>
      <c r="U4860" s="20" t="s">
        <v>88</v>
      </c>
      <c r="V4860" s="21" t="s">
        <v>89</v>
      </c>
      <c r="W4860" s="22">
        <v>8</v>
      </c>
      <c r="X4860" s="23"/>
    </row>
    <row r="4861" spans="1:24" s="1" customFormat="1" ht="32" customHeight="1" x14ac:dyDescent="0.3">
      <c r="A4861" s="24" t="s">
        <v>23</v>
      </c>
      <c r="B4861" s="24" t="s">
        <v>4117</v>
      </c>
      <c r="C4861" s="27" t="s">
        <v>4293</v>
      </c>
      <c r="D4861" s="61"/>
      <c r="E4861" s="41" t="str">
        <f>HYPERLINK("https://www.google.ru/search?q=6010603-338&amp;newwindow=1&amp;tbm=isch","Еще фото")</f>
        <v>Еще фото</v>
      </c>
      <c r="F4861" s="13" t="s">
        <v>103</v>
      </c>
      <c r="G4861" s="24" t="s">
        <v>3604</v>
      </c>
      <c r="H4861" s="24" t="s">
        <v>27</v>
      </c>
      <c r="I4861" s="24" t="s">
        <v>3599</v>
      </c>
      <c r="J4861" s="14" t="s">
        <v>29</v>
      </c>
      <c r="K4861" s="15" t="s">
        <v>30</v>
      </c>
      <c r="L4861" s="58"/>
      <c r="M4861" s="14"/>
      <c r="N4861" s="14" t="s">
        <v>127</v>
      </c>
      <c r="O4861" s="14"/>
      <c r="P4861" s="15" t="s">
        <v>4292</v>
      </c>
      <c r="Q4861" s="16">
        <v>4899</v>
      </c>
      <c r="R4861" s="17">
        <v>40</v>
      </c>
      <c r="S4861" s="18">
        <v>3380.31</v>
      </c>
      <c r="T4861" s="19" t="s">
        <v>36</v>
      </c>
      <c r="U4861" s="20" t="s">
        <v>90</v>
      </c>
      <c r="V4861" s="21" t="s">
        <v>91</v>
      </c>
      <c r="W4861" s="22">
        <v>3</v>
      </c>
      <c r="X4861" s="23"/>
    </row>
    <row r="4862" spans="1:24" s="1" customFormat="1" ht="108" customHeight="1" x14ac:dyDescent="0.3">
      <c r="A4862" s="11" t="s">
        <v>23</v>
      </c>
      <c r="B4862" s="11" t="s">
        <v>4117</v>
      </c>
      <c r="C4862" s="12" t="s">
        <v>4294</v>
      </c>
      <c r="D4862" s="25"/>
      <c r="E4862" s="41" t="str">
        <f>HYPERLINK("https://www.google.ru/search?q=6010603-709&amp;newwindow=1&amp;tbm=isch","Еще фото")</f>
        <v>Еще фото</v>
      </c>
      <c r="F4862" s="13"/>
      <c r="G4862" s="11" t="s">
        <v>3604</v>
      </c>
      <c r="H4862" s="11" t="s">
        <v>27</v>
      </c>
      <c r="I4862" s="14" t="s">
        <v>3599</v>
      </c>
      <c r="J4862" s="14" t="s">
        <v>29</v>
      </c>
      <c r="K4862" s="15" t="s">
        <v>30</v>
      </c>
      <c r="L4862" s="14" t="s">
        <v>4291</v>
      </c>
      <c r="M4862" s="14"/>
      <c r="N4862" s="14" t="s">
        <v>127</v>
      </c>
      <c r="O4862" s="14"/>
      <c r="P4862" s="15" t="s">
        <v>4292</v>
      </c>
      <c r="Q4862" s="16">
        <v>4899</v>
      </c>
      <c r="R4862" s="17">
        <v>40</v>
      </c>
      <c r="S4862" s="18">
        <v>3380.31</v>
      </c>
      <c r="T4862" s="19" t="s">
        <v>36</v>
      </c>
      <c r="U4862" s="20" t="s">
        <v>39</v>
      </c>
      <c r="V4862" s="21" t="s">
        <v>40</v>
      </c>
      <c r="W4862" s="22">
        <v>2</v>
      </c>
      <c r="X4862" s="23"/>
    </row>
    <row r="4863" spans="1:24" s="1" customFormat="1" ht="26" customHeight="1" x14ac:dyDescent="0.3">
      <c r="A4863" s="11" t="s">
        <v>23</v>
      </c>
      <c r="B4863" s="11" t="s">
        <v>4295</v>
      </c>
      <c r="C4863" s="12" t="s">
        <v>4296</v>
      </c>
      <c r="D4863" s="59"/>
      <c r="E4863" s="41" t="str">
        <f>HYPERLINK("https://www.google.ru/search?q=6010870-338&amp;newwindow=1&amp;tbm=isch","Еще фото")</f>
        <v>Еще фото</v>
      </c>
      <c r="F4863" s="28" t="s">
        <v>138</v>
      </c>
      <c r="G4863" s="11" t="s">
        <v>3604</v>
      </c>
      <c r="H4863" s="11" t="s">
        <v>27</v>
      </c>
      <c r="I4863" s="14" t="s">
        <v>3599</v>
      </c>
      <c r="J4863" s="14" t="s">
        <v>29</v>
      </c>
      <c r="K4863" s="15" t="s">
        <v>59</v>
      </c>
      <c r="L4863" s="57"/>
      <c r="M4863" s="14"/>
      <c r="N4863" s="14" t="s">
        <v>127</v>
      </c>
      <c r="O4863" s="14"/>
      <c r="P4863" s="15" t="s">
        <v>213</v>
      </c>
      <c r="Q4863" s="16">
        <v>3299</v>
      </c>
      <c r="R4863" s="17">
        <v>40</v>
      </c>
      <c r="S4863" s="18">
        <v>2276.31</v>
      </c>
      <c r="T4863" s="19" t="s">
        <v>36</v>
      </c>
      <c r="U4863" s="20" t="s">
        <v>63</v>
      </c>
      <c r="V4863" s="21" t="s">
        <v>64</v>
      </c>
      <c r="W4863" s="22">
        <v>15</v>
      </c>
      <c r="X4863" s="23"/>
    </row>
    <row r="4864" spans="1:24" s="1" customFormat="1" ht="26" customHeight="1" x14ac:dyDescent="0.3">
      <c r="A4864" s="24" t="s">
        <v>23</v>
      </c>
      <c r="B4864" s="24" t="s">
        <v>4295</v>
      </c>
      <c r="C4864" s="12" t="s">
        <v>4296</v>
      </c>
      <c r="D4864" s="60"/>
      <c r="E4864" s="41" t="str">
        <f>HYPERLINK("https://www.google.ru/search?q=6010870-338&amp;newwindow=1&amp;tbm=isch","Еще фото")</f>
        <v>Еще фото</v>
      </c>
      <c r="F4864" s="28" t="s">
        <v>138</v>
      </c>
      <c r="G4864" s="24" t="s">
        <v>3604</v>
      </c>
      <c r="H4864" s="24" t="s">
        <v>27</v>
      </c>
      <c r="I4864" s="24" t="s">
        <v>3599</v>
      </c>
      <c r="J4864" s="14" t="s">
        <v>29</v>
      </c>
      <c r="K4864" s="15" t="s">
        <v>59</v>
      </c>
      <c r="L4864" s="62"/>
      <c r="M4864" s="14"/>
      <c r="N4864" s="14" t="s">
        <v>127</v>
      </c>
      <c r="O4864" s="14"/>
      <c r="P4864" s="15" t="s">
        <v>213</v>
      </c>
      <c r="Q4864" s="16">
        <v>3299</v>
      </c>
      <c r="R4864" s="17">
        <v>40</v>
      </c>
      <c r="S4864" s="18">
        <v>2276.31</v>
      </c>
      <c r="T4864" s="19" t="s">
        <v>36</v>
      </c>
      <c r="U4864" s="20" t="s">
        <v>37</v>
      </c>
      <c r="V4864" s="21" t="s">
        <v>106</v>
      </c>
      <c r="W4864" s="22">
        <v>17</v>
      </c>
      <c r="X4864" s="23"/>
    </row>
    <row r="4865" spans="1:24" s="1" customFormat="1" ht="26" customHeight="1" x14ac:dyDescent="0.3">
      <c r="A4865" s="24" t="s">
        <v>23</v>
      </c>
      <c r="B4865" s="24" t="s">
        <v>4295</v>
      </c>
      <c r="C4865" s="12" t="s">
        <v>4296</v>
      </c>
      <c r="D4865" s="60"/>
      <c r="E4865" s="41" t="str">
        <f>HYPERLINK("https://www.google.ru/search?q=6010870-338&amp;newwindow=1&amp;tbm=isch","Еще фото")</f>
        <v>Еще фото</v>
      </c>
      <c r="F4865" s="28" t="s">
        <v>138</v>
      </c>
      <c r="G4865" s="24" t="s">
        <v>3604</v>
      </c>
      <c r="H4865" s="24" t="s">
        <v>27</v>
      </c>
      <c r="I4865" s="24" t="s">
        <v>3599</v>
      </c>
      <c r="J4865" s="14" t="s">
        <v>29</v>
      </c>
      <c r="K4865" s="15" t="s">
        <v>59</v>
      </c>
      <c r="L4865" s="62"/>
      <c r="M4865" s="14"/>
      <c r="N4865" s="14" t="s">
        <v>127</v>
      </c>
      <c r="O4865" s="14"/>
      <c r="P4865" s="15" t="s">
        <v>213</v>
      </c>
      <c r="Q4865" s="16">
        <v>3299</v>
      </c>
      <c r="R4865" s="17">
        <v>40</v>
      </c>
      <c r="S4865" s="18">
        <v>2276.31</v>
      </c>
      <c r="T4865" s="19" t="s">
        <v>36</v>
      </c>
      <c r="U4865" s="20" t="s">
        <v>39</v>
      </c>
      <c r="V4865" s="21" t="s">
        <v>85</v>
      </c>
      <c r="W4865" s="22">
        <v>17</v>
      </c>
      <c r="X4865" s="23"/>
    </row>
    <row r="4866" spans="1:24" s="1" customFormat="1" ht="26" customHeight="1" x14ac:dyDescent="0.3">
      <c r="A4866" s="24" t="s">
        <v>23</v>
      </c>
      <c r="B4866" s="24" t="s">
        <v>4295</v>
      </c>
      <c r="C4866" s="12" t="s">
        <v>4296</v>
      </c>
      <c r="D4866" s="61"/>
      <c r="E4866" s="41" t="str">
        <f>HYPERLINK("https://www.google.ru/search?q=6010870-338&amp;newwindow=1&amp;tbm=isch","Еще фото")</f>
        <v>Еще фото</v>
      </c>
      <c r="F4866" s="28" t="s">
        <v>138</v>
      </c>
      <c r="G4866" s="24" t="s">
        <v>3604</v>
      </c>
      <c r="H4866" s="24" t="s">
        <v>27</v>
      </c>
      <c r="I4866" s="24" t="s">
        <v>3599</v>
      </c>
      <c r="J4866" s="14" t="s">
        <v>29</v>
      </c>
      <c r="K4866" s="15" t="s">
        <v>59</v>
      </c>
      <c r="L4866" s="58"/>
      <c r="M4866" s="14"/>
      <c r="N4866" s="14" t="s">
        <v>127</v>
      </c>
      <c r="O4866" s="14"/>
      <c r="P4866" s="15" t="s">
        <v>213</v>
      </c>
      <c r="Q4866" s="16">
        <v>3299</v>
      </c>
      <c r="R4866" s="17">
        <v>40</v>
      </c>
      <c r="S4866" s="18">
        <v>2276.31</v>
      </c>
      <c r="T4866" s="19" t="s">
        <v>36</v>
      </c>
      <c r="U4866" s="20" t="s">
        <v>86</v>
      </c>
      <c r="V4866" s="21" t="s">
        <v>38</v>
      </c>
      <c r="W4866" s="22">
        <v>16</v>
      </c>
      <c r="X4866" s="23"/>
    </row>
    <row r="4867" spans="1:24" s="1" customFormat="1" ht="26" customHeight="1" x14ac:dyDescent="0.3">
      <c r="A4867" s="11" t="s">
        <v>23</v>
      </c>
      <c r="B4867" s="11" t="s">
        <v>4295</v>
      </c>
      <c r="C4867" s="12" t="s">
        <v>4297</v>
      </c>
      <c r="D4867" s="59"/>
      <c r="E4867" s="41" t="str">
        <f>HYPERLINK("https://www.google.ru/search?q=6010870-603&amp;newwindow=1&amp;tbm=isch","Еще фото")</f>
        <v>Еще фото</v>
      </c>
      <c r="F4867" s="28" t="s">
        <v>138</v>
      </c>
      <c r="G4867" s="11" t="s">
        <v>3604</v>
      </c>
      <c r="H4867" s="11" t="s">
        <v>27</v>
      </c>
      <c r="I4867" s="14" t="s">
        <v>3599</v>
      </c>
      <c r="J4867" s="14" t="s">
        <v>29</v>
      </c>
      <c r="K4867" s="15" t="s">
        <v>59</v>
      </c>
      <c r="L4867" s="57"/>
      <c r="M4867" s="14"/>
      <c r="N4867" s="14" t="s">
        <v>69</v>
      </c>
      <c r="O4867" s="14"/>
      <c r="P4867" s="15" t="s">
        <v>213</v>
      </c>
      <c r="Q4867" s="16">
        <v>3299</v>
      </c>
      <c r="R4867" s="17">
        <v>40</v>
      </c>
      <c r="S4867" s="18">
        <v>2276.31</v>
      </c>
      <c r="T4867" s="19" t="s">
        <v>36</v>
      </c>
      <c r="U4867" s="20" t="s">
        <v>63</v>
      </c>
      <c r="V4867" s="21" t="s">
        <v>64</v>
      </c>
      <c r="W4867" s="22">
        <v>16</v>
      </c>
      <c r="X4867" s="23"/>
    </row>
    <row r="4868" spans="1:24" s="1" customFormat="1" ht="26" customHeight="1" x14ac:dyDescent="0.3">
      <c r="A4868" s="24" t="s">
        <v>23</v>
      </c>
      <c r="B4868" s="24" t="s">
        <v>4295</v>
      </c>
      <c r="C4868" s="12" t="s">
        <v>4297</v>
      </c>
      <c r="D4868" s="60"/>
      <c r="E4868" s="41" t="str">
        <f>HYPERLINK("https://www.google.ru/search?q=6010870-603&amp;newwindow=1&amp;tbm=isch","Еще фото")</f>
        <v>Еще фото</v>
      </c>
      <c r="F4868" s="28" t="s">
        <v>138</v>
      </c>
      <c r="G4868" s="24" t="s">
        <v>3604</v>
      </c>
      <c r="H4868" s="24" t="s">
        <v>27</v>
      </c>
      <c r="I4868" s="24" t="s">
        <v>3599</v>
      </c>
      <c r="J4868" s="14" t="s">
        <v>29</v>
      </c>
      <c r="K4868" s="15" t="s">
        <v>59</v>
      </c>
      <c r="L4868" s="62"/>
      <c r="M4868" s="14"/>
      <c r="N4868" s="14" t="s">
        <v>69</v>
      </c>
      <c r="O4868" s="14"/>
      <c r="P4868" s="15" t="s">
        <v>213</v>
      </c>
      <c r="Q4868" s="16">
        <v>3299</v>
      </c>
      <c r="R4868" s="17">
        <v>40</v>
      </c>
      <c r="S4868" s="18">
        <v>2276.31</v>
      </c>
      <c r="T4868" s="19" t="s">
        <v>36</v>
      </c>
      <c r="U4868" s="20" t="s">
        <v>37</v>
      </c>
      <c r="V4868" s="21" t="s">
        <v>106</v>
      </c>
      <c r="W4868" s="22">
        <v>20</v>
      </c>
      <c r="X4868" s="23"/>
    </row>
    <row r="4869" spans="1:24" s="1" customFormat="1" ht="26" customHeight="1" x14ac:dyDescent="0.3">
      <c r="A4869" s="24" t="s">
        <v>23</v>
      </c>
      <c r="B4869" s="24" t="s">
        <v>4295</v>
      </c>
      <c r="C4869" s="12" t="s">
        <v>4297</v>
      </c>
      <c r="D4869" s="60"/>
      <c r="E4869" s="41" t="str">
        <f>HYPERLINK("https://www.google.ru/search?q=6010870-603&amp;newwindow=1&amp;tbm=isch","Еще фото")</f>
        <v>Еще фото</v>
      </c>
      <c r="F4869" s="28" t="s">
        <v>138</v>
      </c>
      <c r="G4869" s="24" t="s">
        <v>3604</v>
      </c>
      <c r="H4869" s="24" t="s">
        <v>27</v>
      </c>
      <c r="I4869" s="24" t="s">
        <v>3599</v>
      </c>
      <c r="J4869" s="14" t="s">
        <v>29</v>
      </c>
      <c r="K4869" s="15" t="s">
        <v>59</v>
      </c>
      <c r="L4869" s="62"/>
      <c r="M4869" s="14"/>
      <c r="N4869" s="14" t="s">
        <v>69</v>
      </c>
      <c r="O4869" s="14"/>
      <c r="P4869" s="15" t="s">
        <v>213</v>
      </c>
      <c r="Q4869" s="16">
        <v>3299</v>
      </c>
      <c r="R4869" s="17">
        <v>40</v>
      </c>
      <c r="S4869" s="18">
        <v>2276.31</v>
      </c>
      <c r="T4869" s="19" t="s">
        <v>36</v>
      </c>
      <c r="U4869" s="20" t="s">
        <v>39</v>
      </c>
      <c r="V4869" s="21" t="s">
        <v>85</v>
      </c>
      <c r="W4869" s="22">
        <v>20</v>
      </c>
      <c r="X4869" s="23"/>
    </row>
    <row r="4870" spans="1:24" s="1" customFormat="1" ht="26" customHeight="1" x14ac:dyDescent="0.3">
      <c r="A4870" s="24" t="s">
        <v>23</v>
      </c>
      <c r="B4870" s="24" t="s">
        <v>4295</v>
      </c>
      <c r="C4870" s="12" t="s">
        <v>4297</v>
      </c>
      <c r="D4870" s="61"/>
      <c r="E4870" s="41" t="str">
        <f>HYPERLINK("https://www.google.ru/search?q=6010870-603&amp;newwindow=1&amp;tbm=isch","Еще фото")</f>
        <v>Еще фото</v>
      </c>
      <c r="F4870" s="28" t="s">
        <v>138</v>
      </c>
      <c r="G4870" s="24" t="s">
        <v>3604</v>
      </c>
      <c r="H4870" s="24" t="s">
        <v>27</v>
      </c>
      <c r="I4870" s="24" t="s">
        <v>3599</v>
      </c>
      <c r="J4870" s="14" t="s">
        <v>29</v>
      </c>
      <c r="K4870" s="15" t="s">
        <v>59</v>
      </c>
      <c r="L4870" s="58"/>
      <c r="M4870" s="14"/>
      <c r="N4870" s="14" t="s">
        <v>69</v>
      </c>
      <c r="O4870" s="14"/>
      <c r="P4870" s="15" t="s">
        <v>213</v>
      </c>
      <c r="Q4870" s="16">
        <v>3299</v>
      </c>
      <c r="R4870" s="17">
        <v>40</v>
      </c>
      <c r="S4870" s="18">
        <v>2276.31</v>
      </c>
      <c r="T4870" s="19" t="s">
        <v>36</v>
      </c>
      <c r="U4870" s="20" t="s">
        <v>86</v>
      </c>
      <c r="V4870" s="21" t="s">
        <v>38</v>
      </c>
      <c r="W4870" s="22">
        <v>16</v>
      </c>
      <c r="X4870" s="23"/>
    </row>
    <row r="4871" spans="1:24" s="1" customFormat="1" ht="21" customHeight="1" x14ac:dyDescent="0.3">
      <c r="A4871" s="11" t="s">
        <v>23</v>
      </c>
      <c r="B4871" s="11" t="s">
        <v>4298</v>
      </c>
      <c r="C4871" s="26" t="s">
        <v>4299</v>
      </c>
      <c r="D4871" s="59"/>
      <c r="E4871" s="41" t="str">
        <f>HYPERLINK("https://www.google.ru/search?q=6010921-001&amp;newwindow=1&amp;tbm=isch","Еще фото")</f>
        <v>Еще фото</v>
      </c>
      <c r="F4871" s="13" t="s">
        <v>103</v>
      </c>
      <c r="G4871" s="11" t="s">
        <v>3604</v>
      </c>
      <c r="H4871" s="11" t="s">
        <v>27</v>
      </c>
      <c r="I4871" s="14" t="s">
        <v>3599</v>
      </c>
      <c r="J4871" s="14" t="s">
        <v>260</v>
      </c>
      <c r="K4871" s="15" t="s">
        <v>30</v>
      </c>
      <c r="L4871" s="57" t="s">
        <v>4300</v>
      </c>
      <c r="M4871" s="14"/>
      <c r="N4871" s="14" t="s">
        <v>33</v>
      </c>
      <c r="O4871" s="14"/>
      <c r="P4871" s="15" t="s">
        <v>202</v>
      </c>
      <c r="Q4871" s="16">
        <v>7599</v>
      </c>
      <c r="R4871" s="17">
        <v>40</v>
      </c>
      <c r="S4871" s="18">
        <v>5243.3099999999995</v>
      </c>
      <c r="T4871" s="19" t="s">
        <v>36</v>
      </c>
      <c r="U4871" s="20" t="s">
        <v>37</v>
      </c>
      <c r="V4871" s="21" t="s">
        <v>38</v>
      </c>
      <c r="W4871" s="22">
        <v>6</v>
      </c>
      <c r="X4871" s="23"/>
    </row>
    <row r="4872" spans="1:24" s="1" customFormat="1" ht="21" customHeight="1" x14ac:dyDescent="0.3">
      <c r="A4872" s="24" t="s">
        <v>23</v>
      </c>
      <c r="B4872" s="24" t="s">
        <v>4298</v>
      </c>
      <c r="C4872" s="27" t="s">
        <v>4299</v>
      </c>
      <c r="D4872" s="60"/>
      <c r="E4872" s="41" t="str">
        <f>HYPERLINK("https://www.google.ru/search?q=6010921-001&amp;newwindow=1&amp;tbm=isch","Еще фото")</f>
        <v>Еще фото</v>
      </c>
      <c r="F4872" s="13" t="s">
        <v>103</v>
      </c>
      <c r="G4872" s="24" t="s">
        <v>3604</v>
      </c>
      <c r="H4872" s="24" t="s">
        <v>27</v>
      </c>
      <c r="I4872" s="24" t="s">
        <v>3599</v>
      </c>
      <c r="J4872" s="14" t="s">
        <v>260</v>
      </c>
      <c r="K4872" s="15" t="s">
        <v>30</v>
      </c>
      <c r="L4872" s="62"/>
      <c r="M4872" s="14"/>
      <c r="N4872" s="14" t="s">
        <v>33</v>
      </c>
      <c r="O4872" s="14"/>
      <c r="P4872" s="15" t="s">
        <v>202</v>
      </c>
      <c r="Q4872" s="16">
        <v>7599</v>
      </c>
      <c r="R4872" s="17">
        <v>40</v>
      </c>
      <c r="S4872" s="18">
        <v>5243.3099999999995</v>
      </c>
      <c r="T4872" s="19" t="s">
        <v>36</v>
      </c>
      <c r="U4872" s="20" t="s">
        <v>39</v>
      </c>
      <c r="V4872" s="21" t="s">
        <v>40</v>
      </c>
      <c r="W4872" s="22">
        <v>17</v>
      </c>
      <c r="X4872" s="23"/>
    </row>
    <row r="4873" spans="1:24" s="1" customFormat="1" ht="21" customHeight="1" x14ac:dyDescent="0.3">
      <c r="A4873" s="24" t="s">
        <v>23</v>
      </c>
      <c r="B4873" s="24" t="s">
        <v>4298</v>
      </c>
      <c r="C4873" s="27" t="s">
        <v>4299</v>
      </c>
      <c r="D4873" s="60"/>
      <c r="E4873" s="41" t="str">
        <f>HYPERLINK("https://www.google.ru/search?q=6010921-001&amp;newwindow=1&amp;tbm=isch","Еще фото")</f>
        <v>Еще фото</v>
      </c>
      <c r="F4873" s="13" t="s">
        <v>103</v>
      </c>
      <c r="G4873" s="24" t="s">
        <v>3604</v>
      </c>
      <c r="H4873" s="24" t="s">
        <v>27</v>
      </c>
      <c r="I4873" s="24" t="s">
        <v>3599</v>
      </c>
      <c r="J4873" s="14" t="s">
        <v>260</v>
      </c>
      <c r="K4873" s="15" t="s">
        <v>30</v>
      </c>
      <c r="L4873" s="62"/>
      <c r="M4873" s="14"/>
      <c r="N4873" s="14" t="s">
        <v>33</v>
      </c>
      <c r="O4873" s="14"/>
      <c r="P4873" s="15" t="s">
        <v>202</v>
      </c>
      <c r="Q4873" s="16">
        <v>7599</v>
      </c>
      <c r="R4873" s="17">
        <v>40</v>
      </c>
      <c r="S4873" s="18">
        <v>5243.3099999999995</v>
      </c>
      <c r="T4873" s="19" t="s">
        <v>36</v>
      </c>
      <c r="U4873" s="20" t="s">
        <v>86</v>
      </c>
      <c r="V4873" s="21" t="s">
        <v>87</v>
      </c>
      <c r="W4873" s="22">
        <v>21</v>
      </c>
      <c r="X4873" s="23"/>
    </row>
    <row r="4874" spans="1:24" s="1" customFormat="1" ht="21" customHeight="1" x14ac:dyDescent="0.3">
      <c r="A4874" s="24" t="s">
        <v>23</v>
      </c>
      <c r="B4874" s="24" t="s">
        <v>4298</v>
      </c>
      <c r="C4874" s="27" t="s">
        <v>4299</v>
      </c>
      <c r="D4874" s="60"/>
      <c r="E4874" s="41" t="str">
        <f>HYPERLINK("https://www.google.ru/search?q=6010921-001&amp;newwindow=1&amp;tbm=isch","Еще фото")</f>
        <v>Еще фото</v>
      </c>
      <c r="F4874" s="13" t="s">
        <v>103</v>
      </c>
      <c r="G4874" s="24" t="s">
        <v>3604</v>
      </c>
      <c r="H4874" s="24" t="s">
        <v>27</v>
      </c>
      <c r="I4874" s="24" t="s">
        <v>3599</v>
      </c>
      <c r="J4874" s="14" t="s">
        <v>260</v>
      </c>
      <c r="K4874" s="15" t="s">
        <v>30</v>
      </c>
      <c r="L4874" s="62"/>
      <c r="M4874" s="14"/>
      <c r="N4874" s="14" t="s">
        <v>33</v>
      </c>
      <c r="O4874" s="14"/>
      <c r="P4874" s="15" t="s">
        <v>202</v>
      </c>
      <c r="Q4874" s="16">
        <v>7599</v>
      </c>
      <c r="R4874" s="17">
        <v>40</v>
      </c>
      <c r="S4874" s="18">
        <v>5243.3099999999995</v>
      </c>
      <c r="T4874" s="19" t="s">
        <v>36</v>
      </c>
      <c r="U4874" s="20" t="s">
        <v>88</v>
      </c>
      <c r="V4874" s="21" t="s">
        <v>89</v>
      </c>
      <c r="W4874" s="22">
        <v>15</v>
      </c>
      <c r="X4874" s="23"/>
    </row>
    <row r="4875" spans="1:24" s="1" customFormat="1" ht="32" customHeight="1" x14ac:dyDescent="0.3">
      <c r="A4875" s="24" t="s">
        <v>23</v>
      </c>
      <c r="B4875" s="24" t="s">
        <v>4298</v>
      </c>
      <c r="C4875" s="27" t="s">
        <v>4299</v>
      </c>
      <c r="D4875" s="61"/>
      <c r="E4875" s="41" t="str">
        <f>HYPERLINK("https://www.google.ru/search?q=6010921-001&amp;newwindow=1&amp;tbm=isch","Еще фото")</f>
        <v>Еще фото</v>
      </c>
      <c r="F4875" s="13" t="s">
        <v>103</v>
      </c>
      <c r="G4875" s="24" t="s">
        <v>3604</v>
      </c>
      <c r="H4875" s="24" t="s">
        <v>27</v>
      </c>
      <c r="I4875" s="24" t="s">
        <v>3599</v>
      </c>
      <c r="J4875" s="14" t="s">
        <v>260</v>
      </c>
      <c r="K4875" s="15" t="s">
        <v>30</v>
      </c>
      <c r="L4875" s="58"/>
      <c r="M4875" s="14"/>
      <c r="N4875" s="14" t="s">
        <v>33</v>
      </c>
      <c r="O4875" s="14"/>
      <c r="P4875" s="15" t="s">
        <v>202</v>
      </c>
      <c r="Q4875" s="16">
        <v>7599</v>
      </c>
      <c r="R4875" s="17">
        <v>40</v>
      </c>
      <c r="S4875" s="18">
        <v>5243.3099999999995</v>
      </c>
      <c r="T4875" s="19" t="s">
        <v>36</v>
      </c>
      <c r="U4875" s="20" t="s">
        <v>90</v>
      </c>
      <c r="V4875" s="21" t="s">
        <v>91</v>
      </c>
      <c r="W4875" s="22">
        <v>9</v>
      </c>
      <c r="X4875" s="23"/>
    </row>
    <row r="4876" spans="1:24" s="1" customFormat="1" ht="21" customHeight="1" x14ac:dyDescent="0.3">
      <c r="A4876" s="11" t="s">
        <v>23</v>
      </c>
      <c r="B4876" s="11" t="s">
        <v>4301</v>
      </c>
      <c r="C4876" s="26" t="s">
        <v>4302</v>
      </c>
      <c r="D4876" s="59"/>
      <c r="E4876" s="41" t="str">
        <f>HYPERLINK("https://www.google.ru/search?q=6010922-014&amp;newwindow=1&amp;tbm=isch","Еще фото")</f>
        <v>Еще фото</v>
      </c>
      <c r="F4876" s="28" t="s">
        <v>138</v>
      </c>
      <c r="G4876" s="11" t="s">
        <v>3615</v>
      </c>
      <c r="H4876" s="11" t="s">
        <v>27</v>
      </c>
      <c r="I4876" s="14" t="s">
        <v>3599</v>
      </c>
      <c r="J4876" s="14" t="s">
        <v>260</v>
      </c>
      <c r="K4876" s="15" t="s">
        <v>30</v>
      </c>
      <c r="L4876" s="57" t="s">
        <v>4303</v>
      </c>
      <c r="M4876" s="14"/>
      <c r="N4876" s="14" t="s">
        <v>62</v>
      </c>
      <c r="O4876" s="14"/>
      <c r="P4876" s="15" t="s">
        <v>202</v>
      </c>
      <c r="Q4876" s="16">
        <v>6899</v>
      </c>
      <c r="R4876" s="17">
        <v>40</v>
      </c>
      <c r="S4876" s="18">
        <v>4760.3099999999995</v>
      </c>
      <c r="T4876" s="19" t="s">
        <v>36</v>
      </c>
      <c r="U4876" s="20" t="s">
        <v>37</v>
      </c>
      <c r="V4876" s="21" t="s">
        <v>38</v>
      </c>
      <c r="W4876" s="22">
        <v>9</v>
      </c>
      <c r="X4876" s="23"/>
    </row>
    <row r="4877" spans="1:24" s="1" customFormat="1" ht="21" customHeight="1" x14ac:dyDescent="0.3">
      <c r="A4877" s="24" t="s">
        <v>23</v>
      </c>
      <c r="B4877" s="24" t="s">
        <v>4301</v>
      </c>
      <c r="C4877" s="27" t="s">
        <v>4302</v>
      </c>
      <c r="D4877" s="60"/>
      <c r="E4877" s="41" t="str">
        <f>HYPERLINK("https://www.google.ru/search?q=6010922-014&amp;newwindow=1&amp;tbm=isch","Еще фото")</f>
        <v>Еще фото</v>
      </c>
      <c r="F4877" s="28" t="s">
        <v>138</v>
      </c>
      <c r="G4877" s="24" t="s">
        <v>3615</v>
      </c>
      <c r="H4877" s="24" t="s">
        <v>27</v>
      </c>
      <c r="I4877" s="24" t="s">
        <v>3599</v>
      </c>
      <c r="J4877" s="14" t="s">
        <v>260</v>
      </c>
      <c r="K4877" s="15" t="s">
        <v>30</v>
      </c>
      <c r="L4877" s="62"/>
      <c r="M4877" s="14"/>
      <c r="N4877" s="14" t="s">
        <v>62</v>
      </c>
      <c r="O4877" s="14"/>
      <c r="P4877" s="15" t="s">
        <v>202</v>
      </c>
      <c r="Q4877" s="16">
        <v>6899</v>
      </c>
      <c r="R4877" s="17">
        <v>40</v>
      </c>
      <c r="S4877" s="18">
        <v>4760.3099999999995</v>
      </c>
      <c r="T4877" s="19" t="s">
        <v>36</v>
      </c>
      <c r="U4877" s="20" t="s">
        <v>39</v>
      </c>
      <c r="V4877" s="21" t="s">
        <v>40</v>
      </c>
      <c r="W4877" s="22">
        <v>23</v>
      </c>
      <c r="X4877" s="23"/>
    </row>
    <row r="4878" spans="1:24" s="1" customFormat="1" ht="21" customHeight="1" x14ac:dyDescent="0.3">
      <c r="A4878" s="24" t="s">
        <v>23</v>
      </c>
      <c r="B4878" s="24" t="s">
        <v>4301</v>
      </c>
      <c r="C4878" s="27" t="s">
        <v>4302</v>
      </c>
      <c r="D4878" s="60"/>
      <c r="E4878" s="41" t="str">
        <f>HYPERLINK("https://www.google.ru/search?q=6010922-014&amp;newwindow=1&amp;tbm=isch","Еще фото")</f>
        <v>Еще фото</v>
      </c>
      <c r="F4878" s="28" t="s">
        <v>138</v>
      </c>
      <c r="G4878" s="24" t="s">
        <v>3615</v>
      </c>
      <c r="H4878" s="24" t="s">
        <v>27</v>
      </c>
      <c r="I4878" s="24" t="s">
        <v>3599</v>
      </c>
      <c r="J4878" s="14" t="s">
        <v>260</v>
      </c>
      <c r="K4878" s="15" t="s">
        <v>30</v>
      </c>
      <c r="L4878" s="62"/>
      <c r="M4878" s="14"/>
      <c r="N4878" s="14" t="s">
        <v>62</v>
      </c>
      <c r="O4878" s="14"/>
      <c r="P4878" s="15" t="s">
        <v>202</v>
      </c>
      <c r="Q4878" s="16">
        <v>6899</v>
      </c>
      <c r="R4878" s="17">
        <v>40</v>
      </c>
      <c r="S4878" s="18">
        <v>4760.3099999999995</v>
      </c>
      <c r="T4878" s="19" t="s">
        <v>36</v>
      </c>
      <c r="U4878" s="20" t="s">
        <v>86</v>
      </c>
      <c r="V4878" s="21" t="s">
        <v>87</v>
      </c>
      <c r="W4878" s="22">
        <v>20</v>
      </c>
      <c r="X4878" s="23"/>
    </row>
    <row r="4879" spans="1:24" s="1" customFormat="1" ht="21" customHeight="1" x14ac:dyDescent="0.3">
      <c r="A4879" s="24" t="s">
        <v>23</v>
      </c>
      <c r="B4879" s="24" t="s">
        <v>4301</v>
      </c>
      <c r="C4879" s="27" t="s">
        <v>4302</v>
      </c>
      <c r="D4879" s="60"/>
      <c r="E4879" s="41" t="str">
        <f>HYPERLINK("https://www.google.ru/search?q=6010922-014&amp;newwindow=1&amp;tbm=isch","Еще фото")</f>
        <v>Еще фото</v>
      </c>
      <c r="F4879" s="28" t="s">
        <v>138</v>
      </c>
      <c r="G4879" s="24" t="s">
        <v>3615</v>
      </c>
      <c r="H4879" s="24" t="s">
        <v>27</v>
      </c>
      <c r="I4879" s="24" t="s">
        <v>3599</v>
      </c>
      <c r="J4879" s="14" t="s">
        <v>260</v>
      </c>
      <c r="K4879" s="15" t="s">
        <v>30</v>
      </c>
      <c r="L4879" s="62"/>
      <c r="M4879" s="14"/>
      <c r="N4879" s="14" t="s">
        <v>62</v>
      </c>
      <c r="O4879" s="14"/>
      <c r="P4879" s="15" t="s">
        <v>202</v>
      </c>
      <c r="Q4879" s="16">
        <v>6899</v>
      </c>
      <c r="R4879" s="17">
        <v>40</v>
      </c>
      <c r="S4879" s="18">
        <v>4760.3099999999995</v>
      </c>
      <c r="T4879" s="19" t="s">
        <v>36</v>
      </c>
      <c r="U4879" s="20" t="s">
        <v>88</v>
      </c>
      <c r="V4879" s="21" t="s">
        <v>89</v>
      </c>
      <c r="W4879" s="22">
        <v>13</v>
      </c>
      <c r="X4879" s="23"/>
    </row>
    <row r="4880" spans="1:24" s="1" customFormat="1" ht="32" customHeight="1" x14ac:dyDescent="0.3">
      <c r="A4880" s="24" t="s">
        <v>23</v>
      </c>
      <c r="B4880" s="24" t="s">
        <v>4301</v>
      </c>
      <c r="C4880" s="27" t="s">
        <v>4302</v>
      </c>
      <c r="D4880" s="61"/>
      <c r="E4880" s="41" t="str">
        <f>HYPERLINK("https://www.google.ru/search?q=6010922-014&amp;newwindow=1&amp;tbm=isch","Еще фото")</f>
        <v>Еще фото</v>
      </c>
      <c r="F4880" s="28" t="s">
        <v>138</v>
      </c>
      <c r="G4880" s="24" t="s">
        <v>3615</v>
      </c>
      <c r="H4880" s="24" t="s">
        <v>27</v>
      </c>
      <c r="I4880" s="24" t="s">
        <v>3599</v>
      </c>
      <c r="J4880" s="14" t="s">
        <v>260</v>
      </c>
      <c r="K4880" s="15" t="s">
        <v>30</v>
      </c>
      <c r="L4880" s="58"/>
      <c r="M4880" s="14"/>
      <c r="N4880" s="14" t="s">
        <v>62</v>
      </c>
      <c r="O4880" s="14"/>
      <c r="P4880" s="15" t="s">
        <v>202</v>
      </c>
      <c r="Q4880" s="16">
        <v>6899</v>
      </c>
      <c r="R4880" s="17">
        <v>40</v>
      </c>
      <c r="S4880" s="18">
        <v>4760.3099999999995</v>
      </c>
      <c r="T4880" s="19" t="s">
        <v>36</v>
      </c>
      <c r="U4880" s="20" t="s">
        <v>90</v>
      </c>
      <c r="V4880" s="21" t="s">
        <v>91</v>
      </c>
      <c r="W4880" s="22">
        <v>11</v>
      </c>
      <c r="X4880" s="23"/>
    </row>
    <row r="4881" spans="1:24" s="1" customFormat="1" ht="52.05" customHeight="1" x14ac:dyDescent="0.3">
      <c r="A4881" s="11" t="s">
        <v>23</v>
      </c>
      <c r="B4881" s="11" t="s">
        <v>4304</v>
      </c>
      <c r="C4881" s="12" t="s">
        <v>4305</v>
      </c>
      <c r="D4881" s="55"/>
      <c r="E4881" s="41" t="str">
        <f>HYPERLINK("https://www.google.ru/search?q=6010952-008&amp;newwindow=1&amp;tbm=isch","Еще фото")</f>
        <v>Еще фото</v>
      </c>
      <c r="F4881" s="13" t="s">
        <v>103</v>
      </c>
      <c r="G4881" s="11" t="s">
        <v>3604</v>
      </c>
      <c r="H4881" s="11" t="s">
        <v>27</v>
      </c>
      <c r="I4881" s="14" t="s">
        <v>3599</v>
      </c>
      <c r="J4881" s="14" t="s">
        <v>43</v>
      </c>
      <c r="K4881" s="15" t="s">
        <v>59</v>
      </c>
      <c r="L4881" s="57" t="s">
        <v>4306</v>
      </c>
      <c r="M4881" s="14"/>
      <c r="N4881" s="14" t="s">
        <v>33</v>
      </c>
      <c r="O4881" s="14"/>
      <c r="P4881" s="15" t="s">
        <v>4307</v>
      </c>
      <c r="Q4881" s="16">
        <v>3999</v>
      </c>
      <c r="R4881" s="17">
        <v>40</v>
      </c>
      <c r="S4881" s="18">
        <v>2759.31</v>
      </c>
      <c r="T4881" s="19" t="s">
        <v>36</v>
      </c>
      <c r="U4881" s="20" t="s">
        <v>63</v>
      </c>
      <c r="V4881" s="21" t="s">
        <v>64</v>
      </c>
      <c r="W4881" s="22">
        <v>8</v>
      </c>
      <c r="X4881" s="23"/>
    </row>
    <row r="4882" spans="1:24" s="1" customFormat="1" ht="61.05" customHeight="1" x14ac:dyDescent="0.3">
      <c r="A4882" s="24" t="s">
        <v>23</v>
      </c>
      <c r="B4882" s="24" t="s">
        <v>4304</v>
      </c>
      <c r="C4882" s="12" t="s">
        <v>4305</v>
      </c>
      <c r="D4882" s="56"/>
      <c r="E4882" s="41" t="str">
        <f>HYPERLINK("https://www.google.ru/search?q=6010952-008&amp;newwindow=1&amp;tbm=isch","Еще фото")</f>
        <v>Еще фото</v>
      </c>
      <c r="F4882" s="13" t="s">
        <v>103</v>
      </c>
      <c r="G4882" s="24" t="s">
        <v>3604</v>
      </c>
      <c r="H4882" s="24" t="s">
        <v>27</v>
      </c>
      <c r="I4882" s="24" t="s">
        <v>3599</v>
      </c>
      <c r="J4882" s="14" t="s">
        <v>43</v>
      </c>
      <c r="K4882" s="15" t="s">
        <v>59</v>
      </c>
      <c r="L4882" s="58"/>
      <c r="M4882" s="14"/>
      <c r="N4882" s="14" t="s">
        <v>33</v>
      </c>
      <c r="O4882" s="14"/>
      <c r="P4882" s="15" t="s">
        <v>4307</v>
      </c>
      <c r="Q4882" s="16">
        <v>3999</v>
      </c>
      <c r="R4882" s="17">
        <v>40</v>
      </c>
      <c r="S4882" s="18">
        <v>2759.31</v>
      </c>
      <c r="T4882" s="19" t="s">
        <v>36</v>
      </c>
      <c r="U4882" s="20" t="s">
        <v>86</v>
      </c>
      <c r="V4882" s="21" t="s">
        <v>38</v>
      </c>
      <c r="W4882" s="22">
        <v>1</v>
      </c>
      <c r="X4882" s="23"/>
    </row>
    <row r="4883" spans="1:24" s="1" customFormat="1" ht="35" customHeight="1" x14ac:dyDescent="0.3">
      <c r="A4883" s="11" t="s">
        <v>23</v>
      </c>
      <c r="B4883" s="11" t="s">
        <v>4304</v>
      </c>
      <c r="C4883" s="12" t="s">
        <v>4308</v>
      </c>
      <c r="D4883" s="59"/>
      <c r="E4883" s="41" t="str">
        <f>HYPERLINK("https://www.google.ru/search?q=6010952-690&amp;newwindow=1&amp;tbm=isch","Еще фото")</f>
        <v>Еще фото</v>
      </c>
      <c r="F4883" s="13"/>
      <c r="G4883" s="11" t="s">
        <v>3604</v>
      </c>
      <c r="H4883" s="11" t="s">
        <v>27</v>
      </c>
      <c r="I4883" s="14" t="s">
        <v>3599</v>
      </c>
      <c r="J4883" s="14" t="s">
        <v>43</v>
      </c>
      <c r="K4883" s="15" t="s">
        <v>59</v>
      </c>
      <c r="L4883" s="57" t="s">
        <v>4306</v>
      </c>
      <c r="M4883" s="14"/>
      <c r="N4883" s="14" t="s">
        <v>198</v>
      </c>
      <c r="O4883" s="14"/>
      <c r="P4883" s="15" t="s">
        <v>4307</v>
      </c>
      <c r="Q4883" s="16">
        <v>3999</v>
      </c>
      <c r="R4883" s="17">
        <v>40</v>
      </c>
      <c r="S4883" s="18">
        <v>2759.31</v>
      </c>
      <c r="T4883" s="19" t="s">
        <v>36</v>
      </c>
      <c r="U4883" s="20" t="s">
        <v>63</v>
      </c>
      <c r="V4883" s="21" t="s">
        <v>64</v>
      </c>
      <c r="W4883" s="22">
        <v>5</v>
      </c>
      <c r="X4883" s="23"/>
    </row>
    <row r="4884" spans="1:24" s="1" customFormat="1" ht="35" customHeight="1" x14ac:dyDescent="0.3">
      <c r="A4884" s="24" t="s">
        <v>23</v>
      </c>
      <c r="B4884" s="24" t="s">
        <v>4304</v>
      </c>
      <c r="C4884" s="12" t="s">
        <v>4308</v>
      </c>
      <c r="D4884" s="60"/>
      <c r="E4884" s="41" t="str">
        <f>HYPERLINK("https://www.google.ru/search?q=6010952-690&amp;newwindow=1&amp;tbm=isch","Еще фото")</f>
        <v>Еще фото</v>
      </c>
      <c r="F4884" s="13"/>
      <c r="G4884" s="24" t="s">
        <v>3604</v>
      </c>
      <c r="H4884" s="24" t="s">
        <v>27</v>
      </c>
      <c r="I4884" s="24" t="s">
        <v>3599</v>
      </c>
      <c r="J4884" s="14" t="s">
        <v>43</v>
      </c>
      <c r="K4884" s="15" t="s">
        <v>59</v>
      </c>
      <c r="L4884" s="62"/>
      <c r="M4884" s="14"/>
      <c r="N4884" s="14" t="s">
        <v>198</v>
      </c>
      <c r="O4884" s="14"/>
      <c r="P4884" s="15" t="s">
        <v>4307</v>
      </c>
      <c r="Q4884" s="16">
        <v>3999</v>
      </c>
      <c r="R4884" s="17">
        <v>40</v>
      </c>
      <c r="S4884" s="18">
        <v>2759.31</v>
      </c>
      <c r="T4884" s="19" t="s">
        <v>36</v>
      </c>
      <c r="U4884" s="20" t="s">
        <v>39</v>
      </c>
      <c r="V4884" s="21" t="s">
        <v>85</v>
      </c>
      <c r="W4884" s="22">
        <v>3</v>
      </c>
      <c r="X4884" s="23"/>
    </row>
    <row r="4885" spans="1:24" s="1" customFormat="1" ht="37.049999999999997" customHeight="1" x14ac:dyDescent="0.3">
      <c r="A4885" s="24" t="s">
        <v>23</v>
      </c>
      <c r="B4885" s="24" t="s">
        <v>4304</v>
      </c>
      <c r="C4885" s="12" t="s">
        <v>4308</v>
      </c>
      <c r="D4885" s="61"/>
      <c r="E4885" s="41" t="str">
        <f>HYPERLINK("https://www.google.ru/search?q=6010952-690&amp;newwindow=1&amp;tbm=isch","Еще фото")</f>
        <v>Еще фото</v>
      </c>
      <c r="F4885" s="13"/>
      <c r="G4885" s="24" t="s">
        <v>3604</v>
      </c>
      <c r="H4885" s="24" t="s">
        <v>27</v>
      </c>
      <c r="I4885" s="24" t="s">
        <v>3599</v>
      </c>
      <c r="J4885" s="14" t="s">
        <v>43</v>
      </c>
      <c r="K4885" s="15" t="s">
        <v>59</v>
      </c>
      <c r="L4885" s="58"/>
      <c r="M4885" s="14"/>
      <c r="N4885" s="14" t="s">
        <v>198</v>
      </c>
      <c r="O4885" s="14"/>
      <c r="P4885" s="15" t="s">
        <v>4307</v>
      </c>
      <c r="Q4885" s="16">
        <v>3999</v>
      </c>
      <c r="R4885" s="17">
        <v>40</v>
      </c>
      <c r="S4885" s="18">
        <v>2759.31</v>
      </c>
      <c r="T4885" s="19" t="s">
        <v>36</v>
      </c>
      <c r="U4885" s="20" t="s">
        <v>86</v>
      </c>
      <c r="V4885" s="21" t="s">
        <v>38</v>
      </c>
      <c r="W4885" s="22">
        <v>8</v>
      </c>
      <c r="X4885" s="23"/>
    </row>
    <row r="4886" spans="1:24" s="1" customFormat="1" ht="35" customHeight="1" x14ac:dyDescent="0.3">
      <c r="A4886" s="11" t="s">
        <v>23</v>
      </c>
      <c r="B4886" s="11" t="s">
        <v>4309</v>
      </c>
      <c r="C4886" s="12" t="s">
        <v>4310</v>
      </c>
      <c r="D4886" s="59"/>
      <c r="E4886" s="41" t="str">
        <f>HYPERLINK("https://www.google.ru/search?q=6011064-023&amp;newwindow=1&amp;tbm=isch","Еще фото")</f>
        <v>Еще фото</v>
      </c>
      <c r="F4886" s="13"/>
      <c r="G4886" s="11" t="s">
        <v>3604</v>
      </c>
      <c r="H4886" s="11" t="s">
        <v>27</v>
      </c>
      <c r="I4886" s="14" t="s">
        <v>3599</v>
      </c>
      <c r="J4886" s="14" t="s">
        <v>43</v>
      </c>
      <c r="K4886" s="15" t="s">
        <v>59</v>
      </c>
      <c r="L4886" s="57" t="s">
        <v>4311</v>
      </c>
      <c r="M4886" s="14"/>
      <c r="N4886" s="14" t="s">
        <v>62</v>
      </c>
      <c r="O4886" s="14"/>
      <c r="P4886" s="15" t="s">
        <v>1063</v>
      </c>
      <c r="Q4886" s="16">
        <v>2699</v>
      </c>
      <c r="R4886" s="17">
        <v>40</v>
      </c>
      <c r="S4886" s="18">
        <v>1862.31</v>
      </c>
      <c r="T4886" s="19" t="s">
        <v>36</v>
      </c>
      <c r="U4886" s="20" t="s">
        <v>63</v>
      </c>
      <c r="V4886" s="21" t="s">
        <v>64</v>
      </c>
      <c r="W4886" s="22">
        <v>2</v>
      </c>
      <c r="X4886" s="23"/>
    </row>
    <row r="4887" spans="1:24" s="1" customFormat="1" ht="35" customHeight="1" x14ac:dyDescent="0.3">
      <c r="A4887" s="24" t="s">
        <v>23</v>
      </c>
      <c r="B4887" s="24" t="s">
        <v>4309</v>
      </c>
      <c r="C4887" s="12" t="s">
        <v>4310</v>
      </c>
      <c r="D4887" s="60"/>
      <c r="E4887" s="41" t="str">
        <f>HYPERLINK("https://www.google.ru/search?q=6011064-023&amp;newwindow=1&amp;tbm=isch","Еще фото")</f>
        <v>Еще фото</v>
      </c>
      <c r="F4887" s="13"/>
      <c r="G4887" s="24" t="s">
        <v>3604</v>
      </c>
      <c r="H4887" s="24" t="s">
        <v>27</v>
      </c>
      <c r="I4887" s="24" t="s">
        <v>3599</v>
      </c>
      <c r="J4887" s="14" t="s">
        <v>43</v>
      </c>
      <c r="K4887" s="15" t="s">
        <v>59</v>
      </c>
      <c r="L4887" s="62"/>
      <c r="M4887" s="14"/>
      <c r="N4887" s="14" t="s">
        <v>62</v>
      </c>
      <c r="O4887" s="14"/>
      <c r="P4887" s="15" t="s">
        <v>1063</v>
      </c>
      <c r="Q4887" s="16">
        <v>2699</v>
      </c>
      <c r="R4887" s="17">
        <v>40</v>
      </c>
      <c r="S4887" s="18">
        <v>1862.31</v>
      </c>
      <c r="T4887" s="19" t="s">
        <v>36</v>
      </c>
      <c r="U4887" s="20" t="s">
        <v>39</v>
      </c>
      <c r="V4887" s="21" t="s">
        <v>85</v>
      </c>
      <c r="W4887" s="22">
        <v>1</v>
      </c>
      <c r="X4887" s="23"/>
    </row>
    <row r="4888" spans="1:24" s="1" customFormat="1" ht="37.049999999999997" customHeight="1" x14ac:dyDescent="0.3">
      <c r="A4888" s="24" t="s">
        <v>23</v>
      </c>
      <c r="B4888" s="24" t="s">
        <v>4309</v>
      </c>
      <c r="C4888" s="12" t="s">
        <v>4310</v>
      </c>
      <c r="D4888" s="61"/>
      <c r="E4888" s="41" t="str">
        <f>HYPERLINK("https://www.google.ru/search?q=6011064-023&amp;newwindow=1&amp;tbm=isch","Еще фото")</f>
        <v>Еще фото</v>
      </c>
      <c r="F4888" s="13"/>
      <c r="G4888" s="24" t="s">
        <v>3604</v>
      </c>
      <c r="H4888" s="24" t="s">
        <v>27</v>
      </c>
      <c r="I4888" s="24" t="s">
        <v>3599</v>
      </c>
      <c r="J4888" s="14" t="s">
        <v>43</v>
      </c>
      <c r="K4888" s="15" t="s">
        <v>59</v>
      </c>
      <c r="L4888" s="58"/>
      <c r="M4888" s="14"/>
      <c r="N4888" s="14" t="s">
        <v>62</v>
      </c>
      <c r="O4888" s="14"/>
      <c r="P4888" s="15" t="s">
        <v>1063</v>
      </c>
      <c r="Q4888" s="16">
        <v>2699</v>
      </c>
      <c r="R4888" s="17">
        <v>40</v>
      </c>
      <c r="S4888" s="18">
        <v>1862.31</v>
      </c>
      <c r="T4888" s="19" t="s">
        <v>36</v>
      </c>
      <c r="U4888" s="20" t="s">
        <v>86</v>
      </c>
      <c r="V4888" s="21" t="s">
        <v>38</v>
      </c>
      <c r="W4888" s="22">
        <v>8</v>
      </c>
      <c r="X4888" s="23"/>
    </row>
    <row r="4889" spans="1:24" s="1" customFormat="1" ht="26" customHeight="1" x14ac:dyDescent="0.3">
      <c r="A4889" s="11" t="s">
        <v>23</v>
      </c>
      <c r="B4889" s="11" t="s">
        <v>4312</v>
      </c>
      <c r="C4889" s="12" t="s">
        <v>4313</v>
      </c>
      <c r="D4889" s="59"/>
      <c r="E4889" s="41" t="str">
        <f>HYPERLINK("https://www.google.ru/search?q=6011077-279&amp;newwindow=1&amp;tbm=isch","Еще фото")</f>
        <v>Еще фото</v>
      </c>
      <c r="F4889" s="13"/>
      <c r="G4889" s="11" t="s">
        <v>3604</v>
      </c>
      <c r="H4889" s="11" t="s">
        <v>27</v>
      </c>
      <c r="I4889" s="14" t="s">
        <v>3599</v>
      </c>
      <c r="J4889" s="14" t="s">
        <v>674</v>
      </c>
      <c r="K4889" s="15" t="s">
        <v>30</v>
      </c>
      <c r="L4889" s="57" t="s">
        <v>4314</v>
      </c>
      <c r="M4889" s="14"/>
      <c r="N4889" s="14" t="s">
        <v>229</v>
      </c>
      <c r="O4889" s="14"/>
      <c r="P4889" s="15" t="s">
        <v>2951</v>
      </c>
      <c r="Q4889" s="16">
        <v>3999</v>
      </c>
      <c r="R4889" s="17">
        <v>40</v>
      </c>
      <c r="S4889" s="18">
        <v>2759.31</v>
      </c>
      <c r="T4889" s="19" t="s">
        <v>36</v>
      </c>
      <c r="U4889" s="20" t="s">
        <v>39</v>
      </c>
      <c r="V4889" s="21" t="s">
        <v>40</v>
      </c>
      <c r="W4889" s="22">
        <v>5</v>
      </c>
      <c r="X4889" s="23"/>
    </row>
    <row r="4890" spans="1:24" s="1" customFormat="1" ht="26" customHeight="1" x14ac:dyDescent="0.3">
      <c r="A4890" s="24" t="s">
        <v>23</v>
      </c>
      <c r="B4890" s="24" t="s">
        <v>4312</v>
      </c>
      <c r="C4890" s="12" t="s">
        <v>4313</v>
      </c>
      <c r="D4890" s="60"/>
      <c r="E4890" s="41" t="str">
        <f>HYPERLINK("https://www.google.ru/search?q=6011077-279&amp;newwindow=1&amp;tbm=isch","Еще фото")</f>
        <v>Еще фото</v>
      </c>
      <c r="F4890" s="13"/>
      <c r="G4890" s="24" t="s">
        <v>3604</v>
      </c>
      <c r="H4890" s="24" t="s">
        <v>27</v>
      </c>
      <c r="I4890" s="24" t="s">
        <v>3599</v>
      </c>
      <c r="J4890" s="14" t="s">
        <v>674</v>
      </c>
      <c r="K4890" s="15" t="s">
        <v>30</v>
      </c>
      <c r="L4890" s="62"/>
      <c r="M4890" s="14"/>
      <c r="N4890" s="14" t="s">
        <v>229</v>
      </c>
      <c r="O4890" s="14"/>
      <c r="P4890" s="15" t="s">
        <v>2951</v>
      </c>
      <c r="Q4890" s="16">
        <v>3999</v>
      </c>
      <c r="R4890" s="17">
        <v>40</v>
      </c>
      <c r="S4890" s="18">
        <v>2759.31</v>
      </c>
      <c r="T4890" s="19" t="s">
        <v>36</v>
      </c>
      <c r="U4890" s="20" t="s">
        <v>86</v>
      </c>
      <c r="V4890" s="21" t="s">
        <v>87</v>
      </c>
      <c r="W4890" s="22">
        <v>6</v>
      </c>
      <c r="X4890" s="23"/>
    </row>
    <row r="4891" spans="1:24" s="1" customFormat="1" ht="26" customHeight="1" x14ac:dyDescent="0.3">
      <c r="A4891" s="24" t="s">
        <v>23</v>
      </c>
      <c r="B4891" s="24" t="s">
        <v>4312</v>
      </c>
      <c r="C4891" s="12" t="s">
        <v>4313</v>
      </c>
      <c r="D4891" s="60"/>
      <c r="E4891" s="41" t="str">
        <f>HYPERLINK("https://www.google.ru/search?q=6011077-279&amp;newwindow=1&amp;tbm=isch","Еще фото")</f>
        <v>Еще фото</v>
      </c>
      <c r="F4891" s="13"/>
      <c r="G4891" s="24" t="s">
        <v>3604</v>
      </c>
      <c r="H4891" s="24" t="s">
        <v>27</v>
      </c>
      <c r="I4891" s="24" t="s">
        <v>3599</v>
      </c>
      <c r="J4891" s="14" t="s">
        <v>674</v>
      </c>
      <c r="K4891" s="15" t="s">
        <v>30</v>
      </c>
      <c r="L4891" s="62"/>
      <c r="M4891" s="14"/>
      <c r="N4891" s="14" t="s">
        <v>229</v>
      </c>
      <c r="O4891" s="14"/>
      <c r="P4891" s="15" t="s">
        <v>2951</v>
      </c>
      <c r="Q4891" s="16">
        <v>3999</v>
      </c>
      <c r="R4891" s="17">
        <v>40</v>
      </c>
      <c r="S4891" s="18">
        <v>2759.31</v>
      </c>
      <c r="T4891" s="19" t="s">
        <v>36</v>
      </c>
      <c r="U4891" s="20" t="s">
        <v>88</v>
      </c>
      <c r="V4891" s="21" t="s">
        <v>89</v>
      </c>
      <c r="W4891" s="22">
        <v>4</v>
      </c>
      <c r="X4891" s="23"/>
    </row>
    <row r="4892" spans="1:24" s="1" customFormat="1" ht="26" customHeight="1" x14ac:dyDescent="0.3">
      <c r="A4892" s="24" t="s">
        <v>23</v>
      </c>
      <c r="B4892" s="24" t="s">
        <v>4312</v>
      </c>
      <c r="C4892" s="12" t="s">
        <v>4313</v>
      </c>
      <c r="D4892" s="61"/>
      <c r="E4892" s="41" t="str">
        <f>HYPERLINK("https://www.google.ru/search?q=6011077-279&amp;newwindow=1&amp;tbm=isch","Еще фото")</f>
        <v>Еще фото</v>
      </c>
      <c r="F4892" s="13"/>
      <c r="G4892" s="24" t="s">
        <v>3604</v>
      </c>
      <c r="H4892" s="24" t="s">
        <v>27</v>
      </c>
      <c r="I4892" s="24" t="s">
        <v>3599</v>
      </c>
      <c r="J4892" s="14" t="s">
        <v>674</v>
      </c>
      <c r="K4892" s="15" t="s">
        <v>30</v>
      </c>
      <c r="L4892" s="58"/>
      <c r="M4892" s="14"/>
      <c r="N4892" s="14" t="s">
        <v>229</v>
      </c>
      <c r="O4892" s="14"/>
      <c r="P4892" s="15" t="s">
        <v>2951</v>
      </c>
      <c r="Q4892" s="16">
        <v>3999</v>
      </c>
      <c r="R4892" s="17">
        <v>40</v>
      </c>
      <c r="S4892" s="18">
        <v>2759.31</v>
      </c>
      <c r="T4892" s="19" t="s">
        <v>36</v>
      </c>
      <c r="U4892" s="20" t="s">
        <v>90</v>
      </c>
      <c r="V4892" s="21" t="s">
        <v>91</v>
      </c>
      <c r="W4892" s="22">
        <v>4</v>
      </c>
      <c r="X4892" s="23"/>
    </row>
    <row r="4893" spans="1:24" s="1" customFormat="1" ht="21" customHeight="1" x14ac:dyDescent="0.3">
      <c r="A4893" s="11" t="s">
        <v>23</v>
      </c>
      <c r="B4893" s="11" t="s">
        <v>4312</v>
      </c>
      <c r="C4893" s="26" t="s">
        <v>4315</v>
      </c>
      <c r="D4893" s="59"/>
      <c r="E4893" s="41" t="str">
        <f>HYPERLINK("https://www.google.ru/search?q=6011077-709&amp;newwindow=1&amp;tbm=isch","Еще фото")</f>
        <v>Еще фото</v>
      </c>
      <c r="F4893" s="13"/>
      <c r="G4893" s="11" t="s">
        <v>3604</v>
      </c>
      <c r="H4893" s="11" t="s">
        <v>27</v>
      </c>
      <c r="I4893" s="14" t="s">
        <v>3599</v>
      </c>
      <c r="J4893" s="14" t="s">
        <v>674</v>
      </c>
      <c r="K4893" s="15" t="s">
        <v>30</v>
      </c>
      <c r="L4893" s="57" t="s">
        <v>4314</v>
      </c>
      <c r="M4893" s="14"/>
      <c r="N4893" s="14" t="s">
        <v>127</v>
      </c>
      <c r="O4893" s="14"/>
      <c r="P4893" s="15" t="s">
        <v>2951</v>
      </c>
      <c r="Q4893" s="16">
        <v>3999</v>
      </c>
      <c r="R4893" s="17">
        <v>40</v>
      </c>
      <c r="S4893" s="18">
        <v>2759.31</v>
      </c>
      <c r="T4893" s="19" t="s">
        <v>36</v>
      </c>
      <c r="U4893" s="20" t="s">
        <v>37</v>
      </c>
      <c r="V4893" s="21" t="s">
        <v>38</v>
      </c>
      <c r="W4893" s="22">
        <v>6</v>
      </c>
      <c r="X4893" s="23"/>
    </row>
    <row r="4894" spans="1:24" s="1" customFormat="1" ht="21" customHeight="1" x14ac:dyDescent="0.3">
      <c r="A4894" s="24" t="s">
        <v>23</v>
      </c>
      <c r="B4894" s="24" t="s">
        <v>4312</v>
      </c>
      <c r="C4894" s="27" t="s">
        <v>4315</v>
      </c>
      <c r="D4894" s="60"/>
      <c r="E4894" s="41" t="str">
        <f>HYPERLINK("https://www.google.ru/search?q=6011077-709&amp;newwindow=1&amp;tbm=isch","Еще фото")</f>
        <v>Еще фото</v>
      </c>
      <c r="F4894" s="13"/>
      <c r="G4894" s="24" t="s">
        <v>3604</v>
      </c>
      <c r="H4894" s="24" t="s">
        <v>27</v>
      </c>
      <c r="I4894" s="24" t="s">
        <v>3599</v>
      </c>
      <c r="J4894" s="14" t="s">
        <v>674</v>
      </c>
      <c r="K4894" s="15" t="s">
        <v>30</v>
      </c>
      <c r="L4894" s="62"/>
      <c r="M4894" s="14"/>
      <c r="N4894" s="14" t="s">
        <v>127</v>
      </c>
      <c r="O4894" s="14"/>
      <c r="P4894" s="15" t="s">
        <v>2951</v>
      </c>
      <c r="Q4894" s="16">
        <v>3999</v>
      </c>
      <c r="R4894" s="17">
        <v>40</v>
      </c>
      <c r="S4894" s="18">
        <v>2759.31</v>
      </c>
      <c r="T4894" s="19" t="s">
        <v>36</v>
      </c>
      <c r="U4894" s="20" t="s">
        <v>39</v>
      </c>
      <c r="V4894" s="21" t="s">
        <v>40</v>
      </c>
      <c r="W4894" s="22">
        <v>14</v>
      </c>
      <c r="X4894" s="23"/>
    </row>
    <row r="4895" spans="1:24" s="1" customFormat="1" ht="21" customHeight="1" x14ac:dyDescent="0.3">
      <c r="A4895" s="24" t="s">
        <v>23</v>
      </c>
      <c r="B4895" s="24" t="s">
        <v>4312</v>
      </c>
      <c r="C4895" s="27" t="s">
        <v>4315</v>
      </c>
      <c r="D4895" s="60"/>
      <c r="E4895" s="41" t="str">
        <f>HYPERLINK("https://www.google.ru/search?q=6011077-709&amp;newwindow=1&amp;tbm=isch","Еще фото")</f>
        <v>Еще фото</v>
      </c>
      <c r="F4895" s="13"/>
      <c r="G4895" s="24" t="s">
        <v>3604</v>
      </c>
      <c r="H4895" s="24" t="s">
        <v>27</v>
      </c>
      <c r="I4895" s="24" t="s">
        <v>3599</v>
      </c>
      <c r="J4895" s="14" t="s">
        <v>674</v>
      </c>
      <c r="K4895" s="15" t="s">
        <v>30</v>
      </c>
      <c r="L4895" s="62"/>
      <c r="M4895" s="14"/>
      <c r="N4895" s="14" t="s">
        <v>127</v>
      </c>
      <c r="O4895" s="14"/>
      <c r="P4895" s="15" t="s">
        <v>2951</v>
      </c>
      <c r="Q4895" s="16">
        <v>3999</v>
      </c>
      <c r="R4895" s="17">
        <v>40</v>
      </c>
      <c r="S4895" s="18">
        <v>2759.31</v>
      </c>
      <c r="T4895" s="19" t="s">
        <v>36</v>
      </c>
      <c r="U4895" s="20" t="s">
        <v>86</v>
      </c>
      <c r="V4895" s="21" t="s">
        <v>87</v>
      </c>
      <c r="W4895" s="22">
        <v>7</v>
      </c>
      <c r="X4895" s="23"/>
    </row>
    <row r="4896" spans="1:24" s="1" customFormat="1" ht="21" customHeight="1" x14ac:dyDescent="0.3">
      <c r="A4896" s="24" t="s">
        <v>23</v>
      </c>
      <c r="B4896" s="24" t="s">
        <v>4312</v>
      </c>
      <c r="C4896" s="27" t="s">
        <v>4315</v>
      </c>
      <c r="D4896" s="60"/>
      <c r="E4896" s="41" t="str">
        <f>HYPERLINK("https://www.google.ru/search?q=6011077-709&amp;newwindow=1&amp;tbm=isch","Еще фото")</f>
        <v>Еще фото</v>
      </c>
      <c r="F4896" s="13"/>
      <c r="G4896" s="24" t="s">
        <v>3604</v>
      </c>
      <c r="H4896" s="24" t="s">
        <v>27</v>
      </c>
      <c r="I4896" s="24" t="s">
        <v>3599</v>
      </c>
      <c r="J4896" s="14" t="s">
        <v>674</v>
      </c>
      <c r="K4896" s="15" t="s">
        <v>30</v>
      </c>
      <c r="L4896" s="62"/>
      <c r="M4896" s="14"/>
      <c r="N4896" s="14" t="s">
        <v>127</v>
      </c>
      <c r="O4896" s="14"/>
      <c r="P4896" s="15" t="s">
        <v>2951</v>
      </c>
      <c r="Q4896" s="16">
        <v>3999</v>
      </c>
      <c r="R4896" s="17">
        <v>40</v>
      </c>
      <c r="S4896" s="18">
        <v>2759.31</v>
      </c>
      <c r="T4896" s="19" t="s">
        <v>36</v>
      </c>
      <c r="U4896" s="20" t="s">
        <v>88</v>
      </c>
      <c r="V4896" s="21" t="s">
        <v>89</v>
      </c>
      <c r="W4896" s="22">
        <v>4</v>
      </c>
      <c r="X4896" s="23"/>
    </row>
    <row r="4897" spans="1:24" s="1" customFormat="1" ht="32" customHeight="1" x14ac:dyDescent="0.3">
      <c r="A4897" s="24" t="s">
        <v>23</v>
      </c>
      <c r="B4897" s="24" t="s">
        <v>4312</v>
      </c>
      <c r="C4897" s="27" t="s">
        <v>4315</v>
      </c>
      <c r="D4897" s="61"/>
      <c r="E4897" s="41" t="str">
        <f>HYPERLINK("https://www.google.ru/search?q=6011077-709&amp;newwindow=1&amp;tbm=isch","Еще фото")</f>
        <v>Еще фото</v>
      </c>
      <c r="F4897" s="13"/>
      <c r="G4897" s="24" t="s">
        <v>3604</v>
      </c>
      <c r="H4897" s="24" t="s">
        <v>27</v>
      </c>
      <c r="I4897" s="24" t="s">
        <v>3599</v>
      </c>
      <c r="J4897" s="14" t="s">
        <v>674</v>
      </c>
      <c r="K4897" s="15" t="s">
        <v>30</v>
      </c>
      <c r="L4897" s="58"/>
      <c r="M4897" s="14"/>
      <c r="N4897" s="14" t="s">
        <v>127</v>
      </c>
      <c r="O4897" s="14"/>
      <c r="P4897" s="15" t="s">
        <v>2951</v>
      </c>
      <c r="Q4897" s="16">
        <v>3999</v>
      </c>
      <c r="R4897" s="17">
        <v>40</v>
      </c>
      <c r="S4897" s="18">
        <v>2759.31</v>
      </c>
      <c r="T4897" s="19" t="s">
        <v>36</v>
      </c>
      <c r="U4897" s="20" t="s">
        <v>90</v>
      </c>
      <c r="V4897" s="21" t="s">
        <v>91</v>
      </c>
      <c r="W4897" s="22">
        <v>6</v>
      </c>
      <c r="X4897" s="23"/>
    </row>
    <row r="4898" spans="1:24" s="1" customFormat="1" ht="26" customHeight="1" x14ac:dyDescent="0.3">
      <c r="A4898" s="11" t="s">
        <v>23</v>
      </c>
      <c r="B4898" s="11" t="s">
        <v>4316</v>
      </c>
      <c r="C4898" s="12" t="s">
        <v>4317</v>
      </c>
      <c r="D4898" s="59"/>
      <c r="E4898" s="41" t="str">
        <f>HYPERLINK("https://www.google.ru/search?q=6011152-008&amp;newwindow=1&amp;tbm=isch","Еще фото")</f>
        <v>Еще фото</v>
      </c>
      <c r="F4898" s="13" t="s">
        <v>103</v>
      </c>
      <c r="G4898" s="11" t="s">
        <v>3609</v>
      </c>
      <c r="H4898" s="11" t="s">
        <v>27</v>
      </c>
      <c r="I4898" s="14" t="s">
        <v>3599</v>
      </c>
      <c r="J4898" s="14" t="s">
        <v>29</v>
      </c>
      <c r="K4898" s="15" t="s">
        <v>59</v>
      </c>
      <c r="L4898" s="57" t="s">
        <v>4318</v>
      </c>
      <c r="M4898" s="14"/>
      <c r="N4898" s="14" t="s">
        <v>33</v>
      </c>
      <c r="O4898" s="14"/>
      <c r="P4898" s="15" t="s">
        <v>53</v>
      </c>
      <c r="Q4898" s="16">
        <v>5399</v>
      </c>
      <c r="R4898" s="17">
        <v>40</v>
      </c>
      <c r="S4898" s="18">
        <v>3725.31</v>
      </c>
      <c r="T4898" s="19" t="s">
        <v>36</v>
      </c>
      <c r="U4898" s="20" t="s">
        <v>63</v>
      </c>
      <c r="V4898" s="21" t="s">
        <v>64</v>
      </c>
      <c r="W4898" s="22">
        <v>12</v>
      </c>
      <c r="X4898" s="23"/>
    </row>
    <row r="4899" spans="1:24" s="1" customFormat="1" ht="26" customHeight="1" x14ac:dyDescent="0.3">
      <c r="A4899" s="24" t="s">
        <v>23</v>
      </c>
      <c r="B4899" s="24" t="s">
        <v>4316</v>
      </c>
      <c r="C4899" s="12" t="s">
        <v>4317</v>
      </c>
      <c r="D4899" s="60"/>
      <c r="E4899" s="41" t="str">
        <f>HYPERLINK("https://www.google.ru/search?q=6011152-008&amp;newwindow=1&amp;tbm=isch","Еще фото")</f>
        <v>Еще фото</v>
      </c>
      <c r="F4899" s="13" t="s">
        <v>103</v>
      </c>
      <c r="G4899" s="24" t="s">
        <v>3609</v>
      </c>
      <c r="H4899" s="24" t="s">
        <v>27</v>
      </c>
      <c r="I4899" s="24" t="s">
        <v>3599</v>
      </c>
      <c r="J4899" s="14" t="s">
        <v>29</v>
      </c>
      <c r="K4899" s="15" t="s">
        <v>59</v>
      </c>
      <c r="L4899" s="62"/>
      <c r="M4899" s="14"/>
      <c r="N4899" s="14" t="s">
        <v>33</v>
      </c>
      <c r="O4899" s="14"/>
      <c r="P4899" s="15" t="s">
        <v>53</v>
      </c>
      <c r="Q4899" s="16">
        <v>5399</v>
      </c>
      <c r="R4899" s="17">
        <v>40</v>
      </c>
      <c r="S4899" s="18">
        <v>3725.31</v>
      </c>
      <c r="T4899" s="19" t="s">
        <v>36</v>
      </c>
      <c r="U4899" s="20" t="s">
        <v>37</v>
      </c>
      <c r="V4899" s="21" t="s">
        <v>106</v>
      </c>
      <c r="W4899" s="22">
        <v>8</v>
      </c>
      <c r="X4899" s="23"/>
    </row>
    <row r="4900" spans="1:24" s="1" customFormat="1" ht="26" customHeight="1" x14ac:dyDescent="0.3">
      <c r="A4900" s="24" t="s">
        <v>23</v>
      </c>
      <c r="B4900" s="24" t="s">
        <v>4316</v>
      </c>
      <c r="C4900" s="12" t="s">
        <v>4317</v>
      </c>
      <c r="D4900" s="60"/>
      <c r="E4900" s="41" t="str">
        <f>HYPERLINK("https://www.google.ru/search?q=6011152-008&amp;newwindow=1&amp;tbm=isch","Еще фото")</f>
        <v>Еще фото</v>
      </c>
      <c r="F4900" s="13" t="s">
        <v>103</v>
      </c>
      <c r="G4900" s="24" t="s">
        <v>3609</v>
      </c>
      <c r="H4900" s="24" t="s">
        <v>27</v>
      </c>
      <c r="I4900" s="24" t="s">
        <v>3599</v>
      </c>
      <c r="J4900" s="14" t="s">
        <v>29</v>
      </c>
      <c r="K4900" s="15" t="s">
        <v>59</v>
      </c>
      <c r="L4900" s="62"/>
      <c r="M4900" s="14"/>
      <c r="N4900" s="14" t="s">
        <v>33</v>
      </c>
      <c r="O4900" s="14"/>
      <c r="P4900" s="15" t="s">
        <v>53</v>
      </c>
      <c r="Q4900" s="16">
        <v>5399</v>
      </c>
      <c r="R4900" s="17">
        <v>40</v>
      </c>
      <c r="S4900" s="18">
        <v>3725.31</v>
      </c>
      <c r="T4900" s="19" t="s">
        <v>36</v>
      </c>
      <c r="U4900" s="20" t="s">
        <v>39</v>
      </c>
      <c r="V4900" s="21" t="s">
        <v>85</v>
      </c>
      <c r="W4900" s="22">
        <v>2</v>
      </c>
      <c r="X4900" s="23"/>
    </row>
    <row r="4901" spans="1:24" s="1" customFormat="1" ht="26" customHeight="1" x14ac:dyDescent="0.3">
      <c r="A4901" s="24" t="s">
        <v>23</v>
      </c>
      <c r="B4901" s="24" t="s">
        <v>4316</v>
      </c>
      <c r="C4901" s="12" t="s">
        <v>4317</v>
      </c>
      <c r="D4901" s="61"/>
      <c r="E4901" s="41" t="str">
        <f>HYPERLINK("https://www.google.ru/search?q=6011152-008&amp;newwindow=1&amp;tbm=isch","Еще фото")</f>
        <v>Еще фото</v>
      </c>
      <c r="F4901" s="13" t="s">
        <v>103</v>
      </c>
      <c r="G4901" s="24" t="s">
        <v>3609</v>
      </c>
      <c r="H4901" s="24" t="s">
        <v>27</v>
      </c>
      <c r="I4901" s="24" t="s">
        <v>3599</v>
      </c>
      <c r="J4901" s="14" t="s">
        <v>29</v>
      </c>
      <c r="K4901" s="15" t="s">
        <v>59</v>
      </c>
      <c r="L4901" s="58"/>
      <c r="M4901" s="14"/>
      <c r="N4901" s="14" t="s">
        <v>33</v>
      </c>
      <c r="O4901" s="14"/>
      <c r="P4901" s="15" t="s">
        <v>53</v>
      </c>
      <c r="Q4901" s="16">
        <v>5399</v>
      </c>
      <c r="R4901" s="17">
        <v>40</v>
      </c>
      <c r="S4901" s="18">
        <v>3725.31</v>
      </c>
      <c r="T4901" s="19" t="s">
        <v>36</v>
      </c>
      <c r="U4901" s="20" t="s">
        <v>86</v>
      </c>
      <c r="V4901" s="21" t="s">
        <v>38</v>
      </c>
      <c r="W4901" s="22">
        <v>8</v>
      </c>
      <c r="X4901" s="23"/>
    </row>
    <row r="4902" spans="1:24" s="1" customFormat="1" ht="21" customHeight="1" x14ac:dyDescent="0.3">
      <c r="A4902" s="11" t="s">
        <v>23</v>
      </c>
      <c r="B4902" s="11" t="s">
        <v>4319</v>
      </c>
      <c r="C4902" s="26" t="s">
        <v>4320</v>
      </c>
      <c r="D4902" s="59"/>
      <c r="E4902" s="41" t="str">
        <f>HYPERLINK("https://www.google.ru/search?q=6011246-100&amp;newwindow=1&amp;tbm=isch","Еще фото")</f>
        <v>Еще фото</v>
      </c>
      <c r="F4902" s="13" t="s">
        <v>103</v>
      </c>
      <c r="G4902" s="11" t="s">
        <v>3604</v>
      </c>
      <c r="H4902" s="11" t="s">
        <v>27</v>
      </c>
      <c r="I4902" s="14" t="s">
        <v>3599</v>
      </c>
      <c r="J4902" s="14" t="s">
        <v>260</v>
      </c>
      <c r="K4902" s="15" t="s">
        <v>30</v>
      </c>
      <c r="L4902" s="57" t="s">
        <v>4321</v>
      </c>
      <c r="M4902" s="14"/>
      <c r="N4902" s="14" t="s">
        <v>84</v>
      </c>
      <c r="O4902" s="14"/>
      <c r="P4902" s="15" t="s">
        <v>1063</v>
      </c>
      <c r="Q4902" s="16">
        <v>5299</v>
      </c>
      <c r="R4902" s="17">
        <v>40</v>
      </c>
      <c r="S4902" s="18">
        <v>3656.31</v>
      </c>
      <c r="T4902" s="19" t="s">
        <v>36</v>
      </c>
      <c r="U4902" s="20" t="s">
        <v>37</v>
      </c>
      <c r="V4902" s="21" t="s">
        <v>38</v>
      </c>
      <c r="W4902" s="22">
        <v>4</v>
      </c>
      <c r="X4902" s="23"/>
    </row>
    <row r="4903" spans="1:24" s="1" customFormat="1" ht="21" customHeight="1" x14ac:dyDescent="0.3">
      <c r="A4903" s="24" t="s">
        <v>23</v>
      </c>
      <c r="B4903" s="24" t="s">
        <v>4319</v>
      </c>
      <c r="C4903" s="27" t="s">
        <v>4320</v>
      </c>
      <c r="D4903" s="60"/>
      <c r="E4903" s="41" t="str">
        <f>HYPERLINK("https://www.google.ru/search?q=6011246-100&amp;newwindow=1&amp;tbm=isch","Еще фото")</f>
        <v>Еще фото</v>
      </c>
      <c r="F4903" s="13" t="s">
        <v>103</v>
      </c>
      <c r="G4903" s="24" t="s">
        <v>3604</v>
      </c>
      <c r="H4903" s="24" t="s">
        <v>27</v>
      </c>
      <c r="I4903" s="24" t="s">
        <v>3599</v>
      </c>
      <c r="J4903" s="14" t="s">
        <v>260</v>
      </c>
      <c r="K4903" s="15" t="s">
        <v>30</v>
      </c>
      <c r="L4903" s="62"/>
      <c r="M4903" s="14"/>
      <c r="N4903" s="14" t="s">
        <v>84</v>
      </c>
      <c r="O4903" s="14"/>
      <c r="P4903" s="15" t="s">
        <v>1063</v>
      </c>
      <c r="Q4903" s="16">
        <v>5299</v>
      </c>
      <c r="R4903" s="17">
        <v>40</v>
      </c>
      <c r="S4903" s="18">
        <v>3656.31</v>
      </c>
      <c r="T4903" s="19" t="s">
        <v>36</v>
      </c>
      <c r="U4903" s="20" t="s">
        <v>39</v>
      </c>
      <c r="V4903" s="21" t="s">
        <v>40</v>
      </c>
      <c r="W4903" s="22">
        <v>17</v>
      </c>
      <c r="X4903" s="23"/>
    </row>
    <row r="4904" spans="1:24" s="1" customFormat="1" ht="21" customHeight="1" x14ac:dyDescent="0.3">
      <c r="A4904" s="24" t="s">
        <v>23</v>
      </c>
      <c r="B4904" s="24" t="s">
        <v>4319</v>
      </c>
      <c r="C4904" s="27" t="s">
        <v>4320</v>
      </c>
      <c r="D4904" s="60"/>
      <c r="E4904" s="41" t="str">
        <f>HYPERLINK("https://www.google.ru/search?q=6011246-100&amp;newwindow=1&amp;tbm=isch","Еще фото")</f>
        <v>Еще фото</v>
      </c>
      <c r="F4904" s="13" t="s">
        <v>103</v>
      </c>
      <c r="G4904" s="24" t="s">
        <v>3604</v>
      </c>
      <c r="H4904" s="24" t="s">
        <v>27</v>
      </c>
      <c r="I4904" s="24" t="s">
        <v>3599</v>
      </c>
      <c r="J4904" s="14" t="s">
        <v>260</v>
      </c>
      <c r="K4904" s="15" t="s">
        <v>30</v>
      </c>
      <c r="L4904" s="62"/>
      <c r="M4904" s="14"/>
      <c r="N4904" s="14" t="s">
        <v>84</v>
      </c>
      <c r="O4904" s="14"/>
      <c r="P4904" s="15" t="s">
        <v>1063</v>
      </c>
      <c r="Q4904" s="16">
        <v>5299</v>
      </c>
      <c r="R4904" s="17">
        <v>40</v>
      </c>
      <c r="S4904" s="18">
        <v>3656.31</v>
      </c>
      <c r="T4904" s="19" t="s">
        <v>36</v>
      </c>
      <c r="U4904" s="20" t="s">
        <v>86</v>
      </c>
      <c r="V4904" s="21" t="s">
        <v>87</v>
      </c>
      <c r="W4904" s="22">
        <v>13</v>
      </c>
      <c r="X4904" s="23"/>
    </row>
    <row r="4905" spans="1:24" s="1" customFormat="1" ht="21" customHeight="1" x14ac:dyDescent="0.3">
      <c r="A4905" s="24" t="s">
        <v>23</v>
      </c>
      <c r="B4905" s="24" t="s">
        <v>4319</v>
      </c>
      <c r="C4905" s="27" t="s">
        <v>4320</v>
      </c>
      <c r="D4905" s="60"/>
      <c r="E4905" s="41" t="str">
        <f>HYPERLINK("https://www.google.ru/search?q=6011246-100&amp;newwindow=1&amp;tbm=isch","Еще фото")</f>
        <v>Еще фото</v>
      </c>
      <c r="F4905" s="13" t="s">
        <v>103</v>
      </c>
      <c r="G4905" s="24" t="s">
        <v>3604</v>
      </c>
      <c r="H4905" s="24" t="s">
        <v>27</v>
      </c>
      <c r="I4905" s="24" t="s">
        <v>3599</v>
      </c>
      <c r="J4905" s="14" t="s">
        <v>260</v>
      </c>
      <c r="K4905" s="15" t="s">
        <v>30</v>
      </c>
      <c r="L4905" s="62"/>
      <c r="M4905" s="14"/>
      <c r="N4905" s="14" t="s">
        <v>84</v>
      </c>
      <c r="O4905" s="14"/>
      <c r="P4905" s="15" t="s">
        <v>1063</v>
      </c>
      <c r="Q4905" s="16">
        <v>5299</v>
      </c>
      <c r="R4905" s="17">
        <v>40</v>
      </c>
      <c r="S4905" s="18">
        <v>3656.31</v>
      </c>
      <c r="T4905" s="19" t="s">
        <v>36</v>
      </c>
      <c r="U4905" s="20" t="s">
        <v>88</v>
      </c>
      <c r="V4905" s="21" t="s">
        <v>89</v>
      </c>
      <c r="W4905" s="22">
        <v>6</v>
      </c>
      <c r="X4905" s="23"/>
    </row>
    <row r="4906" spans="1:24" s="1" customFormat="1" ht="32" customHeight="1" x14ac:dyDescent="0.3">
      <c r="A4906" s="24" t="s">
        <v>23</v>
      </c>
      <c r="B4906" s="24" t="s">
        <v>4319</v>
      </c>
      <c r="C4906" s="27" t="s">
        <v>4320</v>
      </c>
      <c r="D4906" s="61"/>
      <c r="E4906" s="41" t="str">
        <f>HYPERLINK("https://www.google.ru/search?q=6011246-100&amp;newwindow=1&amp;tbm=isch","Еще фото")</f>
        <v>Еще фото</v>
      </c>
      <c r="F4906" s="13" t="s">
        <v>103</v>
      </c>
      <c r="G4906" s="24" t="s">
        <v>3604</v>
      </c>
      <c r="H4906" s="24" t="s">
        <v>27</v>
      </c>
      <c r="I4906" s="24" t="s">
        <v>3599</v>
      </c>
      <c r="J4906" s="14" t="s">
        <v>260</v>
      </c>
      <c r="K4906" s="15" t="s">
        <v>30</v>
      </c>
      <c r="L4906" s="58"/>
      <c r="M4906" s="14"/>
      <c r="N4906" s="14" t="s">
        <v>84</v>
      </c>
      <c r="O4906" s="14"/>
      <c r="P4906" s="15" t="s">
        <v>1063</v>
      </c>
      <c r="Q4906" s="16">
        <v>5299</v>
      </c>
      <c r="R4906" s="17">
        <v>40</v>
      </c>
      <c r="S4906" s="18">
        <v>3656.31</v>
      </c>
      <c r="T4906" s="19" t="s">
        <v>36</v>
      </c>
      <c r="U4906" s="20" t="s">
        <v>90</v>
      </c>
      <c r="V4906" s="21" t="s">
        <v>91</v>
      </c>
      <c r="W4906" s="22">
        <v>1</v>
      </c>
      <c r="X4906" s="23"/>
    </row>
    <row r="4907" spans="1:24" s="1" customFormat="1" ht="52.05" customHeight="1" x14ac:dyDescent="0.3">
      <c r="A4907" s="11" t="s">
        <v>23</v>
      </c>
      <c r="B4907" s="11" t="s">
        <v>4319</v>
      </c>
      <c r="C4907" s="12" t="s">
        <v>4322</v>
      </c>
      <c r="D4907" s="55"/>
      <c r="E4907" s="41" t="str">
        <f>HYPERLINK("https://www.google.ru/search?q=6011246-520&amp;newwindow=1&amp;tbm=isch","Еще фото")</f>
        <v>Еще фото</v>
      </c>
      <c r="F4907" s="13" t="s">
        <v>103</v>
      </c>
      <c r="G4907" s="11" t="s">
        <v>3604</v>
      </c>
      <c r="H4907" s="11" t="s">
        <v>27</v>
      </c>
      <c r="I4907" s="14" t="s">
        <v>3599</v>
      </c>
      <c r="J4907" s="14" t="s">
        <v>260</v>
      </c>
      <c r="K4907" s="15" t="s">
        <v>30</v>
      </c>
      <c r="L4907" s="57" t="s">
        <v>4321</v>
      </c>
      <c r="M4907" s="14"/>
      <c r="N4907" s="14" t="s">
        <v>79</v>
      </c>
      <c r="O4907" s="14"/>
      <c r="P4907" s="15" t="s">
        <v>1063</v>
      </c>
      <c r="Q4907" s="16">
        <v>5299</v>
      </c>
      <c r="R4907" s="17">
        <v>40</v>
      </c>
      <c r="S4907" s="18">
        <v>3656.31</v>
      </c>
      <c r="T4907" s="19" t="s">
        <v>36</v>
      </c>
      <c r="U4907" s="20" t="s">
        <v>39</v>
      </c>
      <c r="V4907" s="21" t="s">
        <v>40</v>
      </c>
      <c r="W4907" s="22">
        <v>6</v>
      </c>
      <c r="X4907" s="23"/>
    </row>
    <row r="4908" spans="1:24" s="1" customFormat="1" ht="61.05" customHeight="1" x14ac:dyDescent="0.3">
      <c r="A4908" s="24" t="s">
        <v>23</v>
      </c>
      <c r="B4908" s="24" t="s">
        <v>4319</v>
      </c>
      <c r="C4908" s="12" t="s">
        <v>4322</v>
      </c>
      <c r="D4908" s="56"/>
      <c r="E4908" s="41" t="str">
        <f>HYPERLINK("https://www.google.ru/search?q=6011246-520&amp;newwindow=1&amp;tbm=isch","Еще фото")</f>
        <v>Еще фото</v>
      </c>
      <c r="F4908" s="13" t="s">
        <v>103</v>
      </c>
      <c r="G4908" s="24" t="s">
        <v>3604</v>
      </c>
      <c r="H4908" s="24" t="s">
        <v>27</v>
      </c>
      <c r="I4908" s="24" t="s">
        <v>3599</v>
      </c>
      <c r="J4908" s="14" t="s">
        <v>260</v>
      </c>
      <c r="K4908" s="15" t="s">
        <v>30</v>
      </c>
      <c r="L4908" s="58"/>
      <c r="M4908" s="14"/>
      <c r="N4908" s="14" t="s">
        <v>79</v>
      </c>
      <c r="O4908" s="14"/>
      <c r="P4908" s="15" t="s">
        <v>1063</v>
      </c>
      <c r="Q4908" s="16">
        <v>5299</v>
      </c>
      <c r="R4908" s="17">
        <v>40</v>
      </c>
      <c r="S4908" s="18">
        <v>3656.31</v>
      </c>
      <c r="T4908" s="19" t="s">
        <v>36</v>
      </c>
      <c r="U4908" s="20" t="s">
        <v>86</v>
      </c>
      <c r="V4908" s="21" t="s">
        <v>87</v>
      </c>
      <c r="W4908" s="22">
        <v>1</v>
      </c>
      <c r="X4908" s="23"/>
    </row>
    <row r="4909" spans="1:24" s="1" customFormat="1" ht="35" customHeight="1" x14ac:dyDescent="0.3">
      <c r="A4909" s="11" t="s">
        <v>23</v>
      </c>
      <c r="B4909" s="11" t="s">
        <v>4323</v>
      </c>
      <c r="C4909" s="12" t="s">
        <v>4324</v>
      </c>
      <c r="D4909" s="59"/>
      <c r="E4909" s="41" t="str">
        <f>HYPERLINK("https://www.google.ru/search?q=6011506-001&amp;newwindow=1&amp;tbm=isch","Еще фото")</f>
        <v>Еще фото</v>
      </c>
      <c r="F4909" s="13"/>
      <c r="G4909" s="11" t="s">
        <v>3604</v>
      </c>
      <c r="H4909" s="11" t="s">
        <v>27</v>
      </c>
      <c r="I4909" s="14" t="s">
        <v>3599</v>
      </c>
      <c r="J4909" s="14" t="s">
        <v>43</v>
      </c>
      <c r="K4909" s="15" t="s">
        <v>59</v>
      </c>
      <c r="L4909" s="57" t="s">
        <v>4325</v>
      </c>
      <c r="M4909" s="14"/>
      <c r="N4909" s="14" t="s">
        <v>33</v>
      </c>
      <c r="O4909" s="14"/>
      <c r="P4909" s="15" t="s">
        <v>2951</v>
      </c>
      <c r="Q4909" s="16">
        <v>2799</v>
      </c>
      <c r="R4909" s="17">
        <v>40</v>
      </c>
      <c r="S4909" s="18">
        <v>1931.31</v>
      </c>
      <c r="T4909" s="19" t="s">
        <v>36</v>
      </c>
      <c r="U4909" s="20" t="s">
        <v>63</v>
      </c>
      <c r="V4909" s="21" t="s">
        <v>64</v>
      </c>
      <c r="W4909" s="22">
        <v>8</v>
      </c>
      <c r="X4909" s="23"/>
    </row>
    <row r="4910" spans="1:24" s="1" customFormat="1" ht="35" customHeight="1" x14ac:dyDescent="0.3">
      <c r="A4910" s="24" t="s">
        <v>23</v>
      </c>
      <c r="B4910" s="24" t="s">
        <v>4323</v>
      </c>
      <c r="C4910" s="12" t="s">
        <v>4324</v>
      </c>
      <c r="D4910" s="60"/>
      <c r="E4910" s="41" t="str">
        <f>HYPERLINK("https://www.google.ru/search?q=6011506-001&amp;newwindow=1&amp;tbm=isch","Еще фото")</f>
        <v>Еще фото</v>
      </c>
      <c r="F4910" s="13"/>
      <c r="G4910" s="24" t="s">
        <v>3604</v>
      </c>
      <c r="H4910" s="24" t="s">
        <v>27</v>
      </c>
      <c r="I4910" s="24" t="s">
        <v>3599</v>
      </c>
      <c r="J4910" s="14" t="s">
        <v>43</v>
      </c>
      <c r="K4910" s="15" t="s">
        <v>59</v>
      </c>
      <c r="L4910" s="62"/>
      <c r="M4910" s="14"/>
      <c r="N4910" s="14" t="s">
        <v>33</v>
      </c>
      <c r="O4910" s="14"/>
      <c r="P4910" s="15" t="s">
        <v>2951</v>
      </c>
      <c r="Q4910" s="16">
        <v>2799</v>
      </c>
      <c r="R4910" s="17">
        <v>40</v>
      </c>
      <c r="S4910" s="18">
        <v>1931.31</v>
      </c>
      <c r="T4910" s="19" t="s">
        <v>36</v>
      </c>
      <c r="U4910" s="20" t="s">
        <v>39</v>
      </c>
      <c r="V4910" s="21" t="s">
        <v>85</v>
      </c>
      <c r="W4910" s="22">
        <v>17</v>
      </c>
      <c r="X4910" s="23"/>
    </row>
    <row r="4911" spans="1:24" s="1" customFormat="1" ht="37.049999999999997" customHeight="1" x14ac:dyDescent="0.3">
      <c r="A4911" s="24" t="s">
        <v>23</v>
      </c>
      <c r="B4911" s="24" t="s">
        <v>4323</v>
      </c>
      <c r="C4911" s="12" t="s">
        <v>4324</v>
      </c>
      <c r="D4911" s="61"/>
      <c r="E4911" s="41" t="str">
        <f>HYPERLINK("https://www.google.ru/search?q=6011506-001&amp;newwindow=1&amp;tbm=isch","Еще фото")</f>
        <v>Еще фото</v>
      </c>
      <c r="F4911" s="13"/>
      <c r="G4911" s="24" t="s">
        <v>3604</v>
      </c>
      <c r="H4911" s="24" t="s">
        <v>27</v>
      </c>
      <c r="I4911" s="24" t="s">
        <v>3599</v>
      </c>
      <c r="J4911" s="14" t="s">
        <v>43</v>
      </c>
      <c r="K4911" s="15" t="s">
        <v>59</v>
      </c>
      <c r="L4911" s="58"/>
      <c r="M4911" s="14"/>
      <c r="N4911" s="14" t="s">
        <v>33</v>
      </c>
      <c r="O4911" s="14"/>
      <c r="P4911" s="15" t="s">
        <v>2951</v>
      </c>
      <c r="Q4911" s="16">
        <v>2799</v>
      </c>
      <c r="R4911" s="17">
        <v>40</v>
      </c>
      <c r="S4911" s="18">
        <v>1931.31</v>
      </c>
      <c r="T4911" s="19" t="s">
        <v>36</v>
      </c>
      <c r="U4911" s="20" t="s">
        <v>86</v>
      </c>
      <c r="V4911" s="21" t="s">
        <v>38</v>
      </c>
      <c r="W4911" s="22">
        <v>8</v>
      </c>
      <c r="X4911" s="23"/>
    </row>
    <row r="4912" spans="1:24" s="1" customFormat="1" ht="52.05" customHeight="1" x14ac:dyDescent="0.3">
      <c r="A4912" s="11" t="s">
        <v>23</v>
      </c>
      <c r="B4912" s="11" t="s">
        <v>4323</v>
      </c>
      <c r="C4912" s="12" t="s">
        <v>4326</v>
      </c>
      <c r="D4912" s="55"/>
      <c r="E4912" s="41" t="str">
        <f>HYPERLINK("https://www.google.ru/search?q=6011506-110&amp;newwindow=1&amp;tbm=isch","Еще фото")</f>
        <v>Еще фото</v>
      </c>
      <c r="F4912" s="13"/>
      <c r="G4912" s="11" t="s">
        <v>3604</v>
      </c>
      <c r="H4912" s="11" t="s">
        <v>27</v>
      </c>
      <c r="I4912" s="14" t="s">
        <v>3599</v>
      </c>
      <c r="J4912" s="14" t="s">
        <v>43</v>
      </c>
      <c r="K4912" s="15" t="s">
        <v>59</v>
      </c>
      <c r="L4912" s="57" t="s">
        <v>4325</v>
      </c>
      <c r="M4912" s="14"/>
      <c r="N4912" s="14" t="s">
        <v>229</v>
      </c>
      <c r="O4912" s="14"/>
      <c r="P4912" s="15" t="s">
        <v>2951</v>
      </c>
      <c r="Q4912" s="16">
        <v>2799</v>
      </c>
      <c r="R4912" s="17">
        <v>40</v>
      </c>
      <c r="S4912" s="18">
        <v>1931.31</v>
      </c>
      <c r="T4912" s="19" t="s">
        <v>36</v>
      </c>
      <c r="U4912" s="20" t="s">
        <v>39</v>
      </c>
      <c r="V4912" s="21" t="s">
        <v>85</v>
      </c>
      <c r="W4912" s="22">
        <v>11</v>
      </c>
      <c r="X4912" s="23"/>
    </row>
    <row r="4913" spans="1:24" s="1" customFormat="1" ht="61.05" customHeight="1" x14ac:dyDescent="0.3">
      <c r="A4913" s="24" t="s">
        <v>23</v>
      </c>
      <c r="B4913" s="24" t="s">
        <v>4323</v>
      </c>
      <c r="C4913" s="12" t="s">
        <v>4326</v>
      </c>
      <c r="D4913" s="56"/>
      <c r="E4913" s="41" t="str">
        <f>HYPERLINK("https://www.google.ru/search?q=6011506-110&amp;newwindow=1&amp;tbm=isch","Еще фото")</f>
        <v>Еще фото</v>
      </c>
      <c r="F4913" s="13"/>
      <c r="G4913" s="24" t="s">
        <v>3604</v>
      </c>
      <c r="H4913" s="24" t="s">
        <v>27</v>
      </c>
      <c r="I4913" s="24" t="s">
        <v>3599</v>
      </c>
      <c r="J4913" s="14" t="s">
        <v>43</v>
      </c>
      <c r="K4913" s="15" t="s">
        <v>59</v>
      </c>
      <c r="L4913" s="58"/>
      <c r="M4913" s="14"/>
      <c r="N4913" s="14" t="s">
        <v>229</v>
      </c>
      <c r="O4913" s="14"/>
      <c r="P4913" s="15" t="s">
        <v>2951</v>
      </c>
      <c r="Q4913" s="16">
        <v>2799</v>
      </c>
      <c r="R4913" s="17">
        <v>40</v>
      </c>
      <c r="S4913" s="18">
        <v>1931.31</v>
      </c>
      <c r="T4913" s="19" t="s">
        <v>36</v>
      </c>
      <c r="U4913" s="20" t="s">
        <v>86</v>
      </c>
      <c r="V4913" s="21" t="s">
        <v>38</v>
      </c>
      <c r="W4913" s="22">
        <v>3</v>
      </c>
      <c r="X4913" s="23"/>
    </row>
    <row r="4914" spans="1:24" s="1" customFormat="1" ht="108" customHeight="1" x14ac:dyDescent="0.3">
      <c r="A4914" s="11" t="s">
        <v>23</v>
      </c>
      <c r="B4914" s="11" t="s">
        <v>4327</v>
      </c>
      <c r="C4914" s="12" t="s">
        <v>4328</v>
      </c>
      <c r="D4914" s="25"/>
      <c r="E4914" s="41" t="str">
        <f>HYPERLINK("https://www.google.ru/search?q=6011509-002&amp;newwindow=1&amp;tbm=isch","Еще фото")</f>
        <v>Еще фото</v>
      </c>
      <c r="F4914" s="13"/>
      <c r="G4914" s="11" t="s">
        <v>3604</v>
      </c>
      <c r="H4914" s="11" t="s">
        <v>27</v>
      </c>
      <c r="I4914" s="14" t="s">
        <v>3599</v>
      </c>
      <c r="J4914" s="14" t="s">
        <v>43</v>
      </c>
      <c r="K4914" s="15" t="s">
        <v>30</v>
      </c>
      <c r="L4914" s="14" t="s">
        <v>4329</v>
      </c>
      <c r="M4914" s="14"/>
      <c r="N4914" s="14" t="s">
        <v>33</v>
      </c>
      <c r="O4914" s="14"/>
      <c r="P4914" s="15" t="s">
        <v>47</v>
      </c>
      <c r="Q4914" s="16">
        <v>5299</v>
      </c>
      <c r="R4914" s="17">
        <v>40</v>
      </c>
      <c r="S4914" s="18">
        <v>3656.31</v>
      </c>
      <c r="T4914" s="19" t="s">
        <v>36</v>
      </c>
      <c r="U4914" s="20" t="s">
        <v>39</v>
      </c>
      <c r="V4914" s="21" t="s">
        <v>40</v>
      </c>
      <c r="W4914" s="22">
        <v>11</v>
      </c>
      <c r="X4914" s="23"/>
    </row>
    <row r="4915" spans="1:24" s="1" customFormat="1" ht="108" customHeight="1" x14ac:dyDescent="0.3">
      <c r="A4915" s="11" t="s">
        <v>23</v>
      </c>
      <c r="B4915" s="11" t="s">
        <v>4330</v>
      </c>
      <c r="C4915" s="12" t="s">
        <v>4331</v>
      </c>
      <c r="D4915" s="25"/>
      <c r="E4915" s="41" t="str">
        <f>HYPERLINK("https://www.google.ru/search?q=6012303-001&amp;newwindow=1&amp;tbm=isch","Еще фото")</f>
        <v>Еще фото</v>
      </c>
      <c r="F4915" s="13"/>
      <c r="G4915" s="11" t="s">
        <v>3632</v>
      </c>
      <c r="H4915" s="11" t="s">
        <v>27</v>
      </c>
      <c r="I4915" s="14" t="s">
        <v>3599</v>
      </c>
      <c r="J4915" s="14" t="s">
        <v>211</v>
      </c>
      <c r="K4915" s="15" t="s">
        <v>30</v>
      </c>
      <c r="L4915" s="14" t="s">
        <v>4332</v>
      </c>
      <c r="M4915" s="14"/>
      <c r="N4915" s="14" t="s">
        <v>33</v>
      </c>
      <c r="O4915" s="14"/>
      <c r="P4915" s="15" t="s">
        <v>47</v>
      </c>
      <c r="Q4915" s="16">
        <v>4299</v>
      </c>
      <c r="R4915" s="17">
        <v>40</v>
      </c>
      <c r="S4915" s="18">
        <v>2966.31</v>
      </c>
      <c r="T4915" s="19" t="s">
        <v>36</v>
      </c>
      <c r="U4915" s="20" t="s">
        <v>39</v>
      </c>
      <c r="V4915" s="21" t="s">
        <v>40</v>
      </c>
      <c r="W4915" s="22">
        <v>1</v>
      </c>
      <c r="X4915" s="23"/>
    </row>
    <row r="4916" spans="1:24" s="1" customFormat="1" ht="35" customHeight="1" x14ac:dyDescent="0.3">
      <c r="A4916" s="11" t="s">
        <v>23</v>
      </c>
      <c r="B4916" s="11" t="s">
        <v>4330</v>
      </c>
      <c r="C4916" s="12" t="s">
        <v>4333</v>
      </c>
      <c r="D4916" s="59"/>
      <c r="E4916" s="41" t="str">
        <f>HYPERLINK("https://www.google.ru/search?q=6012303-100&amp;newwindow=1&amp;tbm=isch","Еще фото")</f>
        <v>Еще фото</v>
      </c>
      <c r="F4916" s="13" t="s">
        <v>103</v>
      </c>
      <c r="G4916" s="11" t="s">
        <v>3632</v>
      </c>
      <c r="H4916" s="11" t="s">
        <v>27</v>
      </c>
      <c r="I4916" s="14" t="s">
        <v>3599</v>
      </c>
      <c r="J4916" s="14" t="s">
        <v>211</v>
      </c>
      <c r="K4916" s="15" t="s">
        <v>30</v>
      </c>
      <c r="L4916" s="57" t="s">
        <v>4332</v>
      </c>
      <c r="M4916" s="14"/>
      <c r="N4916" s="14" t="s">
        <v>84</v>
      </c>
      <c r="O4916" s="14"/>
      <c r="P4916" s="15" t="s">
        <v>47</v>
      </c>
      <c r="Q4916" s="16">
        <v>4299</v>
      </c>
      <c r="R4916" s="17">
        <v>40</v>
      </c>
      <c r="S4916" s="18">
        <v>2966.31</v>
      </c>
      <c r="T4916" s="19" t="s">
        <v>36</v>
      </c>
      <c r="U4916" s="20" t="s">
        <v>39</v>
      </c>
      <c r="V4916" s="21" t="s">
        <v>40</v>
      </c>
      <c r="W4916" s="22">
        <v>3</v>
      </c>
      <c r="X4916" s="23"/>
    </row>
    <row r="4917" spans="1:24" s="1" customFormat="1" ht="35" customHeight="1" x14ac:dyDescent="0.3">
      <c r="A4917" s="24" t="s">
        <v>23</v>
      </c>
      <c r="B4917" s="24" t="s">
        <v>4330</v>
      </c>
      <c r="C4917" s="12" t="s">
        <v>4333</v>
      </c>
      <c r="D4917" s="60"/>
      <c r="E4917" s="41" t="str">
        <f>HYPERLINK("https://www.google.ru/search?q=6012303-100&amp;newwindow=1&amp;tbm=isch","Еще фото")</f>
        <v>Еще фото</v>
      </c>
      <c r="F4917" s="13" t="s">
        <v>103</v>
      </c>
      <c r="G4917" s="24" t="s">
        <v>3632</v>
      </c>
      <c r="H4917" s="24" t="s">
        <v>27</v>
      </c>
      <c r="I4917" s="24" t="s">
        <v>3599</v>
      </c>
      <c r="J4917" s="14" t="s">
        <v>211</v>
      </c>
      <c r="K4917" s="15" t="s">
        <v>30</v>
      </c>
      <c r="L4917" s="62"/>
      <c r="M4917" s="14"/>
      <c r="N4917" s="14" t="s">
        <v>84</v>
      </c>
      <c r="O4917" s="14"/>
      <c r="P4917" s="15" t="s">
        <v>47</v>
      </c>
      <c r="Q4917" s="16">
        <v>4299</v>
      </c>
      <c r="R4917" s="17">
        <v>40</v>
      </c>
      <c r="S4917" s="18">
        <v>2966.31</v>
      </c>
      <c r="T4917" s="19" t="s">
        <v>36</v>
      </c>
      <c r="U4917" s="20" t="s">
        <v>90</v>
      </c>
      <c r="V4917" s="21" t="s">
        <v>91</v>
      </c>
      <c r="W4917" s="22">
        <v>1</v>
      </c>
      <c r="X4917" s="23"/>
    </row>
    <row r="4918" spans="1:24" s="1" customFormat="1" ht="37.049999999999997" customHeight="1" x14ac:dyDescent="0.3">
      <c r="A4918" s="24" t="s">
        <v>23</v>
      </c>
      <c r="B4918" s="24" t="s">
        <v>4330</v>
      </c>
      <c r="C4918" s="12" t="s">
        <v>4333</v>
      </c>
      <c r="D4918" s="61"/>
      <c r="E4918" s="41" t="str">
        <f>HYPERLINK("https://www.google.ru/search?q=6012303-100&amp;newwindow=1&amp;tbm=isch","Еще фото")</f>
        <v>Еще фото</v>
      </c>
      <c r="F4918" s="13" t="s">
        <v>103</v>
      </c>
      <c r="G4918" s="24" t="s">
        <v>3632</v>
      </c>
      <c r="H4918" s="24" t="s">
        <v>27</v>
      </c>
      <c r="I4918" s="24" t="s">
        <v>3599</v>
      </c>
      <c r="J4918" s="14" t="s">
        <v>211</v>
      </c>
      <c r="K4918" s="15" t="s">
        <v>30</v>
      </c>
      <c r="L4918" s="58"/>
      <c r="M4918" s="14"/>
      <c r="N4918" s="14" t="s">
        <v>84</v>
      </c>
      <c r="O4918" s="14"/>
      <c r="P4918" s="15" t="s">
        <v>47</v>
      </c>
      <c r="Q4918" s="16">
        <v>4299</v>
      </c>
      <c r="R4918" s="17">
        <v>40</v>
      </c>
      <c r="S4918" s="18">
        <v>2966.31</v>
      </c>
      <c r="T4918" s="19" t="s">
        <v>36</v>
      </c>
      <c r="U4918" s="20" t="s">
        <v>408</v>
      </c>
      <c r="V4918" s="21" t="s">
        <v>409</v>
      </c>
      <c r="W4918" s="22">
        <v>2</v>
      </c>
      <c r="X4918" s="23"/>
    </row>
    <row r="4919" spans="1:24" s="1" customFormat="1" ht="17" customHeight="1" x14ac:dyDescent="0.3">
      <c r="A4919" s="11" t="s">
        <v>23</v>
      </c>
      <c r="B4919" s="11" t="s">
        <v>4334</v>
      </c>
      <c r="C4919" s="12" t="s">
        <v>4335</v>
      </c>
      <c r="D4919" s="59"/>
      <c r="E4919" s="41" t="str">
        <f t="shared" ref="E4919:E4924" si="177">HYPERLINK("https://www.google.ru/search?q=6012304-001&amp;newwindow=1&amp;tbm=isch","Еще фото")</f>
        <v>Еще фото</v>
      </c>
      <c r="F4919" s="13"/>
      <c r="G4919" s="11" t="s">
        <v>3632</v>
      </c>
      <c r="H4919" s="11" t="s">
        <v>27</v>
      </c>
      <c r="I4919" s="14" t="s">
        <v>3599</v>
      </c>
      <c r="J4919" s="14" t="s">
        <v>211</v>
      </c>
      <c r="K4919" s="15" t="s">
        <v>30</v>
      </c>
      <c r="L4919" s="57"/>
      <c r="M4919" s="14"/>
      <c r="N4919" s="14" t="s">
        <v>33</v>
      </c>
      <c r="O4919" s="14"/>
      <c r="P4919" s="15" t="s">
        <v>1008</v>
      </c>
      <c r="Q4919" s="16">
        <v>7699</v>
      </c>
      <c r="R4919" s="17">
        <v>40</v>
      </c>
      <c r="S4919" s="18">
        <v>5312.3099999999995</v>
      </c>
      <c r="T4919" s="19" t="s">
        <v>36</v>
      </c>
      <c r="U4919" s="20" t="s">
        <v>37</v>
      </c>
      <c r="V4919" s="21" t="s">
        <v>38</v>
      </c>
      <c r="W4919" s="22">
        <v>7</v>
      </c>
      <c r="X4919" s="23"/>
    </row>
    <row r="4920" spans="1:24" s="1" customFormat="1" ht="17" customHeight="1" x14ac:dyDescent="0.3">
      <c r="A4920" s="24" t="s">
        <v>23</v>
      </c>
      <c r="B4920" s="24" t="s">
        <v>4334</v>
      </c>
      <c r="C4920" s="12" t="s">
        <v>4335</v>
      </c>
      <c r="D4920" s="60"/>
      <c r="E4920" s="41" t="str">
        <f t="shared" si="177"/>
        <v>Еще фото</v>
      </c>
      <c r="F4920" s="13"/>
      <c r="G4920" s="24" t="s">
        <v>3632</v>
      </c>
      <c r="H4920" s="24" t="s">
        <v>27</v>
      </c>
      <c r="I4920" s="24" t="s">
        <v>3599</v>
      </c>
      <c r="J4920" s="14" t="s">
        <v>211</v>
      </c>
      <c r="K4920" s="15" t="s">
        <v>30</v>
      </c>
      <c r="L4920" s="62"/>
      <c r="M4920" s="14"/>
      <c r="N4920" s="14" t="s">
        <v>33</v>
      </c>
      <c r="O4920" s="14"/>
      <c r="P4920" s="15" t="s">
        <v>1008</v>
      </c>
      <c r="Q4920" s="16">
        <v>7699</v>
      </c>
      <c r="R4920" s="17">
        <v>40</v>
      </c>
      <c r="S4920" s="18">
        <v>5312.3099999999995</v>
      </c>
      <c r="T4920" s="19" t="s">
        <v>36</v>
      </c>
      <c r="U4920" s="20" t="s">
        <v>39</v>
      </c>
      <c r="V4920" s="21" t="s">
        <v>40</v>
      </c>
      <c r="W4920" s="22">
        <v>17</v>
      </c>
      <c r="X4920" s="23"/>
    </row>
    <row r="4921" spans="1:24" s="1" customFormat="1" ht="17" customHeight="1" x14ac:dyDescent="0.3">
      <c r="A4921" s="24" t="s">
        <v>23</v>
      </c>
      <c r="B4921" s="24" t="s">
        <v>4334</v>
      </c>
      <c r="C4921" s="12" t="s">
        <v>4335</v>
      </c>
      <c r="D4921" s="60"/>
      <c r="E4921" s="41" t="str">
        <f t="shared" si="177"/>
        <v>Еще фото</v>
      </c>
      <c r="F4921" s="13"/>
      <c r="G4921" s="24" t="s">
        <v>3632</v>
      </c>
      <c r="H4921" s="24" t="s">
        <v>27</v>
      </c>
      <c r="I4921" s="24" t="s">
        <v>3599</v>
      </c>
      <c r="J4921" s="14" t="s">
        <v>211</v>
      </c>
      <c r="K4921" s="15" t="s">
        <v>30</v>
      </c>
      <c r="L4921" s="62"/>
      <c r="M4921" s="14"/>
      <c r="N4921" s="14" t="s">
        <v>33</v>
      </c>
      <c r="O4921" s="14"/>
      <c r="P4921" s="15" t="s">
        <v>1008</v>
      </c>
      <c r="Q4921" s="16">
        <v>7699</v>
      </c>
      <c r="R4921" s="17">
        <v>40</v>
      </c>
      <c r="S4921" s="18">
        <v>5312.3099999999995</v>
      </c>
      <c r="T4921" s="19" t="s">
        <v>36</v>
      </c>
      <c r="U4921" s="20" t="s">
        <v>86</v>
      </c>
      <c r="V4921" s="21" t="s">
        <v>87</v>
      </c>
      <c r="W4921" s="22">
        <v>15</v>
      </c>
      <c r="X4921" s="23"/>
    </row>
    <row r="4922" spans="1:24" s="1" customFormat="1" ht="17" customHeight="1" x14ac:dyDescent="0.3">
      <c r="A4922" s="24" t="s">
        <v>23</v>
      </c>
      <c r="B4922" s="24" t="s">
        <v>4334</v>
      </c>
      <c r="C4922" s="12" t="s">
        <v>4335</v>
      </c>
      <c r="D4922" s="60"/>
      <c r="E4922" s="41" t="str">
        <f t="shared" si="177"/>
        <v>Еще фото</v>
      </c>
      <c r="F4922" s="13"/>
      <c r="G4922" s="24" t="s">
        <v>3632</v>
      </c>
      <c r="H4922" s="24" t="s">
        <v>27</v>
      </c>
      <c r="I4922" s="24" t="s">
        <v>3599</v>
      </c>
      <c r="J4922" s="14" t="s">
        <v>211</v>
      </c>
      <c r="K4922" s="15" t="s">
        <v>30</v>
      </c>
      <c r="L4922" s="62"/>
      <c r="M4922" s="14"/>
      <c r="N4922" s="14" t="s">
        <v>33</v>
      </c>
      <c r="O4922" s="14"/>
      <c r="P4922" s="15" t="s">
        <v>1008</v>
      </c>
      <c r="Q4922" s="16">
        <v>7699</v>
      </c>
      <c r="R4922" s="17">
        <v>40</v>
      </c>
      <c r="S4922" s="18">
        <v>5312.3099999999995</v>
      </c>
      <c r="T4922" s="19" t="s">
        <v>36</v>
      </c>
      <c r="U4922" s="20" t="s">
        <v>88</v>
      </c>
      <c r="V4922" s="21" t="s">
        <v>89</v>
      </c>
      <c r="W4922" s="22">
        <v>10</v>
      </c>
      <c r="X4922" s="23"/>
    </row>
    <row r="4923" spans="1:24" s="1" customFormat="1" ht="17" customHeight="1" x14ac:dyDescent="0.3">
      <c r="A4923" s="24" t="s">
        <v>23</v>
      </c>
      <c r="B4923" s="24" t="s">
        <v>4334</v>
      </c>
      <c r="C4923" s="12" t="s">
        <v>4335</v>
      </c>
      <c r="D4923" s="60"/>
      <c r="E4923" s="41" t="str">
        <f t="shared" si="177"/>
        <v>Еще фото</v>
      </c>
      <c r="F4923" s="13"/>
      <c r="G4923" s="24" t="s">
        <v>3632</v>
      </c>
      <c r="H4923" s="24" t="s">
        <v>27</v>
      </c>
      <c r="I4923" s="24" t="s">
        <v>3599</v>
      </c>
      <c r="J4923" s="14" t="s">
        <v>211</v>
      </c>
      <c r="K4923" s="15" t="s">
        <v>30</v>
      </c>
      <c r="L4923" s="62"/>
      <c r="M4923" s="14"/>
      <c r="N4923" s="14" t="s">
        <v>33</v>
      </c>
      <c r="O4923" s="14"/>
      <c r="P4923" s="15" t="s">
        <v>1008</v>
      </c>
      <c r="Q4923" s="16">
        <v>7699</v>
      </c>
      <c r="R4923" s="17">
        <v>40</v>
      </c>
      <c r="S4923" s="18">
        <v>5312.3099999999995</v>
      </c>
      <c r="T4923" s="19" t="s">
        <v>36</v>
      </c>
      <c r="U4923" s="20" t="s">
        <v>90</v>
      </c>
      <c r="V4923" s="21" t="s">
        <v>91</v>
      </c>
      <c r="W4923" s="22">
        <v>10</v>
      </c>
      <c r="X4923" s="23"/>
    </row>
    <row r="4924" spans="1:24" s="1" customFormat="1" ht="22.05" customHeight="1" x14ac:dyDescent="0.3">
      <c r="A4924" s="24" t="s">
        <v>23</v>
      </c>
      <c r="B4924" s="24" t="s">
        <v>4334</v>
      </c>
      <c r="C4924" s="12" t="s">
        <v>4335</v>
      </c>
      <c r="D4924" s="61"/>
      <c r="E4924" s="41" t="str">
        <f t="shared" si="177"/>
        <v>Еще фото</v>
      </c>
      <c r="F4924" s="13"/>
      <c r="G4924" s="24" t="s">
        <v>3632</v>
      </c>
      <c r="H4924" s="24" t="s">
        <v>27</v>
      </c>
      <c r="I4924" s="24" t="s">
        <v>3599</v>
      </c>
      <c r="J4924" s="14" t="s">
        <v>211</v>
      </c>
      <c r="K4924" s="15" t="s">
        <v>30</v>
      </c>
      <c r="L4924" s="58"/>
      <c r="M4924" s="14"/>
      <c r="N4924" s="14" t="s">
        <v>33</v>
      </c>
      <c r="O4924" s="14"/>
      <c r="P4924" s="15" t="s">
        <v>1008</v>
      </c>
      <c r="Q4924" s="16">
        <v>7699</v>
      </c>
      <c r="R4924" s="17">
        <v>40</v>
      </c>
      <c r="S4924" s="18">
        <v>5312.3099999999995</v>
      </c>
      <c r="T4924" s="19" t="s">
        <v>36</v>
      </c>
      <c r="U4924" s="20" t="s">
        <v>408</v>
      </c>
      <c r="V4924" s="21" t="s">
        <v>409</v>
      </c>
      <c r="W4924" s="22">
        <v>5</v>
      </c>
      <c r="X4924" s="23"/>
    </row>
    <row r="4925" spans="1:24" s="1" customFormat="1" ht="52.05" customHeight="1" x14ac:dyDescent="0.3">
      <c r="A4925" s="11" t="s">
        <v>23</v>
      </c>
      <c r="B4925" s="11" t="s">
        <v>4336</v>
      </c>
      <c r="C4925" s="12" t="s">
        <v>4337</v>
      </c>
      <c r="D4925" s="55"/>
      <c r="E4925" s="41" t="str">
        <f>HYPERLINK("https://www.google.ru/search?q=6012356-001&amp;newwindow=1&amp;tbm=isch","Еще фото")</f>
        <v>Еще фото</v>
      </c>
      <c r="F4925" s="13" t="s">
        <v>103</v>
      </c>
      <c r="G4925" s="11" t="s">
        <v>3604</v>
      </c>
      <c r="H4925" s="11" t="s">
        <v>27</v>
      </c>
      <c r="I4925" s="14" t="s">
        <v>3599</v>
      </c>
      <c r="J4925" s="14" t="s">
        <v>29</v>
      </c>
      <c r="K4925" s="15" t="s">
        <v>30</v>
      </c>
      <c r="L4925" s="57" t="s">
        <v>4338</v>
      </c>
      <c r="M4925" s="14"/>
      <c r="N4925" s="14" t="s">
        <v>33</v>
      </c>
      <c r="O4925" s="14"/>
      <c r="P4925" s="15" t="s">
        <v>47</v>
      </c>
      <c r="Q4925" s="16">
        <v>3899</v>
      </c>
      <c r="R4925" s="17">
        <v>40</v>
      </c>
      <c r="S4925" s="18">
        <v>2690.31</v>
      </c>
      <c r="T4925" s="19" t="s">
        <v>36</v>
      </c>
      <c r="U4925" s="20" t="s">
        <v>37</v>
      </c>
      <c r="V4925" s="21" t="s">
        <v>38</v>
      </c>
      <c r="W4925" s="22">
        <v>1</v>
      </c>
      <c r="X4925" s="23"/>
    </row>
    <row r="4926" spans="1:24" s="1" customFormat="1" ht="61.05" customHeight="1" x14ac:dyDescent="0.3">
      <c r="A4926" s="24" t="s">
        <v>23</v>
      </c>
      <c r="B4926" s="24" t="s">
        <v>4336</v>
      </c>
      <c r="C4926" s="12" t="s">
        <v>4337</v>
      </c>
      <c r="D4926" s="56"/>
      <c r="E4926" s="41" t="str">
        <f>HYPERLINK("https://www.google.ru/search?q=6012356-001&amp;newwindow=1&amp;tbm=isch","Еще фото")</f>
        <v>Еще фото</v>
      </c>
      <c r="F4926" s="13" t="s">
        <v>103</v>
      </c>
      <c r="G4926" s="24" t="s">
        <v>3604</v>
      </c>
      <c r="H4926" s="24" t="s">
        <v>27</v>
      </c>
      <c r="I4926" s="24" t="s">
        <v>3599</v>
      </c>
      <c r="J4926" s="14" t="s">
        <v>29</v>
      </c>
      <c r="K4926" s="15" t="s">
        <v>30</v>
      </c>
      <c r="L4926" s="58"/>
      <c r="M4926" s="14"/>
      <c r="N4926" s="14" t="s">
        <v>33</v>
      </c>
      <c r="O4926" s="14"/>
      <c r="P4926" s="15" t="s">
        <v>47</v>
      </c>
      <c r="Q4926" s="16">
        <v>3899</v>
      </c>
      <c r="R4926" s="17">
        <v>40</v>
      </c>
      <c r="S4926" s="18">
        <v>2690.31</v>
      </c>
      <c r="T4926" s="19" t="s">
        <v>36</v>
      </c>
      <c r="U4926" s="20" t="s">
        <v>39</v>
      </c>
      <c r="V4926" s="21" t="s">
        <v>40</v>
      </c>
      <c r="W4926" s="22">
        <v>2</v>
      </c>
      <c r="X4926" s="23"/>
    </row>
    <row r="4927" spans="1:24" s="1" customFormat="1" ht="21" customHeight="1" x14ac:dyDescent="0.3">
      <c r="A4927" s="11" t="s">
        <v>23</v>
      </c>
      <c r="B4927" s="11" t="s">
        <v>4336</v>
      </c>
      <c r="C4927" s="26" t="s">
        <v>4339</v>
      </c>
      <c r="D4927" s="59"/>
      <c r="E4927" s="41" t="str">
        <f>HYPERLINK("https://www.google.ru/search?q=6012356-203&amp;newwindow=1&amp;tbm=isch","Еще фото")</f>
        <v>Еще фото</v>
      </c>
      <c r="F4927" s="13"/>
      <c r="G4927" s="11" t="s">
        <v>3604</v>
      </c>
      <c r="H4927" s="11" t="s">
        <v>27</v>
      </c>
      <c r="I4927" s="14" t="s">
        <v>3599</v>
      </c>
      <c r="J4927" s="14" t="s">
        <v>29</v>
      </c>
      <c r="K4927" s="15" t="s">
        <v>30</v>
      </c>
      <c r="L4927" s="57" t="s">
        <v>4338</v>
      </c>
      <c r="M4927" s="14"/>
      <c r="N4927" s="14" t="s">
        <v>229</v>
      </c>
      <c r="O4927" s="14"/>
      <c r="P4927" s="15" t="s">
        <v>47</v>
      </c>
      <c r="Q4927" s="16">
        <v>3899</v>
      </c>
      <c r="R4927" s="17">
        <v>40</v>
      </c>
      <c r="S4927" s="18">
        <v>2690.31</v>
      </c>
      <c r="T4927" s="19" t="s">
        <v>36</v>
      </c>
      <c r="U4927" s="20" t="s">
        <v>37</v>
      </c>
      <c r="V4927" s="21" t="s">
        <v>38</v>
      </c>
      <c r="W4927" s="22">
        <v>5</v>
      </c>
      <c r="X4927" s="23"/>
    </row>
    <row r="4928" spans="1:24" s="1" customFormat="1" ht="21" customHeight="1" x14ac:dyDescent="0.3">
      <c r="A4928" s="24" t="s">
        <v>23</v>
      </c>
      <c r="B4928" s="24" t="s">
        <v>4336</v>
      </c>
      <c r="C4928" s="27" t="s">
        <v>4339</v>
      </c>
      <c r="D4928" s="60"/>
      <c r="E4928" s="41" t="str">
        <f>HYPERLINK("https://www.google.ru/search?q=6012356-203&amp;newwindow=1&amp;tbm=isch","Еще фото")</f>
        <v>Еще фото</v>
      </c>
      <c r="F4928" s="13"/>
      <c r="G4928" s="24" t="s">
        <v>3604</v>
      </c>
      <c r="H4928" s="24" t="s">
        <v>27</v>
      </c>
      <c r="I4928" s="24" t="s">
        <v>3599</v>
      </c>
      <c r="J4928" s="14" t="s">
        <v>29</v>
      </c>
      <c r="K4928" s="15" t="s">
        <v>30</v>
      </c>
      <c r="L4928" s="62"/>
      <c r="M4928" s="14"/>
      <c r="N4928" s="14" t="s">
        <v>229</v>
      </c>
      <c r="O4928" s="14"/>
      <c r="P4928" s="15" t="s">
        <v>47</v>
      </c>
      <c r="Q4928" s="16">
        <v>3899</v>
      </c>
      <c r="R4928" s="17">
        <v>40</v>
      </c>
      <c r="S4928" s="18">
        <v>2690.31</v>
      </c>
      <c r="T4928" s="19" t="s">
        <v>36</v>
      </c>
      <c r="U4928" s="20" t="s">
        <v>39</v>
      </c>
      <c r="V4928" s="21" t="s">
        <v>40</v>
      </c>
      <c r="W4928" s="22">
        <v>18</v>
      </c>
      <c r="X4928" s="23"/>
    </row>
    <row r="4929" spans="1:24" s="1" customFormat="1" ht="21" customHeight="1" x14ac:dyDescent="0.3">
      <c r="A4929" s="24" t="s">
        <v>23</v>
      </c>
      <c r="B4929" s="24" t="s">
        <v>4336</v>
      </c>
      <c r="C4929" s="27" t="s">
        <v>4339</v>
      </c>
      <c r="D4929" s="60"/>
      <c r="E4929" s="41" t="str">
        <f>HYPERLINK("https://www.google.ru/search?q=6012356-203&amp;newwindow=1&amp;tbm=isch","Еще фото")</f>
        <v>Еще фото</v>
      </c>
      <c r="F4929" s="13"/>
      <c r="G4929" s="24" t="s">
        <v>3604</v>
      </c>
      <c r="H4929" s="24" t="s">
        <v>27</v>
      </c>
      <c r="I4929" s="24" t="s">
        <v>3599</v>
      </c>
      <c r="J4929" s="14" t="s">
        <v>29</v>
      </c>
      <c r="K4929" s="15" t="s">
        <v>30</v>
      </c>
      <c r="L4929" s="62"/>
      <c r="M4929" s="14"/>
      <c r="N4929" s="14" t="s">
        <v>229</v>
      </c>
      <c r="O4929" s="14"/>
      <c r="P4929" s="15" t="s">
        <v>47</v>
      </c>
      <c r="Q4929" s="16">
        <v>3899</v>
      </c>
      <c r="R4929" s="17">
        <v>40</v>
      </c>
      <c r="S4929" s="18">
        <v>2690.31</v>
      </c>
      <c r="T4929" s="19" t="s">
        <v>36</v>
      </c>
      <c r="U4929" s="20" t="s">
        <v>86</v>
      </c>
      <c r="V4929" s="21" t="s">
        <v>87</v>
      </c>
      <c r="W4929" s="22">
        <v>1</v>
      </c>
      <c r="X4929" s="23"/>
    </row>
    <row r="4930" spans="1:24" s="1" customFormat="1" ht="21" customHeight="1" x14ac:dyDescent="0.3">
      <c r="A4930" s="24" t="s">
        <v>23</v>
      </c>
      <c r="B4930" s="24" t="s">
        <v>4336</v>
      </c>
      <c r="C4930" s="27" t="s">
        <v>4339</v>
      </c>
      <c r="D4930" s="60"/>
      <c r="E4930" s="41" t="str">
        <f>HYPERLINK("https://www.google.ru/search?q=6012356-203&amp;newwindow=1&amp;tbm=isch","Еще фото")</f>
        <v>Еще фото</v>
      </c>
      <c r="F4930" s="13"/>
      <c r="G4930" s="24" t="s">
        <v>3604</v>
      </c>
      <c r="H4930" s="24" t="s">
        <v>27</v>
      </c>
      <c r="I4930" s="24" t="s">
        <v>3599</v>
      </c>
      <c r="J4930" s="14" t="s">
        <v>29</v>
      </c>
      <c r="K4930" s="15" t="s">
        <v>30</v>
      </c>
      <c r="L4930" s="62"/>
      <c r="M4930" s="14"/>
      <c r="N4930" s="14" t="s">
        <v>229</v>
      </c>
      <c r="O4930" s="14"/>
      <c r="P4930" s="15" t="s">
        <v>47</v>
      </c>
      <c r="Q4930" s="16">
        <v>3899</v>
      </c>
      <c r="R4930" s="17">
        <v>40</v>
      </c>
      <c r="S4930" s="18">
        <v>2690.31</v>
      </c>
      <c r="T4930" s="19" t="s">
        <v>36</v>
      </c>
      <c r="U4930" s="20" t="s">
        <v>88</v>
      </c>
      <c r="V4930" s="21" t="s">
        <v>89</v>
      </c>
      <c r="W4930" s="22">
        <v>4</v>
      </c>
      <c r="X4930" s="23"/>
    </row>
    <row r="4931" spans="1:24" s="1" customFormat="1" ht="32" customHeight="1" x14ac:dyDescent="0.3">
      <c r="A4931" s="24" t="s">
        <v>23</v>
      </c>
      <c r="B4931" s="24" t="s">
        <v>4336</v>
      </c>
      <c r="C4931" s="27" t="s">
        <v>4339</v>
      </c>
      <c r="D4931" s="61"/>
      <c r="E4931" s="41" t="str">
        <f>HYPERLINK("https://www.google.ru/search?q=6012356-203&amp;newwindow=1&amp;tbm=isch","Еще фото")</f>
        <v>Еще фото</v>
      </c>
      <c r="F4931" s="13"/>
      <c r="G4931" s="24" t="s">
        <v>3604</v>
      </c>
      <c r="H4931" s="24" t="s">
        <v>27</v>
      </c>
      <c r="I4931" s="24" t="s">
        <v>3599</v>
      </c>
      <c r="J4931" s="14" t="s">
        <v>29</v>
      </c>
      <c r="K4931" s="15" t="s">
        <v>30</v>
      </c>
      <c r="L4931" s="58"/>
      <c r="M4931" s="14"/>
      <c r="N4931" s="14" t="s">
        <v>229</v>
      </c>
      <c r="O4931" s="14"/>
      <c r="P4931" s="15" t="s">
        <v>47</v>
      </c>
      <c r="Q4931" s="16">
        <v>3899</v>
      </c>
      <c r="R4931" s="17">
        <v>40</v>
      </c>
      <c r="S4931" s="18">
        <v>2690.31</v>
      </c>
      <c r="T4931" s="19" t="s">
        <v>36</v>
      </c>
      <c r="U4931" s="20" t="s">
        <v>90</v>
      </c>
      <c r="V4931" s="21" t="s">
        <v>91</v>
      </c>
      <c r="W4931" s="22">
        <v>1</v>
      </c>
      <c r="X4931" s="23"/>
    </row>
    <row r="4932" spans="1:24" s="1" customFormat="1" ht="26" customHeight="1" x14ac:dyDescent="0.3">
      <c r="A4932" s="11" t="s">
        <v>23</v>
      </c>
      <c r="B4932" s="11" t="s">
        <v>4340</v>
      </c>
      <c r="C4932" s="12" t="s">
        <v>4341</v>
      </c>
      <c r="D4932" s="59"/>
      <c r="E4932" s="41" t="str">
        <f>HYPERLINK("https://www.google.ru/search?q=6012778-011&amp;newwindow=1&amp;tbm=isch","Еще фото")</f>
        <v>Еще фото</v>
      </c>
      <c r="F4932" s="13"/>
      <c r="G4932" s="11" t="s">
        <v>3604</v>
      </c>
      <c r="H4932" s="11" t="s">
        <v>27</v>
      </c>
      <c r="I4932" s="14" t="s">
        <v>3599</v>
      </c>
      <c r="J4932" s="14" t="s">
        <v>43</v>
      </c>
      <c r="K4932" s="15" t="s">
        <v>30</v>
      </c>
      <c r="L4932" s="57" t="s">
        <v>4342</v>
      </c>
      <c r="M4932" s="14"/>
      <c r="N4932" s="14" t="s">
        <v>62</v>
      </c>
      <c r="O4932" s="14"/>
      <c r="P4932" s="15" t="s">
        <v>2951</v>
      </c>
      <c r="Q4932" s="16">
        <v>3099</v>
      </c>
      <c r="R4932" s="17">
        <v>40</v>
      </c>
      <c r="S4932" s="18">
        <v>2138.31</v>
      </c>
      <c r="T4932" s="19" t="s">
        <v>36</v>
      </c>
      <c r="U4932" s="20" t="s">
        <v>37</v>
      </c>
      <c r="V4932" s="21" t="s">
        <v>38</v>
      </c>
      <c r="W4932" s="22">
        <v>4</v>
      </c>
      <c r="X4932" s="23"/>
    </row>
    <row r="4933" spans="1:24" s="1" customFormat="1" ht="26" customHeight="1" x14ac:dyDescent="0.3">
      <c r="A4933" s="24" t="s">
        <v>23</v>
      </c>
      <c r="B4933" s="24" t="s">
        <v>4340</v>
      </c>
      <c r="C4933" s="12" t="s">
        <v>4341</v>
      </c>
      <c r="D4933" s="60"/>
      <c r="E4933" s="41" t="str">
        <f>HYPERLINK("https://www.google.ru/search?q=6012778-011&amp;newwindow=1&amp;tbm=isch","Еще фото")</f>
        <v>Еще фото</v>
      </c>
      <c r="F4933" s="13"/>
      <c r="G4933" s="24" t="s">
        <v>3604</v>
      </c>
      <c r="H4933" s="24" t="s">
        <v>27</v>
      </c>
      <c r="I4933" s="24" t="s">
        <v>3599</v>
      </c>
      <c r="J4933" s="14" t="s">
        <v>43</v>
      </c>
      <c r="K4933" s="15" t="s">
        <v>30</v>
      </c>
      <c r="L4933" s="62"/>
      <c r="M4933" s="14"/>
      <c r="N4933" s="14" t="s">
        <v>62</v>
      </c>
      <c r="O4933" s="14"/>
      <c r="P4933" s="15" t="s">
        <v>2951</v>
      </c>
      <c r="Q4933" s="16">
        <v>3099</v>
      </c>
      <c r="R4933" s="17">
        <v>40</v>
      </c>
      <c r="S4933" s="18">
        <v>2138.31</v>
      </c>
      <c r="T4933" s="19" t="s">
        <v>36</v>
      </c>
      <c r="U4933" s="20" t="s">
        <v>39</v>
      </c>
      <c r="V4933" s="21" t="s">
        <v>40</v>
      </c>
      <c r="W4933" s="22">
        <v>7</v>
      </c>
      <c r="X4933" s="23"/>
    </row>
    <row r="4934" spans="1:24" s="1" customFormat="1" ht="26" customHeight="1" x14ac:dyDescent="0.3">
      <c r="A4934" s="24" t="s">
        <v>23</v>
      </c>
      <c r="B4934" s="24" t="s">
        <v>4340</v>
      </c>
      <c r="C4934" s="12" t="s">
        <v>4341</v>
      </c>
      <c r="D4934" s="60"/>
      <c r="E4934" s="41" t="str">
        <f>HYPERLINK("https://www.google.ru/search?q=6012778-011&amp;newwindow=1&amp;tbm=isch","Еще фото")</f>
        <v>Еще фото</v>
      </c>
      <c r="F4934" s="13"/>
      <c r="G4934" s="24" t="s">
        <v>3604</v>
      </c>
      <c r="H4934" s="24" t="s">
        <v>27</v>
      </c>
      <c r="I4934" s="24" t="s">
        <v>3599</v>
      </c>
      <c r="J4934" s="14" t="s">
        <v>43</v>
      </c>
      <c r="K4934" s="15" t="s">
        <v>30</v>
      </c>
      <c r="L4934" s="62"/>
      <c r="M4934" s="14"/>
      <c r="N4934" s="14" t="s">
        <v>62</v>
      </c>
      <c r="O4934" s="14"/>
      <c r="P4934" s="15" t="s">
        <v>2951</v>
      </c>
      <c r="Q4934" s="16">
        <v>3099</v>
      </c>
      <c r="R4934" s="17">
        <v>40</v>
      </c>
      <c r="S4934" s="18">
        <v>2138.31</v>
      </c>
      <c r="T4934" s="19" t="s">
        <v>36</v>
      </c>
      <c r="U4934" s="20" t="s">
        <v>88</v>
      </c>
      <c r="V4934" s="21" t="s">
        <v>89</v>
      </c>
      <c r="W4934" s="22">
        <v>3</v>
      </c>
      <c r="X4934" s="23"/>
    </row>
    <row r="4935" spans="1:24" s="1" customFormat="1" ht="26" customHeight="1" x14ac:dyDescent="0.3">
      <c r="A4935" s="24" t="s">
        <v>23</v>
      </c>
      <c r="B4935" s="24" t="s">
        <v>4340</v>
      </c>
      <c r="C4935" s="12" t="s">
        <v>4341</v>
      </c>
      <c r="D4935" s="61"/>
      <c r="E4935" s="41" t="str">
        <f>HYPERLINK("https://www.google.ru/search?q=6012778-011&amp;newwindow=1&amp;tbm=isch","Еще фото")</f>
        <v>Еще фото</v>
      </c>
      <c r="F4935" s="13"/>
      <c r="G4935" s="24" t="s">
        <v>3604</v>
      </c>
      <c r="H4935" s="24" t="s">
        <v>27</v>
      </c>
      <c r="I4935" s="24" t="s">
        <v>3599</v>
      </c>
      <c r="J4935" s="14" t="s">
        <v>43</v>
      </c>
      <c r="K4935" s="15" t="s">
        <v>30</v>
      </c>
      <c r="L4935" s="58"/>
      <c r="M4935" s="14"/>
      <c r="N4935" s="14" t="s">
        <v>62</v>
      </c>
      <c r="O4935" s="14"/>
      <c r="P4935" s="15" t="s">
        <v>2951</v>
      </c>
      <c r="Q4935" s="16">
        <v>3099</v>
      </c>
      <c r="R4935" s="17">
        <v>40</v>
      </c>
      <c r="S4935" s="18">
        <v>2138.31</v>
      </c>
      <c r="T4935" s="19" t="s">
        <v>36</v>
      </c>
      <c r="U4935" s="20" t="s">
        <v>90</v>
      </c>
      <c r="V4935" s="21" t="s">
        <v>91</v>
      </c>
      <c r="W4935" s="22">
        <v>2</v>
      </c>
      <c r="X4935" s="23"/>
    </row>
    <row r="4936" spans="1:24" s="1" customFormat="1" ht="35" customHeight="1" x14ac:dyDescent="0.3">
      <c r="A4936" s="11" t="s">
        <v>23</v>
      </c>
      <c r="B4936" s="11" t="s">
        <v>4340</v>
      </c>
      <c r="C4936" s="12" t="s">
        <v>4343</v>
      </c>
      <c r="D4936" s="59"/>
      <c r="E4936" s="41" t="str">
        <f>HYPERLINK("https://www.google.ru/search?q=6012778-466&amp;newwindow=1&amp;tbm=isch","Еще фото")</f>
        <v>Еще фото</v>
      </c>
      <c r="F4936" s="13"/>
      <c r="G4936" s="11" t="s">
        <v>3604</v>
      </c>
      <c r="H4936" s="11" t="s">
        <v>27</v>
      </c>
      <c r="I4936" s="14" t="s">
        <v>3599</v>
      </c>
      <c r="J4936" s="14" t="s">
        <v>43</v>
      </c>
      <c r="K4936" s="15" t="s">
        <v>30</v>
      </c>
      <c r="L4936" s="57" t="s">
        <v>4342</v>
      </c>
      <c r="M4936" s="14"/>
      <c r="N4936" s="14" t="s">
        <v>115</v>
      </c>
      <c r="O4936" s="14"/>
      <c r="P4936" s="15" t="s">
        <v>2951</v>
      </c>
      <c r="Q4936" s="16">
        <v>3099</v>
      </c>
      <c r="R4936" s="17">
        <v>40</v>
      </c>
      <c r="S4936" s="18">
        <v>2138.31</v>
      </c>
      <c r="T4936" s="19" t="s">
        <v>36</v>
      </c>
      <c r="U4936" s="20" t="s">
        <v>39</v>
      </c>
      <c r="V4936" s="21" t="s">
        <v>40</v>
      </c>
      <c r="W4936" s="22">
        <v>8</v>
      </c>
      <c r="X4936" s="23"/>
    </row>
    <row r="4937" spans="1:24" s="1" customFormat="1" ht="35" customHeight="1" x14ac:dyDescent="0.3">
      <c r="A4937" s="24" t="s">
        <v>23</v>
      </c>
      <c r="B4937" s="24" t="s">
        <v>4340</v>
      </c>
      <c r="C4937" s="12" t="s">
        <v>4343</v>
      </c>
      <c r="D4937" s="60"/>
      <c r="E4937" s="41" t="str">
        <f>HYPERLINK("https://www.google.ru/search?q=6012778-466&amp;newwindow=1&amp;tbm=isch","Еще фото")</f>
        <v>Еще фото</v>
      </c>
      <c r="F4937" s="13"/>
      <c r="G4937" s="24" t="s">
        <v>3604</v>
      </c>
      <c r="H4937" s="24" t="s">
        <v>27</v>
      </c>
      <c r="I4937" s="24" t="s">
        <v>3599</v>
      </c>
      <c r="J4937" s="14" t="s">
        <v>43</v>
      </c>
      <c r="K4937" s="15" t="s">
        <v>30</v>
      </c>
      <c r="L4937" s="62"/>
      <c r="M4937" s="14"/>
      <c r="N4937" s="14" t="s">
        <v>115</v>
      </c>
      <c r="O4937" s="14"/>
      <c r="P4937" s="15" t="s">
        <v>2951</v>
      </c>
      <c r="Q4937" s="16">
        <v>3099</v>
      </c>
      <c r="R4937" s="17">
        <v>40</v>
      </c>
      <c r="S4937" s="18">
        <v>2138.31</v>
      </c>
      <c r="T4937" s="19" t="s">
        <v>36</v>
      </c>
      <c r="U4937" s="20" t="s">
        <v>88</v>
      </c>
      <c r="V4937" s="21" t="s">
        <v>89</v>
      </c>
      <c r="W4937" s="22">
        <v>2</v>
      </c>
      <c r="X4937" s="23"/>
    </row>
    <row r="4938" spans="1:24" s="1" customFormat="1" ht="37.049999999999997" customHeight="1" x14ac:dyDescent="0.3">
      <c r="A4938" s="24" t="s">
        <v>23</v>
      </c>
      <c r="B4938" s="24" t="s">
        <v>4340</v>
      </c>
      <c r="C4938" s="12" t="s">
        <v>4343</v>
      </c>
      <c r="D4938" s="61"/>
      <c r="E4938" s="41" t="str">
        <f>HYPERLINK("https://www.google.ru/search?q=6012778-466&amp;newwindow=1&amp;tbm=isch","Еще фото")</f>
        <v>Еще фото</v>
      </c>
      <c r="F4938" s="13"/>
      <c r="G4938" s="24" t="s">
        <v>3604</v>
      </c>
      <c r="H4938" s="24" t="s">
        <v>27</v>
      </c>
      <c r="I4938" s="24" t="s">
        <v>3599</v>
      </c>
      <c r="J4938" s="14" t="s">
        <v>43</v>
      </c>
      <c r="K4938" s="15" t="s">
        <v>30</v>
      </c>
      <c r="L4938" s="58"/>
      <c r="M4938" s="14"/>
      <c r="N4938" s="14" t="s">
        <v>115</v>
      </c>
      <c r="O4938" s="14"/>
      <c r="P4938" s="15" t="s">
        <v>2951</v>
      </c>
      <c r="Q4938" s="16">
        <v>3099</v>
      </c>
      <c r="R4938" s="17">
        <v>40</v>
      </c>
      <c r="S4938" s="18">
        <v>2138.31</v>
      </c>
      <c r="T4938" s="19" t="s">
        <v>36</v>
      </c>
      <c r="U4938" s="20" t="s">
        <v>90</v>
      </c>
      <c r="V4938" s="21" t="s">
        <v>91</v>
      </c>
      <c r="W4938" s="22">
        <v>1</v>
      </c>
      <c r="X4938" s="23"/>
    </row>
    <row r="4939" spans="1:24" s="1" customFormat="1" ht="108" customHeight="1" x14ac:dyDescent="0.3">
      <c r="A4939" s="11" t="s">
        <v>23</v>
      </c>
      <c r="B4939" s="11" t="s">
        <v>4340</v>
      </c>
      <c r="C4939" s="12" t="s">
        <v>4344</v>
      </c>
      <c r="D4939" s="25"/>
      <c r="E4939" s="41" t="str">
        <f>HYPERLINK("https://www.google.ru/search?q=6012778-498&amp;newwindow=1&amp;tbm=isch","Еще фото")</f>
        <v>Еще фото</v>
      </c>
      <c r="F4939" s="13"/>
      <c r="G4939" s="11" t="s">
        <v>3604</v>
      </c>
      <c r="H4939" s="11" t="s">
        <v>27</v>
      </c>
      <c r="I4939" s="14" t="s">
        <v>3599</v>
      </c>
      <c r="J4939" s="14" t="s">
        <v>43</v>
      </c>
      <c r="K4939" s="15" t="s">
        <v>30</v>
      </c>
      <c r="L4939" s="14" t="s">
        <v>4342</v>
      </c>
      <c r="M4939" s="14"/>
      <c r="N4939" s="14" t="s">
        <v>115</v>
      </c>
      <c r="O4939" s="14"/>
      <c r="P4939" s="15" t="s">
        <v>2951</v>
      </c>
      <c r="Q4939" s="16">
        <v>3099</v>
      </c>
      <c r="R4939" s="17">
        <v>40</v>
      </c>
      <c r="S4939" s="18">
        <v>2138.31</v>
      </c>
      <c r="T4939" s="19" t="s">
        <v>36</v>
      </c>
      <c r="U4939" s="20" t="s">
        <v>39</v>
      </c>
      <c r="V4939" s="21" t="s">
        <v>40</v>
      </c>
      <c r="W4939" s="22">
        <v>4</v>
      </c>
      <c r="X4939" s="23"/>
    </row>
    <row r="4940" spans="1:24" s="1" customFormat="1" ht="52.05" customHeight="1" x14ac:dyDescent="0.3">
      <c r="A4940" s="11" t="s">
        <v>23</v>
      </c>
      <c r="B4940" s="11" t="s">
        <v>3721</v>
      </c>
      <c r="C4940" s="12" t="s">
        <v>4345</v>
      </c>
      <c r="D4940" s="55"/>
      <c r="E4940" s="41" t="str">
        <f>HYPERLINK("https://www.google.ru/search?q=6012783-016&amp;newwindow=1&amp;tbm=isch","Еще фото")</f>
        <v>Еще фото</v>
      </c>
      <c r="F4940" s="13" t="s">
        <v>103</v>
      </c>
      <c r="G4940" s="11" t="s">
        <v>3604</v>
      </c>
      <c r="H4940" s="11" t="s">
        <v>27</v>
      </c>
      <c r="I4940" s="14" t="s">
        <v>3599</v>
      </c>
      <c r="J4940" s="14" t="s">
        <v>674</v>
      </c>
      <c r="K4940" s="15" t="s">
        <v>30</v>
      </c>
      <c r="L4940" s="57" t="s">
        <v>3723</v>
      </c>
      <c r="M4940" s="14"/>
      <c r="N4940" s="14" t="s">
        <v>62</v>
      </c>
      <c r="O4940" s="14"/>
      <c r="P4940" s="15" t="s">
        <v>1063</v>
      </c>
      <c r="Q4940" s="16">
        <v>4299</v>
      </c>
      <c r="R4940" s="17">
        <v>40</v>
      </c>
      <c r="S4940" s="18">
        <v>2966.31</v>
      </c>
      <c r="T4940" s="19" t="s">
        <v>36</v>
      </c>
      <c r="U4940" s="20" t="s">
        <v>88</v>
      </c>
      <c r="V4940" s="21" t="s">
        <v>89</v>
      </c>
      <c r="W4940" s="22">
        <v>4</v>
      </c>
      <c r="X4940" s="23"/>
    </row>
    <row r="4941" spans="1:24" s="1" customFormat="1" ht="61.05" customHeight="1" x14ac:dyDescent="0.3">
      <c r="A4941" s="24" t="s">
        <v>23</v>
      </c>
      <c r="B4941" s="24" t="s">
        <v>3721</v>
      </c>
      <c r="C4941" s="12" t="s">
        <v>4345</v>
      </c>
      <c r="D4941" s="56"/>
      <c r="E4941" s="41" t="str">
        <f>HYPERLINK("https://www.google.ru/search?q=6012783-016&amp;newwindow=1&amp;tbm=isch","Еще фото")</f>
        <v>Еще фото</v>
      </c>
      <c r="F4941" s="13" t="s">
        <v>103</v>
      </c>
      <c r="G4941" s="24" t="s">
        <v>3604</v>
      </c>
      <c r="H4941" s="24" t="s">
        <v>27</v>
      </c>
      <c r="I4941" s="24" t="s">
        <v>3599</v>
      </c>
      <c r="J4941" s="14" t="s">
        <v>674</v>
      </c>
      <c r="K4941" s="15" t="s">
        <v>30</v>
      </c>
      <c r="L4941" s="58"/>
      <c r="M4941" s="14"/>
      <c r="N4941" s="14" t="s">
        <v>62</v>
      </c>
      <c r="O4941" s="14"/>
      <c r="P4941" s="15" t="s">
        <v>1063</v>
      </c>
      <c r="Q4941" s="16">
        <v>4299</v>
      </c>
      <c r="R4941" s="17">
        <v>40</v>
      </c>
      <c r="S4941" s="18">
        <v>2966.31</v>
      </c>
      <c r="T4941" s="19" t="s">
        <v>36</v>
      </c>
      <c r="U4941" s="20" t="s">
        <v>90</v>
      </c>
      <c r="V4941" s="21" t="s">
        <v>91</v>
      </c>
      <c r="W4941" s="22">
        <v>2</v>
      </c>
      <c r="X4941" s="23"/>
    </row>
    <row r="4942" spans="1:24" s="1" customFormat="1" ht="26" customHeight="1" x14ac:dyDescent="0.3">
      <c r="A4942" s="11" t="s">
        <v>23</v>
      </c>
      <c r="B4942" s="11" t="s">
        <v>3668</v>
      </c>
      <c r="C4942" s="12" t="s">
        <v>4346</v>
      </c>
      <c r="D4942" s="59"/>
      <c r="E4942" s="41" t="str">
        <f>HYPERLINK("https://www.google.ru/search?q=6012823-100&amp;newwindow=1&amp;tbm=isch","Еще фото")</f>
        <v>Еще фото</v>
      </c>
      <c r="F4942" s="13"/>
      <c r="G4942" s="11" t="s">
        <v>3598</v>
      </c>
      <c r="H4942" s="11" t="s">
        <v>27</v>
      </c>
      <c r="I4942" s="14" t="s">
        <v>3599</v>
      </c>
      <c r="J4942" s="14" t="s">
        <v>260</v>
      </c>
      <c r="K4942" s="15" t="s">
        <v>30</v>
      </c>
      <c r="L4942" s="57" t="s">
        <v>3670</v>
      </c>
      <c r="M4942" s="14"/>
      <c r="N4942" s="14" t="s">
        <v>84</v>
      </c>
      <c r="O4942" s="14"/>
      <c r="P4942" s="15" t="s">
        <v>1063</v>
      </c>
      <c r="Q4942" s="16">
        <v>3599</v>
      </c>
      <c r="R4942" s="17">
        <v>40</v>
      </c>
      <c r="S4942" s="18">
        <v>2483.31</v>
      </c>
      <c r="T4942" s="19" t="s">
        <v>36</v>
      </c>
      <c r="U4942" s="20" t="s">
        <v>39</v>
      </c>
      <c r="V4942" s="21" t="s">
        <v>40</v>
      </c>
      <c r="W4942" s="22">
        <v>3</v>
      </c>
      <c r="X4942" s="23"/>
    </row>
    <row r="4943" spans="1:24" s="1" customFormat="1" ht="26" customHeight="1" x14ac:dyDescent="0.3">
      <c r="A4943" s="24" t="s">
        <v>23</v>
      </c>
      <c r="B4943" s="24" t="s">
        <v>3668</v>
      </c>
      <c r="C4943" s="12" t="s">
        <v>4346</v>
      </c>
      <c r="D4943" s="60"/>
      <c r="E4943" s="41" t="str">
        <f>HYPERLINK("https://www.google.ru/search?q=6012823-100&amp;newwindow=1&amp;tbm=isch","Еще фото")</f>
        <v>Еще фото</v>
      </c>
      <c r="F4943" s="13"/>
      <c r="G4943" s="24" t="s">
        <v>3598</v>
      </c>
      <c r="H4943" s="24" t="s">
        <v>27</v>
      </c>
      <c r="I4943" s="24" t="s">
        <v>3599</v>
      </c>
      <c r="J4943" s="14" t="s">
        <v>260</v>
      </c>
      <c r="K4943" s="15" t="s">
        <v>30</v>
      </c>
      <c r="L4943" s="62"/>
      <c r="M4943" s="14"/>
      <c r="N4943" s="14" t="s">
        <v>84</v>
      </c>
      <c r="O4943" s="14"/>
      <c r="P4943" s="15" t="s">
        <v>1063</v>
      </c>
      <c r="Q4943" s="16">
        <v>3599</v>
      </c>
      <c r="R4943" s="17">
        <v>40</v>
      </c>
      <c r="S4943" s="18">
        <v>2483.31</v>
      </c>
      <c r="T4943" s="19" t="s">
        <v>36</v>
      </c>
      <c r="U4943" s="20" t="s">
        <v>86</v>
      </c>
      <c r="V4943" s="21" t="s">
        <v>87</v>
      </c>
      <c r="W4943" s="22">
        <v>10</v>
      </c>
      <c r="X4943" s="23"/>
    </row>
    <row r="4944" spans="1:24" s="1" customFormat="1" ht="26" customHeight="1" x14ac:dyDescent="0.3">
      <c r="A4944" s="24" t="s">
        <v>23</v>
      </c>
      <c r="B4944" s="24" t="s">
        <v>3668</v>
      </c>
      <c r="C4944" s="12" t="s">
        <v>4346</v>
      </c>
      <c r="D4944" s="60"/>
      <c r="E4944" s="41" t="str">
        <f>HYPERLINK("https://www.google.ru/search?q=6012823-100&amp;newwindow=1&amp;tbm=isch","Еще фото")</f>
        <v>Еще фото</v>
      </c>
      <c r="F4944" s="13"/>
      <c r="G4944" s="24" t="s">
        <v>3598</v>
      </c>
      <c r="H4944" s="24" t="s">
        <v>27</v>
      </c>
      <c r="I4944" s="24" t="s">
        <v>3599</v>
      </c>
      <c r="J4944" s="14" t="s">
        <v>260</v>
      </c>
      <c r="K4944" s="15" t="s">
        <v>30</v>
      </c>
      <c r="L4944" s="62"/>
      <c r="M4944" s="14"/>
      <c r="N4944" s="14" t="s">
        <v>84</v>
      </c>
      <c r="O4944" s="14"/>
      <c r="P4944" s="15" t="s">
        <v>1063</v>
      </c>
      <c r="Q4944" s="16">
        <v>3599</v>
      </c>
      <c r="R4944" s="17">
        <v>40</v>
      </c>
      <c r="S4944" s="18">
        <v>2483.31</v>
      </c>
      <c r="T4944" s="19" t="s">
        <v>36</v>
      </c>
      <c r="U4944" s="20" t="s">
        <v>88</v>
      </c>
      <c r="V4944" s="21" t="s">
        <v>89</v>
      </c>
      <c r="W4944" s="22">
        <v>8</v>
      </c>
      <c r="X4944" s="23"/>
    </row>
    <row r="4945" spans="1:24" s="1" customFormat="1" ht="26" customHeight="1" x14ac:dyDescent="0.3">
      <c r="A4945" s="24" t="s">
        <v>23</v>
      </c>
      <c r="B4945" s="24" t="s">
        <v>3668</v>
      </c>
      <c r="C4945" s="12" t="s">
        <v>4346</v>
      </c>
      <c r="D4945" s="61"/>
      <c r="E4945" s="41" t="str">
        <f>HYPERLINK("https://www.google.ru/search?q=6012823-100&amp;newwindow=1&amp;tbm=isch","Еще фото")</f>
        <v>Еще фото</v>
      </c>
      <c r="F4945" s="13"/>
      <c r="G4945" s="24" t="s">
        <v>3598</v>
      </c>
      <c r="H4945" s="24" t="s">
        <v>27</v>
      </c>
      <c r="I4945" s="24" t="s">
        <v>3599</v>
      </c>
      <c r="J4945" s="14" t="s">
        <v>260</v>
      </c>
      <c r="K4945" s="15" t="s">
        <v>30</v>
      </c>
      <c r="L4945" s="58"/>
      <c r="M4945" s="14"/>
      <c r="N4945" s="14" t="s">
        <v>84</v>
      </c>
      <c r="O4945" s="14"/>
      <c r="P4945" s="15" t="s">
        <v>1063</v>
      </c>
      <c r="Q4945" s="16">
        <v>3599</v>
      </c>
      <c r="R4945" s="17">
        <v>40</v>
      </c>
      <c r="S4945" s="18">
        <v>2483.31</v>
      </c>
      <c r="T4945" s="19" t="s">
        <v>36</v>
      </c>
      <c r="U4945" s="20" t="s">
        <v>90</v>
      </c>
      <c r="V4945" s="21" t="s">
        <v>91</v>
      </c>
      <c r="W4945" s="22">
        <v>9</v>
      </c>
      <c r="X4945" s="23"/>
    </row>
    <row r="4946" spans="1:24" s="1" customFormat="1" ht="21" customHeight="1" x14ac:dyDescent="0.3">
      <c r="A4946" s="11" t="s">
        <v>23</v>
      </c>
      <c r="B4946" s="11" t="s">
        <v>4347</v>
      </c>
      <c r="C4946" s="26" t="s">
        <v>4348</v>
      </c>
      <c r="D4946" s="59"/>
      <c r="E4946" s="41" t="str">
        <f>HYPERLINK("https://www.google.ru/search?q=6012824-001&amp;newwindow=1&amp;tbm=isch","Еще фото")</f>
        <v>Еще фото</v>
      </c>
      <c r="F4946" s="13" t="s">
        <v>103</v>
      </c>
      <c r="G4946" s="11" t="s">
        <v>3598</v>
      </c>
      <c r="H4946" s="11" t="s">
        <v>27</v>
      </c>
      <c r="I4946" s="14" t="s">
        <v>3599</v>
      </c>
      <c r="J4946" s="14" t="s">
        <v>260</v>
      </c>
      <c r="K4946" s="15" t="s">
        <v>30</v>
      </c>
      <c r="L4946" s="57" t="s">
        <v>4349</v>
      </c>
      <c r="M4946" s="14"/>
      <c r="N4946" s="14" t="s">
        <v>33</v>
      </c>
      <c r="O4946" s="14"/>
      <c r="P4946" s="15" t="s">
        <v>4350</v>
      </c>
      <c r="Q4946" s="16">
        <v>5099</v>
      </c>
      <c r="R4946" s="17">
        <v>40</v>
      </c>
      <c r="S4946" s="18">
        <v>3518.31</v>
      </c>
      <c r="T4946" s="19" t="s">
        <v>36</v>
      </c>
      <c r="U4946" s="20" t="s">
        <v>37</v>
      </c>
      <c r="V4946" s="21" t="s">
        <v>38</v>
      </c>
      <c r="W4946" s="22">
        <v>4</v>
      </c>
      <c r="X4946" s="23"/>
    </row>
    <row r="4947" spans="1:24" s="1" customFormat="1" ht="21" customHeight="1" x14ac:dyDescent="0.3">
      <c r="A4947" s="24" t="s">
        <v>23</v>
      </c>
      <c r="B4947" s="24" t="s">
        <v>4347</v>
      </c>
      <c r="C4947" s="27" t="s">
        <v>4348</v>
      </c>
      <c r="D4947" s="60"/>
      <c r="E4947" s="41" t="str">
        <f>HYPERLINK("https://www.google.ru/search?q=6012824-001&amp;newwindow=1&amp;tbm=isch","Еще фото")</f>
        <v>Еще фото</v>
      </c>
      <c r="F4947" s="13" t="s">
        <v>103</v>
      </c>
      <c r="G4947" s="24" t="s">
        <v>3598</v>
      </c>
      <c r="H4947" s="24" t="s">
        <v>27</v>
      </c>
      <c r="I4947" s="24" t="s">
        <v>3599</v>
      </c>
      <c r="J4947" s="14" t="s">
        <v>260</v>
      </c>
      <c r="K4947" s="15" t="s">
        <v>30</v>
      </c>
      <c r="L4947" s="62"/>
      <c r="M4947" s="14"/>
      <c r="N4947" s="14" t="s">
        <v>33</v>
      </c>
      <c r="O4947" s="14"/>
      <c r="P4947" s="15" t="s">
        <v>4350</v>
      </c>
      <c r="Q4947" s="16">
        <v>5099</v>
      </c>
      <c r="R4947" s="17">
        <v>40</v>
      </c>
      <c r="S4947" s="18">
        <v>3518.31</v>
      </c>
      <c r="T4947" s="19" t="s">
        <v>36</v>
      </c>
      <c r="U4947" s="20" t="s">
        <v>39</v>
      </c>
      <c r="V4947" s="21" t="s">
        <v>40</v>
      </c>
      <c r="W4947" s="22">
        <v>18</v>
      </c>
      <c r="X4947" s="23"/>
    </row>
    <row r="4948" spans="1:24" s="1" customFormat="1" ht="21" customHeight="1" x14ac:dyDescent="0.3">
      <c r="A4948" s="24" t="s">
        <v>23</v>
      </c>
      <c r="B4948" s="24" t="s">
        <v>4347</v>
      </c>
      <c r="C4948" s="27" t="s">
        <v>4348</v>
      </c>
      <c r="D4948" s="60"/>
      <c r="E4948" s="41" t="str">
        <f>HYPERLINK("https://www.google.ru/search?q=6012824-001&amp;newwindow=1&amp;tbm=isch","Еще фото")</f>
        <v>Еще фото</v>
      </c>
      <c r="F4948" s="13" t="s">
        <v>103</v>
      </c>
      <c r="G4948" s="24" t="s">
        <v>3598</v>
      </c>
      <c r="H4948" s="24" t="s">
        <v>27</v>
      </c>
      <c r="I4948" s="24" t="s">
        <v>3599</v>
      </c>
      <c r="J4948" s="14" t="s">
        <v>260</v>
      </c>
      <c r="K4948" s="15" t="s">
        <v>30</v>
      </c>
      <c r="L4948" s="62"/>
      <c r="M4948" s="14"/>
      <c r="N4948" s="14" t="s">
        <v>33</v>
      </c>
      <c r="O4948" s="14"/>
      <c r="P4948" s="15" t="s">
        <v>4350</v>
      </c>
      <c r="Q4948" s="16">
        <v>5099</v>
      </c>
      <c r="R4948" s="17">
        <v>40</v>
      </c>
      <c r="S4948" s="18">
        <v>3518.31</v>
      </c>
      <c r="T4948" s="19" t="s">
        <v>36</v>
      </c>
      <c r="U4948" s="20" t="s">
        <v>86</v>
      </c>
      <c r="V4948" s="21" t="s">
        <v>87</v>
      </c>
      <c r="W4948" s="22">
        <v>15</v>
      </c>
      <c r="X4948" s="23"/>
    </row>
    <row r="4949" spans="1:24" s="1" customFormat="1" ht="21" customHeight="1" x14ac:dyDescent="0.3">
      <c r="A4949" s="24" t="s">
        <v>23</v>
      </c>
      <c r="B4949" s="24" t="s">
        <v>4347</v>
      </c>
      <c r="C4949" s="27" t="s">
        <v>4348</v>
      </c>
      <c r="D4949" s="60"/>
      <c r="E4949" s="41" t="str">
        <f>HYPERLINK("https://www.google.ru/search?q=6012824-001&amp;newwindow=1&amp;tbm=isch","Еще фото")</f>
        <v>Еще фото</v>
      </c>
      <c r="F4949" s="13" t="s">
        <v>103</v>
      </c>
      <c r="G4949" s="24" t="s">
        <v>3598</v>
      </c>
      <c r="H4949" s="24" t="s">
        <v>27</v>
      </c>
      <c r="I4949" s="24" t="s">
        <v>3599</v>
      </c>
      <c r="J4949" s="14" t="s">
        <v>260</v>
      </c>
      <c r="K4949" s="15" t="s">
        <v>30</v>
      </c>
      <c r="L4949" s="62"/>
      <c r="M4949" s="14"/>
      <c r="N4949" s="14" t="s">
        <v>33</v>
      </c>
      <c r="O4949" s="14"/>
      <c r="P4949" s="15" t="s">
        <v>4350</v>
      </c>
      <c r="Q4949" s="16">
        <v>5099</v>
      </c>
      <c r="R4949" s="17">
        <v>40</v>
      </c>
      <c r="S4949" s="18">
        <v>3518.31</v>
      </c>
      <c r="T4949" s="19" t="s">
        <v>36</v>
      </c>
      <c r="U4949" s="20" t="s">
        <v>88</v>
      </c>
      <c r="V4949" s="21" t="s">
        <v>89</v>
      </c>
      <c r="W4949" s="22">
        <v>10</v>
      </c>
      <c r="X4949" s="23"/>
    </row>
    <row r="4950" spans="1:24" s="1" customFormat="1" ht="32" customHeight="1" x14ac:dyDescent="0.3">
      <c r="A4950" s="24" t="s">
        <v>23</v>
      </c>
      <c r="B4950" s="24" t="s">
        <v>4347</v>
      </c>
      <c r="C4950" s="27" t="s">
        <v>4348</v>
      </c>
      <c r="D4950" s="61"/>
      <c r="E4950" s="41" t="str">
        <f>HYPERLINK("https://www.google.ru/search?q=6012824-001&amp;newwindow=1&amp;tbm=isch","Еще фото")</f>
        <v>Еще фото</v>
      </c>
      <c r="F4950" s="13" t="s">
        <v>103</v>
      </c>
      <c r="G4950" s="24" t="s">
        <v>3598</v>
      </c>
      <c r="H4950" s="24" t="s">
        <v>27</v>
      </c>
      <c r="I4950" s="24" t="s">
        <v>3599</v>
      </c>
      <c r="J4950" s="14" t="s">
        <v>260</v>
      </c>
      <c r="K4950" s="15" t="s">
        <v>30</v>
      </c>
      <c r="L4950" s="58"/>
      <c r="M4950" s="14"/>
      <c r="N4950" s="14" t="s">
        <v>33</v>
      </c>
      <c r="O4950" s="14"/>
      <c r="P4950" s="15" t="s">
        <v>4350</v>
      </c>
      <c r="Q4950" s="16">
        <v>5099</v>
      </c>
      <c r="R4950" s="17">
        <v>40</v>
      </c>
      <c r="S4950" s="18">
        <v>3518.31</v>
      </c>
      <c r="T4950" s="19" t="s">
        <v>36</v>
      </c>
      <c r="U4950" s="20" t="s">
        <v>90</v>
      </c>
      <c r="V4950" s="21" t="s">
        <v>91</v>
      </c>
      <c r="W4950" s="22">
        <v>8</v>
      </c>
      <c r="X4950" s="23"/>
    </row>
    <row r="4951" spans="1:24" s="1" customFormat="1" ht="26" customHeight="1" x14ac:dyDescent="0.3">
      <c r="A4951" s="11" t="s">
        <v>23</v>
      </c>
      <c r="B4951" s="11" t="s">
        <v>4347</v>
      </c>
      <c r="C4951" s="12" t="s">
        <v>4351</v>
      </c>
      <c r="D4951" s="59"/>
      <c r="E4951" s="41" t="str">
        <f>HYPERLINK("https://www.google.ru/search?q=6012824-100&amp;newwindow=1&amp;tbm=isch","Еще фото")</f>
        <v>Еще фото</v>
      </c>
      <c r="F4951" s="13" t="s">
        <v>103</v>
      </c>
      <c r="G4951" s="11" t="s">
        <v>3598</v>
      </c>
      <c r="H4951" s="11" t="s">
        <v>27</v>
      </c>
      <c r="I4951" s="14" t="s">
        <v>3599</v>
      </c>
      <c r="J4951" s="14" t="s">
        <v>260</v>
      </c>
      <c r="K4951" s="15" t="s">
        <v>30</v>
      </c>
      <c r="L4951" s="57" t="s">
        <v>4349</v>
      </c>
      <c r="M4951" s="14"/>
      <c r="N4951" s="14" t="s">
        <v>84</v>
      </c>
      <c r="O4951" s="14"/>
      <c r="P4951" s="15" t="s">
        <v>4350</v>
      </c>
      <c r="Q4951" s="16">
        <v>5099</v>
      </c>
      <c r="R4951" s="17">
        <v>40</v>
      </c>
      <c r="S4951" s="18">
        <v>3518.31</v>
      </c>
      <c r="T4951" s="19" t="s">
        <v>36</v>
      </c>
      <c r="U4951" s="20" t="s">
        <v>37</v>
      </c>
      <c r="V4951" s="21" t="s">
        <v>38</v>
      </c>
      <c r="W4951" s="22">
        <v>2</v>
      </c>
      <c r="X4951" s="23"/>
    </row>
    <row r="4952" spans="1:24" s="1" customFormat="1" ht="26" customHeight="1" x14ac:dyDescent="0.3">
      <c r="A4952" s="24" t="s">
        <v>23</v>
      </c>
      <c r="B4952" s="24" t="s">
        <v>4347</v>
      </c>
      <c r="C4952" s="12" t="s">
        <v>4351</v>
      </c>
      <c r="D4952" s="60"/>
      <c r="E4952" s="41" t="str">
        <f>HYPERLINK("https://www.google.ru/search?q=6012824-100&amp;newwindow=1&amp;tbm=isch","Еще фото")</f>
        <v>Еще фото</v>
      </c>
      <c r="F4952" s="13" t="s">
        <v>103</v>
      </c>
      <c r="G4952" s="24" t="s">
        <v>3598</v>
      </c>
      <c r="H4952" s="24" t="s">
        <v>27</v>
      </c>
      <c r="I4952" s="24" t="s">
        <v>3599</v>
      </c>
      <c r="J4952" s="14" t="s">
        <v>260</v>
      </c>
      <c r="K4952" s="15" t="s">
        <v>30</v>
      </c>
      <c r="L4952" s="62"/>
      <c r="M4952" s="14"/>
      <c r="N4952" s="14" t="s">
        <v>84</v>
      </c>
      <c r="O4952" s="14"/>
      <c r="P4952" s="15" t="s">
        <v>4350</v>
      </c>
      <c r="Q4952" s="16">
        <v>5099</v>
      </c>
      <c r="R4952" s="17">
        <v>40</v>
      </c>
      <c r="S4952" s="18">
        <v>3518.31</v>
      </c>
      <c r="T4952" s="19" t="s">
        <v>36</v>
      </c>
      <c r="U4952" s="20" t="s">
        <v>39</v>
      </c>
      <c r="V4952" s="21" t="s">
        <v>40</v>
      </c>
      <c r="W4952" s="22">
        <v>10</v>
      </c>
      <c r="X4952" s="23"/>
    </row>
    <row r="4953" spans="1:24" s="1" customFormat="1" ht="26" customHeight="1" x14ac:dyDescent="0.3">
      <c r="A4953" s="24" t="s">
        <v>23</v>
      </c>
      <c r="B4953" s="24" t="s">
        <v>4347</v>
      </c>
      <c r="C4953" s="12" t="s">
        <v>4351</v>
      </c>
      <c r="D4953" s="60"/>
      <c r="E4953" s="41" t="str">
        <f>HYPERLINK("https://www.google.ru/search?q=6012824-100&amp;newwindow=1&amp;tbm=isch","Еще фото")</f>
        <v>Еще фото</v>
      </c>
      <c r="F4953" s="13" t="s">
        <v>103</v>
      </c>
      <c r="G4953" s="24" t="s">
        <v>3598</v>
      </c>
      <c r="H4953" s="24" t="s">
        <v>27</v>
      </c>
      <c r="I4953" s="24" t="s">
        <v>3599</v>
      </c>
      <c r="J4953" s="14" t="s">
        <v>260</v>
      </c>
      <c r="K4953" s="15" t="s">
        <v>30</v>
      </c>
      <c r="L4953" s="62"/>
      <c r="M4953" s="14"/>
      <c r="N4953" s="14" t="s">
        <v>84</v>
      </c>
      <c r="O4953" s="14"/>
      <c r="P4953" s="15" t="s">
        <v>4350</v>
      </c>
      <c r="Q4953" s="16">
        <v>5099</v>
      </c>
      <c r="R4953" s="17">
        <v>40</v>
      </c>
      <c r="S4953" s="18">
        <v>3518.31</v>
      </c>
      <c r="T4953" s="19" t="s">
        <v>36</v>
      </c>
      <c r="U4953" s="20" t="s">
        <v>86</v>
      </c>
      <c r="V4953" s="21" t="s">
        <v>87</v>
      </c>
      <c r="W4953" s="22">
        <v>6</v>
      </c>
      <c r="X4953" s="23"/>
    </row>
    <row r="4954" spans="1:24" s="1" customFormat="1" ht="26" customHeight="1" x14ac:dyDescent="0.3">
      <c r="A4954" s="24" t="s">
        <v>23</v>
      </c>
      <c r="B4954" s="24" t="s">
        <v>4347</v>
      </c>
      <c r="C4954" s="12" t="s">
        <v>4351</v>
      </c>
      <c r="D4954" s="61"/>
      <c r="E4954" s="41" t="str">
        <f>HYPERLINK("https://www.google.ru/search?q=6012824-100&amp;newwindow=1&amp;tbm=isch","Еще фото")</f>
        <v>Еще фото</v>
      </c>
      <c r="F4954" s="13" t="s">
        <v>103</v>
      </c>
      <c r="G4954" s="24" t="s">
        <v>3598</v>
      </c>
      <c r="H4954" s="24" t="s">
        <v>27</v>
      </c>
      <c r="I4954" s="24" t="s">
        <v>3599</v>
      </c>
      <c r="J4954" s="14" t="s">
        <v>260</v>
      </c>
      <c r="K4954" s="15" t="s">
        <v>30</v>
      </c>
      <c r="L4954" s="58"/>
      <c r="M4954" s="14"/>
      <c r="N4954" s="14" t="s">
        <v>84</v>
      </c>
      <c r="O4954" s="14"/>
      <c r="P4954" s="15" t="s">
        <v>4350</v>
      </c>
      <c r="Q4954" s="16">
        <v>5099</v>
      </c>
      <c r="R4954" s="17">
        <v>40</v>
      </c>
      <c r="S4954" s="18">
        <v>3518.31</v>
      </c>
      <c r="T4954" s="19" t="s">
        <v>36</v>
      </c>
      <c r="U4954" s="20" t="s">
        <v>90</v>
      </c>
      <c r="V4954" s="21" t="s">
        <v>91</v>
      </c>
      <c r="W4954" s="22">
        <v>5</v>
      </c>
      <c r="X4954" s="23"/>
    </row>
    <row r="4955" spans="1:24" s="1" customFormat="1" ht="108" customHeight="1" x14ac:dyDescent="0.3">
      <c r="A4955" s="11" t="s">
        <v>23</v>
      </c>
      <c r="B4955" s="11" t="s">
        <v>4352</v>
      </c>
      <c r="C4955" s="12" t="s">
        <v>4353</v>
      </c>
      <c r="D4955" s="25"/>
      <c r="E4955" s="41" t="str">
        <f>HYPERLINK("https://www.google.ru/search?q=1373098-001&amp;newwindow=1&amp;tbm=isch","Еще фото")</f>
        <v>Еще фото</v>
      </c>
      <c r="F4955" s="13"/>
      <c r="G4955" s="11" t="s">
        <v>4354</v>
      </c>
      <c r="H4955" s="11" t="s">
        <v>721</v>
      </c>
      <c r="I4955" s="14" t="s">
        <v>4355</v>
      </c>
      <c r="J4955" s="14" t="s">
        <v>43</v>
      </c>
      <c r="K4955" s="15" t="s">
        <v>59</v>
      </c>
      <c r="L4955" s="14" t="s">
        <v>4356</v>
      </c>
      <c r="M4955" s="14"/>
      <c r="N4955" s="14" t="s">
        <v>33</v>
      </c>
      <c r="O4955" s="14"/>
      <c r="P4955" s="15" t="s">
        <v>4357</v>
      </c>
      <c r="Q4955" s="16">
        <v>4999</v>
      </c>
      <c r="R4955" s="17">
        <v>61.44</v>
      </c>
      <c r="S4955" s="18">
        <v>2216.9354999999996</v>
      </c>
      <c r="T4955" s="19" t="s">
        <v>725</v>
      </c>
      <c r="U4955" s="20" t="s">
        <v>726</v>
      </c>
      <c r="V4955" s="21" t="s">
        <v>727</v>
      </c>
      <c r="W4955" s="22">
        <v>48</v>
      </c>
      <c r="X4955" s="23"/>
    </row>
    <row r="4956" spans="1:24" s="1" customFormat="1" ht="108" customHeight="1" x14ac:dyDescent="0.3">
      <c r="A4956" s="11" t="s">
        <v>23</v>
      </c>
      <c r="B4956" s="11" t="s">
        <v>4358</v>
      </c>
      <c r="C4956" s="12" t="s">
        <v>4359</v>
      </c>
      <c r="D4956" s="25"/>
      <c r="E4956" s="41" t="str">
        <f>HYPERLINK("https://www.google.ru/search?q=1299899-100&amp;newwindow=1&amp;tbm=isch","Еще фото")</f>
        <v>Еще фото</v>
      </c>
      <c r="F4956" s="13"/>
      <c r="G4956" s="11" t="s">
        <v>4354</v>
      </c>
      <c r="H4956" s="11" t="s">
        <v>721</v>
      </c>
      <c r="I4956" s="14" t="s">
        <v>4355</v>
      </c>
      <c r="J4956" s="14" t="s">
        <v>29</v>
      </c>
      <c r="K4956" s="15" t="s">
        <v>59</v>
      </c>
      <c r="L4956" s="14" t="s">
        <v>4360</v>
      </c>
      <c r="M4956" s="14"/>
      <c r="N4956" s="14" t="s">
        <v>84</v>
      </c>
      <c r="O4956" s="14"/>
      <c r="P4956" s="15" t="s">
        <v>2427</v>
      </c>
      <c r="Q4956" s="16">
        <v>2599</v>
      </c>
      <c r="R4956" s="17">
        <v>46</v>
      </c>
      <c r="S4956" s="18">
        <v>1613.9789999999998</v>
      </c>
      <c r="T4956" s="19" t="s">
        <v>725</v>
      </c>
      <c r="U4956" s="20" t="s">
        <v>2629</v>
      </c>
      <c r="V4956" s="21" t="s">
        <v>4361</v>
      </c>
      <c r="W4956" s="22">
        <v>7</v>
      </c>
      <c r="X4956" s="23"/>
    </row>
    <row r="4957" spans="1:24" s="1" customFormat="1" ht="108" customHeight="1" x14ac:dyDescent="0.3">
      <c r="A4957" s="11" t="s">
        <v>23</v>
      </c>
      <c r="B4957" s="11" t="s">
        <v>4362</v>
      </c>
      <c r="C4957" s="12" t="s">
        <v>4363</v>
      </c>
      <c r="D4957" s="25"/>
      <c r="E4957" s="41" t="str">
        <f>HYPERLINK("https://www.google.ru/search?q=1386634-305&amp;newwindow=1&amp;tbm=isch","Еще фото")</f>
        <v>Еще фото</v>
      </c>
      <c r="F4957" s="13" t="s">
        <v>103</v>
      </c>
      <c r="G4957" s="11" t="s">
        <v>4354</v>
      </c>
      <c r="H4957" s="11" t="s">
        <v>721</v>
      </c>
      <c r="I4957" s="14" t="s">
        <v>4355</v>
      </c>
      <c r="J4957" s="14" t="s">
        <v>43</v>
      </c>
      <c r="K4957" s="15" t="s">
        <v>30</v>
      </c>
      <c r="L4957" s="14" t="s">
        <v>4364</v>
      </c>
      <c r="M4957" s="14"/>
      <c r="N4957" s="14" t="s">
        <v>127</v>
      </c>
      <c r="O4957" s="14"/>
      <c r="P4957" s="15" t="s">
        <v>4365</v>
      </c>
      <c r="Q4957" s="16">
        <v>2999</v>
      </c>
      <c r="R4957" s="17">
        <v>46</v>
      </c>
      <c r="S4957" s="18">
        <v>1862.3789999999999</v>
      </c>
      <c r="T4957" s="19" t="s">
        <v>725</v>
      </c>
      <c r="U4957" s="20" t="s">
        <v>726</v>
      </c>
      <c r="V4957" s="21" t="s">
        <v>4366</v>
      </c>
      <c r="W4957" s="22">
        <v>25</v>
      </c>
      <c r="X4957" s="23"/>
    </row>
    <row r="4958" spans="1:24" s="1" customFormat="1" ht="108" customHeight="1" x14ac:dyDescent="0.3">
      <c r="A4958" s="11" t="s">
        <v>23</v>
      </c>
      <c r="B4958" s="11" t="s">
        <v>4367</v>
      </c>
      <c r="C4958" s="12" t="s">
        <v>4368</v>
      </c>
      <c r="D4958" s="25"/>
      <c r="E4958" s="41" t="str">
        <f>HYPERLINK("https://www.google.ru/search?q=6007044-538&amp;newwindow=1&amp;tbm=isch","Еще фото")</f>
        <v>Еще фото</v>
      </c>
      <c r="F4958" s="13"/>
      <c r="G4958" s="11" t="s">
        <v>4354</v>
      </c>
      <c r="H4958" s="11" t="s">
        <v>721</v>
      </c>
      <c r="I4958" s="14" t="s">
        <v>4355</v>
      </c>
      <c r="J4958" s="14" t="s">
        <v>43</v>
      </c>
      <c r="K4958" s="15" t="s">
        <v>59</v>
      </c>
      <c r="L4958" s="14" t="s">
        <v>4369</v>
      </c>
      <c r="M4958" s="14"/>
      <c r="N4958" s="14" t="s">
        <v>79</v>
      </c>
      <c r="O4958" s="14"/>
      <c r="P4958" s="15" t="s">
        <v>2427</v>
      </c>
      <c r="Q4958" s="16">
        <v>2599</v>
      </c>
      <c r="R4958" s="17">
        <v>46</v>
      </c>
      <c r="S4958" s="18">
        <v>1613.9789999999998</v>
      </c>
      <c r="T4958" s="19" t="s">
        <v>725</v>
      </c>
      <c r="U4958" s="20" t="s">
        <v>726</v>
      </c>
      <c r="V4958" s="21" t="s">
        <v>727</v>
      </c>
      <c r="W4958" s="22">
        <v>22</v>
      </c>
      <c r="X4958" s="23"/>
    </row>
    <row r="4959" spans="1:24" s="1" customFormat="1" ht="108" customHeight="1" x14ac:dyDescent="0.3">
      <c r="A4959" s="11" t="s">
        <v>23</v>
      </c>
      <c r="B4959" s="11" t="s">
        <v>4358</v>
      </c>
      <c r="C4959" s="12" t="s">
        <v>4370</v>
      </c>
      <c r="D4959" s="25"/>
      <c r="E4959" s="41" t="str">
        <f>HYPERLINK("https://www.google.ru/search?q=1299899-554&amp;newwindow=1&amp;tbm=isch","Еще фото")</f>
        <v>Еще фото</v>
      </c>
      <c r="F4959" s="13"/>
      <c r="G4959" s="11" t="s">
        <v>4354</v>
      </c>
      <c r="H4959" s="11" t="s">
        <v>721</v>
      </c>
      <c r="I4959" s="14" t="s">
        <v>4355</v>
      </c>
      <c r="J4959" s="14" t="s">
        <v>29</v>
      </c>
      <c r="K4959" s="15" t="s">
        <v>59</v>
      </c>
      <c r="L4959" s="14" t="s">
        <v>4360</v>
      </c>
      <c r="M4959" s="14"/>
      <c r="N4959" s="14" t="s">
        <v>79</v>
      </c>
      <c r="O4959" s="14"/>
      <c r="P4959" s="15" t="s">
        <v>2427</v>
      </c>
      <c r="Q4959" s="16">
        <v>2599</v>
      </c>
      <c r="R4959" s="17">
        <v>40</v>
      </c>
      <c r="S4959" s="18">
        <v>1793.31</v>
      </c>
      <c r="T4959" s="19" t="s">
        <v>725</v>
      </c>
      <c r="U4959" s="20" t="s">
        <v>2629</v>
      </c>
      <c r="V4959" s="21" t="s">
        <v>4361</v>
      </c>
      <c r="W4959" s="22">
        <v>6</v>
      </c>
      <c r="X4959" s="23"/>
    </row>
    <row r="4960" spans="1:24" s="1" customFormat="1" ht="108" customHeight="1" x14ac:dyDescent="0.3">
      <c r="A4960" s="11" t="s">
        <v>23</v>
      </c>
      <c r="B4960" s="11" t="s">
        <v>4371</v>
      </c>
      <c r="C4960" s="12" t="s">
        <v>4372</v>
      </c>
      <c r="D4960" s="25"/>
      <c r="E4960" s="41" t="str">
        <f>HYPERLINK("https://www.google.ru/search?q=1365931-554&amp;newwindow=1&amp;tbm=isch","Еще фото")</f>
        <v>Еще фото</v>
      </c>
      <c r="F4960" s="13"/>
      <c r="G4960" s="11" t="s">
        <v>4354</v>
      </c>
      <c r="H4960" s="11" t="s">
        <v>721</v>
      </c>
      <c r="I4960" s="14" t="s">
        <v>4355</v>
      </c>
      <c r="J4960" s="14" t="s">
        <v>43</v>
      </c>
      <c r="K4960" s="15" t="s">
        <v>59</v>
      </c>
      <c r="L4960" s="14" t="s">
        <v>4373</v>
      </c>
      <c r="M4960" s="14" t="s">
        <v>4374</v>
      </c>
      <c r="N4960" s="14" t="s">
        <v>79</v>
      </c>
      <c r="O4960" s="14" t="s">
        <v>945</v>
      </c>
      <c r="P4960" s="15" t="s">
        <v>4375</v>
      </c>
      <c r="Q4960" s="16">
        <v>4090</v>
      </c>
      <c r="R4960" s="17">
        <v>40</v>
      </c>
      <c r="S4960" s="18">
        <v>2822.1</v>
      </c>
      <c r="T4960" s="19" t="s">
        <v>725</v>
      </c>
      <c r="U4960" s="20" t="s">
        <v>726</v>
      </c>
      <c r="V4960" s="21" t="s">
        <v>727</v>
      </c>
      <c r="W4960" s="22">
        <v>4</v>
      </c>
      <c r="X4960" s="23"/>
    </row>
    <row r="4961" spans="1:24" s="1" customFormat="1" ht="108" customHeight="1" x14ac:dyDescent="0.3">
      <c r="A4961" s="11" t="s">
        <v>23</v>
      </c>
      <c r="B4961" s="11" t="s">
        <v>4376</v>
      </c>
      <c r="C4961" s="12" t="s">
        <v>4377</v>
      </c>
      <c r="D4961" s="25"/>
      <c r="E4961" s="41" t="str">
        <f>HYPERLINK("https://www.google.ru/search?q=1365936-500&amp;newwindow=1&amp;tbm=isch","Еще фото")</f>
        <v>Еще фото</v>
      </c>
      <c r="F4961" s="13"/>
      <c r="G4961" s="11" t="s">
        <v>4354</v>
      </c>
      <c r="H4961" s="11" t="s">
        <v>721</v>
      </c>
      <c r="I4961" s="14" t="s">
        <v>4355</v>
      </c>
      <c r="J4961" s="14" t="s">
        <v>43</v>
      </c>
      <c r="K4961" s="15" t="s">
        <v>59</v>
      </c>
      <c r="L4961" s="14" t="s">
        <v>4378</v>
      </c>
      <c r="M4961" s="14" t="s">
        <v>2899</v>
      </c>
      <c r="N4961" s="14" t="s">
        <v>79</v>
      </c>
      <c r="O4961" s="14" t="s">
        <v>945</v>
      </c>
      <c r="P4961" s="15" t="s">
        <v>2427</v>
      </c>
      <c r="Q4961" s="16">
        <v>3499</v>
      </c>
      <c r="R4961" s="17">
        <v>40</v>
      </c>
      <c r="S4961" s="18">
        <v>2414.31</v>
      </c>
      <c r="T4961" s="19" t="s">
        <v>725</v>
      </c>
      <c r="U4961" s="20" t="s">
        <v>726</v>
      </c>
      <c r="V4961" s="21" t="s">
        <v>727</v>
      </c>
      <c r="W4961" s="22">
        <v>4</v>
      </c>
      <c r="X4961" s="23"/>
    </row>
    <row r="4962" spans="1:24" s="1" customFormat="1" ht="108" customHeight="1" x14ac:dyDescent="0.3">
      <c r="A4962" s="11" t="s">
        <v>23</v>
      </c>
      <c r="B4962" s="11" t="s">
        <v>4379</v>
      </c>
      <c r="C4962" s="12" t="s">
        <v>4380</v>
      </c>
      <c r="D4962" s="25"/>
      <c r="E4962" s="41" t="str">
        <f>HYPERLINK("https://www.google.ru/search?q=1373098-767&amp;newwindow=1&amp;tbm=isch","Еще фото")</f>
        <v>Еще фото</v>
      </c>
      <c r="F4962" s="13"/>
      <c r="G4962" s="11" t="s">
        <v>4354</v>
      </c>
      <c r="H4962" s="11" t="s">
        <v>721</v>
      </c>
      <c r="I4962" s="14" t="s">
        <v>4355</v>
      </c>
      <c r="J4962" s="14" t="s">
        <v>43</v>
      </c>
      <c r="K4962" s="15" t="s">
        <v>59</v>
      </c>
      <c r="L4962" s="14" t="s">
        <v>4381</v>
      </c>
      <c r="M4962" s="14"/>
      <c r="N4962" s="14" t="s">
        <v>79</v>
      </c>
      <c r="O4962" s="14"/>
      <c r="P4962" s="15" t="s">
        <v>4382</v>
      </c>
      <c r="Q4962" s="16">
        <v>5399</v>
      </c>
      <c r="R4962" s="17">
        <v>40</v>
      </c>
      <c r="S4962" s="18">
        <v>3725.31</v>
      </c>
      <c r="T4962" s="19" t="s">
        <v>725</v>
      </c>
      <c r="U4962" s="20" t="s">
        <v>726</v>
      </c>
      <c r="V4962" s="21" t="s">
        <v>727</v>
      </c>
      <c r="W4962" s="22">
        <v>6</v>
      </c>
      <c r="X4962" s="23"/>
    </row>
    <row r="4963" spans="1:24" s="1" customFormat="1" ht="108" customHeight="1" x14ac:dyDescent="0.3">
      <c r="A4963" s="11" t="s">
        <v>23</v>
      </c>
      <c r="B4963" s="11" t="s">
        <v>4383</v>
      </c>
      <c r="C4963" s="12" t="s">
        <v>4384</v>
      </c>
      <c r="D4963" s="25"/>
      <c r="E4963" s="41" t="str">
        <f>HYPERLINK("https://www.google.ru/search?q=1373155-390&amp;newwindow=1&amp;tbm=isch","Еще фото")</f>
        <v>Еще фото</v>
      </c>
      <c r="F4963" s="28" t="s">
        <v>138</v>
      </c>
      <c r="G4963" s="11" t="s">
        <v>4354</v>
      </c>
      <c r="H4963" s="11" t="s">
        <v>721</v>
      </c>
      <c r="I4963" s="14" t="s">
        <v>4355</v>
      </c>
      <c r="J4963" s="14" t="s">
        <v>29</v>
      </c>
      <c r="K4963" s="15" t="s">
        <v>30</v>
      </c>
      <c r="L4963" s="14" t="s">
        <v>4385</v>
      </c>
      <c r="M4963" s="14"/>
      <c r="N4963" s="14" t="s">
        <v>127</v>
      </c>
      <c r="O4963" s="14"/>
      <c r="P4963" s="15" t="s">
        <v>2427</v>
      </c>
      <c r="Q4963" s="16">
        <v>2399</v>
      </c>
      <c r="R4963" s="17">
        <v>40</v>
      </c>
      <c r="S4963" s="18">
        <v>1655.31</v>
      </c>
      <c r="T4963" s="19" t="s">
        <v>725</v>
      </c>
      <c r="U4963" s="20" t="s">
        <v>726</v>
      </c>
      <c r="V4963" s="21" t="s">
        <v>4366</v>
      </c>
      <c r="W4963" s="22">
        <v>38</v>
      </c>
      <c r="X4963" s="23"/>
    </row>
    <row r="4964" spans="1:24" s="1" customFormat="1" ht="108" customHeight="1" x14ac:dyDescent="0.3">
      <c r="A4964" s="11" t="s">
        <v>23</v>
      </c>
      <c r="B4964" s="11" t="s">
        <v>4383</v>
      </c>
      <c r="C4964" s="12" t="s">
        <v>4386</v>
      </c>
      <c r="D4964" s="25"/>
      <c r="E4964" s="41" t="str">
        <f>HYPERLINK("https://www.google.ru/search?q=1373155-410&amp;newwindow=1&amp;tbm=isch","Еще фото")</f>
        <v>Еще фото</v>
      </c>
      <c r="F4964" s="28" t="s">
        <v>138</v>
      </c>
      <c r="G4964" s="11" t="s">
        <v>4354</v>
      </c>
      <c r="H4964" s="11" t="s">
        <v>721</v>
      </c>
      <c r="I4964" s="14" t="s">
        <v>4355</v>
      </c>
      <c r="J4964" s="14" t="s">
        <v>29</v>
      </c>
      <c r="K4964" s="15" t="s">
        <v>30</v>
      </c>
      <c r="L4964" s="14" t="s">
        <v>4385</v>
      </c>
      <c r="M4964" s="14"/>
      <c r="N4964" s="14" t="s">
        <v>115</v>
      </c>
      <c r="O4964" s="14"/>
      <c r="P4964" s="15" t="s">
        <v>2427</v>
      </c>
      <c r="Q4964" s="16">
        <v>2399</v>
      </c>
      <c r="R4964" s="17">
        <v>40</v>
      </c>
      <c r="S4964" s="18">
        <v>1655.31</v>
      </c>
      <c r="T4964" s="19" t="s">
        <v>725</v>
      </c>
      <c r="U4964" s="20" t="s">
        <v>726</v>
      </c>
      <c r="V4964" s="21" t="s">
        <v>4366</v>
      </c>
      <c r="W4964" s="22">
        <v>6</v>
      </c>
      <c r="X4964" s="23"/>
    </row>
    <row r="4965" spans="1:24" s="1" customFormat="1" ht="108" customHeight="1" x14ac:dyDescent="0.3">
      <c r="A4965" s="11" t="s">
        <v>23</v>
      </c>
      <c r="B4965" s="11" t="s">
        <v>4387</v>
      </c>
      <c r="C4965" s="12" t="s">
        <v>4388</v>
      </c>
      <c r="D4965" s="25"/>
      <c r="E4965" s="41" t="str">
        <f>HYPERLINK("https://www.google.ru/search?q=1379990-001&amp;newwindow=1&amp;tbm=isch","Еще фото")</f>
        <v>Еще фото</v>
      </c>
      <c r="F4965" s="13"/>
      <c r="G4965" s="11" t="s">
        <v>4354</v>
      </c>
      <c r="H4965" s="11" t="s">
        <v>721</v>
      </c>
      <c r="I4965" s="14" t="s">
        <v>4355</v>
      </c>
      <c r="J4965" s="14" t="s">
        <v>29</v>
      </c>
      <c r="K4965" s="15" t="s">
        <v>30</v>
      </c>
      <c r="L4965" s="14" t="s">
        <v>4389</v>
      </c>
      <c r="M4965" s="14"/>
      <c r="N4965" s="14" t="s">
        <v>33</v>
      </c>
      <c r="O4965" s="14"/>
      <c r="P4965" s="15" t="s">
        <v>2427</v>
      </c>
      <c r="Q4965" s="16">
        <v>4599</v>
      </c>
      <c r="R4965" s="17">
        <v>40</v>
      </c>
      <c r="S4965" s="18">
        <v>3173.31</v>
      </c>
      <c r="T4965" s="19" t="s">
        <v>725</v>
      </c>
      <c r="U4965" s="20" t="s">
        <v>726</v>
      </c>
      <c r="V4965" s="21" t="s">
        <v>4366</v>
      </c>
      <c r="W4965" s="22">
        <v>3</v>
      </c>
      <c r="X4965" s="23"/>
    </row>
    <row r="4966" spans="1:24" s="1" customFormat="1" ht="108" customHeight="1" x14ac:dyDescent="0.3">
      <c r="A4966" s="11" t="s">
        <v>23</v>
      </c>
      <c r="B4966" s="11" t="s">
        <v>4362</v>
      </c>
      <c r="C4966" s="12" t="s">
        <v>4390</v>
      </c>
      <c r="D4966" s="25"/>
      <c r="E4966" s="41" t="str">
        <f>HYPERLINK("https://www.google.ru/search?q=1386634-279&amp;newwindow=1&amp;tbm=isch","Еще фото")</f>
        <v>Еще фото</v>
      </c>
      <c r="F4966" s="13" t="s">
        <v>103</v>
      </c>
      <c r="G4966" s="11" t="s">
        <v>4354</v>
      </c>
      <c r="H4966" s="11" t="s">
        <v>721</v>
      </c>
      <c r="I4966" s="14" t="s">
        <v>4355</v>
      </c>
      <c r="J4966" s="14" t="s">
        <v>43</v>
      </c>
      <c r="K4966" s="15" t="s">
        <v>30</v>
      </c>
      <c r="L4966" s="14" t="s">
        <v>4364</v>
      </c>
      <c r="M4966" s="14"/>
      <c r="N4966" s="14" t="s">
        <v>2197</v>
      </c>
      <c r="O4966" s="14"/>
      <c r="P4966" s="15" t="s">
        <v>4365</v>
      </c>
      <c r="Q4966" s="16">
        <v>2999</v>
      </c>
      <c r="R4966" s="17">
        <v>40</v>
      </c>
      <c r="S4966" s="18">
        <v>2069.31</v>
      </c>
      <c r="T4966" s="19" t="s">
        <v>725</v>
      </c>
      <c r="U4966" s="20" t="s">
        <v>726</v>
      </c>
      <c r="V4966" s="21" t="s">
        <v>4366</v>
      </c>
      <c r="W4966" s="22">
        <v>1</v>
      </c>
      <c r="X4966" s="23"/>
    </row>
    <row r="4967" spans="1:24" s="1" customFormat="1" ht="108" customHeight="1" x14ac:dyDescent="0.3">
      <c r="A4967" s="11" t="s">
        <v>23</v>
      </c>
      <c r="B4967" s="11" t="s">
        <v>4391</v>
      </c>
      <c r="C4967" s="12" t="s">
        <v>4392</v>
      </c>
      <c r="D4967" s="25"/>
      <c r="E4967" s="41" t="str">
        <f>HYPERLINK("https://www.google.ru/search?q=1386648-001&amp;newwindow=1&amp;tbm=isch","Еще фото")</f>
        <v>Еще фото</v>
      </c>
      <c r="F4967" s="13" t="s">
        <v>103</v>
      </c>
      <c r="G4967" s="11" t="s">
        <v>4354</v>
      </c>
      <c r="H4967" s="11" t="s">
        <v>721</v>
      </c>
      <c r="I4967" s="14" t="s">
        <v>4355</v>
      </c>
      <c r="J4967" s="14" t="s">
        <v>29</v>
      </c>
      <c r="K4967" s="15" t="s">
        <v>723</v>
      </c>
      <c r="L4967" s="14" t="s">
        <v>4393</v>
      </c>
      <c r="M4967" s="14"/>
      <c r="N4967" s="14" t="s">
        <v>62</v>
      </c>
      <c r="O4967" s="14"/>
      <c r="P4967" s="15" t="s">
        <v>4394</v>
      </c>
      <c r="Q4967" s="16">
        <v>3799</v>
      </c>
      <c r="R4967" s="17">
        <v>40</v>
      </c>
      <c r="S4967" s="18">
        <v>2621.31</v>
      </c>
      <c r="T4967" s="19" t="s">
        <v>725</v>
      </c>
      <c r="U4967" s="20" t="s">
        <v>726</v>
      </c>
      <c r="V4967" s="21" t="s">
        <v>727</v>
      </c>
      <c r="W4967" s="22">
        <v>2</v>
      </c>
      <c r="X4967" s="23"/>
    </row>
    <row r="4968" spans="1:24" s="1" customFormat="1" ht="108" customHeight="1" x14ac:dyDescent="0.3">
      <c r="A4968" s="11" t="s">
        <v>23</v>
      </c>
      <c r="B4968" s="11" t="s">
        <v>4367</v>
      </c>
      <c r="C4968" s="12" t="s">
        <v>4395</v>
      </c>
      <c r="D4968" s="25"/>
      <c r="E4968" s="41" t="str">
        <f>HYPERLINK("https://www.google.ru/search?q=6007044-001&amp;newwindow=1&amp;tbm=isch","Еще фото")</f>
        <v>Еще фото</v>
      </c>
      <c r="F4968" s="13"/>
      <c r="G4968" s="11" t="s">
        <v>4354</v>
      </c>
      <c r="H4968" s="11" t="s">
        <v>721</v>
      </c>
      <c r="I4968" s="14" t="s">
        <v>4355</v>
      </c>
      <c r="J4968" s="14" t="s">
        <v>43</v>
      </c>
      <c r="K4968" s="15" t="s">
        <v>59</v>
      </c>
      <c r="L4968" s="14" t="s">
        <v>4369</v>
      </c>
      <c r="M4968" s="14"/>
      <c r="N4968" s="14" t="s">
        <v>33</v>
      </c>
      <c r="O4968" s="14"/>
      <c r="P4968" s="15" t="s">
        <v>2427</v>
      </c>
      <c r="Q4968" s="16">
        <v>2599</v>
      </c>
      <c r="R4968" s="17">
        <v>40</v>
      </c>
      <c r="S4968" s="18">
        <v>1793.31</v>
      </c>
      <c r="T4968" s="19" t="s">
        <v>725</v>
      </c>
      <c r="U4968" s="20" t="s">
        <v>726</v>
      </c>
      <c r="V4968" s="21" t="s">
        <v>727</v>
      </c>
      <c r="W4968" s="22">
        <v>3</v>
      </c>
      <c r="X4968" s="23"/>
    </row>
    <row r="4969" spans="1:24" s="1" customFormat="1" ht="108" customHeight="1" x14ac:dyDescent="0.3">
      <c r="A4969" s="11" t="s">
        <v>23</v>
      </c>
      <c r="B4969" s="11" t="s">
        <v>4396</v>
      </c>
      <c r="C4969" s="12" t="s">
        <v>4397</v>
      </c>
      <c r="D4969" s="25"/>
      <c r="E4969" s="41" t="str">
        <f>HYPERLINK("https://www.google.ru/search?q=1373120-001&amp;newwindow=1&amp;tbm=isch","Еще фото")</f>
        <v>Еще фото</v>
      </c>
      <c r="F4969" s="13"/>
      <c r="G4969" s="11" t="s">
        <v>4398</v>
      </c>
      <c r="H4969" s="11" t="s">
        <v>721</v>
      </c>
      <c r="I4969" s="14" t="s">
        <v>4399</v>
      </c>
      <c r="J4969" s="14" t="s">
        <v>29</v>
      </c>
      <c r="K4969" s="15" t="s">
        <v>30</v>
      </c>
      <c r="L4969" s="14" t="s">
        <v>4400</v>
      </c>
      <c r="M4969" s="14" t="s">
        <v>32</v>
      </c>
      <c r="N4969" s="14" t="s">
        <v>33</v>
      </c>
      <c r="O4969" s="14"/>
      <c r="P4969" s="15" t="s">
        <v>4401</v>
      </c>
      <c r="Q4969" s="16">
        <v>4399</v>
      </c>
      <c r="R4969" s="17">
        <v>40</v>
      </c>
      <c r="S4969" s="18">
        <v>3035.31</v>
      </c>
      <c r="T4969" s="19" t="s">
        <v>725</v>
      </c>
      <c r="U4969" s="20" t="s">
        <v>726</v>
      </c>
      <c r="V4969" s="21" t="s">
        <v>2630</v>
      </c>
      <c r="W4969" s="22">
        <v>4</v>
      </c>
      <c r="X4969" s="23"/>
    </row>
    <row r="4970" spans="1:24" s="1" customFormat="1" ht="35" customHeight="1" x14ac:dyDescent="0.3">
      <c r="A4970" s="11" t="s">
        <v>23</v>
      </c>
      <c r="B4970" s="11" t="s">
        <v>4402</v>
      </c>
      <c r="C4970" s="12" t="s">
        <v>4403</v>
      </c>
      <c r="D4970" s="59"/>
      <c r="E4970" s="41" t="str">
        <f>HYPERLINK("https://www.google.ru/search?q=1386885-505&amp;newwindow=1&amp;tbm=isch","Еще фото")</f>
        <v>Еще фото</v>
      </c>
      <c r="F4970" s="13"/>
      <c r="G4970" s="11" t="s">
        <v>4404</v>
      </c>
      <c r="H4970" s="11" t="s">
        <v>27</v>
      </c>
      <c r="I4970" s="14" t="s">
        <v>4404</v>
      </c>
      <c r="J4970" s="14" t="s">
        <v>29</v>
      </c>
      <c r="K4970" s="15" t="s">
        <v>30</v>
      </c>
      <c r="L4970" s="57" t="s">
        <v>4405</v>
      </c>
      <c r="M4970" s="14"/>
      <c r="N4970" s="14" t="s">
        <v>79</v>
      </c>
      <c r="O4970" s="14"/>
      <c r="P4970" s="15" t="s">
        <v>120</v>
      </c>
      <c r="Q4970" s="16">
        <v>13099</v>
      </c>
      <c r="R4970" s="17">
        <v>61.69</v>
      </c>
      <c r="S4970" s="18">
        <v>5770.4355000000005</v>
      </c>
      <c r="T4970" s="19" t="s">
        <v>36</v>
      </c>
      <c r="U4970" s="20" t="s">
        <v>37</v>
      </c>
      <c r="V4970" s="21" t="s">
        <v>38</v>
      </c>
      <c r="W4970" s="22">
        <v>1</v>
      </c>
      <c r="X4970" s="23"/>
    </row>
    <row r="4971" spans="1:24" s="1" customFormat="1" ht="35" customHeight="1" x14ac:dyDescent="0.3">
      <c r="A4971" s="24" t="s">
        <v>23</v>
      </c>
      <c r="B4971" s="24" t="s">
        <v>4402</v>
      </c>
      <c r="C4971" s="12" t="s">
        <v>4403</v>
      </c>
      <c r="D4971" s="60"/>
      <c r="E4971" s="41" t="str">
        <f>HYPERLINK("https://www.google.ru/search?q=1386885-505&amp;newwindow=1&amp;tbm=isch","Еще фото")</f>
        <v>Еще фото</v>
      </c>
      <c r="F4971" s="13"/>
      <c r="G4971" s="24" t="s">
        <v>4404</v>
      </c>
      <c r="H4971" s="24" t="s">
        <v>27</v>
      </c>
      <c r="I4971" s="24" t="s">
        <v>4404</v>
      </c>
      <c r="J4971" s="14" t="s">
        <v>29</v>
      </c>
      <c r="K4971" s="15" t="s">
        <v>30</v>
      </c>
      <c r="L4971" s="62"/>
      <c r="M4971" s="14"/>
      <c r="N4971" s="14" t="s">
        <v>79</v>
      </c>
      <c r="O4971" s="14"/>
      <c r="P4971" s="15" t="s">
        <v>120</v>
      </c>
      <c r="Q4971" s="16">
        <v>13099</v>
      </c>
      <c r="R4971" s="17">
        <v>61.69</v>
      </c>
      <c r="S4971" s="18">
        <v>5770.4355000000005</v>
      </c>
      <c r="T4971" s="19" t="s">
        <v>36</v>
      </c>
      <c r="U4971" s="20" t="s">
        <v>86</v>
      </c>
      <c r="V4971" s="21" t="s">
        <v>87</v>
      </c>
      <c r="W4971" s="22">
        <v>2</v>
      </c>
      <c r="X4971" s="23"/>
    </row>
    <row r="4972" spans="1:24" s="1" customFormat="1" ht="37.049999999999997" customHeight="1" x14ac:dyDescent="0.3">
      <c r="A4972" s="24" t="s">
        <v>23</v>
      </c>
      <c r="B4972" s="24" t="s">
        <v>4402</v>
      </c>
      <c r="C4972" s="12" t="s">
        <v>4403</v>
      </c>
      <c r="D4972" s="61"/>
      <c r="E4972" s="41" t="str">
        <f>HYPERLINK("https://www.google.ru/search?q=1386885-505&amp;newwindow=1&amp;tbm=isch","Еще фото")</f>
        <v>Еще фото</v>
      </c>
      <c r="F4972" s="13"/>
      <c r="G4972" s="24" t="s">
        <v>4404</v>
      </c>
      <c r="H4972" s="24" t="s">
        <v>27</v>
      </c>
      <c r="I4972" s="24" t="s">
        <v>4404</v>
      </c>
      <c r="J4972" s="14" t="s">
        <v>29</v>
      </c>
      <c r="K4972" s="15" t="s">
        <v>30</v>
      </c>
      <c r="L4972" s="58"/>
      <c r="M4972" s="14"/>
      <c r="N4972" s="14" t="s">
        <v>79</v>
      </c>
      <c r="O4972" s="14"/>
      <c r="P4972" s="15" t="s">
        <v>120</v>
      </c>
      <c r="Q4972" s="16">
        <v>13099</v>
      </c>
      <c r="R4972" s="17">
        <v>61.69</v>
      </c>
      <c r="S4972" s="18">
        <v>5770.4355000000005</v>
      </c>
      <c r="T4972" s="19" t="s">
        <v>36</v>
      </c>
      <c r="U4972" s="20" t="s">
        <v>88</v>
      </c>
      <c r="V4972" s="21" t="s">
        <v>89</v>
      </c>
      <c r="W4972" s="22">
        <v>1</v>
      </c>
      <c r="X4972" s="23"/>
    </row>
    <row r="4973" spans="1:24" s="1" customFormat="1" ht="35" customHeight="1" x14ac:dyDescent="0.3">
      <c r="A4973" s="11" t="s">
        <v>23</v>
      </c>
      <c r="B4973" s="11" t="s">
        <v>4406</v>
      </c>
      <c r="C4973" s="12" t="s">
        <v>4407</v>
      </c>
      <c r="D4973" s="59"/>
      <c r="E4973" s="41" t="str">
        <f>HYPERLINK("https://www.google.ru/search?q=1384217-505&amp;newwindow=1&amp;tbm=isch","Еще фото")</f>
        <v>Еще фото</v>
      </c>
      <c r="F4973" s="13"/>
      <c r="G4973" s="11" t="s">
        <v>4404</v>
      </c>
      <c r="H4973" s="11" t="s">
        <v>27</v>
      </c>
      <c r="I4973" s="14" t="s">
        <v>4404</v>
      </c>
      <c r="J4973" s="14" t="s">
        <v>29</v>
      </c>
      <c r="K4973" s="15" t="s">
        <v>30</v>
      </c>
      <c r="L4973" s="57" t="s">
        <v>4408</v>
      </c>
      <c r="M4973" s="14"/>
      <c r="N4973" s="14" t="s">
        <v>79</v>
      </c>
      <c r="O4973" s="14"/>
      <c r="P4973" s="15" t="s">
        <v>1008</v>
      </c>
      <c r="Q4973" s="16">
        <v>12099</v>
      </c>
      <c r="R4973" s="17">
        <v>61.67</v>
      </c>
      <c r="S4973" s="18">
        <v>5333.4355000000005</v>
      </c>
      <c r="T4973" s="19" t="s">
        <v>36</v>
      </c>
      <c r="U4973" s="20" t="s">
        <v>37</v>
      </c>
      <c r="V4973" s="21" t="s">
        <v>38</v>
      </c>
      <c r="W4973" s="22">
        <v>4</v>
      </c>
      <c r="X4973" s="23"/>
    </row>
    <row r="4974" spans="1:24" s="1" customFormat="1" ht="35" customHeight="1" x14ac:dyDescent="0.3">
      <c r="A4974" s="24" t="s">
        <v>23</v>
      </c>
      <c r="B4974" s="24" t="s">
        <v>4406</v>
      </c>
      <c r="C4974" s="12" t="s">
        <v>4407</v>
      </c>
      <c r="D4974" s="60"/>
      <c r="E4974" s="41" t="str">
        <f>HYPERLINK("https://www.google.ru/search?q=1384217-505&amp;newwindow=1&amp;tbm=isch","Еще фото")</f>
        <v>Еще фото</v>
      </c>
      <c r="F4974" s="13"/>
      <c r="G4974" s="24" t="s">
        <v>4404</v>
      </c>
      <c r="H4974" s="24" t="s">
        <v>27</v>
      </c>
      <c r="I4974" s="24" t="s">
        <v>4404</v>
      </c>
      <c r="J4974" s="14" t="s">
        <v>29</v>
      </c>
      <c r="K4974" s="15" t="s">
        <v>30</v>
      </c>
      <c r="L4974" s="62"/>
      <c r="M4974" s="14"/>
      <c r="N4974" s="14" t="s">
        <v>79</v>
      </c>
      <c r="O4974" s="14"/>
      <c r="P4974" s="15" t="s">
        <v>1008</v>
      </c>
      <c r="Q4974" s="16">
        <v>12099</v>
      </c>
      <c r="R4974" s="17">
        <v>61.67</v>
      </c>
      <c r="S4974" s="18">
        <v>5333.4355000000005</v>
      </c>
      <c r="T4974" s="19" t="s">
        <v>36</v>
      </c>
      <c r="U4974" s="20" t="s">
        <v>39</v>
      </c>
      <c r="V4974" s="21" t="s">
        <v>40</v>
      </c>
      <c r="W4974" s="22">
        <v>16</v>
      </c>
      <c r="X4974" s="23"/>
    </row>
    <row r="4975" spans="1:24" s="1" customFormat="1" ht="37.049999999999997" customHeight="1" x14ac:dyDescent="0.3">
      <c r="A4975" s="24" t="s">
        <v>23</v>
      </c>
      <c r="B4975" s="24" t="s">
        <v>4406</v>
      </c>
      <c r="C4975" s="12" t="s">
        <v>4407</v>
      </c>
      <c r="D4975" s="61"/>
      <c r="E4975" s="41" t="str">
        <f>HYPERLINK("https://www.google.ru/search?q=1384217-505&amp;newwindow=1&amp;tbm=isch","Еще фото")</f>
        <v>Еще фото</v>
      </c>
      <c r="F4975" s="13"/>
      <c r="G4975" s="24" t="s">
        <v>4404</v>
      </c>
      <c r="H4975" s="24" t="s">
        <v>27</v>
      </c>
      <c r="I4975" s="24" t="s">
        <v>4404</v>
      </c>
      <c r="J4975" s="14" t="s">
        <v>29</v>
      </c>
      <c r="K4975" s="15" t="s">
        <v>30</v>
      </c>
      <c r="L4975" s="58"/>
      <c r="M4975" s="14"/>
      <c r="N4975" s="14" t="s">
        <v>79</v>
      </c>
      <c r="O4975" s="14"/>
      <c r="P4975" s="15" t="s">
        <v>1008</v>
      </c>
      <c r="Q4975" s="16">
        <v>12099</v>
      </c>
      <c r="R4975" s="17">
        <v>61.67</v>
      </c>
      <c r="S4975" s="18">
        <v>5333.4355000000005</v>
      </c>
      <c r="T4975" s="19" t="s">
        <v>36</v>
      </c>
      <c r="U4975" s="20" t="s">
        <v>86</v>
      </c>
      <c r="V4975" s="21" t="s">
        <v>87</v>
      </c>
      <c r="W4975" s="22">
        <v>1</v>
      </c>
      <c r="X4975" s="23"/>
    </row>
    <row r="4976" spans="1:24" s="1" customFormat="1" ht="26" customHeight="1" x14ac:dyDescent="0.3">
      <c r="A4976" s="11" t="s">
        <v>23</v>
      </c>
      <c r="B4976" s="11" t="s">
        <v>4409</v>
      </c>
      <c r="C4976" s="12" t="s">
        <v>4410</v>
      </c>
      <c r="D4976" s="59"/>
      <c r="E4976" s="41" t="str">
        <f>HYPERLINK("https://www.google.ru/search?q=1390257-001&amp;newwindow=1&amp;tbm=isch","Еще фото")</f>
        <v>Еще фото</v>
      </c>
      <c r="F4976" s="13"/>
      <c r="G4976" s="11" t="s">
        <v>4404</v>
      </c>
      <c r="H4976" s="11" t="s">
        <v>27</v>
      </c>
      <c r="I4976" s="14" t="s">
        <v>4404</v>
      </c>
      <c r="J4976" s="14" t="s">
        <v>43</v>
      </c>
      <c r="K4976" s="15" t="s">
        <v>30</v>
      </c>
      <c r="L4976" s="57" t="s">
        <v>4411</v>
      </c>
      <c r="M4976" s="14"/>
      <c r="N4976" s="14" t="s">
        <v>33</v>
      </c>
      <c r="O4976" s="14"/>
      <c r="P4976" s="15" t="s">
        <v>47</v>
      </c>
      <c r="Q4976" s="16">
        <v>16599</v>
      </c>
      <c r="R4976" s="17">
        <v>49.77</v>
      </c>
      <c r="S4976" s="18">
        <v>9588.4354999999996</v>
      </c>
      <c r="T4976" s="19" t="s">
        <v>36</v>
      </c>
      <c r="U4976" s="20" t="s">
        <v>37</v>
      </c>
      <c r="V4976" s="21" t="s">
        <v>38</v>
      </c>
      <c r="W4976" s="22">
        <v>9</v>
      </c>
      <c r="X4976" s="23"/>
    </row>
    <row r="4977" spans="1:24" s="1" customFormat="1" ht="26" customHeight="1" x14ac:dyDescent="0.3">
      <c r="A4977" s="24" t="s">
        <v>23</v>
      </c>
      <c r="B4977" s="24" t="s">
        <v>4409</v>
      </c>
      <c r="C4977" s="12" t="s">
        <v>4410</v>
      </c>
      <c r="D4977" s="60"/>
      <c r="E4977" s="41" t="str">
        <f>HYPERLINK("https://www.google.ru/search?q=1390257-001&amp;newwindow=1&amp;tbm=isch","Еще фото")</f>
        <v>Еще фото</v>
      </c>
      <c r="F4977" s="13"/>
      <c r="G4977" s="24" t="s">
        <v>4404</v>
      </c>
      <c r="H4977" s="24" t="s">
        <v>27</v>
      </c>
      <c r="I4977" s="24" t="s">
        <v>4404</v>
      </c>
      <c r="J4977" s="14" t="s">
        <v>43</v>
      </c>
      <c r="K4977" s="15" t="s">
        <v>30</v>
      </c>
      <c r="L4977" s="62"/>
      <c r="M4977" s="14"/>
      <c r="N4977" s="14" t="s">
        <v>33</v>
      </c>
      <c r="O4977" s="14"/>
      <c r="P4977" s="15" t="s">
        <v>47</v>
      </c>
      <c r="Q4977" s="16">
        <v>16599</v>
      </c>
      <c r="R4977" s="17">
        <v>49.77</v>
      </c>
      <c r="S4977" s="18">
        <v>9588.4354999999996</v>
      </c>
      <c r="T4977" s="19" t="s">
        <v>36</v>
      </c>
      <c r="U4977" s="20" t="s">
        <v>39</v>
      </c>
      <c r="V4977" s="21" t="s">
        <v>40</v>
      </c>
      <c r="W4977" s="22">
        <v>13</v>
      </c>
      <c r="X4977" s="23"/>
    </row>
    <row r="4978" spans="1:24" s="1" customFormat="1" ht="26" customHeight="1" x14ac:dyDescent="0.3">
      <c r="A4978" s="24" t="s">
        <v>23</v>
      </c>
      <c r="B4978" s="24" t="s">
        <v>4409</v>
      </c>
      <c r="C4978" s="12" t="s">
        <v>4410</v>
      </c>
      <c r="D4978" s="60"/>
      <c r="E4978" s="41" t="str">
        <f>HYPERLINK("https://www.google.ru/search?q=1390257-001&amp;newwindow=1&amp;tbm=isch","Еще фото")</f>
        <v>Еще фото</v>
      </c>
      <c r="F4978" s="13"/>
      <c r="G4978" s="24" t="s">
        <v>4404</v>
      </c>
      <c r="H4978" s="24" t="s">
        <v>27</v>
      </c>
      <c r="I4978" s="24" t="s">
        <v>4404</v>
      </c>
      <c r="J4978" s="14" t="s">
        <v>43</v>
      </c>
      <c r="K4978" s="15" t="s">
        <v>30</v>
      </c>
      <c r="L4978" s="62"/>
      <c r="M4978" s="14"/>
      <c r="N4978" s="14" t="s">
        <v>33</v>
      </c>
      <c r="O4978" s="14"/>
      <c r="P4978" s="15" t="s">
        <v>47</v>
      </c>
      <c r="Q4978" s="16">
        <v>16599</v>
      </c>
      <c r="R4978" s="17">
        <v>49.77</v>
      </c>
      <c r="S4978" s="18">
        <v>9588.4354999999996</v>
      </c>
      <c r="T4978" s="19" t="s">
        <v>36</v>
      </c>
      <c r="U4978" s="20" t="s">
        <v>86</v>
      </c>
      <c r="V4978" s="21" t="s">
        <v>87</v>
      </c>
      <c r="W4978" s="22">
        <v>8</v>
      </c>
      <c r="X4978" s="23"/>
    </row>
    <row r="4979" spans="1:24" s="1" customFormat="1" ht="26" customHeight="1" x14ac:dyDescent="0.3">
      <c r="A4979" s="24" t="s">
        <v>23</v>
      </c>
      <c r="B4979" s="24" t="s">
        <v>4409</v>
      </c>
      <c r="C4979" s="12" t="s">
        <v>4410</v>
      </c>
      <c r="D4979" s="61"/>
      <c r="E4979" s="41" t="str">
        <f>HYPERLINK("https://www.google.ru/search?q=1390257-001&amp;newwindow=1&amp;tbm=isch","Еще фото")</f>
        <v>Еще фото</v>
      </c>
      <c r="F4979" s="13"/>
      <c r="G4979" s="24" t="s">
        <v>4404</v>
      </c>
      <c r="H4979" s="24" t="s">
        <v>27</v>
      </c>
      <c r="I4979" s="24" t="s">
        <v>4404</v>
      </c>
      <c r="J4979" s="14" t="s">
        <v>43</v>
      </c>
      <c r="K4979" s="15" t="s">
        <v>30</v>
      </c>
      <c r="L4979" s="58"/>
      <c r="M4979" s="14"/>
      <c r="N4979" s="14" t="s">
        <v>33</v>
      </c>
      <c r="O4979" s="14"/>
      <c r="P4979" s="15" t="s">
        <v>47</v>
      </c>
      <c r="Q4979" s="16">
        <v>16599</v>
      </c>
      <c r="R4979" s="17">
        <v>49.77</v>
      </c>
      <c r="S4979" s="18">
        <v>9588.4354999999996</v>
      </c>
      <c r="T4979" s="19" t="s">
        <v>36</v>
      </c>
      <c r="U4979" s="20" t="s">
        <v>90</v>
      </c>
      <c r="V4979" s="21" t="s">
        <v>91</v>
      </c>
      <c r="W4979" s="22">
        <v>3</v>
      </c>
      <c r="X4979" s="23"/>
    </row>
    <row r="4980" spans="1:24" s="1" customFormat="1" ht="52.05" customHeight="1" x14ac:dyDescent="0.3">
      <c r="A4980" s="11" t="s">
        <v>23</v>
      </c>
      <c r="B4980" s="11" t="s">
        <v>4409</v>
      </c>
      <c r="C4980" s="12" t="s">
        <v>4412</v>
      </c>
      <c r="D4980" s="55"/>
      <c r="E4980" s="41" t="str">
        <f>HYPERLINK("https://www.google.ru/search?q=1390257-251&amp;newwindow=1&amp;tbm=isch","Еще фото")</f>
        <v>Еще фото</v>
      </c>
      <c r="F4980" s="13"/>
      <c r="G4980" s="11" t="s">
        <v>4404</v>
      </c>
      <c r="H4980" s="11" t="s">
        <v>27</v>
      </c>
      <c r="I4980" s="14" t="s">
        <v>4404</v>
      </c>
      <c r="J4980" s="14" t="s">
        <v>43</v>
      </c>
      <c r="K4980" s="15" t="s">
        <v>30</v>
      </c>
      <c r="L4980" s="57" t="s">
        <v>4411</v>
      </c>
      <c r="M4980" s="14"/>
      <c r="N4980" s="14" t="s">
        <v>127</v>
      </c>
      <c r="O4980" s="14"/>
      <c r="P4980" s="15" t="s">
        <v>47</v>
      </c>
      <c r="Q4980" s="16">
        <v>16599</v>
      </c>
      <c r="R4980" s="17">
        <v>49.77</v>
      </c>
      <c r="S4980" s="18">
        <v>9588.4354999999996</v>
      </c>
      <c r="T4980" s="19" t="s">
        <v>36</v>
      </c>
      <c r="U4980" s="20" t="s">
        <v>37</v>
      </c>
      <c r="V4980" s="21" t="s">
        <v>38</v>
      </c>
      <c r="W4980" s="22">
        <v>2</v>
      </c>
      <c r="X4980" s="23"/>
    </row>
    <row r="4981" spans="1:24" s="1" customFormat="1" ht="61.05" customHeight="1" x14ac:dyDescent="0.3">
      <c r="A4981" s="24" t="s">
        <v>23</v>
      </c>
      <c r="B4981" s="24" t="s">
        <v>4409</v>
      </c>
      <c r="C4981" s="12" t="s">
        <v>4412</v>
      </c>
      <c r="D4981" s="56"/>
      <c r="E4981" s="41" t="str">
        <f>HYPERLINK("https://www.google.ru/search?q=1390257-251&amp;newwindow=1&amp;tbm=isch","Еще фото")</f>
        <v>Еще фото</v>
      </c>
      <c r="F4981" s="13"/>
      <c r="G4981" s="24" t="s">
        <v>4404</v>
      </c>
      <c r="H4981" s="24" t="s">
        <v>27</v>
      </c>
      <c r="I4981" s="24" t="s">
        <v>4404</v>
      </c>
      <c r="J4981" s="14" t="s">
        <v>43</v>
      </c>
      <c r="K4981" s="15" t="s">
        <v>30</v>
      </c>
      <c r="L4981" s="58"/>
      <c r="M4981" s="14"/>
      <c r="N4981" s="14" t="s">
        <v>127</v>
      </c>
      <c r="O4981" s="14"/>
      <c r="P4981" s="15" t="s">
        <v>47</v>
      </c>
      <c r="Q4981" s="16">
        <v>16599</v>
      </c>
      <c r="R4981" s="17">
        <v>49.77</v>
      </c>
      <c r="S4981" s="18">
        <v>9588.4354999999996</v>
      </c>
      <c r="T4981" s="19" t="s">
        <v>36</v>
      </c>
      <c r="U4981" s="20" t="s">
        <v>39</v>
      </c>
      <c r="V4981" s="21" t="s">
        <v>40</v>
      </c>
      <c r="W4981" s="22">
        <v>7</v>
      </c>
      <c r="X4981" s="23"/>
    </row>
    <row r="4982" spans="1:24" s="1" customFormat="1" ht="26" customHeight="1" x14ac:dyDescent="0.3">
      <c r="A4982" s="11" t="s">
        <v>23</v>
      </c>
      <c r="B4982" s="11" t="s">
        <v>4413</v>
      </c>
      <c r="C4982" s="12" t="s">
        <v>4414</v>
      </c>
      <c r="D4982" s="59"/>
      <c r="E4982" s="41" t="str">
        <f>HYPERLINK("https://www.google.ru/search?q=1387773-800&amp;newwindow=1&amp;tbm=isch","Еще фото")</f>
        <v>Еще фото</v>
      </c>
      <c r="F4982" s="13"/>
      <c r="G4982" s="11" t="s">
        <v>4404</v>
      </c>
      <c r="H4982" s="11" t="s">
        <v>27</v>
      </c>
      <c r="I4982" s="14" t="s">
        <v>4404</v>
      </c>
      <c r="J4982" s="14" t="s">
        <v>29</v>
      </c>
      <c r="K4982" s="15" t="s">
        <v>30</v>
      </c>
      <c r="L4982" s="57" t="s">
        <v>4415</v>
      </c>
      <c r="M4982" s="14"/>
      <c r="N4982" s="14" t="s">
        <v>2005</v>
      </c>
      <c r="O4982" s="14"/>
      <c r="P4982" s="15" t="s">
        <v>1008</v>
      </c>
      <c r="Q4982" s="16">
        <v>12099</v>
      </c>
      <c r="R4982" s="17">
        <v>49.77</v>
      </c>
      <c r="S4982" s="18">
        <v>6989.4354999999996</v>
      </c>
      <c r="T4982" s="19" t="s">
        <v>36</v>
      </c>
      <c r="U4982" s="20" t="s">
        <v>37</v>
      </c>
      <c r="V4982" s="21" t="s">
        <v>38</v>
      </c>
      <c r="W4982" s="22">
        <v>8</v>
      </c>
      <c r="X4982" s="23"/>
    </row>
    <row r="4983" spans="1:24" s="1" customFormat="1" ht="26" customHeight="1" x14ac:dyDescent="0.3">
      <c r="A4983" s="24" t="s">
        <v>23</v>
      </c>
      <c r="B4983" s="24" t="s">
        <v>4413</v>
      </c>
      <c r="C4983" s="12" t="s">
        <v>4414</v>
      </c>
      <c r="D4983" s="60"/>
      <c r="E4983" s="41" t="str">
        <f>HYPERLINK("https://www.google.ru/search?q=1387773-800&amp;newwindow=1&amp;tbm=isch","Еще фото")</f>
        <v>Еще фото</v>
      </c>
      <c r="F4983" s="13"/>
      <c r="G4983" s="24" t="s">
        <v>4404</v>
      </c>
      <c r="H4983" s="24" t="s">
        <v>27</v>
      </c>
      <c r="I4983" s="24" t="s">
        <v>4404</v>
      </c>
      <c r="J4983" s="14" t="s">
        <v>29</v>
      </c>
      <c r="K4983" s="15" t="s">
        <v>30</v>
      </c>
      <c r="L4983" s="62"/>
      <c r="M4983" s="14"/>
      <c r="N4983" s="14" t="s">
        <v>2005</v>
      </c>
      <c r="O4983" s="14"/>
      <c r="P4983" s="15" t="s">
        <v>1008</v>
      </c>
      <c r="Q4983" s="16">
        <v>12099</v>
      </c>
      <c r="R4983" s="17">
        <v>49.77</v>
      </c>
      <c r="S4983" s="18">
        <v>6989.4354999999996</v>
      </c>
      <c r="T4983" s="19" t="s">
        <v>36</v>
      </c>
      <c r="U4983" s="20" t="s">
        <v>39</v>
      </c>
      <c r="V4983" s="21" t="s">
        <v>40</v>
      </c>
      <c r="W4983" s="22">
        <v>7</v>
      </c>
      <c r="X4983" s="23"/>
    </row>
    <row r="4984" spans="1:24" s="1" customFormat="1" ht="26" customHeight="1" x14ac:dyDescent="0.3">
      <c r="A4984" s="24" t="s">
        <v>23</v>
      </c>
      <c r="B4984" s="24" t="s">
        <v>4413</v>
      </c>
      <c r="C4984" s="12" t="s">
        <v>4414</v>
      </c>
      <c r="D4984" s="60"/>
      <c r="E4984" s="41" t="str">
        <f>HYPERLINK("https://www.google.ru/search?q=1387773-800&amp;newwindow=1&amp;tbm=isch","Еще фото")</f>
        <v>Еще фото</v>
      </c>
      <c r="F4984" s="13"/>
      <c r="G4984" s="24" t="s">
        <v>4404</v>
      </c>
      <c r="H4984" s="24" t="s">
        <v>27</v>
      </c>
      <c r="I4984" s="24" t="s">
        <v>4404</v>
      </c>
      <c r="J4984" s="14" t="s">
        <v>29</v>
      </c>
      <c r="K4984" s="15" t="s">
        <v>30</v>
      </c>
      <c r="L4984" s="62"/>
      <c r="M4984" s="14"/>
      <c r="N4984" s="14" t="s">
        <v>2005</v>
      </c>
      <c r="O4984" s="14"/>
      <c r="P4984" s="15" t="s">
        <v>1008</v>
      </c>
      <c r="Q4984" s="16">
        <v>12099</v>
      </c>
      <c r="R4984" s="17">
        <v>49.77</v>
      </c>
      <c r="S4984" s="18">
        <v>6989.4354999999996</v>
      </c>
      <c r="T4984" s="19" t="s">
        <v>36</v>
      </c>
      <c r="U4984" s="20" t="s">
        <v>86</v>
      </c>
      <c r="V4984" s="21" t="s">
        <v>87</v>
      </c>
      <c r="W4984" s="22">
        <v>5</v>
      </c>
      <c r="X4984" s="23"/>
    </row>
    <row r="4985" spans="1:24" s="1" customFormat="1" ht="26" customHeight="1" x14ac:dyDescent="0.3">
      <c r="A4985" s="24" t="s">
        <v>23</v>
      </c>
      <c r="B4985" s="24" t="s">
        <v>4413</v>
      </c>
      <c r="C4985" s="12" t="s">
        <v>4414</v>
      </c>
      <c r="D4985" s="61"/>
      <c r="E4985" s="41" t="str">
        <f>HYPERLINK("https://www.google.ru/search?q=1387773-800&amp;newwindow=1&amp;tbm=isch","Еще фото")</f>
        <v>Еще фото</v>
      </c>
      <c r="F4985" s="13"/>
      <c r="G4985" s="24" t="s">
        <v>4404</v>
      </c>
      <c r="H4985" s="24" t="s">
        <v>27</v>
      </c>
      <c r="I4985" s="24" t="s">
        <v>4404</v>
      </c>
      <c r="J4985" s="14" t="s">
        <v>29</v>
      </c>
      <c r="K4985" s="15" t="s">
        <v>30</v>
      </c>
      <c r="L4985" s="58"/>
      <c r="M4985" s="14"/>
      <c r="N4985" s="14" t="s">
        <v>2005</v>
      </c>
      <c r="O4985" s="14"/>
      <c r="P4985" s="15" t="s">
        <v>1008</v>
      </c>
      <c r="Q4985" s="16">
        <v>12099</v>
      </c>
      <c r="R4985" s="17">
        <v>49.77</v>
      </c>
      <c r="S4985" s="18">
        <v>6989.4354999999996</v>
      </c>
      <c r="T4985" s="19" t="s">
        <v>36</v>
      </c>
      <c r="U4985" s="20" t="s">
        <v>88</v>
      </c>
      <c r="V4985" s="21" t="s">
        <v>89</v>
      </c>
      <c r="W4985" s="22">
        <v>3</v>
      </c>
      <c r="X4985" s="23"/>
    </row>
    <row r="4986" spans="1:24" s="1" customFormat="1" ht="52.05" customHeight="1" x14ac:dyDescent="0.3">
      <c r="A4986" s="11" t="s">
        <v>23</v>
      </c>
      <c r="B4986" s="11" t="s">
        <v>4416</v>
      </c>
      <c r="C4986" s="12" t="s">
        <v>4417</v>
      </c>
      <c r="D4986" s="55"/>
      <c r="E4986" s="41" t="str">
        <f>HYPERLINK("https://www.google.ru/search?q=1386901-709&amp;newwindow=1&amp;tbm=isch","Еще фото")</f>
        <v>Еще фото</v>
      </c>
      <c r="F4986" s="13"/>
      <c r="G4986" s="11" t="s">
        <v>4404</v>
      </c>
      <c r="H4986" s="11" t="s">
        <v>27</v>
      </c>
      <c r="I4986" s="14" t="s">
        <v>4404</v>
      </c>
      <c r="J4986" s="14" t="s">
        <v>29</v>
      </c>
      <c r="K4986" s="15" t="s">
        <v>30</v>
      </c>
      <c r="L4986" s="57" t="s">
        <v>4418</v>
      </c>
      <c r="M4986" s="14"/>
      <c r="N4986" s="14" t="s">
        <v>62</v>
      </c>
      <c r="O4986" s="14"/>
      <c r="P4986" s="15" t="s">
        <v>302</v>
      </c>
      <c r="Q4986" s="16">
        <v>14699</v>
      </c>
      <c r="R4986" s="17">
        <v>49.74</v>
      </c>
      <c r="S4986" s="18">
        <v>8495.9354999999996</v>
      </c>
      <c r="T4986" s="19" t="s">
        <v>36</v>
      </c>
      <c r="U4986" s="20" t="s">
        <v>63</v>
      </c>
      <c r="V4986" s="21" t="s">
        <v>85</v>
      </c>
      <c r="W4986" s="22">
        <v>1</v>
      </c>
      <c r="X4986" s="23"/>
    </row>
    <row r="4987" spans="1:24" s="1" customFormat="1" ht="61.05" customHeight="1" x14ac:dyDescent="0.3">
      <c r="A4987" s="24" t="s">
        <v>23</v>
      </c>
      <c r="B4987" s="24" t="s">
        <v>4416</v>
      </c>
      <c r="C4987" s="12" t="s">
        <v>4417</v>
      </c>
      <c r="D4987" s="56"/>
      <c r="E4987" s="41" t="str">
        <f>HYPERLINK("https://www.google.ru/search?q=1386901-709&amp;newwindow=1&amp;tbm=isch","Еще фото")</f>
        <v>Еще фото</v>
      </c>
      <c r="F4987" s="13"/>
      <c r="G4987" s="24" t="s">
        <v>4404</v>
      </c>
      <c r="H4987" s="24" t="s">
        <v>27</v>
      </c>
      <c r="I4987" s="24" t="s">
        <v>4404</v>
      </c>
      <c r="J4987" s="14" t="s">
        <v>29</v>
      </c>
      <c r="K4987" s="15" t="s">
        <v>30</v>
      </c>
      <c r="L4987" s="58"/>
      <c r="M4987" s="14"/>
      <c r="N4987" s="14" t="s">
        <v>62</v>
      </c>
      <c r="O4987" s="14"/>
      <c r="P4987" s="15" t="s">
        <v>302</v>
      </c>
      <c r="Q4987" s="16">
        <v>14699</v>
      </c>
      <c r="R4987" s="17">
        <v>49.74</v>
      </c>
      <c r="S4987" s="18">
        <v>8495.9354999999996</v>
      </c>
      <c r="T4987" s="19" t="s">
        <v>36</v>
      </c>
      <c r="U4987" s="20" t="s">
        <v>37</v>
      </c>
      <c r="V4987" s="21" t="s">
        <v>38</v>
      </c>
      <c r="W4987" s="22">
        <v>5</v>
      </c>
      <c r="X4987" s="23"/>
    </row>
    <row r="4988" spans="1:24" s="1" customFormat="1" ht="21" customHeight="1" x14ac:dyDescent="0.3">
      <c r="A4988" s="11" t="s">
        <v>23</v>
      </c>
      <c r="B4988" s="11" t="s">
        <v>4419</v>
      </c>
      <c r="C4988" s="26" t="s">
        <v>4420</v>
      </c>
      <c r="D4988" s="59"/>
      <c r="E4988" s="41" t="str">
        <f>HYPERLINK("https://www.google.ru/search?q=1376509-452&amp;newwindow=1&amp;tbm=isch","Еще фото")</f>
        <v>Еще фото</v>
      </c>
      <c r="F4988" s="13"/>
      <c r="G4988" s="11" t="s">
        <v>4404</v>
      </c>
      <c r="H4988" s="11" t="s">
        <v>27</v>
      </c>
      <c r="I4988" s="14" t="s">
        <v>4404</v>
      </c>
      <c r="J4988" s="14" t="s">
        <v>29</v>
      </c>
      <c r="K4988" s="15" t="s">
        <v>30</v>
      </c>
      <c r="L4988" s="57" t="s">
        <v>4421</v>
      </c>
      <c r="M4988" s="14"/>
      <c r="N4988" s="14" t="s">
        <v>115</v>
      </c>
      <c r="O4988" s="14"/>
      <c r="P4988" s="15" t="s">
        <v>1008</v>
      </c>
      <c r="Q4988" s="16">
        <v>6299</v>
      </c>
      <c r="R4988" s="17">
        <v>49.71</v>
      </c>
      <c r="S4988" s="18">
        <v>3642.9354999999996</v>
      </c>
      <c r="T4988" s="19" t="s">
        <v>36</v>
      </c>
      <c r="U4988" s="20" t="s">
        <v>37</v>
      </c>
      <c r="V4988" s="21" t="s">
        <v>38</v>
      </c>
      <c r="W4988" s="22">
        <v>2</v>
      </c>
      <c r="X4988" s="23"/>
    </row>
    <row r="4989" spans="1:24" s="1" customFormat="1" ht="21" customHeight="1" x14ac:dyDescent="0.3">
      <c r="A4989" s="24" t="s">
        <v>23</v>
      </c>
      <c r="B4989" s="24" t="s">
        <v>4419</v>
      </c>
      <c r="C4989" s="27" t="s">
        <v>4420</v>
      </c>
      <c r="D4989" s="60"/>
      <c r="E4989" s="41" t="str">
        <f>HYPERLINK("https://www.google.ru/search?q=1376509-452&amp;newwindow=1&amp;tbm=isch","Еще фото")</f>
        <v>Еще фото</v>
      </c>
      <c r="F4989" s="13"/>
      <c r="G4989" s="24" t="s">
        <v>4404</v>
      </c>
      <c r="H4989" s="24" t="s">
        <v>27</v>
      </c>
      <c r="I4989" s="24" t="s">
        <v>4404</v>
      </c>
      <c r="J4989" s="14" t="s">
        <v>29</v>
      </c>
      <c r="K4989" s="15" t="s">
        <v>30</v>
      </c>
      <c r="L4989" s="62"/>
      <c r="M4989" s="14"/>
      <c r="N4989" s="14" t="s">
        <v>115</v>
      </c>
      <c r="O4989" s="14"/>
      <c r="P4989" s="15" t="s">
        <v>1008</v>
      </c>
      <c r="Q4989" s="16">
        <v>6299</v>
      </c>
      <c r="R4989" s="17">
        <v>49.71</v>
      </c>
      <c r="S4989" s="18">
        <v>3642.9354999999996</v>
      </c>
      <c r="T4989" s="19" t="s">
        <v>36</v>
      </c>
      <c r="U4989" s="20" t="s">
        <v>39</v>
      </c>
      <c r="V4989" s="21" t="s">
        <v>40</v>
      </c>
      <c r="W4989" s="22">
        <v>4</v>
      </c>
      <c r="X4989" s="23"/>
    </row>
    <row r="4990" spans="1:24" s="1" customFormat="1" ht="21" customHeight="1" x14ac:dyDescent="0.3">
      <c r="A4990" s="24" t="s">
        <v>23</v>
      </c>
      <c r="B4990" s="24" t="s">
        <v>4419</v>
      </c>
      <c r="C4990" s="27" t="s">
        <v>4420</v>
      </c>
      <c r="D4990" s="60"/>
      <c r="E4990" s="41" t="str">
        <f>HYPERLINK("https://www.google.ru/search?q=1376509-452&amp;newwindow=1&amp;tbm=isch","Еще фото")</f>
        <v>Еще фото</v>
      </c>
      <c r="F4990" s="13"/>
      <c r="G4990" s="24" t="s">
        <v>4404</v>
      </c>
      <c r="H4990" s="24" t="s">
        <v>27</v>
      </c>
      <c r="I4990" s="24" t="s">
        <v>4404</v>
      </c>
      <c r="J4990" s="14" t="s">
        <v>29</v>
      </c>
      <c r="K4990" s="15" t="s">
        <v>30</v>
      </c>
      <c r="L4990" s="62"/>
      <c r="M4990" s="14"/>
      <c r="N4990" s="14" t="s">
        <v>115</v>
      </c>
      <c r="O4990" s="14"/>
      <c r="P4990" s="15" t="s">
        <v>1008</v>
      </c>
      <c r="Q4990" s="16">
        <v>6299</v>
      </c>
      <c r="R4990" s="17">
        <v>49.71</v>
      </c>
      <c r="S4990" s="18">
        <v>3642.9354999999996</v>
      </c>
      <c r="T4990" s="19" t="s">
        <v>36</v>
      </c>
      <c r="U4990" s="20" t="s">
        <v>86</v>
      </c>
      <c r="V4990" s="21" t="s">
        <v>87</v>
      </c>
      <c r="W4990" s="22">
        <v>6</v>
      </c>
      <c r="X4990" s="23"/>
    </row>
    <row r="4991" spans="1:24" s="1" customFormat="1" ht="21" customHeight="1" x14ac:dyDescent="0.3">
      <c r="A4991" s="24" t="s">
        <v>23</v>
      </c>
      <c r="B4991" s="24" t="s">
        <v>4419</v>
      </c>
      <c r="C4991" s="27" t="s">
        <v>4420</v>
      </c>
      <c r="D4991" s="60"/>
      <c r="E4991" s="41" t="str">
        <f>HYPERLINK("https://www.google.ru/search?q=1376509-452&amp;newwindow=1&amp;tbm=isch","Еще фото")</f>
        <v>Еще фото</v>
      </c>
      <c r="F4991" s="13"/>
      <c r="G4991" s="24" t="s">
        <v>4404</v>
      </c>
      <c r="H4991" s="24" t="s">
        <v>27</v>
      </c>
      <c r="I4991" s="24" t="s">
        <v>4404</v>
      </c>
      <c r="J4991" s="14" t="s">
        <v>29</v>
      </c>
      <c r="K4991" s="15" t="s">
        <v>30</v>
      </c>
      <c r="L4991" s="62"/>
      <c r="M4991" s="14"/>
      <c r="N4991" s="14" t="s">
        <v>115</v>
      </c>
      <c r="O4991" s="14"/>
      <c r="P4991" s="15" t="s">
        <v>1008</v>
      </c>
      <c r="Q4991" s="16">
        <v>6299</v>
      </c>
      <c r="R4991" s="17">
        <v>49.71</v>
      </c>
      <c r="S4991" s="18">
        <v>3642.9354999999996</v>
      </c>
      <c r="T4991" s="19" t="s">
        <v>36</v>
      </c>
      <c r="U4991" s="20" t="s">
        <v>88</v>
      </c>
      <c r="V4991" s="21" t="s">
        <v>89</v>
      </c>
      <c r="W4991" s="22">
        <v>2</v>
      </c>
      <c r="X4991" s="23"/>
    </row>
    <row r="4992" spans="1:24" s="1" customFormat="1" ht="32" customHeight="1" x14ac:dyDescent="0.3">
      <c r="A4992" s="24" t="s">
        <v>23</v>
      </c>
      <c r="B4992" s="24" t="s">
        <v>4419</v>
      </c>
      <c r="C4992" s="27" t="s">
        <v>4420</v>
      </c>
      <c r="D4992" s="61"/>
      <c r="E4992" s="41" t="str">
        <f>HYPERLINK("https://www.google.ru/search?q=1376509-452&amp;newwindow=1&amp;tbm=isch","Еще фото")</f>
        <v>Еще фото</v>
      </c>
      <c r="F4992" s="13"/>
      <c r="G4992" s="24" t="s">
        <v>4404</v>
      </c>
      <c r="H4992" s="24" t="s">
        <v>27</v>
      </c>
      <c r="I4992" s="24" t="s">
        <v>4404</v>
      </c>
      <c r="J4992" s="14" t="s">
        <v>29</v>
      </c>
      <c r="K4992" s="15" t="s">
        <v>30</v>
      </c>
      <c r="L4992" s="58"/>
      <c r="M4992" s="14"/>
      <c r="N4992" s="14" t="s">
        <v>115</v>
      </c>
      <c r="O4992" s="14"/>
      <c r="P4992" s="15" t="s">
        <v>1008</v>
      </c>
      <c r="Q4992" s="16">
        <v>6299</v>
      </c>
      <c r="R4992" s="17">
        <v>49.71</v>
      </c>
      <c r="S4992" s="18">
        <v>3642.9354999999996</v>
      </c>
      <c r="T4992" s="19" t="s">
        <v>36</v>
      </c>
      <c r="U4992" s="20" t="s">
        <v>90</v>
      </c>
      <c r="V4992" s="21" t="s">
        <v>91</v>
      </c>
      <c r="W4992" s="22">
        <v>2</v>
      </c>
      <c r="X4992" s="23"/>
    </row>
    <row r="4993" spans="1:24" s="1" customFormat="1" ht="52.05" customHeight="1" x14ac:dyDescent="0.3">
      <c r="A4993" s="11" t="s">
        <v>23</v>
      </c>
      <c r="B4993" s="11" t="s">
        <v>4422</v>
      </c>
      <c r="C4993" s="12" t="s">
        <v>4423</v>
      </c>
      <c r="D4993" s="55"/>
      <c r="E4993" s="41" t="str">
        <f>HYPERLINK("https://www.google.ru/search?q=6005086-651&amp;newwindow=1&amp;tbm=isch","Еще фото")</f>
        <v>Еще фото</v>
      </c>
      <c r="F4993" s="13"/>
      <c r="G4993" s="11" t="s">
        <v>4404</v>
      </c>
      <c r="H4993" s="11" t="s">
        <v>27</v>
      </c>
      <c r="I4993" s="14" t="s">
        <v>4404</v>
      </c>
      <c r="J4993" s="14" t="s">
        <v>29</v>
      </c>
      <c r="K4993" s="15" t="s">
        <v>59</v>
      </c>
      <c r="L4993" s="57" t="s">
        <v>4424</v>
      </c>
      <c r="M4993" s="14"/>
      <c r="N4993" s="14" t="s">
        <v>332</v>
      </c>
      <c r="O4993" s="14"/>
      <c r="P4993" s="15" t="s">
        <v>458</v>
      </c>
      <c r="Q4993" s="16">
        <v>10599</v>
      </c>
      <c r="R4993" s="17">
        <v>48.88</v>
      </c>
      <c r="S4993" s="18">
        <v>6230.4354999999996</v>
      </c>
      <c r="T4993" s="19" t="s">
        <v>36</v>
      </c>
      <c r="U4993" s="20" t="s">
        <v>37</v>
      </c>
      <c r="V4993" s="21" t="s">
        <v>106</v>
      </c>
      <c r="W4993" s="22">
        <v>1</v>
      </c>
      <c r="X4993" s="23"/>
    </row>
    <row r="4994" spans="1:24" s="1" customFormat="1" ht="61.05" customHeight="1" x14ac:dyDescent="0.3">
      <c r="A4994" s="24" t="s">
        <v>23</v>
      </c>
      <c r="B4994" s="24" t="s">
        <v>4422</v>
      </c>
      <c r="C4994" s="12" t="s">
        <v>4423</v>
      </c>
      <c r="D4994" s="56"/>
      <c r="E4994" s="41" t="str">
        <f>HYPERLINK("https://www.google.ru/search?q=6005086-651&amp;newwindow=1&amp;tbm=isch","Еще фото")</f>
        <v>Еще фото</v>
      </c>
      <c r="F4994" s="13"/>
      <c r="G4994" s="24" t="s">
        <v>4404</v>
      </c>
      <c r="H4994" s="24" t="s">
        <v>27</v>
      </c>
      <c r="I4994" s="24" t="s">
        <v>4404</v>
      </c>
      <c r="J4994" s="14" t="s">
        <v>29</v>
      </c>
      <c r="K4994" s="15" t="s">
        <v>59</v>
      </c>
      <c r="L4994" s="58"/>
      <c r="M4994" s="14"/>
      <c r="N4994" s="14" t="s">
        <v>332</v>
      </c>
      <c r="O4994" s="14"/>
      <c r="P4994" s="15" t="s">
        <v>458</v>
      </c>
      <c r="Q4994" s="16">
        <v>10599</v>
      </c>
      <c r="R4994" s="17">
        <v>48.88</v>
      </c>
      <c r="S4994" s="18">
        <v>6230.4354999999996</v>
      </c>
      <c r="T4994" s="19" t="s">
        <v>36</v>
      </c>
      <c r="U4994" s="20" t="s">
        <v>39</v>
      </c>
      <c r="V4994" s="21" t="s">
        <v>85</v>
      </c>
      <c r="W4994" s="22">
        <v>3</v>
      </c>
      <c r="X4994" s="23"/>
    </row>
    <row r="4995" spans="1:24" s="1" customFormat="1" ht="21" customHeight="1" x14ac:dyDescent="0.3">
      <c r="A4995" s="11" t="s">
        <v>23</v>
      </c>
      <c r="B4995" s="11" t="s">
        <v>4425</v>
      </c>
      <c r="C4995" s="26" t="s">
        <v>4426</v>
      </c>
      <c r="D4995" s="59"/>
      <c r="E4995" s="41" t="str">
        <f>HYPERLINK("https://www.google.ru/search?q=1383236-279&amp;newwindow=1&amp;tbm=isch","Еще фото")</f>
        <v>Еще фото</v>
      </c>
      <c r="F4995" s="13"/>
      <c r="G4995" s="11" t="s">
        <v>4404</v>
      </c>
      <c r="H4995" s="11" t="s">
        <v>27</v>
      </c>
      <c r="I4995" s="14" t="s">
        <v>4404</v>
      </c>
      <c r="J4995" s="14" t="s">
        <v>29</v>
      </c>
      <c r="K4995" s="15" t="s">
        <v>30</v>
      </c>
      <c r="L4995" s="57" t="s">
        <v>4427</v>
      </c>
      <c r="M4995" s="14"/>
      <c r="N4995" s="14" t="s">
        <v>229</v>
      </c>
      <c r="O4995" s="14"/>
      <c r="P4995" s="15" t="s">
        <v>1008</v>
      </c>
      <c r="Q4995" s="16">
        <v>7699</v>
      </c>
      <c r="R4995" s="17">
        <v>48.85</v>
      </c>
      <c r="S4995" s="18">
        <v>4528.4354999999996</v>
      </c>
      <c r="T4995" s="19" t="s">
        <v>36</v>
      </c>
      <c r="U4995" s="20" t="s">
        <v>37</v>
      </c>
      <c r="V4995" s="21" t="s">
        <v>38</v>
      </c>
      <c r="W4995" s="22">
        <v>9</v>
      </c>
      <c r="X4995" s="23"/>
    </row>
    <row r="4996" spans="1:24" s="1" customFormat="1" ht="21" customHeight="1" x14ac:dyDescent="0.3">
      <c r="A4996" s="24" t="s">
        <v>23</v>
      </c>
      <c r="B4996" s="24" t="s">
        <v>4425</v>
      </c>
      <c r="C4996" s="27" t="s">
        <v>4426</v>
      </c>
      <c r="D4996" s="60"/>
      <c r="E4996" s="41" t="str">
        <f>HYPERLINK("https://www.google.ru/search?q=1383236-279&amp;newwindow=1&amp;tbm=isch","Еще фото")</f>
        <v>Еще фото</v>
      </c>
      <c r="F4996" s="13"/>
      <c r="G4996" s="24" t="s">
        <v>4404</v>
      </c>
      <c r="H4996" s="24" t="s">
        <v>27</v>
      </c>
      <c r="I4996" s="24" t="s">
        <v>4404</v>
      </c>
      <c r="J4996" s="14" t="s">
        <v>29</v>
      </c>
      <c r="K4996" s="15" t="s">
        <v>30</v>
      </c>
      <c r="L4996" s="62"/>
      <c r="M4996" s="14"/>
      <c r="N4996" s="14" t="s">
        <v>229</v>
      </c>
      <c r="O4996" s="14"/>
      <c r="P4996" s="15" t="s">
        <v>1008</v>
      </c>
      <c r="Q4996" s="16">
        <v>7699</v>
      </c>
      <c r="R4996" s="17">
        <v>48.85</v>
      </c>
      <c r="S4996" s="18">
        <v>4528.4354999999996</v>
      </c>
      <c r="T4996" s="19" t="s">
        <v>36</v>
      </c>
      <c r="U4996" s="20" t="s">
        <v>39</v>
      </c>
      <c r="V4996" s="21" t="s">
        <v>40</v>
      </c>
      <c r="W4996" s="22">
        <v>8</v>
      </c>
      <c r="X4996" s="23"/>
    </row>
    <row r="4997" spans="1:24" s="1" customFormat="1" ht="21" customHeight="1" x14ac:dyDescent="0.3">
      <c r="A4997" s="24" t="s">
        <v>23</v>
      </c>
      <c r="B4997" s="24" t="s">
        <v>4425</v>
      </c>
      <c r="C4997" s="27" t="s">
        <v>4426</v>
      </c>
      <c r="D4997" s="60"/>
      <c r="E4997" s="41" t="str">
        <f>HYPERLINK("https://www.google.ru/search?q=1383236-279&amp;newwindow=1&amp;tbm=isch","Еще фото")</f>
        <v>Еще фото</v>
      </c>
      <c r="F4997" s="13"/>
      <c r="G4997" s="24" t="s">
        <v>4404</v>
      </c>
      <c r="H4997" s="24" t="s">
        <v>27</v>
      </c>
      <c r="I4997" s="24" t="s">
        <v>4404</v>
      </c>
      <c r="J4997" s="14" t="s">
        <v>29</v>
      </c>
      <c r="K4997" s="15" t="s">
        <v>30</v>
      </c>
      <c r="L4997" s="62"/>
      <c r="M4997" s="14"/>
      <c r="N4997" s="14" t="s">
        <v>229</v>
      </c>
      <c r="O4997" s="14"/>
      <c r="P4997" s="15" t="s">
        <v>1008</v>
      </c>
      <c r="Q4997" s="16">
        <v>7699</v>
      </c>
      <c r="R4997" s="17">
        <v>48.85</v>
      </c>
      <c r="S4997" s="18">
        <v>4528.4354999999996</v>
      </c>
      <c r="T4997" s="19" t="s">
        <v>36</v>
      </c>
      <c r="U4997" s="20" t="s">
        <v>86</v>
      </c>
      <c r="V4997" s="21" t="s">
        <v>87</v>
      </c>
      <c r="W4997" s="22">
        <v>5</v>
      </c>
      <c r="X4997" s="23"/>
    </row>
    <row r="4998" spans="1:24" s="1" customFormat="1" ht="21" customHeight="1" x14ac:dyDescent="0.3">
      <c r="A4998" s="24" t="s">
        <v>23</v>
      </c>
      <c r="B4998" s="24" t="s">
        <v>4425</v>
      </c>
      <c r="C4998" s="27" t="s">
        <v>4426</v>
      </c>
      <c r="D4998" s="60"/>
      <c r="E4998" s="41" t="str">
        <f>HYPERLINK("https://www.google.ru/search?q=1383236-279&amp;newwindow=1&amp;tbm=isch","Еще фото")</f>
        <v>Еще фото</v>
      </c>
      <c r="F4998" s="13"/>
      <c r="G4998" s="24" t="s">
        <v>4404</v>
      </c>
      <c r="H4998" s="24" t="s">
        <v>27</v>
      </c>
      <c r="I4998" s="24" t="s">
        <v>4404</v>
      </c>
      <c r="J4998" s="14" t="s">
        <v>29</v>
      </c>
      <c r="K4998" s="15" t="s">
        <v>30</v>
      </c>
      <c r="L4998" s="62"/>
      <c r="M4998" s="14"/>
      <c r="N4998" s="14" t="s">
        <v>229</v>
      </c>
      <c r="O4998" s="14"/>
      <c r="P4998" s="15" t="s">
        <v>1008</v>
      </c>
      <c r="Q4998" s="16">
        <v>7699</v>
      </c>
      <c r="R4998" s="17">
        <v>48.85</v>
      </c>
      <c r="S4998" s="18">
        <v>4528.4354999999996</v>
      </c>
      <c r="T4998" s="19" t="s">
        <v>36</v>
      </c>
      <c r="U4998" s="20" t="s">
        <v>88</v>
      </c>
      <c r="V4998" s="21" t="s">
        <v>89</v>
      </c>
      <c r="W4998" s="22">
        <v>2</v>
      </c>
      <c r="X4998" s="23"/>
    </row>
    <row r="4999" spans="1:24" s="1" customFormat="1" ht="32" customHeight="1" x14ac:dyDescent="0.3">
      <c r="A4999" s="24" t="s">
        <v>23</v>
      </c>
      <c r="B4999" s="24" t="s">
        <v>4425</v>
      </c>
      <c r="C4999" s="27" t="s">
        <v>4426</v>
      </c>
      <c r="D4999" s="61"/>
      <c r="E4999" s="41" t="str">
        <f>HYPERLINK("https://www.google.ru/search?q=1383236-279&amp;newwindow=1&amp;tbm=isch","Еще фото")</f>
        <v>Еще фото</v>
      </c>
      <c r="F4999" s="13"/>
      <c r="G4999" s="24" t="s">
        <v>4404</v>
      </c>
      <c r="H4999" s="24" t="s">
        <v>27</v>
      </c>
      <c r="I4999" s="24" t="s">
        <v>4404</v>
      </c>
      <c r="J4999" s="14" t="s">
        <v>29</v>
      </c>
      <c r="K4999" s="15" t="s">
        <v>30</v>
      </c>
      <c r="L4999" s="58"/>
      <c r="M4999" s="14"/>
      <c r="N4999" s="14" t="s">
        <v>229</v>
      </c>
      <c r="O4999" s="14"/>
      <c r="P4999" s="15" t="s">
        <v>1008</v>
      </c>
      <c r="Q4999" s="16">
        <v>7699</v>
      </c>
      <c r="R4999" s="17">
        <v>48.85</v>
      </c>
      <c r="S4999" s="18">
        <v>4528.4354999999996</v>
      </c>
      <c r="T4999" s="19" t="s">
        <v>36</v>
      </c>
      <c r="U4999" s="20" t="s">
        <v>90</v>
      </c>
      <c r="V4999" s="21" t="s">
        <v>91</v>
      </c>
      <c r="W4999" s="22">
        <v>2</v>
      </c>
      <c r="X4999" s="23"/>
    </row>
    <row r="5000" spans="1:24" s="1" customFormat="1" ht="108" customHeight="1" x14ac:dyDescent="0.3">
      <c r="A5000" s="11" t="s">
        <v>23</v>
      </c>
      <c r="B5000" s="11" t="s">
        <v>4428</v>
      </c>
      <c r="C5000" s="12" t="s">
        <v>4429</v>
      </c>
      <c r="D5000" s="25"/>
      <c r="E5000" s="41" t="str">
        <f>HYPERLINK("https://www.google.ru/search?q=6009896-025&amp;newwindow=1&amp;tbm=isch","Еще фото")</f>
        <v>Еще фото</v>
      </c>
      <c r="F5000" s="13" t="s">
        <v>103</v>
      </c>
      <c r="G5000" s="11" t="s">
        <v>4404</v>
      </c>
      <c r="H5000" s="11" t="s">
        <v>27</v>
      </c>
      <c r="I5000" s="14" t="s">
        <v>4404</v>
      </c>
      <c r="J5000" s="14" t="s">
        <v>311</v>
      </c>
      <c r="K5000" s="15" t="s">
        <v>30</v>
      </c>
      <c r="L5000" s="14" t="s">
        <v>4430</v>
      </c>
      <c r="M5000" s="14"/>
      <c r="N5000" s="14" t="s">
        <v>62</v>
      </c>
      <c r="O5000" s="14"/>
      <c r="P5000" s="15" t="s">
        <v>47</v>
      </c>
      <c r="Q5000" s="16">
        <v>3199</v>
      </c>
      <c r="R5000" s="17">
        <v>46.86</v>
      </c>
      <c r="S5000" s="18">
        <v>1954.9884999999999</v>
      </c>
      <c r="T5000" s="19" t="s">
        <v>36</v>
      </c>
      <c r="U5000" s="20" t="s">
        <v>90</v>
      </c>
      <c r="V5000" s="21" t="s">
        <v>91</v>
      </c>
      <c r="W5000" s="22">
        <v>1</v>
      </c>
      <c r="X5000" s="23"/>
    </row>
    <row r="5001" spans="1:24" s="1" customFormat="1" ht="108" customHeight="1" x14ac:dyDescent="0.3">
      <c r="A5001" s="11" t="s">
        <v>23</v>
      </c>
      <c r="B5001" s="11" t="s">
        <v>4431</v>
      </c>
      <c r="C5001" s="12" t="s">
        <v>4432</v>
      </c>
      <c r="D5001" s="25"/>
      <c r="E5001" s="41" t="str">
        <f>HYPERLINK("https://www.google.ru/search?q=1360925-001&amp;newwindow=1&amp;tbm=isch","Еще фото")</f>
        <v>Еще фото</v>
      </c>
      <c r="F5001" s="13"/>
      <c r="G5001" s="11" t="s">
        <v>4404</v>
      </c>
      <c r="H5001" s="11" t="s">
        <v>27</v>
      </c>
      <c r="I5001" s="14" t="s">
        <v>4404</v>
      </c>
      <c r="J5001" s="14" t="s">
        <v>29</v>
      </c>
      <c r="K5001" s="15" t="s">
        <v>59</v>
      </c>
      <c r="L5001" s="14" t="s">
        <v>4433</v>
      </c>
      <c r="M5001" s="14" t="s">
        <v>61</v>
      </c>
      <c r="N5001" s="14" t="s">
        <v>33</v>
      </c>
      <c r="O5001" s="14" t="s">
        <v>34</v>
      </c>
      <c r="P5001" s="15" t="s">
        <v>53</v>
      </c>
      <c r="Q5001" s="16">
        <v>2999</v>
      </c>
      <c r="R5001" s="17">
        <v>46.65</v>
      </c>
      <c r="S5001" s="18">
        <v>1839.9884999999999</v>
      </c>
      <c r="T5001" s="19" t="s">
        <v>36</v>
      </c>
      <c r="U5001" s="20" t="s">
        <v>88</v>
      </c>
      <c r="V5001" s="21" t="s">
        <v>40</v>
      </c>
      <c r="W5001" s="22">
        <v>1</v>
      </c>
      <c r="X5001" s="23"/>
    </row>
    <row r="5002" spans="1:24" s="1" customFormat="1" ht="108" customHeight="1" x14ac:dyDescent="0.3">
      <c r="A5002" s="11" t="s">
        <v>23</v>
      </c>
      <c r="B5002" s="11" t="s">
        <v>4434</v>
      </c>
      <c r="C5002" s="12" t="s">
        <v>4435</v>
      </c>
      <c r="D5002" s="25"/>
      <c r="E5002" s="41" t="str">
        <f>HYPERLINK("https://www.google.ru/search?q=1319509-706&amp;newwindow=1&amp;tbm=isch","Еще фото")</f>
        <v>Еще фото</v>
      </c>
      <c r="F5002" s="13"/>
      <c r="G5002" s="11" t="s">
        <v>4404</v>
      </c>
      <c r="H5002" s="11" t="s">
        <v>27</v>
      </c>
      <c r="I5002" s="14" t="s">
        <v>4404</v>
      </c>
      <c r="J5002" s="14" t="s">
        <v>29</v>
      </c>
      <c r="K5002" s="15" t="s">
        <v>59</v>
      </c>
      <c r="L5002" s="14" t="s">
        <v>4436</v>
      </c>
      <c r="M5002" s="14" t="s">
        <v>339</v>
      </c>
      <c r="N5002" s="14" t="s">
        <v>46</v>
      </c>
      <c r="O5002" s="14" t="s">
        <v>34</v>
      </c>
      <c r="P5002" s="15" t="s">
        <v>4437</v>
      </c>
      <c r="Q5002" s="16">
        <v>4490</v>
      </c>
      <c r="R5002" s="17">
        <v>46.55</v>
      </c>
      <c r="S5002" s="18">
        <v>2759.9884999999995</v>
      </c>
      <c r="T5002" s="19" t="s">
        <v>36</v>
      </c>
      <c r="U5002" s="20" t="s">
        <v>88</v>
      </c>
      <c r="V5002" s="21" t="s">
        <v>40</v>
      </c>
      <c r="W5002" s="22">
        <v>1</v>
      </c>
      <c r="X5002" s="23"/>
    </row>
    <row r="5003" spans="1:24" s="1" customFormat="1" ht="26" customHeight="1" x14ac:dyDescent="0.3">
      <c r="A5003" s="11" t="s">
        <v>23</v>
      </c>
      <c r="B5003" s="11" t="s">
        <v>4419</v>
      </c>
      <c r="C5003" s="12" t="s">
        <v>4438</v>
      </c>
      <c r="D5003" s="59"/>
      <c r="E5003" s="41" t="str">
        <f>HYPERLINK("https://www.google.ru/search?q=1376509-036&amp;newwindow=1&amp;tbm=isch","Еще фото")</f>
        <v>Еще фото</v>
      </c>
      <c r="F5003" s="13" t="s">
        <v>152</v>
      </c>
      <c r="G5003" s="11" t="s">
        <v>4404</v>
      </c>
      <c r="H5003" s="11" t="s">
        <v>27</v>
      </c>
      <c r="I5003" s="14" t="s">
        <v>4404</v>
      </c>
      <c r="J5003" s="14" t="s">
        <v>29</v>
      </c>
      <c r="K5003" s="15" t="s">
        <v>30</v>
      </c>
      <c r="L5003" s="57" t="s">
        <v>4439</v>
      </c>
      <c r="M5003" s="14"/>
      <c r="N5003" s="14" t="s">
        <v>62</v>
      </c>
      <c r="O5003" s="14"/>
      <c r="P5003" s="15" t="s">
        <v>1008</v>
      </c>
      <c r="Q5003" s="16">
        <v>6499</v>
      </c>
      <c r="R5003" s="17">
        <v>46</v>
      </c>
      <c r="S5003" s="18">
        <v>4035.8789999999999</v>
      </c>
      <c r="T5003" s="19" t="s">
        <v>36</v>
      </c>
      <c r="U5003" s="20" t="s">
        <v>37</v>
      </c>
      <c r="V5003" s="21" t="s">
        <v>38</v>
      </c>
      <c r="W5003" s="22">
        <v>3</v>
      </c>
      <c r="X5003" s="23"/>
    </row>
    <row r="5004" spans="1:24" s="1" customFormat="1" ht="26" customHeight="1" x14ac:dyDescent="0.3">
      <c r="A5004" s="24" t="s">
        <v>23</v>
      </c>
      <c r="B5004" s="24" t="s">
        <v>4419</v>
      </c>
      <c r="C5004" s="12" t="s">
        <v>4438</v>
      </c>
      <c r="D5004" s="60"/>
      <c r="E5004" s="41" t="str">
        <f>HYPERLINK("https://www.google.ru/search?q=1376509-036&amp;newwindow=1&amp;tbm=isch","Еще фото")</f>
        <v>Еще фото</v>
      </c>
      <c r="F5004" s="13" t="s">
        <v>152</v>
      </c>
      <c r="G5004" s="24" t="s">
        <v>4404</v>
      </c>
      <c r="H5004" s="24" t="s">
        <v>27</v>
      </c>
      <c r="I5004" s="24" t="s">
        <v>4404</v>
      </c>
      <c r="J5004" s="14" t="s">
        <v>29</v>
      </c>
      <c r="K5004" s="15" t="s">
        <v>30</v>
      </c>
      <c r="L5004" s="62"/>
      <c r="M5004" s="14"/>
      <c r="N5004" s="14" t="s">
        <v>62</v>
      </c>
      <c r="O5004" s="14"/>
      <c r="P5004" s="15" t="s">
        <v>1008</v>
      </c>
      <c r="Q5004" s="16">
        <v>6499</v>
      </c>
      <c r="R5004" s="17">
        <v>46</v>
      </c>
      <c r="S5004" s="18">
        <v>4035.8789999999999</v>
      </c>
      <c r="T5004" s="19" t="s">
        <v>36</v>
      </c>
      <c r="U5004" s="20" t="s">
        <v>39</v>
      </c>
      <c r="V5004" s="21" t="s">
        <v>40</v>
      </c>
      <c r="W5004" s="22">
        <v>6</v>
      </c>
      <c r="X5004" s="23"/>
    </row>
    <row r="5005" spans="1:24" s="1" customFormat="1" ht="26" customHeight="1" x14ac:dyDescent="0.3">
      <c r="A5005" s="24" t="s">
        <v>23</v>
      </c>
      <c r="B5005" s="24" t="s">
        <v>4419</v>
      </c>
      <c r="C5005" s="12" t="s">
        <v>4438</v>
      </c>
      <c r="D5005" s="60"/>
      <c r="E5005" s="41" t="str">
        <f>HYPERLINK("https://www.google.ru/search?q=1376509-036&amp;newwindow=1&amp;tbm=isch","Еще фото")</f>
        <v>Еще фото</v>
      </c>
      <c r="F5005" s="13" t="s">
        <v>152</v>
      </c>
      <c r="G5005" s="24" t="s">
        <v>4404</v>
      </c>
      <c r="H5005" s="24" t="s">
        <v>27</v>
      </c>
      <c r="I5005" s="24" t="s">
        <v>4404</v>
      </c>
      <c r="J5005" s="14" t="s">
        <v>29</v>
      </c>
      <c r="K5005" s="15" t="s">
        <v>30</v>
      </c>
      <c r="L5005" s="62"/>
      <c r="M5005" s="14"/>
      <c r="N5005" s="14" t="s">
        <v>62</v>
      </c>
      <c r="O5005" s="14"/>
      <c r="P5005" s="15" t="s">
        <v>1008</v>
      </c>
      <c r="Q5005" s="16">
        <v>6499</v>
      </c>
      <c r="R5005" s="17">
        <v>46</v>
      </c>
      <c r="S5005" s="18">
        <v>4035.8789999999999</v>
      </c>
      <c r="T5005" s="19" t="s">
        <v>36</v>
      </c>
      <c r="U5005" s="20" t="s">
        <v>86</v>
      </c>
      <c r="V5005" s="21" t="s">
        <v>87</v>
      </c>
      <c r="W5005" s="22">
        <v>3</v>
      </c>
      <c r="X5005" s="23"/>
    </row>
    <row r="5006" spans="1:24" s="1" customFormat="1" ht="26" customHeight="1" x14ac:dyDescent="0.3">
      <c r="A5006" s="24" t="s">
        <v>23</v>
      </c>
      <c r="B5006" s="24" t="s">
        <v>4419</v>
      </c>
      <c r="C5006" s="12" t="s">
        <v>4438</v>
      </c>
      <c r="D5006" s="61"/>
      <c r="E5006" s="41" t="str">
        <f>HYPERLINK("https://www.google.ru/search?q=1376509-036&amp;newwindow=1&amp;tbm=isch","Еще фото")</f>
        <v>Еще фото</v>
      </c>
      <c r="F5006" s="13" t="s">
        <v>152</v>
      </c>
      <c r="G5006" s="24" t="s">
        <v>4404</v>
      </c>
      <c r="H5006" s="24" t="s">
        <v>27</v>
      </c>
      <c r="I5006" s="24" t="s">
        <v>4404</v>
      </c>
      <c r="J5006" s="14" t="s">
        <v>29</v>
      </c>
      <c r="K5006" s="15" t="s">
        <v>30</v>
      </c>
      <c r="L5006" s="58"/>
      <c r="M5006" s="14"/>
      <c r="N5006" s="14" t="s">
        <v>62</v>
      </c>
      <c r="O5006" s="14"/>
      <c r="P5006" s="15" t="s">
        <v>1008</v>
      </c>
      <c r="Q5006" s="16">
        <v>6499</v>
      </c>
      <c r="R5006" s="17">
        <v>46</v>
      </c>
      <c r="S5006" s="18">
        <v>4035.8789999999999</v>
      </c>
      <c r="T5006" s="19" t="s">
        <v>36</v>
      </c>
      <c r="U5006" s="20" t="s">
        <v>88</v>
      </c>
      <c r="V5006" s="21" t="s">
        <v>89</v>
      </c>
      <c r="W5006" s="22">
        <v>3</v>
      </c>
      <c r="X5006" s="23"/>
    </row>
    <row r="5007" spans="1:24" s="1" customFormat="1" ht="21" customHeight="1" x14ac:dyDescent="0.3">
      <c r="A5007" s="11" t="s">
        <v>23</v>
      </c>
      <c r="B5007" s="11" t="s">
        <v>4440</v>
      </c>
      <c r="C5007" s="26" t="s">
        <v>4441</v>
      </c>
      <c r="D5007" s="59"/>
      <c r="E5007" s="41" t="str">
        <f>HYPERLINK("https://www.google.ru/search?q=1377264-011&amp;newwindow=1&amp;tbm=isch","Еще фото")</f>
        <v>Еще фото</v>
      </c>
      <c r="F5007" s="13"/>
      <c r="G5007" s="11" t="s">
        <v>4404</v>
      </c>
      <c r="H5007" s="11" t="s">
        <v>27</v>
      </c>
      <c r="I5007" s="14" t="s">
        <v>4404</v>
      </c>
      <c r="J5007" s="14" t="s">
        <v>29</v>
      </c>
      <c r="K5007" s="15" t="s">
        <v>50</v>
      </c>
      <c r="L5007" s="57" t="s">
        <v>4442</v>
      </c>
      <c r="M5007" s="14"/>
      <c r="N5007" s="14" t="s">
        <v>62</v>
      </c>
      <c r="O5007" s="14"/>
      <c r="P5007" s="15" t="s">
        <v>47</v>
      </c>
      <c r="Q5007" s="16">
        <v>2799</v>
      </c>
      <c r="R5007" s="17">
        <v>46</v>
      </c>
      <c r="S5007" s="18">
        <v>1738.1789999999999</v>
      </c>
      <c r="T5007" s="19" t="s">
        <v>36</v>
      </c>
      <c r="U5007" s="20" t="s">
        <v>99</v>
      </c>
      <c r="V5007" s="21" t="s">
        <v>100</v>
      </c>
      <c r="W5007" s="22">
        <v>6</v>
      </c>
      <c r="X5007" s="23"/>
    </row>
    <row r="5008" spans="1:24" s="1" customFormat="1" ht="21" customHeight="1" x14ac:dyDescent="0.3">
      <c r="A5008" s="24" t="s">
        <v>23</v>
      </c>
      <c r="B5008" s="24" t="s">
        <v>4440</v>
      </c>
      <c r="C5008" s="27" t="s">
        <v>4441</v>
      </c>
      <c r="D5008" s="60"/>
      <c r="E5008" s="41" t="str">
        <f>HYPERLINK("https://www.google.ru/search?q=1377264-011&amp;newwindow=1&amp;tbm=isch","Еще фото")</f>
        <v>Еще фото</v>
      </c>
      <c r="F5008" s="13"/>
      <c r="G5008" s="24" t="s">
        <v>4404</v>
      </c>
      <c r="H5008" s="24" t="s">
        <v>27</v>
      </c>
      <c r="I5008" s="24" t="s">
        <v>4404</v>
      </c>
      <c r="J5008" s="14" t="s">
        <v>29</v>
      </c>
      <c r="K5008" s="15" t="s">
        <v>50</v>
      </c>
      <c r="L5008" s="62"/>
      <c r="M5008" s="14"/>
      <c r="N5008" s="14" t="s">
        <v>62</v>
      </c>
      <c r="O5008" s="14"/>
      <c r="P5008" s="15" t="s">
        <v>47</v>
      </c>
      <c r="Q5008" s="16">
        <v>2799</v>
      </c>
      <c r="R5008" s="17">
        <v>46</v>
      </c>
      <c r="S5008" s="18">
        <v>1738.1789999999999</v>
      </c>
      <c r="T5008" s="19" t="s">
        <v>36</v>
      </c>
      <c r="U5008" s="20" t="s">
        <v>54</v>
      </c>
      <c r="V5008" s="21" t="s">
        <v>55</v>
      </c>
      <c r="W5008" s="22">
        <v>11</v>
      </c>
      <c r="X5008" s="23"/>
    </row>
    <row r="5009" spans="1:24" s="1" customFormat="1" ht="21" customHeight="1" x14ac:dyDescent="0.3">
      <c r="A5009" s="24" t="s">
        <v>23</v>
      </c>
      <c r="B5009" s="24" t="s">
        <v>4440</v>
      </c>
      <c r="C5009" s="27" t="s">
        <v>4441</v>
      </c>
      <c r="D5009" s="60"/>
      <c r="E5009" s="41" t="str">
        <f>HYPERLINK("https://www.google.ru/search?q=1377264-011&amp;newwindow=1&amp;tbm=isch","Еще фото")</f>
        <v>Еще фото</v>
      </c>
      <c r="F5009" s="13"/>
      <c r="G5009" s="24" t="s">
        <v>4404</v>
      </c>
      <c r="H5009" s="24" t="s">
        <v>27</v>
      </c>
      <c r="I5009" s="24" t="s">
        <v>4404</v>
      </c>
      <c r="J5009" s="14" t="s">
        <v>29</v>
      </c>
      <c r="K5009" s="15" t="s">
        <v>50</v>
      </c>
      <c r="L5009" s="62"/>
      <c r="M5009" s="14"/>
      <c r="N5009" s="14" t="s">
        <v>62</v>
      </c>
      <c r="O5009" s="14"/>
      <c r="P5009" s="15" t="s">
        <v>47</v>
      </c>
      <c r="Q5009" s="16">
        <v>2799</v>
      </c>
      <c r="R5009" s="17">
        <v>46</v>
      </c>
      <c r="S5009" s="18">
        <v>1738.1789999999999</v>
      </c>
      <c r="T5009" s="19" t="s">
        <v>36</v>
      </c>
      <c r="U5009" s="20" t="s">
        <v>234</v>
      </c>
      <c r="V5009" s="21" t="s">
        <v>235</v>
      </c>
      <c r="W5009" s="22">
        <v>11</v>
      </c>
      <c r="X5009" s="23"/>
    </row>
    <row r="5010" spans="1:24" s="1" customFormat="1" ht="21" customHeight="1" x14ac:dyDescent="0.3">
      <c r="A5010" s="24" t="s">
        <v>23</v>
      </c>
      <c r="B5010" s="24" t="s">
        <v>4440</v>
      </c>
      <c r="C5010" s="27" t="s">
        <v>4441</v>
      </c>
      <c r="D5010" s="60"/>
      <c r="E5010" s="41" t="str">
        <f>HYPERLINK("https://www.google.ru/search?q=1377264-011&amp;newwindow=1&amp;tbm=isch","Еще фото")</f>
        <v>Еще фото</v>
      </c>
      <c r="F5010" s="13"/>
      <c r="G5010" s="24" t="s">
        <v>4404</v>
      </c>
      <c r="H5010" s="24" t="s">
        <v>27</v>
      </c>
      <c r="I5010" s="24" t="s">
        <v>4404</v>
      </c>
      <c r="J5010" s="14" t="s">
        <v>29</v>
      </c>
      <c r="K5010" s="15" t="s">
        <v>50</v>
      </c>
      <c r="L5010" s="62"/>
      <c r="M5010" s="14"/>
      <c r="N5010" s="14" t="s">
        <v>62</v>
      </c>
      <c r="O5010" s="14"/>
      <c r="P5010" s="15" t="s">
        <v>47</v>
      </c>
      <c r="Q5010" s="16">
        <v>2799</v>
      </c>
      <c r="R5010" s="17">
        <v>46</v>
      </c>
      <c r="S5010" s="18">
        <v>1738.1789999999999</v>
      </c>
      <c r="T5010" s="19" t="s">
        <v>36</v>
      </c>
      <c r="U5010" s="20" t="s">
        <v>71</v>
      </c>
      <c r="V5010" s="21" t="s">
        <v>72</v>
      </c>
      <c r="W5010" s="22">
        <v>14</v>
      </c>
      <c r="X5010" s="23"/>
    </row>
    <row r="5011" spans="1:24" s="1" customFormat="1" ht="32" customHeight="1" x14ac:dyDescent="0.3">
      <c r="A5011" s="24" t="s">
        <v>23</v>
      </c>
      <c r="B5011" s="24" t="s">
        <v>4440</v>
      </c>
      <c r="C5011" s="27" t="s">
        <v>4441</v>
      </c>
      <c r="D5011" s="61"/>
      <c r="E5011" s="41" t="str">
        <f>HYPERLINK("https://www.google.ru/search?q=1377264-011&amp;newwindow=1&amp;tbm=isch","Еще фото")</f>
        <v>Еще фото</v>
      </c>
      <c r="F5011" s="13"/>
      <c r="G5011" s="24" t="s">
        <v>4404</v>
      </c>
      <c r="H5011" s="24" t="s">
        <v>27</v>
      </c>
      <c r="I5011" s="24" t="s">
        <v>4404</v>
      </c>
      <c r="J5011" s="14" t="s">
        <v>29</v>
      </c>
      <c r="K5011" s="15" t="s">
        <v>50</v>
      </c>
      <c r="L5011" s="58"/>
      <c r="M5011" s="14"/>
      <c r="N5011" s="14" t="s">
        <v>62</v>
      </c>
      <c r="O5011" s="14"/>
      <c r="P5011" s="15" t="s">
        <v>47</v>
      </c>
      <c r="Q5011" s="16">
        <v>2799</v>
      </c>
      <c r="R5011" s="17">
        <v>46</v>
      </c>
      <c r="S5011" s="18">
        <v>1738.1789999999999</v>
      </c>
      <c r="T5011" s="19" t="s">
        <v>36</v>
      </c>
      <c r="U5011" s="20" t="s">
        <v>73</v>
      </c>
      <c r="V5011" s="21" t="s">
        <v>74</v>
      </c>
      <c r="W5011" s="22">
        <v>11</v>
      </c>
      <c r="X5011" s="23"/>
    </row>
    <row r="5012" spans="1:24" s="1" customFormat="1" ht="21" customHeight="1" x14ac:dyDescent="0.3">
      <c r="A5012" s="11" t="s">
        <v>23</v>
      </c>
      <c r="B5012" s="11" t="s">
        <v>4443</v>
      </c>
      <c r="C5012" s="26" t="s">
        <v>4444</v>
      </c>
      <c r="D5012" s="59"/>
      <c r="E5012" s="41" t="str">
        <f>HYPERLINK("https://www.google.ru/search?q=1379785-001&amp;newwindow=1&amp;tbm=isch","Еще фото")</f>
        <v>Еще фото</v>
      </c>
      <c r="F5012" s="13"/>
      <c r="G5012" s="11" t="s">
        <v>4404</v>
      </c>
      <c r="H5012" s="11" t="s">
        <v>27</v>
      </c>
      <c r="I5012" s="14" t="s">
        <v>4404</v>
      </c>
      <c r="J5012" s="14" t="s">
        <v>43</v>
      </c>
      <c r="K5012" s="15" t="s">
        <v>50</v>
      </c>
      <c r="L5012" s="57" t="s">
        <v>4445</v>
      </c>
      <c r="M5012" s="14"/>
      <c r="N5012" s="14" t="s">
        <v>33</v>
      </c>
      <c r="O5012" s="14"/>
      <c r="P5012" s="15" t="s">
        <v>70</v>
      </c>
      <c r="Q5012" s="16">
        <v>4199</v>
      </c>
      <c r="R5012" s="17">
        <v>46</v>
      </c>
      <c r="S5012" s="18">
        <v>2607.5789999999997</v>
      </c>
      <c r="T5012" s="19" t="s">
        <v>36</v>
      </c>
      <c r="U5012" s="20" t="s">
        <v>99</v>
      </c>
      <c r="V5012" s="21" t="s">
        <v>100</v>
      </c>
      <c r="W5012" s="22">
        <v>6</v>
      </c>
      <c r="X5012" s="23"/>
    </row>
    <row r="5013" spans="1:24" s="1" customFormat="1" ht="21" customHeight="1" x14ac:dyDescent="0.3">
      <c r="A5013" s="24" t="s">
        <v>23</v>
      </c>
      <c r="B5013" s="24" t="s">
        <v>4443</v>
      </c>
      <c r="C5013" s="27" t="s">
        <v>4444</v>
      </c>
      <c r="D5013" s="60"/>
      <c r="E5013" s="41" t="str">
        <f>HYPERLINK("https://www.google.ru/search?q=1379785-001&amp;newwindow=1&amp;tbm=isch","Еще фото")</f>
        <v>Еще фото</v>
      </c>
      <c r="F5013" s="13"/>
      <c r="G5013" s="24" t="s">
        <v>4404</v>
      </c>
      <c r="H5013" s="24" t="s">
        <v>27</v>
      </c>
      <c r="I5013" s="24" t="s">
        <v>4404</v>
      </c>
      <c r="J5013" s="14" t="s">
        <v>43</v>
      </c>
      <c r="K5013" s="15" t="s">
        <v>50</v>
      </c>
      <c r="L5013" s="62"/>
      <c r="M5013" s="14"/>
      <c r="N5013" s="14" t="s">
        <v>33</v>
      </c>
      <c r="O5013" s="14"/>
      <c r="P5013" s="15" t="s">
        <v>70</v>
      </c>
      <c r="Q5013" s="16">
        <v>4199</v>
      </c>
      <c r="R5013" s="17">
        <v>46</v>
      </c>
      <c r="S5013" s="18">
        <v>2607.5789999999997</v>
      </c>
      <c r="T5013" s="19" t="s">
        <v>36</v>
      </c>
      <c r="U5013" s="20" t="s">
        <v>54</v>
      </c>
      <c r="V5013" s="21" t="s">
        <v>55</v>
      </c>
      <c r="W5013" s="22">
        <v>12</v>
      </c>
      <c r="X5013" s="23"/>
    </row>
    <row r="5014" spans="1:24" s="1" customFormat="1" ht="21" customHeight="1" x14ac:dyDescent="0.3">
      <c r="A5014" s="24" t="s">
        <v>23</v>
      </c>
      <c r="B5014" s="24" t="s">
        <v>4443</v>
      </c>
      <c r="C5014" s="27" t="s">
        <v>4444</v>
      </c>
      <c r="D5014" s="60"/>
      <c r="E5014" s="41" t="str">
        <f>HYPERLINK("https://www.google.ru/search?q=1379785-001&amp;newwindow=1&amp;tbm=isch","Еще фото")</f>
        <v>Еще фото</v>
      </c>
      <c r="F5014" s="13"/>
      <c r="G5014" s="24" t="s">
        <v>4404</v>
      </c>
      <c r="H5014" s="24" t="s">
        <v>27</v>
      </c>
      <c r="I5014" s="24" t="s">
        <v>4404</v>
      </c>
      <c r="J5014" s="14" t="s">
        <v>43</v>
      </c>
      <c r="K5014" s="15" t="s">
        <v>50</v>
      </c>
      <c r="L5014" s="62"/>
      <c r="M5014" s="14"/>
      <c r="N5014" s="14" t="s">
        <v>33</v>
      </c>
      <c r="O5014" s="14"/>
      <c r="P5014" s="15" t="s">
        <v>70</v>
      </c>
      <c r="Q5014" s="16">
        <v>4199</v>
      </c>
      <c r="R5014" s="17">
        <v>46</v>
      </c>
      <c r="S5014" s="18">
        <v>2607.5789999999997</v>
      </c>
      <c r="T5014" s="19" t="s">
        <v>36</v>
      </c>
      <c r="U5014" s="20" t="s">
        <v>234</v>
      </c>
      <c r="V5014" s="21" t="s">
        <v>235</v>
      </c>
      <c r="W5014" s="22">
        <v>11</v>
      </c>
      <c r="X5014" s="23"/>
    </row>
    <row r="5015" spans="1:24" s="1" customFormat="1" ht="21" customHeight="1" x14ac:dyDescent="0.3">
      <c r="A5015" s="24" t="s">
        <v>23</v>
      </c>
      <c r="B5015" s="24" t="s">
        <v>4443</v>
      </c>
      <c r="C5015" s="27" t="s">
        <v>4444</v>
      </c>
      <c r="D5015" s="60"/>
      <c r="E5015" s="41" t="str">
        <f>HYPERLINK("https://www.google.ru/search?q=1379785-001&amp;newwindow=1&amp;tbm=isch","Еще фото")</f>
        <v>Еще фото</v>
      </c>
      <c r="F5015" s="13"/>
      <c r="G5015" s="24" t="s">
        <v>4404</v>
      </c>
      <c r="H5015" s="24" t="s">
        <v>27</v>
      </c>
      <c r="I5015" s="24" t="s">
        <v>4404</v>
      </c>
      <c r="J5015" s="14" t="s">
        <v>43</v>
      </c>
      <c r="K5015" s="15" t="s">
        <v>50</v>
      </c>
      <c r="L5015" s="62"/>
      <c r="M5015" s="14"/>
      <c r="N5015" s="14" t="s">
        <v>33</v>
      </c>
      <c r="O5015" s="14"/>
      <c r="P5015" s="15" t="s">
        <v>70</v>
      </c>
      <c r="Q5015" s="16">
        <v>4199</v>
      </c>
      <c r="R5015" s="17">
        <v>46</v>
      </c>
      <c r="S5015" s="18">
        <v>2607.5789999999997</v>
      </c>
      <c r="T5015" s="19" t="s">
        <v>36</v>
      </c>
      <c r="U5015" s="20" t="s">
        <v>71</v>
      </c>
      <c r="V5015" s="21" t="s">
        <v>72</v>
      </c>
      <c r="W5015" s="22">
        <v>16</v>
      </c>
      <c r="X5015" s="23"/>
    </row>
    <row r="5016" spans="1:24" s="1" customFormat="1" ht="32" customHeight="1" x14ac:dyDescent="0.3">
      <c r="A5016" s="24" t="s">
        <v>23</v>
      </c>
      <c r="B5016" s="24" t="s">
        <v>4443</v>
      </c>
      <c r="C5016" s="27" t="s">
        <v>4444</v>
      </c>
      <c r="D5016" s="61"/>
      <c r="E5016" s="41" t="str">
        <f>HYPERLINK("https://www.google.ru/search?q=1379785-001&amp;newwindow=1&amp;tbm=isch","Еще фото")</f>
        <v>Еще фото</v>
      </c>
      <c r="F5016" s="13"/>
      <c r="G5016" s="24" t="s">
        <v>4404</v>
      </c>
      <c r="H5016" s="24" t="s">
        <v>27</v>
      </c>
      <c r="I5016" s="24" t="s">
        <v>4404</v>
      </c>
      <c r="J5016" s="14" t="s">
        <v>43</v>
      </c>
      <c r="K5016" s="15" t="s">
        <v>50</v>
      </c>
      <c r="L5016" s="58"/>
      <c r="M5016" s="14"/>
      <c r="N5016" s="14" t="s">
        <v>33</v>
      </c>
      <c r="O5016" s="14"/>
      <c r="P5016" s="15" t="s">
        <v>70</v>
      </c>
      <c r="Q5016" s="16">
        <v>4199</v>
      </c>
      <c r="R5016" s="17">
        <v>46</v>
      </c>
      <c r="S5016" s="18">
        <v>2607.5789999999997</v>
      </c>
      <c r="T5016" s="19" t="s">
        <v>36</v>
      </c>
      <c r="U5016" s="20" t="s">
        <v>73</v>
      </c>
      <c r="V5016" s="21" t="s">
        <v>74</v>
      </c>
      <c r="W5016" s="22">
        <v>9</v>
      </c>
      <c r="X5016" s="23"/>
    </row>
    <row r="5017" spans="1:24" s="1" customFormat="1" ht="21" customHeight="1" x14ac:dyDescent="0.3">
      <c r="A5017" s="11" t="s">
        <v>23</v>
      </c>
      <c r="B5017" s="11" t="s">
        <v>4443</v>
      </c>
      <c r="C5017" s="26" t="s">
        <v>4446</v>
      </c>
      <c r="D5017" s="59"/>
      <c r="E5017" s="41" t="str">
        <f>HYPERLINK("https://www.google.ru/search?q=1379785-025&amp;newwindow=1&amp;tbm=isch","Еще фото")</f>
        <v>Еще фото</v>
      </c>
      <c r="F5017" s="13"/>
      <c r="G5017" s="11" t="s">
        <v>4404</v>
      </c>
      <c r="H5017" s="11" t="s">
        <v>27</v>
      </c>
      <c r="I5017" s="14" t="s">
        <v>4404</v>
      </c>
      <c r="J5017" s="14" t="s">
        <v>43</v>
      </c>
      <c r="K5017" s="15" t="s">
        <v>50</v>
      </c>
      <c r="L5017" s="57" t="s">
        <v>4445</v>
      </c>
      <c r="M5017" s="14"/>
      <c r="N5017" s="14" t="s">
        <v>62</v>
      </c>
      <c r="O5017" s="14"/>
      <c r="P5017" s="15" t="s">
        <v>120</v>
      </c>
      <c r="Q5017" s="16">
        <v>4199</v>
      </c>
      <c r="R5017" s="17">
        <v>46</v>
      </c>
      <c r="S5017" s="18">
        <v>2607.5789999999997</v>
      </c>
      <c r="T5017" s="19" t="s">
        <v>36</v>
      </c>
      <c r="U5017" s="20" t="s">
        <v>99</v>
      </c>
      <c r="V5017" s="21" t="s">
        <v>100</v>
      </c>
      <c r="W5017" s="22">
        <v>5</v>
      </c>
      <c r="X5017" s="23"/>
    </row>
    <row r="5018" spans="1:24" s="1" customFormat="1" ht="21" customHeight="1" x14ac:dyDescent="0.3">
      <c r="A5018" s="24" t="s">
        <v>23</v>
      </c>
      <c r="B5018" s="24" t="s">
        <v>4443</v>
      </c>
      <c r="C5018" s="27" t="s">
        <v>4446</v>
      </c>
      <c r="D5018" s="60"/>
      <c r="E5018" s="41" t="str">
        <f>HYPERLINK("https://www.google.ru/search?q=1379785-025&amp;newwindow=1&amp;tbm=isch","Еще фото")</f>
        <v>Еще фото</v>
      </c>
      <c r="F5018" s="13"/>
      <c r="G5018" s="24" t="s">
        <v>4404</v>
      </c>
      <c r="H5018" s="24" t="s">
        <v>27</v>
      </c>
      <c r="I5018" s="24" t="s">
        <v>4404</v>
      </c>
      <c r="J5018" s="14" t="s">
        <v>43</v>
      </c>
      <c r="K5018" s="15" t="s">
        <v>50</v>
      </c>
      <c r="L5018" s="62"/>
      <c r="M5018" s="14"/>
      <c r="N5018" s="14" t="s">
        <v>62</v>
      </c>
      <c r="O5018" s="14"/>
      <c r="P5018" s="15" t="s">
        <v>120</v>
      </c>
      <c r="Q5018" s="16">
        <v>4199</v>
      </c>
      <c r="R5018" s="17">
        <v>46</v>
      </c>
      <c r="S5018" s="18">
        <v>2607.5789999999997</v>
      </c>
      <c r="T5018" s="19" t="s">
        <v>36</v>
      </c>
      <c r="U5018" s="20" t="s">
        <v>54</v>
      </c>
      <c r="V5018" s="21" t="s">
        <v>55</v>
      </c>
      <c r="W5018" s="22">
        <v>12</v>
      </c>
      <c r="X5018" s="23"/>
    </row>
    <row r="5019" spans="1:24" s="1" customFormat="1" ht="21" customHeight="1" x14ac:dyDescent="0.3">
      <c r="A5019" s="24" t="s">
        <v>23</v>
      </c>
      <c r="B5019" s="24" t="s">
        <v>4443</v>
      </c>
      <c r="C5019" s="27" t="s">
        <v>4446</v>
      </c>
      <c r="D5019" s="60"/>
      <c r="E5019" s="41" t="str">
        <f>HYPERLINK("https://www.google.ru/search?q=1379785-025&amp;newwindow=1&amp;tbm=isch","Еще фото")</f>
        <v>Еще фото</v>
      </c>
      <c r="F5019" s="13"/>
      <c r="G5019" s="24" t="s">
        <v>4404</v>
      </c>
      <c r="H5019" s="24" t="s">
        <v>27</v>
      </c>
      <c r="I5019" s="24" t="s">
        <v>4404</v>
      </c>
      <c r="J5019" s="14" t="s">
        <v>43</v>
      </c>
      <c r="K5019" s="15" t="s">
        <v>50</v>
      </c>
      <c r="L5019" s="62"/>
      <c r="M5019" s="14"/>
      <c r="N5019" s="14" t="s">
        <v>62</v>
      </c>
      <c r="O5019" s="14"/>
      <c r="P5019" s="15" t="s">
        <v>120</v>
      </c>
      <c r="Q5019" s="16">
        <v>4199</v>
      </c>
      <c r="R5019" s="17">
        <v>46</v>
      </c>
      <c r="S5019" s="18">
        <v>2607.5789999999997</v>
      </c>
      <c r="T5019" s="19" t="s">
        <v>36</v>
      </c>
      <c r="U5019" s="20" t="s">
        <v>234</v>
      </c>
      <c r="V5019" s="21" t="s">
        <v>235</v>
      </c>
      <c r="W5019" s="22">
        <v>11</v>
      </c>
      <c r="X5019" s="23"/>
    </row>
    <row r="5020" spans="1:24" s="1" customFormat="1" ht="21" customHeight="1" x14ac:dyDescent="0.3">
      <c r="A5020" s="24" t="s">
        <v>23</v>
      </c>
      <c r="B5020" s="24" t="s">
        <v>4443</v>
      </c>
      <c r="C5020" s="27" t="s">
        <v>4446</v>
      </c>
      <c r="D5020" s="60"/>
      <c r="E5020" s="41" t="str">
        <f>HYPERLINK("https://www.google.ru/search?q=1379785-025&amp;newwindow=1&amp;tbm=isch","Еще фото")</f>
        <v>Еще фото</v>
      </c>
      <c r="F5020" s="13"/>
      <c r="G5020" s="24" t="s">
        <v>4404</v>
      </c>
      <c r="H5020" s="24" t="s">
        <v>27</v>
      </c>
      <c r="I5020" s="24" t="s">
        <v>4404</v>
      </c>
      <c r="J5020" s="14" t="s">
        <v>43</v>
      </c>
      <c r="K5020" s="15" t="s">
        <v>50</v>
      </c>
      <c r="L5020" s="62"/>
      <c r="M5020" s="14"/>
      <c r="N5020" s="14" t="s">
        <v>62</v>
      </c>
      <c r="O5020" s="14"/>
      <c r="P5020" s="15" t="s">
        <v>120</v>
      </c>
      <c r="Q5020" s="16">
        <v>4199</v>
      </c>
      <c r="R5020" s="17">
        <v>46</v>
      </c>
      <c r="S5020" s="18">
        <v>2607.5789999999997</v>
      </c>
      <c r="T5020" s="19" t="s">
        <v>36</v>
      </c>
      <c r="U5020" s="20" t="s">
        <v>71</v>
      </c>
      <c r="V5020" s="21" t="s">
        <v>72</v>
      </c>
      <c r="W5020" s="22">
        <v>14</v>
      </c>
      <c r="X5020" s="23"/>
    </row>
    <row r="5021" spans="1:24" s="1" customFormat="1" ht="32" customHeight="1" x14ac:dyDescent="0.3">
      <c r="A5021" s="24" t="s">
        <v>23</v>
      </c>
      <c r="B5021" s="24" t="s">
        <v>4443</v>
      </c>
      <c r="C5021" s="27" t="s">
        <v>4446</v>
      </c>
      <c r="D5021" s="61"/>
      <c r="E5021" s="41" t="str">
        <f>HYPERLINK("https://www.google.ru/search?q=1379785-025&amp;newwindow=1&amp;tbm=isch","Еще фото")</f>
        <v>Еще фото</v>
      </c>
      <c r="F5021" s="13"/>
      <c r="G5021" s="24" t="s">
        <v>4404</v>
      </c>
      <c r="H5021" s="24" t="s">
        <v>27</v>
      </c>
      <c r="I5021" s="24" t="s">
        <v>4404</v>
      </c>
      <c r="J5021" s="14" t="s">
        <v>43</v>
      </c>
      <c r="K5021" s="15" t="s">
        <v>50</v>
      </c>
      <c r="L5021" s="58"/>
      <c r="M5021" s="14"/>
      <c r="N5021" s="14" t="s">
        <v>62</v>
      </c>
      <c r="O5021" s="14"/>
      <c r="P5021" s="15" t="s">
        <v>120</v>
      </c>
      <c r="Q5021" s="16">
        <v>4199</v>
      </c>
      <c r="R5021" s="17">
        <v>46</v>
      </c>
      <c r="S5021" s="18">
        <v>2607.5789999999997</v>
      </c>
      <c r="T5021" s="19" t="s">
        <v>36</v>
      </c>
      <c r="U5021" s="20" t="s">
        <v>73</v>
      </c>
      <c r="V5021" s="21" t="s">
        <v>74</v>
      </c>
      <c r="W5021" s="22">
        <v>11</v>
      </c>
      <c r="X5021" s="23"/>
    </row>
    <row r="5022" spans="1:24" s="1" customFormat="1" ht="11" customHeight="1" x14ac:dyDescent="0.3">
      <c r="A5022" s="11" t="s">
        <v>23</v>
      </c>
      <c r="B5022" s="11" t="s">
        <v>4447</v>
      </c>
      <c r="C5022" s="12" t="s">
        <v>4448</v>
      </c>
      <c r="D5022" s="59"/>
      <c r="E5022" s="41" t="str">
        <f t="shared" ref="E5022:E5030" si="178">HYPERLINK("https://www.google.ru/search?q=1383154-014&amp;newwindow=1&amp;tbm=isch","Еще фото")</f>
        <v>Еще фото</v>
      </c>
      <c r="F5022" s="13"/>
      <c r="G5022" s="11" t="s">
        <v>4404</v>
      </c>
      <c r="H5022" s="11" t="s">
        <v>27</v>
      </c>
      <c r="I5022" s="14" t="s">
        <v>4404</v>
      </c>
      <c r="J5022" s="14" t="s">
        <v>211</v>
      </c>
      <c r="K5022" s="15" t="s">
        <v>30</v>
      </c>
      <c r="L5022" s="57" t="s">
        <v>4449</v>
      </c>
      <c r="M5022" s="14"/>
      <c r="N5022" s="14" t="s">
        <v>62</v>
      </c>
      <c r="O5022" s="14"/>
      <c r="P5022" s="15" t="s">
        <v>4450</v>
      </c>
      <c r="Q5022" s="16">
        <v>5999</v>
      </c>
      <c r="R5022" s="17">
        <v>46</v>
      </c>
      <c r="S5022" s="18">
        <v>3725.3789999999999</v>
      </c>
      <c r="T5022" s="19" t="s">
        <v>36</v>
      </c>
      <c r="U5022" s="20" t="s">
        <v>2642</v>
      </c>
      <c r="V5022" s="22">
        <v>46</v>
      </c>
      <c r="W5022" s="22">
        <v>6</v>
      </c>
      <c r="X5022" s="23"/>
    </row>
    <row r="5023" spans="1:24" s="1" customFormat="1" ht="11" customHeight="1" x14ac:dyDescent="0.3">
      <c r="A5023" s="24" t="s">
        <v>23</v>
      </c>
      <c r="B5023" s="24" t="s">
        <v>4447</v>
      </c>
      <c r="C5023" s="12" t="s">
        <v>4448</v>
      </c>
      <c r="D5023" s="60"/>
      <c r="E5023" s="41" t="str">
        <f t="shared" si="178"/>
        <v>Еще фото</v>
      </c>
      <c r="F5023" s="13"/>
      <c r="G5023" s="24" t="s">
        <v>4404</v>
      </c>
      <c r="H5023" s="24" t="s">
        <v>27</v>
      </c>
      <c r="I5023" s="24" t="s">
        <v>4404</v>
      </c>
      <c r="J5023" s="14" t="s">
        <v>211</v>
      </c>
      <c r="K5023" s="15" t="s">
        <v>30</v>
      </c>
      <c r="L5023" s="62"/>
      <c r="M5023" s="14"/>
      <c r="N5023" s="14" t="s">
        <v>62</v>
      </c>
      <c r="O5023" s="14"/>
      <c r="P5023" s="15" t="s">
        <v>4450</v>
      </c>
      <c r="Q5023" s="16">
        <v>5999</v>
      </c>
      <c r="R5023" s="17">
        <v>46</v>
      </c>
      <c r="S5023" s="18">
        <v>3725.3789999999999</v>
      </c>
      <c r="T5023" s="19" t="s">
        <v>36</v>
      </c>
      <c r="U5023" s="20" t="s">
        <v>2643</v>
      </c>
      <c r="V5023" s="21" t="s">
        <v>38</v>
      </c>
      <c r="W5023" s="22">
        <v>16</v>
      </c>
      <c r="X5023" s="23"/>
    </row>
    <row r="5024" spans="1:24" s="1" customFormat="1" ht="11" customHeight="1" x14ac:dyDescent="0.3">
      <c r="A5024" s="24" t="s">
        <v>23</v>
      </c>
      <c r="B5024" s="24" t="s">
        <v>4447</v>
      </c>
      <c r="C5024" s="12" t="s">
        <v>4448</v>
      </c>
      <c r="D5024" s="60"/>
      <c r="E5024" s="41" t="str">
        <f t="shared" si="178"/>
        <v>Еще фото</v>
      </c>
      <c r="F5024" s="13"/>
      <c r="G5024" s="24" t="s">
        <v>4404</v>
      </c>
      <c r="H5024" s="24" t="s">
        <v>27</v>
      </c>
      <c r="I5024" s="24" t="s">
        <v>4404</v>
      </c>
      <c r="J5024" s="14" t="s">
        <v>211</v>
      </c>
      <c r="K5024" s="15" t="s">
        <v>30</v>
      </c>
      <c r="L5024" s="62"/>
      <c r="M5024" s="14"/>
      <c r="N5024" s="14" t="s">
        <v>62</v>
      </c>
      <c r="O5024" s="14"/>
      <c r="P5024" s="15" t="s">
        <v>4450</v>
      </c>
      <c r="Q5024" s="16">
        <v>5999</v>
      </c>
      <c r="R5024" s="17">
        <v>46</v>
      </c>
      <c r="S5024" s="18">
        <v>3725.3789999999999</v>
      </c>
      <c r="T5024" s="19" t="s">
        <v>36</v>
      </c>
      <c r="U5024" s="20" t="s">
        <v>2644</v>
      </c>
      <c r="V5024" s="22">
        <v>50</v>
      </c>
      <c r="W5024" s="22">
        <v>15</v>
      </c>
      <c r="X5024" s="23"/>
    </row>
    <row r="5025" spans="1:24" s="1" customFormat="1" ht="11" customHeight="1" x14ac:dyDescent="0.3">
      <c r="A5025" s="24" t="s">
        <v>23</v>
      </c>
      <c r="B5025" s="24" t="s">
        <v>4447</v>
      </c>
      <c r="C5025" s="12" t="s">
        <v>4448</v>
      </c>
      <c r="D5025" s="60"/>
      <c r="E5025" s="41" t="str">
        <f t="shared" si="178"/>
        <v>Еще фото</v>
      </c>
      <c r="F5025" s="13"/>
      <c r="G5025" s="24" t="s">
        <v>4404</v>
      </c>
      <c r="H5025" s="24" t="s">
        <v>27</v>
      </c>
      <c r="I5025" s="24" t="s">
        <v>4404</v>
      </c>
      <c r="J5025" s="14" t="s">
        <v>211</v>
      </c>
      <c r="K5025" s="15" t="s">
        <v>30</v>
      </c>
      <c r="L5025" s="62"/>
      <c r="M5025" s="14"/>
      <c r="N5025" s="14" t="s">
        <v>62</v>
      </c>
      <c r="O5025" s="14"/>
      <c r="P5025" s="15" t="s">
        <v>4450</v>
      </c>
      <c r="Q5025" s="16">
        <v>5999</v>
      </c>
      <c r="R5025" s="17">
        <v>46</v>
      </c>
      <c r="S5025" s="18">
        <v>3725.3789999999999</v>
      </c>
      <c r="T5025" s="19" t="s">
        <v>36</v>
      </c>
      <c r="U5025" s="20" t="s">
        <v>4451</v>
      </c>
      <c r="V5025" s="21" t="s">
        <v>87</v>
      </c>
      <c r="W5025" s="22">
        <v>5</v>
      </c>
      <c r="X5025" s="23"/>
    </row>
    <row r="5026" spans="1:24" s="1" customFormat="1" ht="11" customHeight="1" x14ac:dyDescent="0.3">
      <c r="A5026" s="24" t="s">
        <v>23</v>
      </c>
      <c r="B5026" s="24" t="s">
        <v>4447</v>
      </c>
      <c r="C5026" s="12" t="s">
        <v>4448</v>
      </c>
      <c r="D5026" s="60"/>
      <c r="E5026" s="41" t="str">
        <f t="shared" si="178"/>
        <v>Еще фото</v>
      </c>
      <c r="F5026" s="13"/>
      <c r="G5026" s="24" t="s">
        <v>4404</v>
      </c>
      <c r="H5026" s="24" t="s">
        <v>27</v>
      </c>
      <c r="I5026" s="24" t="s">
        <v>4404</v>
      </c>
      <c r="J5026" s="14" t="s">
        <v>211</v>
      </c>
      <c r="K5026" s="15" t="s">
        <v>30</v>
      </c>
      <c r="L5026" s="62"/>
      <c r="M5026" s="14"/>
      <c r="N5026" s="14" t="s">
        <v>62</v>
      </c>
      <c r="O5026" s="14"/>
      <c r="P5026" s="15" t="s">
        <v>4450</v>
      </c>
      <c r="Q5026" s="16">
        <v>5999</v>
      </c>
      <c r="R5026" s="17">
        <v>46</v>
      </c>
      <c r="S5026" s="18">
        <v>3725.3789999999999</v>
      </c>
      <c r="T5026" s="19" t="s">
        <v>36</v>
      </c>
      <c r="U5026" s="20" t="s">
        <v>4452</v>
      </c>
      <c r="V5026" s="22">
        <v>52</v>
      </c>
      <c r="W5026" s="22">
        <v>17</v>
      </c>
      <c r="X5026" s="23"/>
    </row>
    <row r="5027" spans="1:24" s="1" customFormat="1" ht="11" customHeight="1" x14ac:dyDescent="0.3">
      <c r="A5027" s="24" t="s">
        <v>23</v>
      </c>
      <c r="B5027" s="24" t="s">
        <v>4447</v>
      </c>
      <c r="C5027" s="12" t="s">
        <v>4448</v>
      </c>
      <c r="D5027" s="60"/>
      <c r="E5027" s="41" t="str">
        <f t="shared" si="178"/>
        <v>Еще фото</v>
      </c>
      <c r="F5027" s="13"/>
      <c r="G5027" s="24" t="s">
        <v>4404</v>
      </c>
      <c r="H5027" s="24" t="s">
        <v>27</v>
      </c>
      <c r="I5027" s="24" t="s">
        <v>4404</v>
      </c>
      <c r="J5027" s="14" t="s">
        <v>211</v>
      </c>
      <c r="K5027" s="15" t="s">
        <v>30</v>
      </c>
      <c r="L5027" s="62"/>
      <c r="M5027" s="14"/>
      <c r="N5027" s="14" t="s">
        <v>62</v>
      </c>
      <c r="O5027" s="14"/>
      <c r="P5027" s="15" t="s">
        <v>4450</v>
      </c>
      <c r="Q5027" s="16">
        <v>5999</v>
      </c>
      <c r="R5027" s="17">
        <v>46</v>
      </c>
      <c r="S5027" s="18">
        <v>3725.3789999999999</v>
      </c>
      <c r="T5027" s="19" t="s">
        <v>36</v>
      </c>
      <c r="U5027" s="20" t="s">
        <v>4453</v>
      </c>
      <c r="V5027" s="22">
        <v>54</v>
      </c>
      <c r="W5027" s="22">
        <v>17</v>
      </c>
      <c r="X5027" s="23"/>
    </row>
    <row r="5028" spans="1:24" s="1" customFormat="1" ht="11" customHeight="1" x14ac:dyDescent="0.3">
      <c r="A5028" s="24" t="s">
        <v>23</v>
      </c>
      <c r="B5028" s="24" t="s">
        <v>4447</v>
      </c>
      <c r="C5028" s="12" t="s">
        <v>4448</v>
      </c>
      <c r="D5028" s="60"/>
      <c r="E5028" s="41" t="str">
        <f t="shared" si="178"/>
        <v>Еще фото</v>
      </c>
      <c r="F5028" s="13"/>
      <c r="G5028" s="24" t="s">
        <v>4404</v>
      </c>
      <c r="H5028" s="24" t="s">
        <v>27</v>
      </c>
      <c r="I5028" s="24" t="s">
        <v>4404</v>
      </c>
      <c r="J5028" s="14" t="s">
        <v>211</v>
      </c>
      <c r="K5028" s="15" t="s">
        <v>30</v>
      </c>
      <c r="L5028" s="62"/>
      <c r="M5028" s="14"/>
      <c r="N5028" s="14" t="s">
        <v>62</v>
      </c>
      <c r="O5028" s="14"/>
      <c r="P5028" s="15" t="s">
        <v>4450</v>
      </c>
      <c r="Q5028" s="16">
        <v>5999</v>
      </c>
      <c r="R5028" s="17">
        <v>46</v>
      </c>
      <c r="S5028" s="18">
        <v>3725.3789999999999</v>
      </c>
      <c r="T5028" s="19" t="s">
        <v>36</v>
      </c>
      <c r="U5028" s="20" t="s">
        <v>4454</v>
      </c>
      <c r="V5028" s="22">
        <v>56</v>
      </c>
      <c r="W5028" s="22">
        <v>3</v>
      </c>
      <c r="X5028" s="23"/>
    </row>
    <row r="5029" spans="1:24" s="1" customFormat="1" ht="11" customHeight="1" x14ac:dyDescent="0.3">
      <c r="A5029" s="24" t="s">
        <v>23</v>
      </c>
      <c r="B5029" s="24" t="s">
        <v>4447</v>
      </c>
      <c r="C5029" s="12" t="s">
        <v>4448</v>
      </c>
      <c r="D5029" s="60"/>
      <c r="E5029" s="41" t="str">
        <f t="shared" si="178"/>
        <v>Еще фото</v>
      </c>
      <c r="F5029" s="13"/>
      <c r="G5029" s="24" t="s">
        <v>4404</v>
      </c>
      <c r="H5029" s="24" t="s">
        <v>27</v>
      </c>
      <c r="I5029" s="24" t="s">
        <v>4404</v>
      </c>
      <c r="J5029" s="14" t="s">
        <v>211</v>
      </c>
      <c r="K5029" s="15" t="s">
        <v>30</v>
      </c>
      <c r="L5029" s="62"/>
      <c r="M5029" s="14"/>
      <c r="N5029" s="14" t="s">
        <v>62</v>
      </c>
      <c r="O5029" s="14"/>
      <c r="P5029" s="15" t="s">
        <v>4450</v>
      </c>
      <c r="Q5029" s="16">
        <v>5999</v>
      </c>
      <c r="R5029" s="17">
        <v>46</v>
      </c>
      <c r="S5029" s="18">
        <v>3725.3789999999999</v>
      </c>
      <c r="T5029" s="19" t="s">
        <v>36</v>
      </c>
      <c r="U5029" s="20" t="s">
        <v>4455</v>
      </c>
      <c r="V5029" s="22">
        <v>58</v>
      </c>
      <c r="W5029" s="22">
        <v>4</v>
      </c>
      <c r="X5029" s="23"/>
    </row>
    <row r="5030" spans="1:24" s="1" customFormat="1" ht="11" customHeight="1" x14ac:dyDescent="0.3">
      <c r="A5030" s="24" t="s">
        <v>23</v>
      </c>
      <c r="B5030" s="24" t="s">
        <v>4447</v>
      </c>
      <c r="C5030" s="12" t="s">
        <v>4448</v>
      </c>
      <c r="D5030" s="61"/>
      <c r="E5030" s="41" t="str">
        <f t="shared" si="178"/>
        <v>Еще фото</v>
      </c>
      <c r="F5030" s="13"/>
      <c r="G5030" s="24" t="s">
        <v>4404</v>
      </c>
      <c r="H5030" s="24" t="s">
        <v>27</v>
      </c>
      <c r="I5030" s="24" t="s">
        <v>4404</v>
      </c>
      <c r="J5030" s="14" t="s">
        <v>211</v>
      </c>
      <c r="K5030" s="15" t="s">
        <v>30</v>
      </c>
      <c r="L5030" s="58"/>
      <c r="M5030" s="14"/>
      <c r="N5030" s="14" t="s">
        <v>62</v>
      </c>
      <c r="O5030" s="14"/>
      <c r="P5030" s="15" t="s">
        <v>4450</v>
      </c>
      <c r="Q5030" s="16">
        <v>5999</v>
      </c>
      <c r="R5030" s="17">
        <v>46</v>
      </c>
      <c r="S5030" s="18">
        <v>3725.3789999999999</v>
      </c>
      <c r="T5030" s="19" t="s">
        <v>36</v>
      </c>
      <c r="U5030" s="20" t="s">
        <v>4456</v>
      </c>
      <c r="V5030" s="21" t="s">
        <v>40</v>
      </c>
      <c r="W5030" s="22">
        <v>5</v>
      </c>
      <c r="X5030" s="23"/>
    </row>
    <row r="5031" spans="1:24" s="1" customFormat="1" ht="26" customHeight="1" x14ac:dyDescent="0.3">
      <c r="A5031" s="11" t="s">
        <v>23</v>
      </c>
      <c r="B5031" s="11" t="s">
        <v>4457</v>
      </c>
      <c r="C5031" s="12" t="s">
        <v>4458</v>
      </c>
      <c r="D5031" s="59"/>
      <c r="E5031" s="41" t="str">
        <f>HYPERLINK("https://www.google.ru/search?q=1389171-001&amp;newwindow=1&amp;tbm=isch","Еще фото")</f>
        <v>Еще фото</v>
      </c>
      <c r="F5031" s="13"/>
      <c r="G5031" s="11" t="s">
        <v>4404</v>
      </c>
      <c r="H5031" s="11" t="s">
        <v>27</v>
      </c>
      <c r="I5031" s="14" t="s">
        <v>4404</v>
      </c>
      <c r="J5031" s="14" t="s">
        <v>29</v>
      </c>
      <c r="K5031" s="15" t="s">
        <v>50</v>
      </c>
      <c r="L5031" s="57" t="s">
        <v>4459</v>
      </c>
      <c r="M5031" s="14"/>
      <c r="N5031" s="14" t="s">
        <v>33</v>
      </c>
      <c r="O5031" s="14"/>
      <c r="P5031" s="15" t="s">
        <v>47</v>
      </c>
      <c r="Q5031" s="16">
        <v>2799</v>
      </c>
      <c r="R5031" s="17">
        <v>46</v>
      </c>
      <c r="S5031" s="18">
        <v>1738.1789999999999</v>
      </c>
      <c r="T5031" s="19" t="s">
        <v>36</v>
      </c>
      <c r="U5031" s="20" t="s">
        <v>99</v>
      </c>
      <c r="V5031" s="21" t="s">
        <v>100</v>
      </c>
      <c r="W5031" s="22">
        <v>1</v>
      </c>
      <c r="X5031" s="23"/>
    </row>
    <row r="5032" spans="1:24" s="1" customFormat="1" ht="26" customHeight="1" x14ac:dyDescent="0.3">
      <c r="A5032" s="24" t="s">
        <v>23</v>
      </c>
      <c r="B5032" s="24" t="s">
        <v>4457</v>
      </c>
      <c r="C5032" s="12" t="s">
        <v>4458</v>
      </c>
      <c r="D5032" s="60"/>
      <c r="E5032" s="41" t="str">
        <f>HYPERLINK("https://www.google.ru/search?q=1389171-001&amp;newwindow=1&amp;tbm=isch","Еще фото")</f>
        <v>Еще фото</v>
      </c>
      <c r="F5032" s="13"/>
      <c r="G5032" s="24" t="s">
        <v>4404</v>
      </c>
      <c r="H5032" s="24" t="s">
        <v>27</v>
      </c>
      <c r="I5032" s="24" t="s">
        <v>4404</v>
      </c>
      <c r="J5032" s="14" t="s">
        <v>29</v>
      </c>
      <c r="K5032" s="15" t="s">
        <v>50</v>
      </c>
      <c r="L5032" s="62"/>
      <c r="M5032" s="14"/>
      <c r="N5032" s="14" t="s">
        <v>33</v>
      </c>
      <c r="O5032" s="14"/>
      <c r="P5032" s="15" t="s">
        <v>47</v>
      </c>
      <c r="Q5032" s="16">
        <v>2799</v>
      </c>
      <c r="R5032" s="17">
        <v>46</v>
      </c>
      <c r="S5032" s="18">
        <v>1738.1789999999999</v>
      </c>
      <c r="T5032" s="19" t="s">
        <v>36</v>
      </c>
      <c r="U5032" s="20" t="s">
        <v>54</v>
      </c>
      <c r="V5032" s="21" t="s">
        <v>55</v>
      </c>
      <c r="W5032" s="22">
        <v>8</v>
      </c>
      <c r="X5032" s="23"/>
    </row>
    <row r="5033" spans="1:24" s="1" customFormat="1" ht="26" customHeight="1" x14ac:dyDescent="0.3">
      <c r="A5033" s="24" t="s">
        <v>23</v>
      </c>
      <c r="B5033" s="24" t="s">
        <v>4457</v>
      </c>
      <c r="C5033" s="12" t="s">
        <v>4458</v>
      </c>
      <c r="D5033" s="60"/>
      <c r="E5033" s="41" t="str">
        <f>HYPERLINK("https://www.google.ru/search?q=1389171-001&amp;newwindow=1&amp;tbm=isch","Еще фото")</f>
        <v>Еще фото</v>
      </c>
      <c r="F5033" s="13"/>
      <c r="G5033" s="24" t="s">
        <v>4404</v>
      </c>
      <c r="H5033" s="24" t="s">
        <v>27</v>
      </c>
      <c r="I5033" s="24" t="s">
        <v>4404</v>
      </c>
      <c r="J5033" s="14" t="s">
        <v>29</v>
      </c>
      <c r="K5033" s="15" t="s">
        <v>50</v>
      </c>
      <c r="L5033" s="62"/>
      <c r="M5033" s="14"/>
      <c r="N5033" s="14" t="s">
        <v>33</v>
      </c>
      <c r="O5033" s="14"/>
      <c r="P5033" s="15" t="s">
        <v>47</v>
      </c>
      <c r="Q5033" s="16">
        <v>2799</v>
      </c>
      <c r="R5033" s="17">
        <v>46</v>
      </c>
      <c r="S5033" s="18">
        <v>1738.1789999999999</v>
      </c>
      <c r="T5033" s="19" t="s">
        <v>36</v>
      </c>
      <c r="U5033" s="20" t="s">
        <v>234</v>
      </c>
      <c r="V5033" s="21" t="s">
        <v>235</v>
      </c>
      <c r="W5033" s="22">
        <v>3</v>
      </c>
      <c r="X5033" s="23"/>
    </row>
    <row r="5034" spans="1:24" s="1" customFormat="1" ht="26" customHeight="1" x14ac:dyDescent="0.3">
      <c r="A5034" s="24" t="s">
        <v>23</v>
      </c>
      <c r="B5034" s="24" t="s">
        <v>4457</v>
      </c>
      <c r="C5034" s="12" t="s">
        <v>4458</v>
      </c>
      <c r="D5034" s="61"/>
      <c r="E5034" s="41" t="str">
        <f>HYPERLINK("https://www.google.ru/search?q=1389171-001&amp;newwindow=1&amp;tbm=isch","Еще фото")</f>
        <v>Еще фото</v>
      </c>
      <c r="F5034" s="13"/>
      <c r="G5034" s="24" t="s">
        <v>4404</v>
      </c>
      <c r="H5034" s="24" t="s">
        <v>27</v>
      </c>
      <c r="I5034" s="24" t="s">
        <v>4404</v>
      </c>
      <c r="J5034" s="14" t="s">
        <v>29</v>
      </c>
      <c r="K5034" s="15" t="s">
        <v>50</v>
      </c>
      <c r="L5034" s="58"/>
      <c r="M5034" s="14"/>
      <c r="N5034" s="14" t="s">
        <v>33</v>
      </c>
      <c r="O5034" s="14"/>
      <c r="P5034" s="15" t="s">
        <v>47</v>
      </c>
      <c r="Q5034" s="16">
        <v>2799</v>
      </c>
      <c r="R5034" s="17">
        <v>46</v>
      </c>
      <c r="S5034" s="18">
        <v>1738.1789999999999</v>
      </c>
      <c r="T5034" s="19" t="s">
        <v>36</v>
      </c>
      <c r="U5034" s="20" t="s">
        <v>71</v>
      </c>
      <c r="V5034" s="21" t="s">
        <v>72</v>
      </c>
      <c r="W5034" s="22">
        <v>7</v>
      </c>
      <c r="X5034" s="23"/>
    </row>
    <row r="5035" spans="1:24" s="1" customFormat="1" ht="21" customHeight="1" x14ac:dyDescent="0.3">
      <c r="A5035" s="11" t="s">
        <v>23</v>
      </c>
      <c r="B5035" s="11" t="s">
        <v>4457</v>
      </c>
      <c r="C5035" s="26" t="s">
        <v>4460</v>
      </c>
      <c r="D5035" s="59"/>
      <c r="E5035" s="41" t="str">
        <f>HYPERLINK("https://www.google.ru/search?q=1389171-203&amp;newwindow=1&amp;tbm=isch","Еще фото")</f>
        <v>Еще фото</v>
      </c>
      <c r="F5035" s="13"/>
      <c r="G5035" s="11" t="s">
        <v>4404</v>
      </c>
      <c r="H5035" s="11" t="s">
        <v>27</v>
      </c>
      <c r="I5035" s="14" t="s">
        <v>4404</v>
      </c>
      <c r="J5035" s="14" t="s">
        <v>29</v>
      </c>
      <c r="K5035" s="15" t="s">
        <v>50</v>
      </c>
      <c r="L5035" s="57" t="s">
        <v>4459</v>
      </c>
      <c r="M5035" s="14"/>
      <c r="N5035" s="14" t="s">
        <v>229</v>
      </c>
      <c r="O5035" s="14"/>
      <c r="P5035" s="15" t="s">
        <v>47</v>
      </c>
      <c r="Q5035" s="16">
        <v>2799</v>
      </c>
      <c r="R5035" s="17">
        <v>46</v>
      </c>
      <c r="S5035" s="18">
        <v>1738.1789999999999</v>
      </c>
      <c r="T5035" s="19" t="s">
        <v>36</v>
      </c>
      <c r="U5035" s="20" t="s">
        <v>99</v>
      </c>
      <c r="V5035" s="21" t="s">
        <v>100</v>
      </c>
      <c r="W5035" s="22">
        <v>6</v>
      </c>
      <c r="X5035" s="23"/>
    </row>
    <row r="5036" spans="1:24" s="1" customFormat="1" ht="21" customHeight="1" x14ac:dyDescent="0.3">
      <c r="A5036" s="24" t="s">
        <v>23</v>
      </c>
      <c r="B5036" s="24" t="s">
        <v>4457</v>
      </c>
      <c r="C5036" s="27" t="s">
        <v>4460</v>
      </c>
      <c r="D5036" s="60"/>
      <c r="E5036" s="41" t="str">
        <f>HYPERLINK("https://www.google.ru/search?q=1389171-203&amp;newwindow=1&amp;tbm=isch","Еще фото")</f>
        <v>Еще фото</v>
      </c>
      <c r="F5036" s="13"/>
      <c r="G5036" s="24" t="s">
        <v>4404</v>
      </c>
      <c r="H5036" s="24" t="s">
        <v>27</v>
      </c>
      <c r="I5036" s="24" t="s">
        <v>4404</v>
      </c>
      <c r="J5036" s="14" t="s">
        <v>29</v>
      </c>
      <c r="K5036" s="15" t="s">
        <v>50</v>
      </c>
      <c r="L5036" s="62"/>
      <c r="M5036" s="14"/>
      <c r="N5036" s="14" t="s">
        <v>229</v>
      </c>
      <c r="O5036" s="14"/>
      <c r="P5036" s="15" t="s">
        <v>47</v>
      </c>
      <c r="Q5036" s="16">
        <v>2799</v>
      </c>
      <c r="R5036" s="17">
        <v>46</v>
      </c>
      <c r="S5036" s="18">
        <v>1738.1789999999999</v>
      </c>
      <c r="T5036" s="19" t="s">
        <v>36</v>
      </c>
      <c r="U5036" s="20" t="s">
        <v>54</v>
      </c>
      <c r="V5036" s="21" t="s">
        <v>55</v>
      </c>
      <c r="W5036" s="22">
        <v>8</v>
      </c>
      <c r="X5036" s="23"/>
    </row>
    <row r="5037" spans="1:24" s="1" customFormat="1" ht="21" customHeight="1" x14ac:dyDescent="0.3">
      <c r="A5037" s="24" t="s">
        <v>23</v>
      </c>
      <c r="B5037" s="24" t="s">
        <v>4457</v>
      </c>
      <c r="C5037" s="27" t="s">
        <v>4460</v>
      </c>
      <c r="D5037" s="60"/>
      <c r="E5037" s="41" t="str">
        <f>HYPERLINK("https://www.google.ru/search?q=1389171-203&amp;newwindow=1&amp;tbm=isch","Еще фото")</f>
        <v>Еще фото</v>
      </c>
      <c r="F5037" s="13"/>
      <c r="G5037" s="24" t="s">
        <v>4404</v>
      </c>
      <c r="H5037" s="24" t="s">
        <v>27</v>
      </c>
      <c r="I5037" s="24" t="s">
        <v>4404</v>
      </c>
      <c r="J5037" s="14" t="s">
        <v>29</v>
      </c>
      <c r="K5037" s="15" t="s">
        <v>50</v>
      </c>
      <c r="L5037" s="62"/>
      <c r="M5037" s="14"/>
      <c r="N5037" s="14" t="s">
        <v>229</v>
      </c>
      <c r="O5037" s="14"/>
      <c r="P5037" s="15" t="s">
        <v>47</v>
      </c>
      <c r="Q5037" s="16">
        <v>2799</v>
      </c>
      <c r="R5037" s="17">
        <v>46</v>
      </c>
      <c r="S5037" s="18">
        <v>1738.1789999999999</v>
      </c>
      <c r="T5037" s="19" t="s">
        <v>36</v>
      </c>
      <c r="U5037" s="20" t="s">
        <v>234</v>
      </c>
      <c r="V5037" s="21" t="s">
        <v>235</v>
      </c>
      <c r="W5037" s="22">
        <v>7</v>
      </c>
      <c r="X5037" s="23"/>
    </row>
    <row r="5038" spans="1:24" s="1" customFormat="1" ht="21" customHeight="1" x14ac:dyDescent="0.3">
      <c r="A5038" s="24" t="s">
        <v>23</v>
      </c>
      <c r="B5038" s="24" t="s">
        <v>4457</v>
      </c>
      <c r="C5038" s="27" t="s">
        <v>4460</v>
      </c>
      <c r="D5038" s="60"/>
      <c r="E5038" s="41" t="str">
        <f>HYPERLINK("https://www.google.ru/search?q=1389171-203&amp;newwindow=1&amp;tbm=isch","Еще фото")</f>
        <v>Еще фото</v>
      </c>
      <c r="F5038" s="13"/>
      <c r="G5038" s="24" t="s">
        <v>4404</v>
      </c>
      <c r="H5038" s="24" t="s">
        <v>27</v>
      </c>
      <c r="I5038" s="24" t="s">
        <v>4404</v>
      </c>
      <c r="J5038" s="14" t="s">
        <v>29</v>
      </c>
      <c r="K5038" s="15" t="s">
        <v>50</v>
      </c>
      <c r="L5038" s="62"/>
      <c r="M5038" s="14"/>
      <c r="N5038" s="14" t="s">
        <v>229</v>
      </c>
      <c r="O5038" s="14"/>
      <c r="P5038" s="15" t="s">
        <v>47</v>
      </c>
      <c r="Q5038" s="16">
        <v>2799</v>
      </c>
      <c r="R5038" s="17">
        <v>46</v>
      </c>
      <c r="S5038" s="18">
        <v>1738.1789999999999</v>
      </c>
      <c r="T5038" s="19" t="s">
        <v>36</v>
      </c>
      <c r="U5038" s="20" t="s">
        <v>71</v>
      </c>
      <c r="V5038" s="21" t="s">
        <v>72</v>
      </c>
      <c r="W5038" s="22">
        <v>14</v>
      </c>
      <c r="X5038" s="23"/>
    </row>
    <row r="5039" spans="1:24" s="1" customFormat="1" ht="32" customHeight="1" x14ac:dyDescent="0.3">
      <c r="A5039" s="24" t="s">
        <v>23</v>
      </c>
      <c r="B5039" s="24" t="s">
        <v>4457</v>
      </c>
      <c r="C5039" s="27" t="s">
        <v>4460</v>
      </c>
      <c r="D5039" s="61"/>
      <c r="E5039" s="41" t="str">
        <f>HYPERLINK("https://www.google.ru/search?q=1389171-203&amp;newwindow=1&amp;tbm=isch","Еще фото")</f>
        <v>Еще фото</v>
      </c>
      <c r="F5039" s="13"/>
      <c r="G5039" s="24" t="s">
        <v>4404</v>
      </c>
      <c r="H5039" s="24" t="s">
        <v>27</v>
      </c>
      <c r="I5039" s="24" t="s">
        <v>4404</v>
      </c>
      <c r="J5039" s="14" t="s">
        <v>29</v>
      </c>
      <c r="K5039" s="15" t="s">
        <v>50</v>
      </c>
      <c r="L5039" s="58"/>
      <c r="M5039" s="14"/>
      <c r="N5039" s="14" t="s">
        <v>229</v>
      </c>
      <c r="O5039" s="14"/>
      <c r="P5039" s="15" t="s">
        <v>47</v>
      </c>
      <c r="Q5039" s="16">
        <v>2799</v>
      </c>
      <c r="R5039" s="17">
        <v>46</v>
      </c>
      <c r="S5039" s="18">
        <v>1738.1789999999999</v>
      </c>
      <c r="T5039" s="19" t="s">
        <v>36</v>
      </c>
      <c r="U5039" s="20" t="s">
        <v>73</v>
      </c>
      <c r="V5039" s="21" t="s">
        <v>74</v>
      </c>
      <c r="W5039" s="22">
        <v>11</v>
      </c>
      <c r="X5039" s="23"/>
    </row>
    <row r="5040" spans="1:24" s="1" customFormat="1" ht="21" customHeight="1" x14ac:dyDescent="0.3">
      <c r="A5040" s="11" t="s">
        <v>23</v>
      </c>
      <c r="B5040" s="11" t="s">
        <v>4457</v>
      </c>
      <c r="C5040" s="26" t="s">
        <v>4461</v>
      </c>
      <c r="D5040" s="59"/>
      <c r="E5040" s="41" t="str">
        <f>HYPERLINK("https://www.google.ru/search?q=1389171-498&amp;newwindow=1&amp;tbm=isch","Еще фото")</f>
        <v>Еще фото</v>
      </c>
      <c r="F5040" s="13"/>
      <c r="G5040" s="11" t="s">
        <v>4404</v>
      </c>
      <c r="H5040" s="11" t="s">
        <v>27</v>
      </c>
      <c r="I5040" s="14" t="s">
        <v>4404</v>
      </c>
      <c r="J5040" s="14" t="s">
        <v>29</v>
      </c>
      <c r="K5040" s="15" t="s">
        <v>50</v>
      </c>
      <c r="L5040" s="57" t="s">
        <v>4459</v>
      </c>
      <c r="M5040" s="14"/>
      <c r="N5040" s="14" t="s">
        <v>115</v>
      </c>
      <c r="O5040" s="14"/>
      <c r="P5040" s="15" t="s">
        <v>47</v>
      </c>
      <c r="Q5040" s="16">
        <v>2799</v>
      </c>
      <c r="R5040" s="17">
        <v>46</v>
      </c>
      <c r="S5040" s="18">
        <v>1738.1789999999999</v>
      </c>
      <c r="T5040" s="19" t="s">
        <v>36</v>
      </c>
      <c r="U5040" s="20" t="s">
        <v>99</v>
      </c>
      <c r="V5040" s="21" t="s">
        <v>100</v>
      </c>
      <c r="W5040" s="22">
        <v>6</v>
      </c>
      <c r="X5040" s="23"/>
    </row>
    <row r="5041" spans="1:24" s="1" customFormat="1" ht="21" customHeight="1" x14ac:dyDescent="0.3">
      <c r="A5041" s="24" t="s">
        <v>23</v>
      </c>
      <c r="B5041" s="24" t="s">
        <v>4457</v>
      </c>
      <c r="C5041" s="27" t="s">
        <v>4461</v>
      </c>
      <c r="D5041" s="60"/>
      <c r="E5041" s="41" t="str">
        <f>HYPERLINK("https://www.google.ru/search?q=1389171-498&amp;newwindow=1&amp;tbm=isch","Еще фото")</f>
        <v>Еще фото</v>
      </c>
      <c r="F5041" s="13"/>
      <c r="G5041" s="24" t="s">
        <v>4404</v>
      </c>
      <c r="H5041" s="24" t="s">
        <v>27</v>
      </c>
      <c r="I5041" s="24" t="s">
        <v>4404</v>
      </c>
      <c r="J5041" s="14" t="s">
        <v>29</v>
      </c>
      <c r="K5041" s="15" t="s">
        <v>50</v>
      </c>
      <c r="L5041" s="62"/>
      <c r="M5041" s="14"/>
      <c r="N5041" s="14" t="s">
        <v>115</v>
      </c>
      <c r="O5041" s="14"/>
      <c r="P5041" s="15" t="s">
        <v>47</v>
      </c>
      <c r="Q5041" s="16">
        <v>2799</v>
      </c>
      <c r="R5041" s="17">
        <v>46</v>
      </c>
      <c r="S5041" s="18">
        <v>1738.1789999999999</v>
      </c>
      <c r="T5041" s="19" t="s">
        <v>36</v>
      </c>
      <c r="U5041" s="20" t="s">
        <v>54</v>
      </c>
      <c r="V5041" s="21" t="s">
        <v>55</v>
      </c>
      <c r="W5041" s="22">
        <v>11</v>
      </c>
      <c r="X5041" s="23"/>
    </row>
    <row r="5042" spans="1:24" s="1" customFormat="1" ht="21" customHeight="1" x14ac:dyDescent="0.3">
      <c r="A5042" s="24" t="s">
        <v>23</v>
      </c>
      <c r="B5042" s="24" t="s">
        <v>4457</v>
      </c>
      <c r="C5042" s="27" t="s">
        <v>4461</v>
      </c>
      <c r="D5042" s="60"/>
      <c r="E5042" s="41" t="str">
        <f>HYPERLINK("https://www.google.ru/search?q=1389171-498&amp;newwindow=1&amp;tbm=isch","Еще фото")</f>
        <v>Еще фото</v>
      </c>
      <c r="F5042" s="13"/>
      <c r="G5042" s="24" t="s">
        <v>4404</v>
      </c>
      <c r="H5042" s="24" t="s">
        <v>27</v>
      </c>
      <c r="I5042" s="24" t="s">
        <v>4404</v>
      </c>
      <c r="J5042" s="14" t="s">
        <v>29</v>
      </c>
      <c r="K5042" s="15" t="s">
        <v>50</v>
      </c>
      <c r="L5042" s="62"/>
      <c r="M5042" s="14"/>
      <c r="N5042" s="14" t="s">
        <v>115</v>
      </c>
      <c r="O5042" s="14"/>
      <c r="P5042" s="15" t="s">
        <v>47</v>
      </c>
      <c r="Q5042" s="16">
        <v>2799</v>
      </c>
      <c r="R5042" s="17">
        <v>46</v>
      </c>
      <c r="S5042" s="18">
        <v>1738.1789999999999</v>
      </c>
      <c r="T5042" s="19" t="s">
        <v>36</v>
      </c>
      <c r="U5042" s="20" t="s">
        <v>234</v>
      </c>
      <c r="V5042" s="21" t="s">
        <v>235</v>
      </c>
      <c r="W5042" s="22">
        <v>9</v>
      </c>
      <c r="X5042" s="23"/>
    </row>
    <row r="5043" spans="1:24" s="1" customFormat="1" ht="21" customHeight="1" x14ac:dyDescent="0.3">
      <c r="A5043" s="24" t="s">
        <v>23</v>
      </c>
      <c r="B5043" s="24" t="s">
        <v>4457</v>
      </c>
      <c r="C5043" s="27" t="s">
        <v>4461</v>
      </c>
      <c r="D5043" s="60"/>
      <c r="E5043" s="41" t="str">
        <f>HYPERLINK("https://www.google.ru/search?q=1389171-498&amp;newwindow=1&amp;tbm=isch","Еще фото")</f>
        <v>Еще фото</v>
      </c>
      <c r="F5043" s="13"/>
      <c r="G5043" s="24" t="s">
        <v>4404</v>
      </c>
      <c r="H5043" s="24" t="s">
        <v>27</v>
      </c>
      <c r="I5043" s="24" t="s">
        <v>4404</v>
      </c>
      <c r="J5043" s="14" t="s">
        <v>29</v>
      </c>
      <c r="K5043" s="15" t="s">
        <v>50</v>
      </c>
      <c r="L5043" s="62"/>
      <c r="M5043" s="14"/>
      <c r="N5043" s="14" t="s">
        <v>115</v>
      </c>
      <c r="O5043" s="14"/>
      <c r="P5043" s="15" t="s">
        <v>47</v>
      </c>
      <c r="Q5043" s="16">
        <v>2799</v>
      </c>
      <c r="R5043" s="17">
        <v>46</v>
      </c>
      <c r="S5043" s="18">
        <v>1738.1789999999999</v>
      </c>
      <c r="T5043" s="19" t="s">
        <v>36</v>
      </c>
      <c r="U5043" s="20" t="s">
        <v>71</v>
      </c>
      <c r="V5043" s="21" t="s">
        <v>72</v>
      </c>
      <c r="W5043" s="22">
        <v>16</v>
      </c>
      <c r="X5043" s="23"/>
    </row>
    <row r="5044" spans="1:24" s="1" customFormat="1" ht="32" customHeight="1" x14ac:dyDescent="0.3">
      <c r="A5044" s="24" t="s">
        <v>23</v>
      </c>
      <c r="B5044" s="24" t="s">
        <v>4457</v>
      </c>
      <c r="C5044" s="27" t="s">
        <v>4461</v>
      </c>
      <c r="D5044" s="61"/>
      <c r="E5044" s="41" t="str">
        <f>HYPERLINK("https://www.google.ru/search?q=1389171-498&amp;newwindow=1&amp;tbm=isch","Еще фото")</f>
        <v>Еще фото</v>
      </c>
      <c r="F5044" s="13"/>
      <c r="G5044" s="24" t="s">
        <v>4404</v>
      </c>
      <c r="H5044" s="24" t="s">
        <v>27</v>
      </c>
      <c r="I5044" s="24" t="s">
        <v>4404</v>
      </c>
      <c r="J5044" s="14" t="s">
        <v>29</v>
      </c>
      <c r="K5044" s="15" t="s">
        <v>50</v>
      </c>
      <c r="L5044" s="58"/>
      <c r="M5044" s="14"/>
      <c r="N5044" s="14" t="s">
        <v>115</v>
      </c>
      <c r="O5044" s="14"/>
      <c r="P5044" s="15" t="s">
        <v>47</v>
      </c>
      <c r="Q5044" s="16">
        <v>2799</v>
      </c>
      <c r="R5044" s="17">
        <v>46</v>
      </c>
      <c r="S5044" s="18">
        <v>1738.1789999999999</v>
      </c>
      <c r="T5044" s="19" t="s">
        <v>36</v>
      </c>
      <c r="U5044" s="20" t="s">
        <v>73</v>
      </c>
      <c r="V5044" s="21" t="s">
        <v>74</v>
      </c>
      <c r="W5044" s="22">
        <v>10</v>
      </c>
      <c r="X5044" s="23"/>
    </row>
    <row r="5045" spans="1:24" s="1" customFormat="1" ht="21" customHeight="1" x14ac:dyDescent="0.3">
      <c r="A5045" s="11" t="s">
        <v>23</v>
      </c>
      <c r="B5045" s="11" t="s">
        <v>4462</v>
      </c>
      <c r="C5045" s="26" t="s">
        <v>4463</v>
      </c>
      <c r="D5045" s="59"/>
      <c r="E5045" s="41" t="str">
        <f>HYPERLINK("https://www.google.ru/search?q=1390075-002&amp;newwindow=1&amp;tbm=isch","Еще фото")</f>
        <v>Еще фото</v>
      </c>
      <c r="F5045" s="13"/>
      <c r="G5045" s="11" t="s">
        <v>4404</v>
      </c>
      <c r="H5045" s="11" t="s">
        <v>27</v>
      </c>
      <c r="I5045" s="14" t="s">
        <v>4404</v>
      </c>
      <c r="J5045" s="14" t="s">
        <v>29</v>
      </c>
      <c r="K5045" s="15" t="s">
        <v>50</v>
      </c>
      <c r="L5045" s="57" t="s">
        <v>4464</v>
      </c>
      <c r="M5045" s="14"/>
      <c r="N5045" s="14" t="s">
        <v>33</v>
      </c>
      <c r="O5045" s="14"/>
      <c r="P5045" s="15" t="s">
        <v>47</v>
      </c>
      <c r="Q5045" s="16">
        <v>2899</v>
      </c>
      <c r="R5045" s="17">
        <v>46</v>
      </c>
      <c r="S5045" s="18">
        <v>1800.279</v>
      </c>
      <c r="T5045" s="19" t="s">
        <v>36</v>
      </c>
      <c r="U5045" s="20" t="s">
        <v>99</v>
      </c>
      <c r="V5045" s="21" t="s">
        <v>100</v>
      </c>
      <c r="W5045" s="22">
        <v>5</v>
      </c>
      <c r="X5045" s="23"/>
    </row>
    <row r="5046" spans="1:24" s="1" customFormat="1" ht="21" customHeight="1" x14ac:dyDescent="0.3">
      <c r="A5046" s="24" t="s">
        <v>23</v>
      </c>
      <c r="B5046" s="24" t="s">
        <v>4462</v>
      </c>
      <c r="C5046" s="27" t="s">
        <v>4463</v>
      </c>
      <c r="D5046" s="60"/>
      <c r="E5046" s="41" t="str">
        <f>HYPERLINK("https://www.google.ru/search?q=1390075-002&amp;newwindow=1&amp;tbm=isch","Еще фото")</f>
        <v>Еще фото</v>
      </c>
      <c r="F5046" s="13"/>
      <c r="G5046" s="24" t="s">
        <v>4404</v>
      </c>
      <c r="H5046" s="24" t="s">
        <v>27</v>
      </c>
      <c r="I5046" s="24" t="s">
        <v>4404</v>
      </c>
      <c r="J5046" s="14" t="s">
        <v>29</v>
      </c>
      <c r="K5046" s="15" t="s">
        <v>50</v>
      </c>
      <c r="L5046" s="62"/>
      <c r="M5046" s="14"/>
      <c r="N5046" s="14" t="s">
        <v>33</v>
      </c>
      <c r="O5046" s="14"/>
      <c r="P5046" s="15" t="s">
        <v>47</v>
      </c>
      <c r="Q5046" s="16">
        <v>2899</v>
      </c>
      <c r="R5046" s="17">
        <v>46</v>
      </c>
      <c r="S5046" s="18">
        <v>1800.279</v>
      </c>
      <c r="T5046" s="19" t="s">
        <v>36</v>
      </c>
      <c r="U5046" s="20" t="s">
        <v>54</v>
      </c>
      <c r="V5046" s="21" t="s">
        <v>55</v>
      </c>
      <c r="W5046" s="22">
        <v>9</v>
      </c>
      <c r="X5046" s="23"/>
    </row>
    <row r="5047" spans="1:24" s="1" customFormat="1" ht="21" customHeight="1" x14ac:dyDescent="0.3">
      <c r="A5047" s="24" t="s">
        <v>23</v>
      </c>
      <c r="B5047" s="24" t="s">
        <v>4462</v>
      </c>
      <c r="C5047" s="27" t="s">
        <v>4463</v>
      </c>
      <c r="D5047" s="60"/>
      <c r="E5047" s="41" t="str">
        <f>HYPERLINK("https://www.google.ru/search?q=1390075-002&amp;newwindow=1&amp;tbm=isch","Еще фото")</f>
        <v>Еще фото</v>
      </c>
      <c r="F5047" s="13"/>
      <c r="G5047" s="24" t="s">
        <v>4404</v>
      </c>
      <c r="H5047" s="24" t="s">
        <v>27</v>
      </c>
      <c r="I5047" s="24" t="s">
        <v>4404</v>
      </c>
      <c r="J5047" s="14" t="s">
        <v>29</v>
      </c>
      <c r="K5047" s="15" t="s">
        <v>50</v>
      </c>
      <c r="L5047" s="62"/>
      <c r="M5047" s="14"/>
      <c r="N5047" s="14" t="s">
        <v>33</v>
      </c>
      <c r="O5047" s="14"/>
      <c r="P5047" s="15" t="s">
        <v>47</v>
      </c>
      <c r="Q5047" s="16">
        <v>2899</v>
      </c>
      <c r="R5047" s="17">
        <v>46</v>
      </c>
      <c r="S5047" s="18">
        <v>1800.279</v>
      </c>
      <c r="T5047" s="19" t="s">
        <v>36</v>
      </c>
      <c r="U5047" s="20" t="s">
        <v>234</v>
      </c>
      <c r="V5047" s="21" t="s">
        <v>235</v>
      </c>
      <c r="W5047" s="22">
        <v>11</v>
      </c>
      <c r="X5047" s="23"/>
    </row>
    <row r="5048" spans="1:24" s="1" customFormat="1" ht="21" customHeight="1" x14ac:dyDescent="0.3">
      <c r="A5048" s="24" t="s">
        <v>23</v>
      </c>
      <c r="B5048" s="24" t="s">
        <v>4462</v>
      </c>
      <c r="C5048" s="27" t="s">
        <v>4463</v>
      </c>
      <c r="D5048" s="60"/>
      <c r="E5048" s="41" t="str">
        <f>HYPERLINK("https://www.google.ru/search?q=1390075-002&amp;newwindow=1&amp;tbm=isch","Еще фото")</f>
        <v>Еще фото</v>
      </c>
      <c r="F5048" s="13"/>
      <c r="G5048" s="24" t="s">
        <v>4404</v>
      </c>
      <c r="H5048" s="24" t="s">
        <v>27</v>
      </c>
      <c r="I5048" s="24" t="s">
        <v>4404</v>
      </c>
      <c r="J5048" s="14" t="s">
        <v>29</v>
      </c>
      <c r="K5048" s="15" t="s">
        <v>50</v>
      </c>
      <c r="L5048" s="62"/>
      <c r="M5048" s="14"/>
      <c r="N5048" s="14" t="s">
        <v>33</v>
      </c>
      <c r="O5048" s="14"/>
      <c r="P5048" s="15" t="s">
        <v>47</v>
      </c>
      <c r="Q5048" s="16">
        <v>2899</v>
      </c>
      <c r="R5048" s="17">
        <v>46</v>
      </c>
      <c r="S5048" s="18">
        <v>1800.279</v>
      </c>
      <c r="T5048" s="19" t="s">
        <v>36</v>
      </c>
      <c r="U5048" s="20" t="s">
        <v>71</v>
      </c>
      <c r="V5048" s="21" t="s">
        <v>72</v>
      </c>
      <c r="W5048" s="22">
        <v>18</v>
      </c>
      <c r="X5048" s="23"/>
    </row>
    <row r="5049" spans="1:24" s="1" customFormat="1" ht="32" customHeight="1" x14ac:dyDescent="0.3">
      <c r="A5049" s="24" t="s">
        <v>23</v>
      </c>
      <c r="B5049" s="24" t="s">
        <v>4462</v>
      </c>
      <c r="C5049" s="27" t="s">
        <v>4463</v>
      </c>
      <c r="D5049" s="61"/>
      <c r="E5049" s="41" t="str">
        <f>HYPERLINK("https://www.google.ru/search?q=1390075-002&amp;newwindow=1&amp;tbm=isch","Еще фото")</f>
        <v>Еще фото</v>
      </c>
      <c r="F5049" s="13"/>
      <c r="G5049" s="24" t="s">
        <v>4404</v>
      </c>
      <c r="H5049" s="24" t="s">
        <v>27</v>
      </c>
      <c r="I5049" s="24" t="s">
        <v>4404</v>
      </c>
      <c r="J5049" s="14" t="s">
        <v>29</v>
      </c>
      <c r="K5049" s="15" t="s">
        <v>50</v>
      </c>
      <c r="L5049" s="58"/>
      <c r="M5049" s="14"/>
      <c r="N5049" s="14" t="s">
        <v>33</v>
      </c>
      <c r="O5049" s="14"/>
      <c r="P5049" s="15" t="s">
        <v>47</v>
      </c>
      <c r="Q5049" s="16">
        <v>2899</v>
      </c>
      <c r="R5049" s="17">
        <v>46</v>
      </c>
      <c r="S5049" s="18">
        <v>1800.279</v>
      </c>
      <c r="T5049" s="19" t="s">
        <v>36</v>
      </c>
      <c r="U5049" s="20" t="s">
        <v>73</v>
      </c>
      <c r="V5049" s="21" t="s">
        <v>74</v>
      </c>
      <c r="W5049" s="22">
        <v>12</v>
      </c>
      <c r="X5049" s="23"/>
    </row>
    <row r="5050" spans="1:24" s="1" customFormat="1" ht="21" customHeight="1" x14ac:dyDescent="0.3">
      <c r="A5050" s="11" t="s">
        <v>23</v>
      </c>
      <c r="B5050" s="11" t="s">
        <v>4462</v>
      </c>
      <c r="C5050" s="26" t="s">
        <v>4465</v>
      </c>
      <c r="D5050" s="59"/>
      <c r="E5050" s="41" t="str">
        <f>HYPERLINK("https://www.google.ru/search?q=1390075-600&amp;newwindow=1&amp;tbm=isch","Еще фото")</f>
        <v>Еще фото</v>
      </c>
      <c r="F5050" s="13"/>
      <c r="G5050" s="11" t="s">
        <v>4404</v>
      </c>
      <c r="H5050" s="11" t="s">
        <v>27</v>
      </c>
      <c r="I5050" s="14" t="s">
        <v>4404</v>
      </c>
      <c r="J5050" s="14" t="s">
        <v>29</v>
      </c>
      <c r="K5050" s="15" t="s">
        <v>50</v>
      </c>
      <c r="L5050" s="57" t="s">
        <v>4464</v>
      </c>
      <c r="M5050" s="14"/>
      <c r="N5050" s="14" t="s">
        <v>69</v>
      </c>
      <c r="O5050" s="14"/>
      <c r="P5050" s="15" t="s">
        <v>47</v>
      </c>
      <c r="Q5050" s="16">
        <v>2899</v>
      </c>
      <c r="R5050" s="17">
        <v>46</v>
      </c>
      <c r="S5050" s="18">
        <v>1800.279</v>
      </c>
      <c r="T5050" s="19" t="s">
        <v>36</v>
      </c>
      <c r="U5050" s="20" t="s">
        <v>99</v>
      </c>
      <c r="V5050" s="21" t="s">
        <v>100</v>
      </c>
      <c r="W5050" s="22">
        <v>5</v>
      </c>
      <c r="X5050" s="23"/>
    </row>
    <row r="5051" spans="1:24" s="1" customFormat="1" ht="21" customHeight="1" x14ac:dyDescent="0.3">
      <c r="A5051" s="24" t="s">
        <v>23</v>
      </c>
      <c r="B5051" s="24" t="s">
        <v>4462</v>
      </c>
      <c r="C5051" s="27" t="s">
        <v>4465</v>
      </c>
      <c r="D5051" s="60"/>
      <c r="E5051" s="41" t="str">
        <f>HYPERLINK("https://www.google.ru/search?q=1390075-600&amp;newwindow=1&amp;tbm=isch","Еще фото")</f>
        <v>Еще фото</v>
      </c>
      <c r="F5051" s="13"/>
      <c r="G5051" s="24" t="s">
        <v>4404</v>
      </c>
      <c r="H5051" s="24" t="s">
        <v>27</v>
      </c>
      <c r="I5051" s="24" t="s">
        <v>4404</v>
      </c>
      <c r="J5051" s="14" t="s">
        <v>29</v>
      </c>
      <c r="K5051" s="15" t="s">
        <v>50</v>
      </c>
      <c r="L5051" s="62"/>
      <c r="M5051" s="14"/>
      <c r="N5051" s="14" t="s">
        <v>69</v>
      </c>
      <c r="O5051" s="14"/>
      <c r="P5051" s="15" t="s">
        <v>47</v>
      </c>
      <c r="Q5051" s="16">
        <v>2899</v>
      </c>
      <c r="R5051" s="17">
        <v>46</v>
      </c>
      <c r="S5051" s="18">
        <v>1800.279</v>
      </c>
      <c r="T5051" s="19" t="s">
        <v>36</v>
      </c>
      <c r="U5051" s="20" t="s">
        <v>54</v>
      </c>
      <c r="V5051" s="21" t="s">
        <v>55</v>
      </c>
      <c r="W5051" s="22">
        <v>10</v>
      </c>
      <c r="X5051" s="23"/>
    </row>
    <row r="5052" spans="1:24" s="1" customFormat="1" ht="21" customHeight="1" x14ac:dyDescent="0.3">
      <c r="A5052" s="24" t="s">
        <v>23</v>
      </c>
      <c r="B5052" s="24" t="s">
        <v>4462</v>
      </c>
      <c r="C5052" s="27" t="s">
        <v>4465</v>
      </c>
      <c r="D5052" s="60"/>
      <c r="E5052" s="41" t="str">
        <f>HYPERLINK("https://www.google.ru/search?q=1390075-600&amp;newwindow=1&amp;tbm=isch","Еще фото")</f>
        <v>Еще фото</v>
      </c>
      <c r="F5052" s="13"/>
      <c r="G5052" s="24" t="s">
        <v>4404</v>
      </c>
      <c r="H5052" s="24" t="s">
        <v>27</v>
      </c>
      <c r="I5052" s="24" t="s">
        <v>4404</v>
      </c>
      <c r="J5052" s="14" t="s">
        <v>29</v>
      </c>
      <c r="K5052" s="15" t="s">
        <v>50</v>
      </c>
      <c r="L5052" s="62"/>
      <c r="M5052" s="14"/>
      <c r="N5052" s="14" t="s">
        <v>69</v>
      </c>
      <c r="O5052" s="14"/>
      <c r="P5052" s="15" t="s">
        <v>47</v>
      </c>
      <c r="Q5052" s="16">
        <v>2899</v>
      </c>
      <c r="R5052" s="17">
        <v>46</v>
      </c>
      <c r="S5052" s="18">
        <v>1800.279</v>
      </c>
      <c r="T5052" s="19" t="s">
        <v>36</v>
      </c>
      <c r="U5052" s="20" t="s">
        <v>234</v>
      </c>
      <c r="V5052" s="21" t="s">
        <v>235</v>
      </c>
      <c r="W5052" s="22">
        <v>12</v>
      </c>
      <c r="X5052" s="23"/>
    </row>
    <row r="5053" spans="1:24" s="1" customFormat="1" ht="21" customHeight="1" x14ac:dyDescent="0.3">
      <c r="A5053" s="24" t="s">
        <v>23</v>
      </c>
      <c r="B5053" s="24" t="s">
        <v>4462</v>
      </c>
      <c r="C5053" s="27" t="s">
        <v>4465</v>
      </c>
      <c r="D5053" s="60"/>
      <c r="E5053" s="41" t="str">
        <f>HYPERLINK("https://www.google.ru/search?q=1390075-600&amp;newwindow=1&amp;tbm=isch","Еще фото")</f>
        <v>Еще фото</v>
      </c>
      <c r="F5053" s="13"/>
      <c r="G5053" s="24" t="s">
        <v>4404</v>
      </c>
      <c r="H5053" s="24" t="s">
        <v>27</v>
      </c>
      <c r="I5053" s="24" t="s">
        <v>4404</v>
      </c>
      <c r="J5053" s="14" t="s">
        <v>29</v>
      </c>
      <c r="K5053" s="15" t="s">
        <v>50</v>
      </c>
      <c r="L5053" s="62"/>
      <c r="M5053" s="14"/>
      <c r="N5053" s="14" t="s">
        <v>69</v>
      </c>
      <c r="O5053" s="14"/>
      <c r="P5053" s="15" t="s">
        <v>47</v>
      </c>
      <c r="Q5053" s="16">
        <v>2899</v>
      </c>
      <c r="R5053" s="17">
        <v>46</v>
      </c>
      <c r="S5053" s="18">
        <v>1800.279</v>
      </c>
      <c r="T5053" s="19" t="s">
        <v>36</v>
      </c>
      <c r="U5053" s="20" t="s">
        <v>71</v>
      </c>
      <c r="V5053" s="21" t="s">
        <v>72</v>
      </c>
      <c r="W5053" s="22">
        <v>17</v>
      </c>
      <c r="X5053" s="23"/>
    </row>
    <row r="5054" spans="1:24" s="1" customFormat="1" ht="32" customHeight="1" x14ac:dyDescent="0.3">
      <c r="A5054" s="24" t="s">
        <v>23</v>
      </c>
      <c r="B5054" s="24" t="s">
        <v>4462</v>
      </c>
      <c r="C5054" s="27" t="s">
        <v>4465</v>
      </c>
      <c r="D5054" s="61"/>
      <c r="E5054" s="41" t="str">
        <f>HYPERLINK("https://www.google.ru/search?q=1390075-600&amp;newwindow=1&amp;tbm=isch","Еще фото")</f>
        <v>Еще фото</v>
      </c>
      <c r="F5054" s="13"/>
      <c r="G5054" s="24" t="s">
        <v>4404</v>
      </c>
      <c r="H5054" s="24" t="s">
        <v>27</v>
      </c>
      <c r="I5054" s="24" t="s">
        <v>4404</v>
      </c>
      <c r="J5054" s="14" t="s">
        <v>29</v>
      </c>
      <c r="K5054" s="15" t="s">
        <v>50</v>
      </c>
      <c r="L5054" s="58"/>
      <c r="M5054" s="14"/>
      <c r="N5054" s="14" t="s">
        <v>69</v>
      </c>
      <c r="O5054" s="14"/>
      <c r="P5054" s="15" t="s">
        <v>47</v>
      </c>
      <c r="Q5054" s="16">
        <v>2899</v>
      </c>
      <c r="R5054" s="17">
        <v>46</v>
      </c>
      <c r="S5054" s="18">
        <v>1800.279</v>
      </c>
      <c r="T5054" s="19" t="s">
        <v>36</v>
      </c>
      <c r="U5054" s="20" t="s">
        <v>73</v>
      </c>
      <c r="V5054" s="21" t="s">
        <v>74</v>
      </c>
      <c r="W5054" s="22">
        <v>12</v>
      </c>
      <c r="X5054" s="23"/>
    </row>
    <row r="5055" spans="1:24" s="1" customFormat="1" ht="21" customHeight="1" x14ac:dyDescent="0.3">
      <c r="A5055" s="11" t="s">
        <v>23</v>
      </c>
      <c r="B5055" s="11" t="s">
        <v>4462</v>
      </c>
      <c r="C5055" s="26" t="s">
        <v>4466</v>
      </c>
      <c r="D5055" s="59"/>
      <c r="E5055" s="41" t="str">
        <f>HYPERLINK("https://www.google.ru/search?q=1390075-690&amp;newwindow=1&amp;tbm=isch","Еще фото")</f>
        <v>Еще фото</v>
      </c>
      <c r="F5055" s="13"/>
      <c r="G5055" s="11" t="s">
        <v>4404</v>
      </c>
      <c r="H5055" s="11" t="s">
        <v>27</v>
      </c>
      <c r="I5055" s="14" t="s">
        <v>4404</v>
      </c>
      <c r="J5055" s="14" t="s">
        <v>29</v>
      </c>
      <c r="K5055" s="15" t="s">
        <v>50</v>
      </c>
      <c r="L5055" s="57" t="s">
        <v>4464</v>
      </c>
      <c r="M5055" s="14"/>
      <c r="N5055" s="14" t="s">
        <v>198</v>
      </c>
      <c r="O5055" s="14"/>
      <c r="P5055" s="15" t="s">
        <v>47</v>
      </c>
      <c r="Q5055" s="16">
        <v>2899</v>
      </c>
      <c r="R5055" s="17">
        <v>46</v>
      </c>
      <c r="S5055" s="18">
        <v>1800.279</v>
      </c>
      <c r="T5055" s="19" t="s">
        <v>36</v>
      </c>
      <c r="U5055" s="20" t="s">
        <v>99</v>
      </c>
      <c r="V5055" s="21" t="s">
        <v>100</v>
      </c>
      <c r="W5055" s="22">
        <v>4</v>
      </c>
      <c r="X5055" s="23"/>
    </row>
    <row r="5056" spans="1:24" s="1" customFormat="1" ht="21" customHeight="1" x14ac:dyDescent="0.3">
      <c r="A5056" s="24" t="s">
        <v>23</v>
      </c>
      <c r="B5056" s="24" t="s">
        <v>4462</v>
      </c>
      <c r="C5056" s="27" t="s">
        <v>4466</v>
      </c>
      <c r="D5056" s="60"/>
      <c r="E5056" s="41" t="str">
        <f>HYPERLINK("https://www.google.ru/search?q=1390075-690&amp;newwindow=1&amp;tbm=isch","Еще фото")</f>
        <v>Еще фото</v>
      </c>
      <c r="F5056" s="13"/>
      <c r="G5056" s="24" t="s">
        <v>4404</v>
      </c>
      <c r="H5056" s="24" t="s">
        <v>27</v>
      </c>
      <c r="I5056" s="24" t="s">
        <v>4404</v>
      </c>
      <c r="J5056" s="14" t="s">
        <v>29</v>
      </c>
      <c r="K5056" s="15" t="s">
        <v>50</v>
      </c>
      <c r="L5056" s="62"/>
      <c r="M5056" s="14"/>
      <c r="N5056" s="14" t="s">
        <v>198</v>
      </c>
      <c r="O5056" s="14"/>
      <c r="P5056" s="15" t="s">
        <v>47</v>
      </c>
      <c r="Q5056" s="16">
        <v>2899</v>
      </c>
      <c r="R5056" s="17">
        <v>46</v>
      </c>
      <c r="S5056" s="18">
        <v>1800.279</v>
      </c>
      <c r="T5056" s="19" t="s">
        <v>36</v>
      </c>
      <c r="U5056" s="20" t="s">
        <v>54</v>
      </c>
      <c r="V5056" s="21" t="s">
        <v>55</v>
      </c>
      <c r="W5056" s="22">
        <v>10</v>
      </c>
      <c r="X5056" s="23"/>
    </row>
    <row r="5057" spans="1:24" s="1" customFormat="1" ht="21" customHeight="1" x14ac:dyDescent="0.3">
      <c r="A5057" s="24" t="s">
        <v>23</v>
      </c>
      <c r="B5057" s="24" t="s">
        <v>4462</v>
      </c>
      <c r="C5057" s="27" t="s">
        <v>4466</v>
      </c>
      <c r="D5057" s="60"/>
      <c r="E5057" s="41" t="str">
        <f>HYPERLINK("https://www.google.ru/search?q=1390075-690&amp;newwindow=1&amp;tbm=isch","Еще фото")</f>
        <v>Еще фото</v>
      </c>
      <c r="F5057" s="13"/>
      <c r="G5057" s="24" t="s">
        <v>4404</v>
      </c>
      <c r="H5057" s="24" t="s">
        <v>27</v>
      </c>
      <c r="I5057" s="24" t="s">
        <v>4404</v>
      </c>
      <c r="J5057" s="14" t="s">
        <v>29</v>
      </c>
      <c r="K5057" s="15" t="s">
        <v>50</v>
      </c>
      <c r="L5057" s="62"/>
      <c r="M5057" s="14"/>
      <c r="N5057" s="14" t="s">
        <v>198</v>
      </c>
      <c r="O5057" s="14"/>
      <c r="P5057" s="15" t="s">
        <v>47</v>
      </c>
      <c r="Q5057" s="16">
        <v>2899</v>
      </c>
      <c r="R5057" s="17">
        <v>46</v>
      </c>
      <c r="S5057" s="18">
        <v>1800.279</v>
      </c>
      <c r="T5057" s="19" t="s">
        <v>36</v>
      </c>
      <c r="U5057" s="20" t="s">
        <v>234</v>
      </c>
      <c r="V5057" s="21" t="s">
        <v>235</v>
      </c>
      <c r="W5057" s="22">
        <v>9</v>
      </c>
      <c r="X5057" s="23"/>
    </row>
    <row r="5058" spans="1:24" s="1" customFormat="1" ht="21" customHeight="1" x14ac:dyDescent="0.3">
      <c r="A5058" s="24" t="s">
        <v>23</v>
      </c>
      <c r="B5058" s="24" t="s">
        <v>4462</v>
      </c>
      <c r="C5058" s="27" t="s">
        <v>4466</v>
      </c>
      <c r="D5058" s="60"/>
      <c r="E5058" s="41" t="str">
        <f>HYPERLINK("https://www.google.ru/search?q=1390075-690&amp;newwindow=1&amp;tbm=isch","Еще фото")</f>
        <v>Еще фото</v>
      </c>
      <c r="F5058" s="13"/>
      <c r="G5058" s="24" t="s">
        <v>4404</v>
      </c>
      <c r="H5058" s="24" t="s">
        <v>27</v>
      </c>
      <c r="I5058" s="24" t="s">
        <v>4404</v>
      </c>
      <c r="J5058" s="14" t="s">
        <v>29</v>
      </c>
      <c r="K5058" s="15" t="s">
        <v>50</v>
      </c>
      <c r="L5058" s="62"/>
      <c r="M5058" s="14"/>
      <c r="N5058" s="14" t="s">
        <v>198</v>
      </c>
      <c r="O5058" s="14"/>
      <c r="P5058" s="15" t="s">
        <v>47</v>
      </c>
      <c r="Q5058" s="16">
        <v>2899</v>
      </c>
      <c r="R5058" s="17">
        <v>46</v>
      </c>
      <c r="S5058" s="18">
        <v>1800.279</v>
      </c>
      <c r="T5058" s="19" t="s">
        <v>36</v>
      </c>
      <c r="U5058" s="20" t="s">
        <v>71</v>
      </c>
      <c r="V5058" s="21" t="s">
        <v>72</v>
      </c>
      <c r="W5058" s="22">
        <v>15</v>
      </c>
      <c r="X5058" s="23"/>
    </row>
    <row r="5059" spans="1:24" s="1" customFormat="1" ht="32" customHeight="1" x14ac:dyDescent="0.3">
      <c r="A5059" s="24" t="s">
        <v>23</v>
      </c>
      <c r="B5059" s="24" t="s">
        <v>4462</v>
      </c>
      <c r="C5059" s="27" t="s">
        <v>4466</v>
      </c>
      <c r="D5059" s="61"/>
      <c r="E5059" s="41" t="str">
        <f>HYPERLINK("https://www.google.ru/search?q=1390075-690&amp;newwindow=1&amp;tbm=isch","Еще фото")</f>
        <v>Еще фото</v>
      </c>
      <c r="F5059" s="13"/>
      <c r="G5059" s="24" t="s">
        <v>4404</v>
      </c>
      <c r="H5059" s="24" t="s">
        <v>27</v>
      </c>
      <c r="I5059" s="24" t="s">
        <v>4404</v>
      </c>
      <c r="J5059" s="14" t="s">
        <v>29</v>
      </c>
      <c r="K5059" s="15" t="s">
        <v>50</v>
      </c>
      <c r="L5059" s="58"/>
      <c r="M5059" s="14"/>
      <c r="N5059" s="14" t="s">
        <v>198</v>
      </c>
      <c r="O5059" s="14"/>
      <c r="P5059" s="15" t="s">
        <v>47</v>
      </c>
      <c r="Q5059" s="16">
        <v>2899</v>
      </c>
      <c r="R5059" s="17">
        <v>46</v>
      </c>
      <c r="S5059" s="18">
        <v>1800.279</v>
      </c>
      <c r="T5059" s="19" t="s">
        <v>36</v>
      </c>
      <c r="U5059" s="20" t="s">
        <v>73</v>
      </c>
      <c r="V5059" s="21" t="s">
        <v>74</v>
      </c>
      <c r="W5059" s="22">
        <v>8</v>
      </c>
      <c r="X5059" s="23"/>
    </row>
    <row r="5060" spans="1:24" s="1" customFormat="1" ht="21" customHeight="1" x14ac:dyDescent="0.3">
      <c r="A5060" s="11" t="s">
        <v>23</v>
      </c>
      <c r="B5060" s="11" t="s">
        <v>4467</v>
      </c>
      <c r="C5060" s="26" t="s">
        <v>4468</v>
      </c>
      <c r="D5060" s="59"/>
      <c r="E5060" s="41" t="str">
        <f>HYPERLINK("https://www.google.ru/search?q=6004985-005&amp;newwindow=1&amp;tbm=isch","Еще фото")</f>
        <v>Еще фото</v>
      </c>
      <c r="F5060" s="13"/>
      <c r="G5060" s="11" t="s">
        <v>4404</v>
      </c>
      <c r="H5060" s="11" t="s">
        <v>27</v>
      </c>
      <c r="I5060" s="14" t="s">
        <v>4404</v>
      </c>
      <c r="J5060" s="14" t="s">
        <v>29</v>
      </c>
      <c r="K5060" s="15" t="s">
        <v>50</v>
      </c>
      <c r="L5060" s="57" t="s">
        <v>4469</v>
      </c>
      <c r="M5060" s="14"/>
      <c r="N5060" s="14" t="s">
        <v>33</v>
      </c>
      <c r="O5060" s="14"/>
      <c r="P5060" s="15" t="s">
        <v>47</v>
      </c>
      <c r="Q5060" s="16">
        <v>3299</v>
      </c>
      <c r="R5060" s="17">
        <v>46</v>
      </c>
      <c r="S5060" s="18">
        <v>2048.6790000000001</v>
      </c>
      <c r="T5060" s="19" t="s">
        <v>36</v>
      </c>
      <c r="U5060" s="20" t="s">
        <v>99</v>
      </c>
      <c r="V5060" s="21" t="s">
        <v>100</v>
      </c>
      <c r="W5060" s="22">
        <v>5</v>
      </c>
      <c r="X5060" s="23"/>
    </row>
    <row r="5061" spans="1:24" s="1" customFormat="1" ht="21" customHeight="1" x14ac:dyDescent="0.3">
      <c r="A5061" s="24" t="s">
        <v>23</v>
      </c>
      <c r="B5061" s="24" t="s">
        <v>4467</v>
      </c>
      <c r="C5061" s="27" t="s">
        <v>4468</v>
      </c>
      <c r="D5061" s="60"/>
      <c r="E5061" s="41" t="str">
        <f>HYPERLINK("https://www.google.ru/search?q=6004985-005&amp;newwindow=1&amp;tbm=isch","Еще фото")</f>
        <v>Еще фото</v>
      </c>
      <c r="F5061" s="13"/>
      <c r="G5061" s="24" t="s">
        <v>4404</v>
      </c>
      <c r="H5061" s="24" t="s">
        <v>27</v>
      </c>
      <c r="I5061" s="24" t="s">
        <v>4404</v>
      </c>
      <c r="J5061" s="14" t="s">
        <v>29</v>
      </c>
      <c r="K5061" s="15" t="s">
        <v>50</v>
      </c>
      <c r="L5061" s="62"/>
      <c r="M5061" s="14"/>
      <c r="N5061" s="14" t="s">
        <v>33</v>
      </c>
      <c r="O5061" s="14"/>
      <c r="P5061" s="15" t="s">
        <v>47</v>
      </c>
      <c r="Q5061" s="16">
        <v>3299</v>
      </c>
      <c r="R5061" s="17">
        <v>46</v>
      </c>
      <c r="S5061" s="18">
        <v>2048.6790000000001</v>
      </c>
      <c r="T5061" s="19" t="s">
        <v>36</v>
      </c>
      <c r="U5061" s="20" t="s">
        <v>54</v>
      </c>
      <c r="V5061" s="21" t="s">
        <v>55</v>
      </c>
      <c r="W5061" s="22">
        <v>7</v>
      </c>
      <c r="X5061" s="23"/>
    </row>
    <row r="5062" spans="1:24" s="1" customFormat="1" ht="21" customHeight="1" x14ac:dyDescent="0.3">
      <c r="A5062" s="24" t="s">
        <v>23</v>
      </c>
      <c r="B5062" s="24" t="s">
        <v>4467</v>
      </c>
      <c r="C5062" s="27" t="s">
        <v>4468</v>
      </c>
      <c r="D5062" s="60"/>
      <c r="E5062" s="41" t="str">
        <f>HYPERLINK("https://www.google.ru/search?q=6004985-005&amp;newwindow=1&amp;tbm=isch","Еще фото")</f>
        <v>Еще фото</v>
      </c>
      <c r="F5062" s="13"/>
      <c r="G5062" s="24" t="s">
        <v>4404</v>
      </c>
      <c r="H5062" s="24" t="s">
        <v>27</v>
      </c>
      <c r="I5062" s="24" t="s">
        <v>4404</v>
      </c>
      <c r="J5062" s="14" t="s">
        <v>29</v>
      </c>
      <c r="K5062" s="15" t="s">
        <v>50</v>
      </c>
      <c r="L5062" s="62"/>
      <c r="M5062" s="14"/>
      <c r="N5062" s="14" t="s">
        <v>33</v>
      </c>
      <c r="O5062" s="14"/>
      <c r="P5062" s="15" t="s">
        <v>47</v>
      </c>
      <c r="Q5062" s="16">
        <v>3299</v>
      </c>
      <c r="R5062" s="17">
        <v>46</v>
      </c>
      <c r="S5062" s="18">
        <v>2048.6790000000001</v>
      </c>
      <c r="T5062" s="19" t="s">
        <v>36</v>
      </c>
      <c r="U5062" s="20" t="s">
        <v>234</v>
      </c>
      <c r="V5062" s="21" t="s">
        <v>235</v>
      </c>
      <c r="W5062" s="22">
        <v>2</v>
      </c>
      <c r="X5062" s="23"/>
    </row>
    <row r="5063" spans="1:24" s="1" customFormat="1" ht="21" customHeight="1" x14ac:dyDescent="0.3">
      <c r="A5063" s="24" t="s">
        <v>23</v>
      </c>
      <c r="B5063" s="24" t="s">
        <v>4467</v>
      </c>
      <c r="C5063" s="27" t="s">
        <v>4468</v>
      </c>
      <c r="D5063" s="60"/>
      <c r="E5063" s="41" t="str">
        <f>HYPERLINK("https://www.google.ru/search?q=6004985-005&amp;newwindow=1&amp;tbm=isch","Еще фото")</f>
        <v>Еще фото</v>
      </c>
      <c r="F5063" s="13"/>
      <c r="G5063" s="24" t="s">
        <v>4404</v>
      </c>
      <c r="H5063" s="24" t="s">
        <v>27</v>
      </c>
      <c r="I5063" s="24" t="s">
        <v>4404</v>
      </c>
      <c r="J5063" s="14" t="s">
        <v>29</v>
      </c>
      <c r="K5063" s="15" t="s">
        <v>50</v>
      </c>
      <c r="L5063" s="62"/>
      <c r="M5063" s="14"/>
      <c r="N5063" s="14" t="s">
        <v>33</v>
      </c>
      <c r="O5063" s="14"/>
      <c r="P5063" s="15" t="s">
        <v>47</v>
      </c>
      <c r="Q5063" s="16">
        <v>3299</v>
      </c>
      <c r="R5063" s="17">
        <v>46</v>
      </c>
      <c r="S5063" s="18">
        <v>2048.6790000000001</v>
      </c>
      <c r="T5063" s="19" t="s">
        <v>36</v>
      </c>
      <c r="U5063" s="20" t="s">
        <v>71</v>
      </c>
      <c r="V5063" s="21" t="s">
        <v>72</v>
      </c>
      <c r="W5063" s="22">
        <v>10</v>
      </c>
      <c r="X5063" s="23"/>
    </row>
    <row r="5064" spans="1:24" s="1" customFormat="1" ht="32" customHeight="1" x14ac:dyDescent="0.3">
      <c r="A5064" s="24" t="s">
        <v>23</v>
      </c>
      <c r="B5064" s="24" t="s">
        <v>4467</v>
      </c>
      <c r="C5064" s="27" t="s">
        <v>4468</v>
      </c>
      <c r="D5064" s="61"/>
      <c r="E5064" s="41" t="str">
        <f>HYPERLINK("https://www.google.ru/search?q=6004985-005&amp;newwindow=1&amp;tbm=isch","Еще фото")</f>
        <v>Еще фото</v>
      </c>
      <c r="F5064" s="13"/>
      <c r="G5064" s="24" t="s">
        <v>4404</v>
      </c>
      <c r="H5064" s="24" t="s">
        <v>27</v>
      </c>
      <c r="I5064" s="24" t="s">
        <v>4404</v>
      </c>
      <c r="J5064" s="14" t="s">
        <v>29</v>
      </c>
      <c r="K5064" s="15" t="s">
        <v>50</v>
      </c>
      <c r="L5064" s="58"/>
      <c r="M5064" s="14"/>
      <c r="N5064" s="14" t="s">
        <v>33</v>
      </c>
      <c r="O5064" s="14"/>
      <c r="P5064" s="15" t="s">
        <v>47</v>
      </c>
      <c r="Q5064" s="16">
        <v>3299</v>
      </c>
      <c r="R5064" s="17">
        <v>46</v>
      </c>
      <c r="S5064" s="18">
        <v>2048.6790000000001</v>
      </c>
      <c r="T5064" s="19" t="s">
        <v>36</v>
      </c>
      <c r="U5064" s="20" t="s">
        <v>73</v>
      </c>
      <c r="V5064" s="21" t="s">
        <v>74</v>
      </c>
      <c r="W5064" s="22">
        <v>5</v>
      </c>
      <c r="X5064" s="23"/>
    </row>
    <row r="5065" spans="1:24" s="1" customFormat="1" ht="21" customHeight="1" x14ac:dyDescent="0.3">
      <c r="A5065" s="11" t="s">
        <v>23</v>
      </c>
      <c r="B5065" s="11" t="s">
        <v>4467</v>
      </c>
      <c r="C5065" s="26" t="s">
        <v>4470</v>
      </c>
      <c r="D5065" s="59"/>
      <c r="E5065" s="41" t="str">
        <f>HYPERLINK("https://www.google.ru/search?q=6004985-600&amp;newwindow=1&amp;tbm=isch","Еще фото")</f>
        <v>Еще фото</v>
      </c>
      <c r="F5065" s="13"/>
      <c r="G5065" s="11" t="s">
        <v>4404</v>
      </c>
      <c r="H5065" s="11" t="s">
        <v>27</v>
      </c>
      <c r="I5065" s="14" t="s">
        <v>4404</v>
      </c>
      <c r="J5065" s="14" t="s">
        <v>29</v>
      </c>
      <c r="K5065" s="15" t="s">
        <v>50</v>
      </c>
      <c r="L5065" s="57" t="s">
        <v>4469</v>
      </c>
      <c r="M5065" s="14"/>
      <c r="N5065" s="14" t="s">
        <v>69</v>
      </c>
      <c r="O5065" s="14"/>
      <c r="P5065" s="15" t="s">
        <v>4471</v>
      </c>
      <c r="Q5065" s="16">
        <v>3299</v>
      </c>
      <c r="R5065" s="17">
        <v>46</v>
      </c>
      <c r="S5065" s="18">
        <v>2048.6790000000001</v>
      </c>
      <c r="T5065" s="19" t="s">
        <v>36</v>
      </c>
      <c r="U5065" s="20" t="s">
        <v>99</v>
      </c>
      <c r="V5065" s="21" t="s">
        <v>100</v>
      </c>
      <c r="W5065" s="22">
        <v>5</v>
      </c>
      <c r="X5065" s="23"/>
    </row>
    <row r="5066" spans="1:24" s="1" customFormat="1" ht="21" customHeight="1" x14ac:dyDescent="0.3">
      <c r="A5066" s="24" t="s">
        <v>23</v>
      </c>
      <c r="B5066" s="24" t="s">
        <v>4467</v>
      </c>
      <c r="C5066" s="27" t="s">
        <v>4470</v>
      </c>
      <c r="D5066" s="60"/>
      <c r="E5066" s="41" t="str">
        <f>HYPERLINK("https://www.google.ru/search?q=6004985-600&amp;newwindow=1&amp;tbm=isch","Еще фото")</f>
        <v>Еще фото</v>
      </c>
      <c r="F5066" s="13"/>
      <c r="G5066" s="24" t="s">
        <v>4404</v>
      </c>
      <c r="H5066" s="24" t="s">
        <v>27</v>
      </c>
      <c r="I5066" s="24" t="s">
        <v>4404</v>
      </c>
      <c r="J5066" s="14" t="s">
        <v>29</v>
      </c>
      <c r="K5066" s="15" t="s">
        <v>50</v>
      </c>
      <c r="L5066" s="62"/>
      <c r="M5066" s="14"/>
      <c r="N5066" s="14" t="s">
        <v>69</v>
      </c>
      <c r="O5066" s="14"/>
      <c r="P5066" s="15" t="s">
        <v>4471</v>
      </c>
      <c r="Q5066" s="16">
        <v>3299</v>
      </c>
      <c r="R5066" s="17">
        <v>46</v>
      </c>
      <c r="S5066" s="18">
        <v>2048.6790000000001</v>
      </c>
      <c r="T5066" s="19" t="s">
        <v>36</v>
      </c>
      <c r="U5066" s="20" t="s">
        <v>54</v>
      </c>
      <c r="V5066" s="21" t="s">
        <v>55</v>
      </c>
      <c r="W5066" s="22">
        <v>4</v>
      </c>
      <c r="X5066" s="23"/>
    </row>
    <row r="5067" spans="1:24" s="1" customFormat="1" ht="21" customHeight="1" x14ac:dyDescent="0.3">
      <c r="A5067" s="24" t="s">
        <v>23</v>
      </c>
      <c r="B5067" s="24" t="s">
        <v>4467</v>
      </c>
      <c r="C5067" s="27" t="s">
        <v>4470</v>
      </c>
      <c r="D5067" s="60"/>
      <c r="E5067" s="41" t="str">
        <f>HYPERLINK("https://www.google.ru/search?q=6004985-600&amp;newwindow=1&amp;tbm=isch","Еще фото")</f>
        <v>Еще фото</v>
      </c>
      <c r="F5067" s="13"/>
      <c r="G5067" s="24" t="s">
        <v>4404</v>
      </c>
      <c r="H5067" s="24" t="s">
        <v>27</v>
      </c>
      <c r="I5067" s="24" t="s">
        <v>4404</v>
      </c>
      <c r="J5067" s="14" t="s">
        <v>29</v>
      </c>
      <c r="K5067" s="15" t="s">
        <v>50</v>
      </c>
      <c r="L5067" s="62"/>
      <c r="M5067" s="14"/>
      <c r="N5067" s="14" t="s">
        <v>69</v>
      </c>
      <c r="O5067" s="14"/>
      <c r="P5067" s="15" t="s">
        <v>4471</v>
      </c>
      <c r="Q5067" s="16">
        <v>3299</v>
      </c>
      <c r="R5067" s="17">
        <v>46</v>
      </c>
      <c r="S5067" s="18">
        <v>2048.6790000000001</v>
      </c>
      <c r="T5067" s="19" t="s">
        <v>36</v>
      </c>
      <c r="U5067" s="20" t="s">
        <v>234</v>
      </c>
      <c r="V5067" s="21" t="s">
        <v>235</v>
      </c>
      <c r="W5067" s="22">
        <v>5</v>
      </c>
      <c r="X5067" s="23"/>
    </row>
    <row r="5068" spans="1:24" s="1" customFormat="1" ht="21" customHeight="1" x14ac:dyDescent="0.3">
      <c r="A5068" s="24" t="s">
        <v>23</v>
      </c>
      <c r="B5068" s="24" t="s">
        <v>4467</v>
      </c>
      <c r="C5068" s="27" t="s">
        <v>4470</v>
      </c>
      <c r="D5068" s="60"/>
      <c r="E5068" s="41" t="str">
        <f>HYPERLINK("https://www.google.ru/search?q=6004985-600&amp;newwindow=1&amp;tbm=isch","Еще фото")</f>
        <v>Еще фото</v>
      </c>
      <c r="F5068" s="13"/>
      <c r="G5068" s="24" t="s">
        <v>4404</v>
      </c>
      <c r="H5068" s="24" t="s">
        <v>27</v>
      </c>
      <c r="I5068" s="24" t="s">
        <v>4404</v>
      </c>
      <c r="J5068" s="14" t="s">
        <v>29</v>
      </c>
      <c r="K5068" s="15" t="s">
        <v>50</v>
      </c>
      <c r="L5068" s="62"/>
      <c r="M5068" s="14"/>
      <c r="N5068" s="14" t="s">
        <v>69</v>
      </c>
      <c r="O5068" s="14"/>
      <c r="P5068" s="15" t="s">
        <v>4471</v>
      </c>
      <c r="Q5068" s="16">
        <v>3299</v>
      </c>
      <c r="R5068" s="17">
        <v>46</v>
      </c>
      <c r="S5068" s="18">
        <v>2048.6790000000001</v>
      </c>
      <c r="T5068" s="19" t="s">
        <v>36</v>
      </c>
      <c r="U5068" s="20" t="s">
        <v>71</v>
      </c>
      <c r="V5068" s="21" t="s">
        <v>72</v>
      </c>
      <c r="W5068" s="22">
        <v>14</v>
      </c>
      <c r="X5068" s="23"/>
    </row>
    <row r="5069" spans="1:24" s="1" customFormat="1" ht="32" customHeight="1" x14ac:dyDescent="0.3">
      <c r="A5069" s="24" t="s">
        <v>23</v>
      </c>
      <c r="B5069" s="24" t="s">
        <v>4467</v>
      </c>
      <c r="C5069" s="27" t="s">
        <v>4470</v>
      </c>
      <c r="D5069" s="61"/>
      <c r="E5069" s="41" t="str">
        <f>HYPERLINK("https://www.google.ru/search?q=6004985-600&amp;newwindow=1&amp;tbm=isch","Еще фото")</f>
        <v>Еще фото</v>
      </c>
      <c r="F5069" s="13"/>
      <c r="G5069" s="24" t="s">
        <v>4404</v>
      </c>
      <c r="H5069" s="24" t="s">
        <v>27</v>
      </c>
      <c r="I5069" s="24" t="s">
        <v>4404</v>
      </c>
      <c r="J5069" s="14" t="s">
        <v>29</v>
      </c>
      <c r="K5069" s="15" t="s">
        <v>50</v>
      </c>
      <c r="L5069" s="58"/>
      <c r="M5069" s="14"/>
      <c r="N5069" s="14" t="s">
        <v>69</v>
      </c>
      <c r="O5069" s="14"/>
      <c r="P5069" s="15" t="s">
        <v>4471</v>
      </c>
      <c r="Q5069" s="16">
        <v>3299</v>
      </c>
      <c r="R5069" s="17">
        <v>46</v>
      </c>
      <c r="S5069" s="18">
        <v>2048.6790000000001</v>
      </c>
      <c r="T5069" s="19" t="s">
        <v>36</v>
      </c>
      <c r="U5069" s="20" t="s">
        <v>73</v>
      </c>
      <c r="V5069" s="21" t="s">
        <v>74</v>
      </c>
      <c r="W5069" s="22">
        <v>8</v>
      </c>
      <c r="X5069" s="23"/>
    </row>
    <row r="5070" spans="1:24" s="1" customFormat="1" ht="21" customHeight="1" x14ac:dyDescent="0.3">
      <c r="A5070" s="11" t="s">
        <v>23</v>
      </c>
      <c r="B5070" s="11" t="s">
        <v>4472</v>
      </c>
      <c r="C5070" s="26" t="s">
        <v>4473</v>
      </c>
      <c r="D5070" s="59"/>
      <c r="E5070" s="41" t="str">
        <f>HYPERLINK("https://www.google.ru/search?q=6009974-001&amp;newwindow=1&amp;tbm=isch","Еще фото")</f>
        <v>Еще фото</v>
      </c>
      <c r="F5070" s="13"/>
      <c r="G5070" s="11" t="s">
        <v>4404</v>
      </c>
      <c r="H5070" s="11" t="s">
        <v>27</v>
      </c>
      <c r="I5070" s="14" t="s">
        <v>4404</v>
      </c>
      <c r="J5070" s="14" t="s">
        <v>29</v>
      </c>
      <c r="K5070" s="15" t="s">
        <v>50</v>
      </c>
      <c r="L5070" s="57" t="s">
        <v>4474</v>
      </c>
      <c r="M5070" s="14"/>
      <c r="N5070" s="14" t="s">
        <v>33</v>
      </c>
      <c r="O5070" s="14"/>
      <c r="P5070" s="15" t="s">
        <v>252</v>
      </c>
      <c r="Q5070" s="16">
        <v>3399</v>
      </c>
      <c r="R5070" s="17">
        <v>46</v>
      </c>
      <c r="S5070" s="18">
        <v>2110.779</v>
      </c>
      <c r="T5070" s="19" t="s">
        <v>36</v>
      </c>
      <c r="U5070" s="20" t="s">
        <v>99</v>
      </c>
      <c r="V5070" s="21" t="s">
        <v>100</v>
      </c>
      <c r="W5070" s="22">
        <v>6</v>
      </c>
      <c r="X5070" s="23"/>
    </row>
    <row r="5071" spans="1:24" s="1" customFormat="1" ht="21" customHeight="1" x14ac:dyDescent="0.3">
      <c r="A5071" s="24" t="s">
        <v>23</v>
      </c>
      <c r="B5071" s="24" t="s">
        <v>4472</v>
      </c>
      <c r="C5071" s="27" t="s">
        <v>4473</v>
      </c>
      <c r="D5071" s="60"/>
      <c r="E5071" s="41" t="str">
        <f>HYPERLINK("https://www.google.ru/search?q=6009974-001&amp;newwindow=1&amp;tbm=isch","Еще фото")</f>
        <v>Еще фото</v>
      </c>
      <c r="F5071" s="13"/>
      <c r="G5071" s="24" t="s">
        <v>4404</v>
      </c>
      <c r="H5071" s="24" t="s">
        <v>27</v>
      </c>
      <c r="I5071" s="24" t="s">
        <v>4404</v>
      </c>
      <c r="J5071" s="14" t="s">
        <v>29</v>
      </c>
      <c r="K5071" s="15" t="s">
        <v>50</v>
      </c>
      <c r="L5071" s="62"/>
      <c r="M5071" s="14"/>
      <c r="N5071" s="14" t="s">
        <v>33</v>
      </c>
      <c r="O5071" s="14"/>
      <c r="P5071" s="15" t="s">
        <v>252</v>
      </c>
      <c r="Q5071" s="16">
        <v>3399</v>
      </c>
      <c r="R5071" s="17">
        <v>46</v>
      </c>
      <c r="S5071" s="18">
        <v>2110.779</v>
      </c>
      <c r="T5071" s="19" t="s">
        <v>36</v>
      </c>
      <c r="U5071" s="20" t="s">
        <v>54</v>
      </c>
      <c r="V5071" s="21" t="s">
        <v>55</v>
      </c>
      <c r="W5071" s="22">
        <v>12</v>
      </c>
      <c r="X5071" s="23"/>
    </row>
    <row r="5072" spans="1:24" s="1" customFormat="1" ht="21" customHeight="1" x14ac:dyDescent="0.3">
      <c r="A5072" s="24" t="s">
        <v>23</v>
      </c>
      <c r="B5072" s="24" t="s">
        <v>4472</v>
      </c>
      <c r="C5072" s="27" t="s">
        <v>4473</v>
      </c>
      <c r="D5072" s="60"/>
      <c r="E5072" s="41" t="str">
        <f>HYPERLINK("https://www.google.ru/search?q=6009974-001&amp;newwindow=1&amp;tbm=isch","Еще фото")</f>
        <v>Еще фото</v>
      </c>
      <c r="F5072" s="13"/>
      <c r="G5072" s="24" t="s">
        <v>4404</v>
      </c>
      <c r="H5072" s="24" t="s">
        <v>27</v>
      </c>
      <c r="I5072" s="24" t="s">
        <v>4404</v>
      </c>
      <c r="J5072" s="14" t="s">
        <v>29</v>
      </c>
      <c r="K5072" s="15" t="s">
        <v>50</v>
      </c>
      <c r="L5072" s="62"/>
      <c r="M5072" s="14"/>
      <c r="N5072" s="14" t="s">
        <v>33</v>
      </c>
      <c r="O5072" s="14"/>
      <c r="P5072" s="15" t="s">
        <v>252</v>
      </c>
      <c r="Q5072" s="16">
        <v>3399</v>
      </c>
      <c r="R5072" s="17">
        <v>46</v>
      </c>
      <c r="S5072" s="18">
        <v>2110.779</v>
      </c>
      <c r="T5072" s="19" t="s">
        <v>36</v>
      </c>
      <c r="U5072" s="20" t="s">
        <v>234</v>
      </c>
      <c r="V5072" s="21" t="s">
        <v>235</v>
      </c>
      <c r="W5072" s="22">
        <v>12</v>
      </c>
      <c r="X5072" s="23"/>
    </row>
    <row r="5073" spans="1:24" s="1" customFormat="1" ht="21" customHeight="1" x14ac:dyDescent="0.3">
      <c r="A5073" s="24" t="s">
        <v>23</v>
      </c>
      <c r="B5073" s="24" t="s">
        <v>4472</v>
      </c>
      <c r="C5073" s="27" t="s">
        <v>4473</v>
      </c>
      <c r="D5073" s="60"/>
      <c r="E5073" s="41" t="str">
        <f>HYPERLINK("https://www.google.ru/search?q=6009974-001&amp;newwindow=1&amp;tbm=isch","Еще фото")</f>
        <v>Еще фото</v>
      </c>
      <c r="F5073" s="13"/>
      <c r="G5073" s="24" t="s">
        <v>4404</v>
      </c>
      <c r="H5073" s="24" t="s">
        <v>27</v>
      </c>
      <c r="I5073" s="24" t="s">
        <v>4404</v>
      </c>
      <c r="J5073" s="14" t="s">
        <v>29</v>
      </c>
      <c r="K5073" s="15" t="s">
        <v>50</v>
      </c>
      <c r="L5073" s="62"/>
      <c r="M5073" s="14"/>
      <c r="N5073" s="14" t="s">
        <v>33</v>
      </c>
      <c r="O5073" s="14"/>
      <c r="P5073" s="15" t="s">
        <v>252</v>
      </c>
      <c r="Q5073" s="16">
        <v>3399</v>
      </c>
      <c r="R5073" s="17">
        <v>46</v>
      </c>
      <c r="S5073" s="18">
        <v>2110.779</v>
      </c>
      <c r="T5073" s="19" t="s">
        <v>36</v>
      </c>
      <c r="U5073" s="20" t="s">
        <v>71</v>
      </c>
      <c r="V5073" s="21" t="s">
        <v>72</v>
      </c>
      <c r="W5073" s="22">
        <v>18</v>
      </c>
      <c r="X5073" s="23"/>
    </row>
    <row r="5074" spans="1:24" s="1" customFormat="1" ht="32" customHeight="1" x14ac:dyDescent="0.3">
      <c r="A5074" s="24" t="s">
        <v>23</v>
      </c>
      <c r="B5074" s="24" t="s">
        <v>4472</v>
      </c>
      <c r="C5074" s="27" t="s">
        <v>4473</v>
      </c>
      <c r="D5074" s="61"/>
      <c r="E5074" s="41" t="str">
        <f>HYPERLINK("https://www.google.ru/search?q=6009974-001&amp;newwindow=1&amp;tbm=isch","Еще фото")</f>
        <v>Еще фото</v>
      </c>
      <c r="F5074" s="13"/>
      <c r="G5074" s="24" t="s">
        <v>4404</v>
      </c>
      <c r="H5074" s="24" t="s">
        <v>27</v>
      </c>
      <c r="I5074" s="24" t="s">
        <v>4404</v>
      </c>
      <c r="J5074" s="14" t="s">
        <v>29</v>
      </c>
      <c r="K5074" s="15" t="s">
        <v>50</v>
      </c>
      <c r="L5074" s="58"/>
      <c r="M5074" s="14"/>
      <c r="N5074" s="14" t="s">
        <v>33</v>
      </c>
      <c r="O5074" s="14"/>
      <c r="P5074" s="15" t="s">
        <v>252</v>
      </c>
      <c r="Q5074" s="16">
        <v>3399</v>
      </c>
      <c r="R5074" s="17">
        <v>46</v>
      </c>
      <c r="S5074" s="18">
        <v>2110.779</v>
      </c>
      <c r="T5074" s="19" t="s">
        <v>36</v>
      </c>
      <c r="U5074" s="20" t="s">
        <v>73</v>
      </c>
      <c r="V5074" s="21" t="s">
        <v>74</v>
      </c>
      <c r="W5074" s="22">
        <v>12</v>
      </c>
      <c r="X5074" s="23"/>
    </row>
    <row r="5075" spans="1:24" s="1" customFormat="1" ht="21" customHeight="1" x14ac:dyDescent="0.3">
      <c r="A5075" s="11" t="s">
        <v>23</v>
      </c>
      <c r="B5075" s="11" t="s">
        <v>4472</v>
      </c>
      <c r="C5075" s="26" t="s">
        <v>4475</v>
      </c>
      <c r="D5075" s="59"/>
      <c r="E5075" s="41" t="str">
        <f>HYPERLINK("https://www.google.ru/search?q=6009974-600&amp;newwindow=1&amp;tbm=isch","Еще фото")</f>
        <v>Еще фото</v>
      </c>
      <c r="F5075" s="13"/>
      <c r="G5075" s="11" t="s">
        <v>4404</v>
      </c>
      <c r="H5075" s="11" t="s">
        <v>27</v>
      </c>
      <c r="I5075" s="14" t="s">
        <v>4404</v>
      </c>
      <c r="J5075" s="14" t="s">
        <v>29</v>
      </c>
      <c r="K5075" s="15" t="s">
        <v>50</v>
      </c>
      <c r="L5075" s="57" t="s">
        <v>4474</v>
      </c>
      <c r="M5075" s="14"/>
      <c r="N5075" s="14" t="s">
        <v>69</v>
      </c>
      <c r="O5075" s="14"/>
      <c r="P5075" s="15" t="s">
        <v>252</v>
      </c>
      <c r="Q5075" s="16">
        <v>3399</v>
      </c>
      <c r="R5075" s="17">
        <v>46</v>
      </c>
      <c r="S5075" s="18">
        <v>2110.779</v>
      </c>
      <c r="T5075" s="19" t="s">
        <v>36</v>
      </c>
      <c r="U5075" s="20" t="s">
        <v>99</v>
      </c>
      <c r="V5075" s="21" t="s">
        <v>100</v>
      </c>
      <c r="W5075" s="22">
        <v>6</v>
      </c>
      <c r="X5075" s="23"/>
    </row>
    <row r="5076" spans="1:24" s="1" customFormat="1" ht="21" customHeight="1" x14ac:dyDescent="0.3">
      <c r="A5076" s="24" t="s">
        <v>23</v>
      </c>
      <c r="B5076" s="24" t="s">
        <v>4472</v>
      </c>
      <c r="C5076" s="27" t="s">
        <v>4475</v>
      </c>
      <c r="D5076" s="60"/>
      <c r="E5076" s="41" t="str">
        <f>HYPERLINK("https://www.google.ru/search?q=6009974-600&amp;newwindow=1&amp;tbm=isch","Еще фото")</f>
        <v>Еще фото</v>
      </c>
      <c r="F5076" s="13"/>
      <c r="G5076" s="24" t="s">
        <v>4404</v>
      </c>
      <c r="H5076" s="24" t="s">
        <v>27</v>
      </c>
      <c r="I5076" s="24" t="s">
        <v>4404</v>
      </c>
      <c r="J5076" s="14" t="s">
        <v>29</v>
      </c>
      <c r="K5076" s="15" t="s">
        <v>50</v>
      </c>
      <c r="L5076" s="62"/>
      <c r="M5076" s="14"/>
      <c r="N5076" s="14" t="s">
        <v>69</v>
      </c>
      <c r="O5076" s="14"/>
      <c r="P5076" s="15" t="s">
        <v>252</v>
      </c>
      <c r="Q5076" s="16">
        <v>3399</v>
      </c>
      <c r="R5076" s="17">
        <v>46</v>
      </c>
      <c r="S5076" s="18">
        <v>2110.779</v>
      </c>
      <c r="T5076" s="19" t="s">
        <v>36</v>
      </c>
      <c r="U5076" s="20" t="s">
        <v>54</v>
      </c>
      <c r="V5076" s="21" t="s">
        <v>55</v>
      </c>
      <c r="W5076" s="22">
        <v>12</v>
      </c>
      <c r="X5076" s="23"/>
    </row>
    <row r="5077" spans="1:24" s="1" customFormat="1" ht="21" customHeight="1" x14ac:dyDescent="0.3">
      <c r="A5077" s="24" t="s">
        <v>23</v>
      </c>
      <c r="B5077" s="24" t="s">
        <v>4472</v>
      </c>
      <c r="C5077" s="27" t="s">
        <v>4475</v>
      </c>
      <c r="D5077" s="60"/>
      <c r="E5077" s="41" t="str">
        <f>HYPERLINK("https://www.google.ru/search?q=6009974-600&amp;newwindow=1&amp;tbm=isch","Еще фото")</f>
        <v>Еще фото</v>
      </c>
      <c r="F5077" s="13"/>
      <c r="G5077" s="24" t="s">
        <v>4404</v>
      </c>
      <c r="H5077" s="24" t="s">
        <v>27</v>
      </c>
      <c r="I5077" s="24" t="s">
        <v>4404</v>
      </c>
      <c r="J5077" s="14" t="s">
        <v>29</v>
      </c>
      <c r="K5077" s="15" t="s">
        <v>50</v>
      </c>
      <c r="L5077" s="62"/>
      <c r="M5077" s="14"/>
      <c r="N5077" s="14" t="s">
        <v>69</v>
      </c>
      <c r="O5077" s="14"/>
      <c r="P5077" s="15" t="s">
        <v>252</v>
      </c>
      <c r="Q5077" s="16">
        <v>3399</v>
      </c>
      <c r="R5077" s="17">
        <v>46</v>
      </c>
      <c r="S5077" s="18">
        <v>2110.779</v>
      </c>
      <c r="T5077" s="19" t="s">
        <v>36</v>
      </c>
      <c r="U5077" s="20" t="s">
        <v>234</v>
      </c>
      <c r="V5077" s="21" t="s">
        <v>235</v>
      </c>
      <c r="W5077" s="22">
        <v>12</v>
      </c>
      <c r="X5077" s="23"/>
    </row>
    <row r="5078" spans="1:24" s="1" customFormat="1" ht="21" customHeight="1" x14ac:dyDescent="0.3">
      <c r="A5078" s="24" t="s">
        <v>23</v>
      </c>
      <c r="B5078" s="24" t="s">
        <v>4472</v>
      </c>
      <c r="C5078" s="27" t="s">
        <v>4475</v>
      </c>
      <c r="D5078" s="60"/>
      <c r="E5078" s="41" t="str">
        <f>HYPERLINK("https://www.google.ru/search?q=6009974-600&amp;newwindow=1&amp;tbm=isch","Еще фото")</f>
        <v>Еще фото</v>
      </c>
      <c r="F5078" s="13"/>
      <c r="G5078" s="24" t="s">
        <v>4404</v>
      </c>
      <c r="H5078" s="24" t="s">
        <v>27</v>
      </c>
      <c r="I5078" s="24" t="s">
        <v>4404</v>
      </c>
      <c r="J5078" s="14" t="s">
        <v>29</v>
      </c>
      <c r="K5078" s="15" t="s">
        <v>50</v>
      </c>
      <c r="L5078" s="62"/>
      <c r="M5078" s="14"/>
      <c r="N5078" s="14" t="s">
        <v>69</v>
      </c>
      <c r="O5078" s="14"/>
      <c r="P5078" s="15" t="s">
        <v>252</v>
      </c>
      <c r="Q5078" s="16">
        <v>3399</v>
      </c>
      <c r="R5078" s="17">
        <v>46</v>
      </c>
      <c r="S5078" s="18">
        <v>2110.779</v>
      </c>
      <c r="T5078" s="19" t="s">
        <v>36</v>
      </c>
      <c r="U5078" s="20" t="s">
        <v>71</v>
      </c>
      <c r="V5078" s="21" t="s">
        <v>72</v>
      </c>
      <c r="W5078" s="22">
        <v>18</v>
      </c>
      <c r="X5078" s="23"/>
    </row>
    <row r="5079" spans="1:24" s="1" customFormat="1" ht="32" customHeight="1" x14ac:dyDescent="0.3">
      <c r="A5079" s="24" t="s">
        <v>23</v>
      </c>
      <c r="B5079" s="24" t="s">
        <v>4472</v>
      </c>
      <c r="C5079" s="27" t="s">
        <v>4475</v>
      </c>
      <c r="D5079" s="61"/>
      <c r="E5079" s="41" t="str">
        <f>HYPERLINK("https://www.google.ru/search?q=6009974-600&amp;newwindow=1&amp;tbm=isch","Еще фото")</f>
        <v>Еще фото</v>
      </c>
      <c r="F5079" s="13"/>
      <c r="G5079" s="24" t="s">
        <v>4404</v>
      </c>
      <c r="H5079" s="24" t="s">
        <v>27</v>
      </c>
      <c r="I5079" s="24" t="s">
        <v>4404</v>
      </c>
      <c r="J5079" s="14" t="s">
        <v>29</v>
      </c>
      <c r="K5079" s="15" t="s">
        <v>50</v>
      </c>
      <c r="L5079" s="58"/>
      <c r="M5079" s="14"/>
      <c r="N5079" s="14" t="s">
        <v>69</v>
      </c>
      <c r="O5079" s="14"/>
      <c r="P5079" s="15" t="s">
        <v>252</v>
      </c>
      <c r="Q5079" s="16">
        <v>3399</v>
      </c>
      <c r="R5079" s="17">
        <v>46</v>
      </c>
      <c r="S5079" s="18">
        <v>2110.779</v>
      </c>
      <c r="T5079" s="19" t="s">
        <v>36</v>
      </c>
      <c r="U5079" s="20" t="s">
        <v>73</v>
      </c>
      <c r="V5079" s="21" t="s">
        <v>74</v>
      </c>
      <c r="W5079" s="22">
        <v>12</v>
      </c>
      <c r="X5079" s="23"/>
    </row>
    <row r="5080" spans="1:24" s="1" customFormat="1" ht="108" customHeight="1" x14ac:dyDescent="0.3">
      <c r="A5080" s="11" t="s">
        <v>23</v>
      </c>
      <c r="B5080" s="11" t="s">
        <v>4476</v>
      </c>
      <c r="C5080" s="12" t="s">
        <v>4477</v>
      </c>
      <c r="D5080" s="25"/>
      <c r="E5080" s="41" t="str">
        <f>HYPERLINK("https://www.google.ru/search?q=1360939-681&amp;newwindow=1&amp;tbm=isch","Еще фото")</f>
        <v>Еще фото</v>
      </c>
      <c r="F5080" s="13"/>
      <c r="G5080" s="11" t="s">
        <v>4404</v>
      </c>
      <c r="H5080" s="11" t="s">
        <v>27</v>
      </c>
      <c r="I5080" s="14" t="s">
        <v>4404</v>
      </c>
      <c r="J5080" s="14" t="s">
        <v>29</v>
      </c>
      <c r="K5080" s="15" t="s">
        <v>59</v>
      </c>
      <c r="L5080" s="14" t="s">
        <v>4433</v>
      </c>
      <c r="M5080" s="14"/>
      <c r="N5080" s="14" t="s">
        <v>69</v>
      </c>
      <c r="O5080" s="14"/>
      <c r="P5080" s="15" t="s">
        <v>53</v>
      </c>
      <c r="Q5080" s="16">
        <v>4999</v>
      </c>
      <c r="R5080" s="17">
        <v>45.99</v>
      </c>
      <c r="S5080" s="18">
        <v>3104.9884999999995</v>
      </c>
      <c r="T5080" s="19" t="s">
        <v>36</v>
      </c>
      <c r="U5080" s="20" t="s">
        <v>86</v>
      </c>
      <c r="V5080" s="21" t="s">
        <v>38</v>
      </c>
      <c r="W5080" s="22">
        <v>9</v>
      </c>
      <c r="X5080" s="23"/>
    </row>
    <row r="5081" spans="1:24" s="1" customFormat="1" ht="108" customHeight="1" x14ac:dyDescent="0.3">
      <c r="A5081" s="11" t="s">
        <v>23</v>
      </c>
      <c r="B5081" s="11" t="s">
        <v>4478</v>
      </c>
      <c r="C5081" s="12" t="s">
        <v>4479</v>
      </c>
      <c r="D5081" s="25"/>
      <c r="E5081" s="41" t="str">
        <f>HYPERLINK("https://www.google.ru/search?q=6009865-001&amp;newwindow=1&amp;tbm=isch","Еще фото")</f>
        <v>Еще фото</v>
      </c>
      <c r="F5081" s="13" t="s">
        <v>103</v>
      </c>
      <c r="G5081" s="11" t="s">
        <v>4404</v>
      </c>
      <c r="H5081" s="11" t="s">
        <v>27</v>
      </c>
      <c r="I5081" s="14" t="s">
        <v>4404</v>
      </c>
      <c r="J5081" s="14" t="s">
        <v>29</v>
      </c>
      <c r="K5081" s="15" t="s">
        <v>30</v>
      </c>
      <c r="L5081" s="14" t="s">
        <v>4480</v>
      </c>
      <c r="M5081" s="14"/>
      <c r="N5081" s="14" t="s">
        <v>33</v>
      </c>
      <c r="O5081" s="14"/>
      <c r="P5081" s="15" t="s">
        <v>47</v>
      </c>
      <c r="Q5081" s="16">
        <v>4999</v>
      </c>
      <c r="R5081" s="17">
        <v>45.99</v>
      </c>
      <c r="S5081" s="18">
        <v>3104.9884999999995</v>
      </c>
      <c r="T5081" s="19" t="s">
        <v>36</v>
      </c>
      <c r="U5081" s="20" t="s">
        <v>90</v>
      </c>
      <c r="V5081" s="21" t="s">
        <v>91</v>
      </c>
      <c r="W5081" s="22">
        <v>1</v>
      </c>
      <c r="X5081" s="23"/>
    </row>
    <row r="5082" spans="1:24" s="1" customFormat="1" ht="108" customHeight="1" x14ac:dyDescent="0.3">
      <c r="A5082" s="11" t="s">
        <v>23</v>
      </c>
      <c r="B5082" s="11" t="s">
        <v>4481</v>
      </c>
      <c r="C5082" s="12" t="s">
        <v>4482</v>
      </c>
      <c r="D5082" s="25"/>
      <c r="E5082" s="41" t="str">
        <f>HYPERLINK("https://www.google.ru/search?q=1373718-410&amp;newwindow=1&amp;tbm=isch","Еще фото")</f>
        <v>Еще фото</v>
      </c>
      <c r="F5082" s="13" t="s">
        <v>103</v>
      </c>
      <c r="G5082" s="11" t="s">
        <v>4404</v>
      </c>
      <c r="H5082" s="11" t="s">
        <v>27</v>
      </c>
      <c r="I5082" s="14" t="s">
        <v>4404</v>
      </c>
      <c r="J5082" s="14" t="s">
        <v>29</v>
      </c>
      <c r="K5082" s="15" t="s">
        <v>30</v>
      </c>
      <c r="L5082" s="14" t="s">
        <v>4483</v>
      </c>
      <c r="M5082" s="14"/>
      <c r="N5082" s="14" t="s">
        <v>33</v>
      </c>
      <c r="O5082" s="14"/>
      <c r="P5082" s="15" t="s">
        <v>47</v>
      </c>
      <c r="Q5082" s="16">
        <v>3699</v>
      </c>
      <c r="R5082" s="17">
        <v>45.93</v>
      </c>
      <c r="S5082" s="18">
        <v>2299.9884999999999</v>
      </c>
      <c r="T5082" s="19" t="s">
        <v>36</v>
      </c>
      <c r="U5082" s="20" t="s">
        <v>90</v>
      </c>
      <c r="V5082" s="21" t="s">
        <v>91</v>
      </c>
      <c r="W5082" s="22">
        <v>1</v>
      </c>
      <c r="X5082" s="23"/>
    </row>
    <row r="5083" spans="1:24" s="1" customFormat="1" ht="108" customHeight="1" x14ac:dyDescent="0.3">
      <c r="A5083" s="11" t="s">
        <v>23</v>
      </c>
      <c r="B5083" s="11" t="s">
        <v>4484</v>
      </c>
      <c r="C5083" s="12" t="s">
        <v>4485</v>
      </c>
      <c r="D5083" s="25"/>
      <c r="E5083" s="41" t="str">
        <f>HYPERLINK("https://www.google.ru/search?q=1379507-001&amp;newwindow=1&amp;tbm=isch","Еще фото")</f>
        <v>Еще фото</v>
      </c>
      <c r="F5083" s="13" t="s">
        <v>103</v>
      </c>
      <c r="G5083" s="11" t="s">
        <v>4404</v>
      </c>
      <c r="H5083" s="11" t="s">
        <v>27</v>
      </c>
      <c r="I5083" s="14" t="s">
        <v>4404</v>
      </c>
      <c r="J5083" s="14" t="s">
        <v>311</v>
      </c>
      <c r="K5083" s="15" t="s">
        <v>30</v>
      </c>
      <c r="L5083" s="14" t="s">
        <v>4486</v>
      </c>
      <c r="M5083" s="14"/>
      <c r="N5083" s="14" t="s">
        <v>33</v>
      </c>
      <c r="O5083" s="14"/>
      <c r="P5083" s="15" t="s">
        <v>47</v>
      </c>
      <c r="Q5083" s="16">
        <v>3699</v>
      </c>
      <c r="R5083" s="17">
        <v>45.93</v>
      </c>
      <c r="S5083" s="18">
        <v>2299.9884999999999</v>
      </c>
      <c r="T5083" s="19" t="s">
        <v>36</v>
      </c>
      <c r="U5083" s="20" t="s">
        <v>90</v>
      </c>
      <c r="V5083" s="21" t="s">
        <v>91</v>
      </c>
      <c r="W5083" s="22">
        <v>2</v>
      </c>
      <c r="X5083" s="23"/>
    </row>
    <row r="5084" spans="1:24" s="1" customFormat="1" ht="108" customHeight="1" x14ac:dyDescent="0.3">
      <c r="A5084" s="11" t="s">
        <v>23</v>
      </c>
      <c r="B5084" s="11" t="s">
        <v>4487</v>
      </c>
      <c r="C5084" s="12" t="s">
        <v>4488</v>
      </c>
      <c r="D5084" s="25"/>
      <c r="E5084" s="41" t="str">
        <f>HYPERLINK("https://www.google.ru/search?q=1360925-782&amp;newwindow=1&amp;tbm=isch","Еще фото")</f>
        <v>Еще фото</v>
      </c>
      <c r="F5084" s="13"/>
      <c r="G5084" s="11" t="s">
        <v>4404</v>
      </c>
      <c r="H5084" s="11" t="s">
        <v>27</v>
      </c>
      <c r="I5084" s="14" t="s">
        <v>4404</v>
      </c>
      <c r="J5084" s="14" t="s">
        <v>29</v>
      </c>
      <c r="K5084" s="15" t="s">
        <v>59</v>
      </c>
      <c r="L5084" s="14" t="s">
        <v>4489</v>
      </c>
      <c r="M5084" s="14"/>
      <c r="N5084" s="14" t="s">
        <v>1165</v>
      </c>
      <c r="O5084" s="14"/>
      <c r="P5084" s="15" t="s">
        <v>53</v>
      </c>
      <c r="Q5084" s="16">
        <v>2399</v>
      </c>
      <c r="R5084" s="17">
        <v>45.81</v>
      </c>
      <c r="S5084" s="18">
        <v>1494.9884999999999</v>
      </c>
      <c r="T5084" s="19" t="s">
        <v>36</v>
      </c>
      <c r="U5084" s="20" t="s">
        <v>88</v>
      </c>
      <c r="V5084" s="21" t="s">
        <v>40</v>
      </c>
      <c r="W5084" s="22">
        <v>1</v>
      </c>
      <c r="X5084" s="23"/>
    </row>
    <row r="5085" spans="1:24" s="1" customFormat="1" ht="108" customHeight="1" x14ac:dyDescent="0.3">
      <c r="A5085" s="11" t="s">
        <v>23</v>
      </c>
      <c r="B5085" s="11" t="s">
        <v>4490</v>
      </c>
      <c r="C5085" s="12" t="s">
        <v>4491</v>
      </c>
      <c r="D5085" s="25"/>
      <c r="E5085" s="41" t="str">
        <f>HYPERLINK("https://www.google.ru/search?q=1383629-452&amp;newwindow=1&amp;tbm=isch","Еще фото")</f>
        <v>Еще фото</v>
      </c>
      <c r="F5085" s="13"/>
      <c r="G5085" s="11" t="s">
        <v>4404</v>
      </c>
      <c r="H5085" s="11" t="s">
        <v>27</v>
      </c>
      <c r="I5085" s="14" t="s">
        <v>4404</v>
      </c>
      <c r="J5085" s="14" t="s">
        <v>29</v>
      </c>
      <c r="K5085" s="15" t="s">
        <v>59</v>
      </c>
      <c r="L5085" s="14" t="s">
        <v>4492</v>
      </c>
      <c r="M5085" s="14"/>
      <c r="N5085" s="14" t="s">
        <v>115</v>
      </c>
      <c r="O5085" s="14"/>
      <c r="P5085" s="15" t="s">
        <v>53</v>
      </c>
      <c r="Q5085" s="16">
        <v>3499</v>
      </c>
      <c r="R5085" s="17">
        <v>45.7</v>
      </c>
      <c r="S5085" s="18">
        <v>2184.9884999999999</v>
      </c>
      <c r="T5085" s="19" t="s">
        <v>36</v>
      </c>
      <c r="U5085" s="20" t="s">
        <v>88</v>
      </c>
      <c r="V5085" s="21" t="s">
        <v>40</v>
      </c>
      <c r="W5085" s="22">
        <v>3</v>
      </c>
      <c r="X5085" s="23"/>
    </row>
    <row r="5086" spans="1:24" s="1" customFormat="1" ht="108" customHeight="1" x14ac:dyDescent="0.3">
      <c r="A5086" s="11" t="s">
        <v>23</v>
      </c>
      <c r="B5086" s="11" t="s">
        <v>4493</v>
      </c>
      <c r="C5086" s="12" t="s">
        <v>4494</v>
      </c>
      <c r="D5086" s="25"/>
      <c r="E5086" s="41" t="str">
        <f>HYPERLINK("https://www.google.ru/search?q=1361515-066&amp;newwindow=1&amp;tbm=isch","Еще фото")</f>
        <v>Еще фото</v>
      </c>
      <c r="F5086" s="13"/>
      <c r="G5086" s="11" t="s">
        <v>4404</v>
      </c>
      <c r="H5086" s="11" t="s">
        <v>27</v>
      </c>
      <c r="I5086" s="14" t="s">
        <v>4404</v>
      </c>
      <c r="J5086" s="14" t="s">
        <v>43</v>
      </c>
      <c r="K5086" s="15" t="s">
        <v>30</v>
      </c>
      <c r="L5086" s="14" t="s">
        <v>4495</v>
      </c>
      <c r="M5086" s="14" t="s">
        <v>32</v>
      </c>
      <c r="N5086" s="14" t="s">
        <v>62</v>
      </c>
      <c r="O5086" s="14" t="s">
        <v>34</v>
      </c>
      <c r="P5086" s="15" t="s">
        <v>4496</v>
      </c>
      <c r="Q5086" s="16">
        <v>10999</v>
      </c>
      <c r="R5086" s="17">
        <v>45.45</v>
      </c>
      <c r="S5086" s="18">
        <v>6899.9884999999995</v>
      </c>
      <c r="T5086" s="19" t="s">
        <v>36</v>
      </c>
      <c r="U5086" s="20" t="s">
        <v>37</v>
      </c>
      <c r="V5086" s="21" t="s">
        <v>38</v>
      </c>
      <c r="W5086" s="22">
        <v>9</v>
      </c>
      <c r="X5086" s="23"/>
    </row>
    <row r="5087" spans="1:24" s="1" customFormat="1" ht="108" customHeight="1" x14ac:dyDescent="0.3">
      <c r="A5087" s="11" t="s">
        <v>23</v>
      </c>
      <c r="B5087" s="11" t="s">
        <v>4497</v>
      </c>
      <c r="C5087" s="12" t="s">
        <v>4498</v>
      </c>
      <c r="D5087" s="25"/>
      <c r="E5087" s="41" t="str">
        <f>HYPERLINK("https://www.google.ru/search?q=1383389-025&amp;newwindow=1&amp;tbm=isch","Еще фото")</f>
        <v>Еще фото</v>
      </c>
      <c r="F5087" s="13" t="s">
        <v>103</v>
      </c>
      <c r="G5087" s="11" t="s">
        <v>4404</v>
      </c>
      <c r="H5087" s="11" t="s">
        <v>27</v>
      </c>
      <c r="I5087" s="14" t="s">
        <v>4404</v>
      </c>
      <c r="J5087" s="14" t="s">
        <v>260</v>
      </c>
      <c r="K5087" s="15" t="s">
        <v>30</v>
      </c>
      <c r="L5087" s="14" t="s">
        <v>4499</v>
      </c>
      <c r="M5087" s="14"/>
      <c r="N5087" s="14" t="s">
        <v>62</v>
      </c>
      <c r="O5087" s="14"/>
      <c r="P5087" s="15" t="s">
        <v>47</v>
      </c>
      <c r="Q5087" s="16">
        <v>4399</v>
      </c>
      <c r="R5087" s="17">
        <v>45.44</v>
      </c>
      <c r="S5087" s="18">
        <v>2759.9884999999995</v>
      </c>
      <c r="T5087" s="19" t="s">
        <v>36</v>
      </c>
      <c r="U5087" s="20" t="s">
        <v>37</v>
      </c>
      <c r="V5087" s="21" t="s">
        <v>38</v>
      </c>
      <c r="W5087" s="22">
        <v>1</v>
      </c>
      <c r="X5087" s="23"/>
    </row>
    <row r="5088" spans="1:24" s="1" customFormat="1" ht="108" customHeight="1" x14ac:dyDescent="0.3">
      <c r="A5088" s="11" t="s">
        <v>23</v>
      </c>
      <c r="B5088" s="11" t="s">
        <v>4500</v>
      </c>
      <c r="C5088" s="12" t="s">
        <v>4501</v>
      </c>
      <c r="D5088" s="25"/>
      <c r="E5088" s="41" t="str">
        <f>HYPERLINK("https://www.google.ru/search?q=1370378-001&amp;newwindow=1&amp;tbm=isch","Еще фото")</f>
        <v>Еще фото</v>
      </c>
      <c r="F5088" s="13"/>
      <c r="G5088" s="11" t="s">
        <v>4404</v>
      </c>
      <c r="H5088" s="11" t="s">
        <v>27</v>
      </c>
      <c r="I5088" s="14" t="s">
        <v>4404</v>
      </c>
      <c r="J5088" s="14" t="s">
        <v>29</v>
      </c>
      <c r="K5088" s="15" t="s">
        <v>30</v>
      </c>
      <c r="L5088" s="14" t="s">
        <v>4502</v>
      </c>
      <c r="M5088" s="14"/>
      <c r="N5088" s="14" t="s">
        <v>33</v>
      </c>
      <c r="O5088" s="14"/>
      <c r="P5088" s="15" t="s">
        <v>213</v>
      </c>
      <c r="Q5088" s="16">
        <v>8399</v>
      </c>
      <c r="R5088" s="17">
        <v>45.23</v>
      </c>
      <c r="S5088" s="18">
        <v>5289.9884999999995</v>
      </c>
      <c r="T5088" s="19" t="s">
        <v>36</v>
      </c>
      <c r="U5088" s="20" t="s">
        <v>90</v>
      </c>
      <c r="V5088" s="21" t="s">
        <v>91</v>
      </c>
      <c r="W5088" s="22">
        <v>1</v>
      </c>
      <c r="X5088" s="23"/>
    </row>
    <row r="5089" spans="1:24" s="1" customFormat="1" ht="108" customHeight="1" x14ac:dyDescent="0.3">
      <c r="A5089" s="11" t="s">
        <v>23</v>
      </c>
      <c r="B5089" s="11" t="s">
        <v>4503</v>
      </c>
      <c r="C5089" s="12" t="s">
        <v>4504</v>
      </c>
      <c r="D5089" s="25"/>
      <c r="E5089" s="41" t="str">
        <f>HYPERLINK("https://www.google.ru/search?q=1361596-001&amp;newwindow=1&amp;tbm=isch","Еще фото")</f>
        <v>Еще фото</v>
      </c>
      <c r="F5089" s="28" t="s">
        <v>138</v>
      </c>
      <c r="G5089" s="11" t="s">
        <v>4404</v>
      </c>
      <c r="H5089" s="11" t="s">
        <v>27</v>
      </c>
      <c r="I5089" s="14" t="s">
        <v>4404</v>
      </c>
      <c r="J5089" s="14" t="s">
        <v>29</v>
      </c>
      <c r="K5089" s="15" t="s">
        <v>30</v>
      </c>
      <c r="L5089" s="14" t="s">
        <v>208</v>
      </c>
      <c r="M5089" s="14" t="s">
        <v>61</v>
      </c>
      <c r="N5089" s="14" t="s">
        <v>33</v>
      </c>
      <c r="O5089" s="14"/>
      <c r="P5089" s="15" t="s">
        <v>202</v>
      </c>
      <c r="Q5089" s="16">
        <v>3099</v>
      </c>
      <c r="R5089" s="17">
        <v>45.14</v>
      </c>
      <c r="S5089" s="18">
        <v>1954.9884999999999</v>
      </c>
      <c r="T5089" s="19" t="s">
        <v>36</v>
      </c>
      <c r="U5089" s="20" t="s">
        <v>37</v>
      </c>
      <c r="V5089" s="21" t="s">
        <v>38</v>
      </c>
      <c r="W5089" s="22">
        <v>1</v>
      </c>
      <c r="X5089" s="23"/>
    </row>
    <row r="5090" spans="1:24" s="1" customFormat="1" ht="52.05" customHeight="1" x14ac:dyDescent="0.3">
      <c r="A5090" s="11" t="s">
        <v>23</v>
      </c>
      <c r="B5090" s="11" t="s">
        <v>4505</v>
      </c>
      <c r="C5090" s="12" t="s">
        <v>4506</v>
      </c>
      <c r="D5090" s="55"/>
      <c r="E5090" s="41" t="str">
        <f>HYPERLINK("https://www.google.ru/search?q=1290875-540&amp;newwindow=1&amp;tbm=isch","Еще фото")</f>
        <v>Еще фото</v>
      </c>
      <c r="F5090" s="13"/>
      <c r="G5090" s="11" t="s">
        <v>4404</v>
      </c>
      <c r="H5090" s="11" t="s">
        <v>27</v>
      </c>
      <c r="I5090" s="14" t="s">
        <v>4404</v>
      </c>
      <c r="J5090" s="14" t="s">
        <v>29</v>
      </c>
      <c r="K5090" s="15" t="s">
        <v>59</v>
      </c>
      <c r="L5090" s="57" t="s">
        <v>4507</v>
      </c>
      <c r="M5090" s="14" t="s">
        <v>339</v>
      </c>
      <c r="N5090" s="14" t="s">
        <v>115</v>
      </c>
      <c r="O5090" s="14" t="s">
        <v>34</v>
      </c>
      <c r="P5090" s="15" t="s">
        <v>4508</v>
      </c>
      <c r="Q5090" s="16">
        <v>2899</v>
      </c>
      <c r="R5090" s="17">
        <v>40</v>
      </c>
      <c r="S5090" s="18">
        <v>2000.31</v>
      </c>
      <c r="T5090" s="19" t="s">
        <v>36</v>
      </c>
      <c r="U5090" s="20" t="s">
        <v>86</v>
      </c>
      <c r="V5090" s="21" t="s">
        <v>38</v>
      </c>
      <c r="W5090" s="22">
        <v>1</v>
      </c>
      <c r="X5090" s="23"/>
    </row>
    <row r="5091" spans="1:24" s="1" customFormat="1" ht="61.05" customHeight="1" x14ac:dyDescent="0.3">
      <c r="A5091" s="24" t="s">
        <v>23</v>
      </c>
      <c r="B5091" s="24" t="s">
        <v>4505</v>
      </c>
      <c r="C5091" s="12" t="s">
        <v>4506</v>
      </c>
      <c r="D5091" s="56"/>
      <c r="E5091" s="41" t="str">
        <f>HYPERLINK("https://www.google.ru/search?q=1290875-540&amp;newwindow=1&amp;tbm=isch","Еще фото")</f>
        <v>Еще фото</v>
      </c>
      <c r="F5091" s="13"/>
      <c r="G5091" s="24" t="s">
        <v>4404</v>
      </c>
      <c r="H5091" s="24" t="s">
        <v>27</v>
      </c>
      <c r="I5091" s="24" t="s">
        <v>4404</v>
      </c>
      <c r="J5091" s="14" t="s">
        <v>29</v>
      </c>
      <c r="K5091" s="15" t="s">
        <v>59</v>
      </c>
      <c r="L5091" s="58"/>
      <c r="M5091" s="14" t="s">
        <v>339</v>
      </c>
      <c r="N5091" s="14" t="s">
        <v>115</v>
      </c>
      <c r="O5091" s="14" t="s">
        <v>34</v>
      </c>
      <c r="P5091" s="15" t="s">
        <v>4508</v>
      </c>
      <c r="Q5091" s="16">
        <v>2899</v>
      </c>
      <c r="R5091" s="17">
        <v>40</v>
      </c>
      <c r="S5091" s="18">
        <v>2000.31</v>
      </c>
      <c r="T5091" s="19" t="s">
        <v>36</v>
      </c>
      <c r="U5091" s="20" t="s">
        <v>88</v>
      </c>
      <c r="V5091" s="21" t="s">
        <v>40</v>
      </c>
      <c r="W5091" s="22">
        <v>1</v>
      </c>
      <c r="X5091" s="23"/>
    </row>
    <row r="5092" spans="1:24" s="1" customFormat="1" ht="17" customHeight="1" x14ac:dyDescent="0.3">
      <c r="A5092" s="11" t="s">
        <v>23</v>
      </c>
      <c r="B5092" s="11" t="s">
        <v>4509</v>
      </c>
      <c r="C5092" s="12" t="s">
        <v>4510</v>
      </c>
      <c r="D5092" s="59"/>
      <c r="E5092" s="41" t="str">
        <f t="shared" ref="E5092:E5097" si="179">HYPERLINK("https://www.google.ru/search?q=1306443-035&amp;newwindow=1&amp;tbm=isch","Еще фото")</f>
        <v>Еще фото</v>
      </c>
      <c r="F5092" s="28" t="s">
        <v>152</v>
      </c>
      <c r="G5092" s="11" t="s">
        <v>4404</v>
      </c>
      <c r="H5092" s="11" t="s">
        <v>27</v>
      </c>
      <c r="I5092" s="14" t="s">
        <v>4404</v>
      </c>
      <c r="J5092" s="14" t="s">
        <v>29</v>
      </c>
      <c r="K5092" s="15" t="s">
        <v>30</v>
      </c>
      <c r="L5092" s="57" t="s">
        <v>4511</v>
      </c>
      <c r="M5092" s="14" t="s">
        <v>3209</v>
      </c>
      <c r="N5092" s="14" t="s">
        <v>62</v>
      </c>
      <c r="O5092" s="14" t="s">
        <v>306</v>
      </c>
      <c r="P5092" s="15" t="s">
        <v>47</v>
      </c>
      <c r="Q5092" s="16">
        <v>3899</v>
      </c>
      <c r="R5092" s="17">
        <v>40</v>
      </c>
      <c r="S5092" s="18">
        <v>2690.31</v>
      </c>
      <c r="T5092" s="19" t="s">
        <v>36</v>
      </c>
      <c r="U5092" s="20" t="s">
        <v>37</v>
      </c>
      <c r="V5092" s="21" t="s">
        <v>38</v>
      </c>
      <c r="W5092" s="22">
        <v>22</v>
      </c>
      <c r="X5092" s="23"/>
    </row>
    <row r="5093" spans="1:24" s="1" customFormat="1" ht="17" customHeight="1" x14ac:dyDescent="0.3">
      <c r="A5093" s="24" t="s">
        <v>23</v>
      </c>
      <c r="B5093" s="24" t="s">
        <v>4509</v>
      </c>
      <c r="C5093" s="12" t="s">
        <v>4510</v>
      </c>
      <c r="D5093" s="60"/>
      <c r="E5093" s="41" t="str">
        <f t="shared" si="179"/>
        <v>Еще фото</v>
      </c>
      <c r="F5093" s="28" t="s">
        <v>152</v>
      </c>
      <c r="G5093" s="24" t="s">
        <v>4404</v>
      </c>
      <c r="H5093" s="24" t="s">
        <v>27</v>
      </c>
      <c r="I5093" s="24" t="s">
        <v>4404</v>
      </c>
      <c r="J5093" s="14" t="s">
        <v>29</v>
      </c>
      <c r="K5093" s="15" t="s">
        <v>30</v>
      </c>
      <c r="L5093" s="62"/>
      <c r="M5093" s="14" t="s">
        <v>3209</v>
      </c>
      <c r="N5093" s="14" t="s">
        <v>62</v>
      </c>
      <c r="O5093" s="14" t="s">
        <v>306</v>
      </c>
      <c r="P5093" s="15" t="s">
        <v>47</v>
      </c>
      <c r="Q5093" s="16">
        <v>3899</v>
      </c>
      <c r="R5093" s="17">
        <v>40</v>
      </c>
      <c r="S5093" s="18">
        <v>2690.31</v>
      </c>
      <c r="T5093" s="19" t="s">
        <v>36</v>
      </c>
      <c r="U5093" s="20" t="s">
        <v>39</v>
      </c>
      <c r="V5093" s="21" t="s">
        <v>40</v>
      </c>
      <c r="W5093" s="22">
        <v>15</v>
      </c>
      <c r="X5093" s="23"/>
    </row>
    <row r="5094" spans="1:24" s="1" customFormat="1" ht="17" customHeight="1" x14ac:dyDescent="0.3">
      <c r="A5094" s="24" t="s">
        <v>23</v>
      </c>
      <c r="B5094" s="24" t="s">
        <v>4509</v>
      </c>
      <c r="C5094" s="12" t="s">
        <v>4510</v>
      </c>
      <c r="D5094" s="60"/>
      <c r="E5094" s="41" t="str">
        <f t="shared" si="179"/>
        <v>Еще фото</v>
      </c>
      <c r="F5094" s="28" t="s">
        <v>152</v>
      </c>
      <c r="G5094" s="24" t="s">
        <v>4404</v>
      </c>
      <c r="H5094" s="24" t="s">
        <v>27</v>
      </c>
      <c r="I5094" s="24" t="s">
        <v>4404</v>
      </c>
      <c r="J5094" s="14" t="s">
        <v>29</v>
      </c>
      <c r="K5094" s="15" t="s">
        <v>30</v>
      </c>
      <c r="L5094" s="62"/>
      <c r="M5094" s="14" t="s">
        <v>3209</v>
      </c>
      <c r="N5094" s="14" t="s">
        <v>62</v>
      </c>
      <c r="O5094" s="14" t="s">
        <v>306</v>
      </c>
      <c r="P5094" s="15" t="s">
        <v>47</v>
      </c>
      <c r="Q5094" s="16">
        <v>3899</v>
      </c>
      <c r="R5094" s="17">
        <v>40</v>
      </c>
      <c r="S5094" s="18">
        <v>2690.31</v>
      </c>
      <c r="T5094" s="19" t="s">
        <v>36</v>
      </c>
      <c r="U5094" s="20" t="s">
        <v>86</v>
      </c>
      <c r="V5094" s="21" t="s">
        <v>87</v>
      </c>
      <c r="W5094" s="22">
        <v>26</v>
      </c>
      <c r="X5094" s="23"/>
    </row>
    <row r="5095" spans="1:24" s="1" customFormat="1" ht="17" customHeight="1" x14ac:dyDescent="0.3">
      <c r="A5095" s="24" t="s">
        <v>23</v>
      </c>
      <c r="B5095" s="24" t="s">
        <v>4509</v>
      </c>
      <c r="C5095" s="12" t="s">
        <v>4510</v>
      </c>
      <c r="D5095" s="60"/>
      <c r="E5095" s="41" t="str">
        <f t="shared" si="179"/>
        <v>Еще фото</v>
      </c>
      <c r="F5095" s="28" t="s">
        <v>152</v>
      </c>
      <c r="G5095" s="24" t="s">
        <v>4404</v>
      </c>
      <c r="H5095" s="24" t="s">
        <v>27</v>
      </c>
      <c r="I5095" s="24" t="s">
        <v>4404</v>
      </c>
      <c r="J5095" s="14" t="s">
        <v>29</v>
      </c>
      <c r="K5095" s="15" t="s">
        <v>30</v>
      </c>
      <c r="L5095" s="62"/>
      <c r="M5095" s="14" t="s">
        <v>3209</v>
      </c>
      <c r="N5095" s="14" t="s">
        <v>62</v>
      </c>
      <c r="O5095" s="14" t="s">
        <v>306</v>
      </c>
      <c r="P5095" s="15" t="s">
        <v>47</v>
      </c>
      <c r="Q5095" s="16">
        <v>3899</v>
      </c>
      <c r="R5095" s="17">
        <v>40</v>
      </c>
      <c r="S5095" s="18">
        <v>2690.31</v>
      </c>
      <c r="T5095" s="19" t="s">
        <v>36</v>
      </c>
      <c r="U5095" s="20" t="s">
        <v>88</v>
      </c>
      <c r="V5095" s="21" t="s">
        <v>89</v>
      </c>
      <c r="W5095" s="22">
        <v>19</v>
      </c>
      <c r="X5095" s="23"/>
    </row>
    <row r="5096" spans="1:24" s="1" customFormat="1" ht="17" customHeight="1" x14ac:dyDescent="0.3">
      <c r="A5096" s="24" t="s">
        <v>23</v>
      </c>
      <c r="B5096" s="24" t="s">
        <v>4509</v>
      </c>
      <c r="C5096" s="12" t="s">
        <v>4510</v>
      </c>
      <c r="D5096" s="60"/>
      <c r="E5096" s="41" t="str">
        <f t="shared" si="179"/>
        <v>Еще фото</v>
      </c>
      <c r="F5096" s="28" t="s">
        <v>152</v>
      </c>
      <c r="G5096" s="24" t="s">
        <v>4404</v>
      </c>
      <c r="H5096" s="24" t="s">
        <v>27</v>
      </c>
      <c r="I5096" s="24" t="s">
        <v>4404</v>
      </c>
      <c r="J5096" s="14" t="s">
        <v>29</v>
      </c>
      <c r="K5096" s="15" t="s">
        <v>30</v>
      </c>
      <c r="L5096" s="62"/>
      <c r="M5096" s="14" t="s">
        <v>3209</v>
      </c>
      <c r="N5096" s="14" t="s">
        <v>62</v>
      </c>
      <c r="O5096" s="14" t="s">
        <v>306</v>
      </c>
      <c r="P5096" s="15" t="s">
        <v>47</v>
      </c>
      <c r="Q5096" s="16">
        <v>3899</v>
      </c>
      <c r="R5096" s="17">
        <v>40</v>
      </c>
      <c r="S5096" s="18">
        <v>2690.31</v>
      </c>
      <c r="T5096" s="19" t="s">
        <v>36</v>
      </c>
      <c r="U5096" s="20" t="s">
        <v>90</v>
      </c>
      <c r="V5096" s="21" t="s">
        <v>91</v>
      </c>
      <c r="W5096" s="22">
        <v>8</v>
      </c>
      <c r="X5096" s="23"/>
    </row>
    <row r="5097" spans="1:24" s="1" customFormat="1" ht="22.05" customHeight="1" x14ac:dyDescent="0.3">
      <c r="A5097" s="24" t="s">
        <v>23</v>
      </c>
      <c r="B5097" s="24" t="s">
        <v>4509</v>
      </c>
      <c r="C5097" s="12" t="s">
        <v>4510</v>
      </c>
      <c r="D5097" s="61"/>
      <c r="E5097" s="41" t="str">
        <f t="shared" si="179"/>
        <v>Еще фото</v>
      </c>
      <c r="F5097" s="28" t="s">
        <v>152</v>
      </c>
      <c r="G5097" s="24" t="s">
        <v>4404</v>
      </c>
      <c r="H5097" s="24" t="s">
        <v>27</v>
      </c>
      <c r="I5097" s="24" t="s">
        <v>4404</v>
      </c>
      <c r="J5097" s="14" t="s">
        <v>29</v>
      </c>
      <c r="K5097" s="15" t="s">
        <v>30</v>
      </c>
      <c r="L5097" s="58"/>
      <c r="M5097" s="14" t="s">
        <v>3209</v>
      </c>
      <c r="N5097" s="14" t="s">
        <v>62</v>
      </c>
      <c r="O5097" s="14" t="s">
        <v>306</v>
      </c>
      <c r="P5097" s="15" t="s">
        <v>47</v>
      </c>
      <c r="Q5097" s="16">
        <v>3899</v>
      </c>
      <c r="R5097" s="17">
        <v>40</v>
      </c>
      <c r="S5097" s="18">
        <v>2690.31</v>
      </c>
      <c r="T5097" s="19" t="s">
        <v>36</v>
      </c>
      <c r="U5097" s="20" t="s">
        <v>143</v>
      </c>
      <c r="V5097" s="21" t="s">
        <v>144</v>
      </c>
      <c r="W5097" s="22">
        <v>1</v>
      </c>
      <c r="X5097" s="23"/>
    </row>
    <row r="5098" spans="1:24" s="1" customFormat="1" ht="26" customHeight="1" x14ac:dyDescent="0.3">
      <c r="A5098" s="11" t="s">
        <v>23</v>
      </c>
      <c r="B5098" s="11" t="s">
        <v>4512</v>
      </c>
      <c r="C5098" s="12" t="s">
        <v>4513</v>
      </c>
      <c r="D5098" s="59"/>
      <c r="E5098" s="41" t="str">
        <f>HYPERLINK("https://www.google.ru/search?q=1306443-390&amp;newwindow=1&amp;tbm=isch","Еще фото")</f>
        <v>Еще фото</v>
      </c>
      <c r="F5098" s="13" t="s">
        <v>103</v>
      </c>
      <c r="G5098" s="11" t="s">
        <v>4404</v>
      </c>
      <c r="H5098" s="11" t="s">
        <v>27</v>
      </c>
      <c r="I5098" s="14" t="s">
        <v>4404</v>
      </c>
      <c r="J5098" s="14" t="s">
        <v>29</v>
      </c>
      <c r="K5098" s="15" t="s">
        <v>30</v>
      </c>
      <c r="L5098" s="57" t="s">
        <v>4514</v>
      </c>
      <c r="M5098" s="14"/>
      <c r="N5098" s="14" t="s">
        <v>127</v>
      </c>
      <c r="O5098" s="14"/>
      <c r="P5098" s="15" t="s">
        <v>47</v>
      </c>
      <c r="Q5098" s="16">
        <v>3899</v>
      </c>
      <c r="R5098" s="17">
        <v>40</v>
      </c>
      <c r="S5098" s="18">
        <v>2690.31</v>
      </c>
      <c r="T5098" s="19" t="s">
        <v>36</v>
      </c>
      <c r="U5098" s="20" t="s">
        <v>37</v>
      </c>
      <c r="V5098" s="21" t="s">
        <v>38</v>
      </c>
      <c r="W5098" s="22">
        <v>6</v>
      </c>
      <c r="X5098" s="23"/>
    </row>
    <row r="5099" spans="1:24" s="1" customFormat="1" ht="26" customHeight="1" x14ac:dyDescent="0.3">
      <c r="A5099" s="24" t="s">
        <v>23</v>
      </c>
      <c r="B5099" s="24" t="s">
        <v>4512</v>
      </c>
      <c r="C5099" s="12" t="s">
        <v>4513</v>
      </c>
      <c r="D5099" s="60"/>
      <c r="E5099" s="41" t="str">
        <f>HYPERLINK("https://www.google.ru/search?q=1306443-390&amp;newwindow=1&amp;tbm=isch","Еще фото")</f>
        <v>Еще фото</v>
      </c>
      <c r="F5099" s="13" t="s">
        <v>103</v>
      </c>
      <c r="G5099" s="24" t="s">
        <v>4404</v>
      </c>
      <c r="H5099" s="24" t="s">
        <v>27</v>
      </c>
      <c r="I5099" s="24" t="s">
        <v>4404</v>
      </c>
      <c r="J5099" s="14" t="s">
        <v>29</v>
      </c>
      <c r="K5099" s="15" t="s">
        <v>30</v>
      </c>
      <c r="L5099" s="62"/>
      <c r="M5099" s="14"/>
      <c r="N5099" s="14" t="s">
        <v>127</v>
      </c>
      <c r="O5099" s="14"/>
      <c r="P5099" s="15" t="s">
        <v>47</v>
      </c>
      <c r="Q5099" s="16">
        <v>3899</v>
      </c>
      <c r="R5099" s="17">
        <v>40</v>
      </c>
      <c r="S5099" s="18">
        <v>2690.31</v>
      </c>
      <c r="T5099" s="19" t="s">
        <v>36</v>
      </c>
      <c r="U5099" s="20" t="s">
        <v>39</v>
      </c>
      <c r="V5099" s="21" t="s">
        <v>40</v>
      </c>
      <c r="W5099" s="22">
        <v>15</v>
      </c>
      <c r="X5099" s="23"/>
    </row>
    <row r="5100" spans="1:24" s="1" customFormat="1" ht="26" customHeight="1" x14ac:dyDescent="0.3">
      <c r="A5100" s="24" t="s">
        <v>23</v>
      </c>
      <c r="B5100" s="24" t="s">
        <v>4512</v>
      </c>
      <c r="C5100" s="12" t="s">
        <v>4513</v>
      </c>
      <c r="D5100" s="60"/>
      <c r="E5100" s="41" t="str">
        <f>HYPERLINK("https://www.google.ru/search?q=1306443-390&amp;newwindow=1&amp;tbm=isch","Еще фото")</f>
        <v>Еще фото</v>
      </c>
      <c r="F5100" s="13" t="s">
        <v>103</v>
      </c>
      <c r="G5100" s="24" t="s">
        <v>4404</v>
      </c>
      <c r="H5100" s="24" t="s">
        <v>27</v>
      </c>
      <c r="I5100" s="24" t="s">
        <v>4404</v>
      </c>
      <c r="J5100" s="14" t="s">
        <v>29</v>
      </c>
      <c r="K5100" s="15" t="s">
        <v>30</v>
      </c>
      <c r="L5100" s="62"/>
      <c r="M5100" s="14"/>
      <c r="N5100" s="14" t="s">
        <v>127</v>
      </c>
      <c r="O5100" s="14"/>
      <c r="P5100" s="15" t="s">
        <v>47</v>
      </c>
      <c r="Q5100" s="16">
        <v>3899</v>
      </c>
      <c r="R5100" s="17">
        <v>40</v>
      </c>
      <c r="S5100" s="18">
        <v>2690.31</v>
      </c>
      <c r="T5100" s="19" t="s">
        <v>36</v>
      </c>
      <c r="U5100" s="20" t="s">
        <v>86</v>
      </c>
      <c r="V5100" s="21" t="s">
        <v>87</v>
      </c>
      <c r="W5100" s="22">
        <v>17</v>
      </c>
      <c r="X5100" s="23"/>
    </row>
    <row r="5101" spans="1:24" s="1" customFormat="1" ht="26" customHeight="1" x14ac:dyDescent="0.3">
      <c r="A5101" s="24" t="s">
        <v>23</v>
      </c>
      <c r="B5101" s="24" t="s">
        <v>4512</v>
      </c>
      <c r="C5101" s="12" t="s">
        <v>4513</v>
      </c>
      <c r="D5101" s="61"/>
      <c r="E5101" s="41" t="str">
        <f>HYPERLINK("https://www.google.ru/search?q=1306443-390&amp;newwindow=1&amp;tbm=isch","Еще фото")</f>
        <v>Еще фото</v>
      </c>
      <c r="F5101" s="13" t="s">
        <v>103</v>
      </c>
      <c r="G5101" s="24" t="s">
        <v>4404</v>
      </c>
      <c r="H5101" s="24" t="s">
        <v>27</v>
      </c>
      <c r="I5101" s="24" t="s">
        <v>4404</v>
      </c>
      <c r="J5101" s="14" t="s">
        <v>29</v>
      </c>
      <c r="K5101" s="15" t="s">
        <v>30</v>
      </c>
      <c r="L5101" s="58"/>
      <c r="M5101" s="14"/>
      <c r="N5101" s="14" t="s">
        <v>127</v>
      </c>
      <c r="O5101" s="14"/>
      <c r="P5101" s="15" t="s">
        <v>47</v>
      </c>
      <c r="Q5101" s="16">
        <v>3899</v>
      </c>
      <c r="R5101" s="17">
        <v>40</v>
      </c>
      <c r="S5101" s="18">
        <v>2690.31</v>
      </c>
      <c r="T5101" s="19" t="s">
        <v>36</v>
      </c>
      <c r="U5101" s="20" t="s">
        <v>90</v>
      </c>
      <c r="V5101" s="21" t="s">
        <v>91</v>
      </c>
      <c r="W5101" s="22">
        <v>8</v>
      </c>
      <c r="X5101" s="23"/>
    </row>
    <row r="5102" spans="1:24" s="1" customFormat="1" ht="21" customHeight="1" x14ac:dyDescent="0.3">
      <c r="A5102" s="11" t="s">
        <v>23</v>
      </c>
      <c r="B5102" s="11" t="s">
        <v>4515</v>
      </c>
      <c r="C5102" s="26" t="s">
        <v>4516</v>
      </c>
      <c r="D5102" s="59"/>
      <c r="E5102" s="41" t="str">
        <f>HYPERLINK("https://www.google.ru/search?q=1360939-001&amp;newwindow=1&amp;tbm=isch","Еще фото")</f>
        <v>Еще фото</v>
      </c>
      <c r="F5102" s="13" t="s">
        <v>103</v>
      </c>
      <c r="G5102" s="11" t="s">
        <v>4404</v>
      </c>
      <c r="H5102" s="11" t="s">
        <v>27</v>
      </c>
      <c r="I5102" s="14" t="s">
        <v>4404</v>
      </c>
      <c r="J5102" s="14" t="s">
        <v>29</v>
      </c>
      <c r="K5102" s="15" t="s">
        <v>59</v>
      </c>
      <c r="L5102" s="57" t="s">
        <v>4433</v>
      </c>
      <c r="M5102" s="14" t="s">
        <v>61</v>
      </c>
      <c r="N5102" s="14" t="s">
        <v>33</v>
      </c>
      <c r="O5102" s="14" t="s">
        <v>34</v>
      </c>
      <c r="P5102" s="15" t="s">
        <v>53</v>
      </c>
      <c r="Q5102" s="16">
        <v>2799</v>
      </c>
      <c r="R5102" s="17">
        <v>40</v>
      </c>
      <c r="S5102" s="18">
        <v>1931.31</v>
      </c>
      <c r="T5102" s="19" t="s">
        <v>36</v>
      </c>
      <c r="U5102" s="20" t="s">
        <v>63</v>
      </c>
      <c r="V5102" s="21" t="s">
        <v>64</v>
      </c>
      <c r="W5102" s="22">
        <v>18</v>
      </c>
      <c r="X5102" s="23"/>
    </row>
    <row r="5103" spans="1:24" s="1" customFormat="1" ht="21" customHeight="1" x14ac:dyDescent="0.3">
      <c r="A5103" s="24" t="s">
        <v>23</v>
      </c>
      <c r="B5103" s="24" t="s">
        <v>4515</v>
      </c>
      <c r="C5103" s="27" t="s">
        <v>4516</v>
      </c>
      <c r="D5103" s="60"/>
      <c r="E5103" s="41" t="str">
        <f>HYPERLINK("https://www.google.ru/search?q=1360939-001&amp;newwindow=1&amp;tbm=isch","Еще фото")</f>
        <v>Еще фото</v>
      </c>
      <c r="F5103" s="13" t="s">
        <v>103</v>
      </c>
      <c r="G5103" s="24" t="s">
        <v>4404</v>
      </c>
      <c r="H5103" s="24" t="s">
        <v>27</v>
      </c>
      <c r="I5103" s="24" t="s">
        <v>4404</v>
      </c>
      <c r="J5103" s="14" t="s">
        <v>29</v>
      </c>
      <c r="K5103" s="15" t="s">
        <v>59</v>
      </c>
      <c r="L5103" s="62"/>
      <c r="M5103" s="14" t="s">
        <v>61</v>
      </c>
      <c r="N5103" s="14" t="s">
        <v>33</v>
      </c>
      <c r="O5103" s="14" t="s">
        <v>34</v>
      </c>
      <c r="P5103" s="15" t="s">
        <v>53</v>
      </c>
      <c r="Q5103" s="16">
        <v>2799</v>
      </c>
      <c r="R5103" s="17">
        <v>40</v>
      </c>
      <c r="S5103" s="18">
        <v>1931.31</v>
      </c>
      <c r="T5103" s="19" t="s">
        <v>36</v>
      </c>
      <c r="U5103" s="20" t="s">
        <v>37</v>
      </c>
      <c r="V5103" s="21" t="s">
        <v>106</v>
      </c>
      <c r="W5103" s="22">
        <v>1</v>
      </c>
      <c r="X5103" s="23"/>
    </row>
    <row r="5104" spans="1:24" s="1" customFormat="1" ht="21" customHeight="1" x14ac:dyDescent="0.3">
      <c r="A5104" s="24" t="s">
        <v>23</v>
      </c>
      <c r="B5104" s="24" t="s">
        <v>4515</v>
      </c>
      <c r="C5104" s="27" t="s">
        <v>4516</v>
      </c>
      <c r="D5104" s="60"/>
      <c r="E5104" s="41" t="str">
        <f>HYPERLINK("https://www.google.ru/search?q=1360939-001&amp;newwindow=1&amp;tbm=isch","Еще фото")</f>
        <v>Еще фото</v>
      </c>
      <c r="F5104" s="13" t="s">
        <v>103</v>
      </c>
      <c r="G5104" s="24" t="s">
        <v>4404</v>
      </c>
      <c r="H5104" s="24" t="s">
        <v>27</v>
      </c>
      <c r="I5104" s="24" t="s">
        <v>4404</v>
      </c>
      <c r="J5104" s="14" t="s">
        <v>29</v>
      </c>
      <c r="K5104" s="15" t="s">
        <v>59</v>
      </c>
      <c r="L5104" s="62"/>
      <c r="M5104" s="14" t="s">
        <v>61</v>
      </c>
      <c r="N5104" s="14" t="s">
        <v>33</v>
      </c>
      <c r="O5104" s="14" t="s">
        <v>34</v>
      </c>
      <c r="P5104" s="15" t="s">
        <v>53</v>
      </c>
      <c r="Q5104" s="16">
        <v>2799</v>
      </c>
      <c r="R5104" s="17">
        <v>40</v>
      </c>
      <c r="S5104" s="18">
        <v>1931.31</v>
      </c>
      <c r="T5104" s="19" t="s">
        <v>36</v>
      </c>
      <c r="U5104" s="20" t="s">
        <v>39</v>
      </c>
      <c r="V5104" s="21" t="s">
        <v>85</v>
      </c>
      <c r="W5104" s="22">
        <v>11</v>
      </c>
      <c r="X5104" s="23"/>
    </row>
    <row r="5105" spans="1:24" s="1" customFormat="1" ht="21" customHeight="1" x14ac:dyDescent="0.3">
      <c r="A5105" s="24" t="s">
        <v>23</v>
      </c>
      <c r="B5105" s="24" t="s">
        <v>4515</v>
      </c>
      <c r="C5105" s="27" t="s">
        <v>4516</v>
      </c>
      <c r="D5105" s="60"/>
      <c r="E5105" s="41" t="str">
        <f>HYPERLINK("https://www.google.ru/search?q=1360939-001&amp;newwindow=1&amp;tbm=isch","Еще фото")</f>
        <v>Еще фото</v>
      </c>
      <c r="F5105" s="13" t="s">
        <v>103</v>
      </c>
      <c r="G5105" s="24" t="s">
        <v>4404</v>
      </c>
      <c r="H5105" s="24" t="s">
        <v>27</v>
      </c>
      <c r="I5105" s="24" t="s">
        <v>4404</v>
      </c>
      <c r="J5105" s="14" t="s">
        <v>29</v>
      </c>
      <c r="K5105" s="15" t="s">
        <v>59</v>
      </c>
      <c r="L5105" s="62"/>
      <c r="M5105" s="14" t="s">
        <v>61</v>
      </c>
      <c r="N5105" s="14" t="s">
        <v>33</v>
      </c>
      <c r="O5105" s="14" t="s">
        <v>34</v>
      </c>
      <c r="P5105" s="15" t="s">
        <v>53</v>
      </c>
      <c r="Q5105" s="16">
        <v>2799</v>
      </c>
      <c r="R5105" s="17">
        <v>40</v>
      </c>
      <c r="S5105" s="18">
        <v>1931.31</v>
      </c>
      <c r="T5105" s="19" t="s">
        <v>36</v>
      </c>
      <c r="U5105" s="20" t="s">
        <v>86</v>
      </c>
      <c r="V5105" s="21" t="s">
        <v>38</v>
      </c>
      <c r="W5105" s="22">
        <v>24</v>
      </c>
      <c r="X5105" s="23"/>
    </row>
    <row r="5106" spans="1:24" s="1" customFormat="1" ht="32" customHeight="1" x14ac:dyDescent="0.3">
      <c r="A5106" s="24" t="s">
        <v>23</v>
      </c>
      <c r="B5106" s="24" t="s">
        <v>4515</v>
      </c>
      <c r="C5106" s="27" t="s">
        <v>4516</v>
      </c>
      <c r="D5106" s="61"/>
      <c r="E5106" s="41" t="str">
        <f>HYPERLINK("https://www.google.ru/search?q=1360939-001&amp;newwindow=1&amp;tbm=isch","Еще фото")</f>
        <v>Еще фото</v>
      </c>
      <c r="F5106" s="13" t="s">
        <v>103</v>
      </c>
      <c r="G5106" s="24" t="s">
        <v>4404</v>
      </c>
      <c r="H5106" s="24" t="s">
        <v>27</v>
      </c>
      <c r="I5106" s="24" t="s">
        <v>4404</v>
      </c>
      <c r="J5106" s="14" t="s">
        <v>29</v>
      </c>
      <c r="K5106" s="15" t="s">
        <v>59</v>
      </c>
      <c r="L5106" s="58"/>
      <c r="M5106" s="14" t="s">
        <v>61</v>
      </c>
      <c r="N5106" s="14" t="s">
        <v>33</v>
      </c>
      <c r="O5106" s="14" t="s">
        <v>34</v>
      </c>
      <c r="P5106" s="15" t="s">
        <v>53</v>
      </c>
      <c r="Q5106" s="16">
        <v>2799</v>
      </c>
      <c r="R5106" s="17">
        <v>40</v>
      </c>
      <c r="S5106" s="18">
        <v>1931.31</v>
      </c>
      <c r="T5106" s="19" t="s">
        <v>36</v>
      </c>
      <c r="U5106" s="20" t="s">
        <v>88</v>
      </c>
      <c r="V5106" s="21" t="s">
        <v>40</v>
      </c>
      <c r="W5106" s="22">
        <v>4</v>
      </c>
      <c r="X5106" s="23"/>
    </row>
    <row r="5107" spans="1:24" s="1" customFormat="1" ht="52.05" customHeight="1" x14ac:dyDescent="0.3">
      <c r="A5107" s="11" t="s">
        <v>23</v>
      </c>
      <c r="B5107" s="11" t="s">
        <v>4476</v>
      </c>
      <c r="C5107" s="12" t="s">
        <v>4517</v>
      </c>
      <c r="D5107" s="55"/>
      <c r="E5107" s="41" t="str">
        <f>HYPERLINK("https://www.google.ru/search?q=1360939-432&amp;newwindow=1&amp;tbm=isch","Еще фото")</f>
        <v>Еще фото</v>
      </c>
      <c r="F5107" s="13"/>
      <c r="G5107" s="11" t="s">
        <v>4404</v>
      </c>
      <c r="H5107" s="11" t="s">
        <v>27</v>
      </c>
      <c r="I5107" s="14" t="s">
        <v>4404</v>
      </c>
      <c r="J5107" s="14" t="s">
        <v>29</v>
      </c>
      <c r="K5107" s="15" t="s">
        <v>59</v>
      </c>
      <c r="L5107" s="57" t="s">
        <v>4433</v>
      </c>
      <c r="M5107" s="14"/>
      <c r="N5107" s="14" t="s">
        <v>115</v>
      </c>
      <c r="O5107" s="14"/>
      <c r="P5107" s="15" t="s">
        <v>53</v>
      </c>
      <c r="Q5107" s="16">
        <v>5599</v>
      </c>
      <c r="R5107" s="17">
        <v>40</v>
      </c>
      <c r="S5107" s="18">
        <v>3863.31</v>
      </c>
      <c r="T5107" s="19" t="s">
        <v>36</v>
      </c>
      <c r="U5107" s="20" t="s">
        <v>63</v>
      </c>
      <c r="V5107" s="21" t="s">
        <v>64</v>
      </c>
      <c r="W5107" s="22">
        <v>1</v>
      </c>
      <c r="X5107" s="23"/>
    </row>
    <row r="5108" spans="1:24" s="1" customFormat="1" ht="61.05" customHeight="1" x14ac:dyDescent="0.3">
      <c r="A5108" s="24" t="s">
        <v>23</v>
      </c>
      <c r="B5108" s="24" t="s">
        <v>4476</v>
      </c>
      <c r="C5108" s="12" t="s">
        <v>4517</v>
      </c>
      <c r="D5108" s="56"/>
      <c r="E5108" s="41" t="str">
        <f>HYPERLINK("https://www.google.ru/search?q=1360939-432&amp;newwindow=1&amp;tbm=isch","Еще фото")</f>
        <v>Еще фото</v>
      </c>
      <c r="F5108" s="13"/>
      <c r="G5108" s="24" t="s">
        <v>4404</v>
      </c>
      <c r="H5108" s="24" t="s">
        <v>27</v>
      </c>
      <c r="I5108" s="24" t="s">
        <v>4404</v>
      </c>
      <c r="J5108" s="14" t="s">
        <v>29</v>
      </c>
      <c r="K5108" s="15" t="s">
        <v>59</v>
      </c>
      <c r="L5108" s="58"/>
      <c r="M5108" s="14"/>
      <c r="N5108" s="14" t="s">
        <v>115</v>
      </c>
      <c r="O5108" s="14"/>
      <c r="P5108" s="15" t="s">
        <v>53</v>
      </c>
      <c r="Q5108" s="16">
        <v>5599</v>
      </c>
      <c r="R5108" s="17">
        <v>40</v>
      </c>
      <c r="S5108" s="18">
        <v>3863.31</v>
      </c>
      <c r="T5108" s="19" t="s">
        <v>36</v>
      </c>
      <c r="U5108" s="20" t="s">
        <v>86</v>
      </c>
      <c r="V5108" s="21" t="s">
        <v>38</v>
      </c>
      <c r="W5108" s="22">
        <v>1</v>
      </c>
      <c r="X5108" s="23"/>
    </row>
    <row r="5109" spans="1:24" s="1" customFormat="1" ht="108" customHeight="1" x14ac:dyDescent="0.3">
      <c r="A5109" s="11" t="s">
        <v>23</v>
      </c>
      <c r="B5109" s="11" t="s">
        <v>4500</v>
      </c>
      <c r="C5109" s="12" t="s">
        <v>4518</v>
      </c>
      <c r="D5109" s="25"/>
      <c r="E5109" s="41" t="str">
        <f>HYPERLINK("https://www.google.ru/search?q=1370378-465&amp;newwindow=1&amp;tbm=isch","Еще фото")</f>
        <v>Еще фото</v>
      </c>
      <c r="F5109" s="13"/>
      <c r="G5109" s="11" t="s">
        <v>4404</v>
      </c>
      <c r="H5109" s="11" t="s">
        <v>27</v>
      </c>
      <c r="I5109" s="14" t="s">
        <v>4404</v>
      </c>
      <c r="J5109" s="14" t="s">
        <v>43</v>
      </c>
      <c r="K5109" s="15" t="s">
        <v>30</v>
      </c>
      <c r="L5109" s="14" t="s">
        <v>4502</v>
      </c>
      <c r="M5109" s="14"/>
      <c r="N5109" s="14" t="s">
        <v>115</v>
      </c>
      <c r="O5109" s="14"/>
      <c r="P5109" s="15" t="s">
        <v>213</v>
      </c>
      <c r="Q5109" s="16">
        <v>8399</v>
      </c>
      <c r="R5109" s="17">
        <v>40</v>
      </c>
      <c r="S5109" s="18">
        <v>5795.3099999999995</v>
      </c>
      <c r="T5109" s="19" t="s">
        <v>36</v>
      </c>
      <c r="U5109" s="20" t="s">
        <v>37</v>
      </c>
      <c r="V5109" s="21" t="s">
        <v>38</v>
      </c>
      <c r="W5109" s="22">
        <v>1</v>
      </c>
      <c r="X5109" s="23"/>
    </row>
    <row r="5110" spans="1:24" s="1" customFormat="1" ht="52.05" customHeight="1" x14ac:dyDescent="0.3">
      <c r="A5110" s="11" t="s">
        <v>23</v>
      </c>
      <c r="B5110" s="11" t="s">
        <v>4519</v>
      </c>
      <c r="C5110" s="12" t="s">
        <v>4520</v>
      </c>
      <c r="D5110" s="55"/>
      <c r="E5110" s="41" t="str">
        <f>HYPERLINK("https://www.google.ru/search?q=1372691-100&amp;newwindow=1&amp;tbm=isch","Еще фото")</f>
        <v>Еще фото</v>
      </c>
      <c r="F5110" s="13"/>
      <c r="G5110" s="11" t="s">
        <v>4404</v>
      </c>
      <c r="H5110" s="11" t="s">
        <v>27</v>
      </c>
      <c r="I5110" s="14" t="s">
        <v>4404</v>
      </c>
      <c r="J5110" s="14" t="s">
        <v>311</v>
      </c>
      <c r="K5110" s="15" t="s">
        <v>30</v>
      </c>
      <c r="L5110" s="57" t="s">
        <v>4521</v>
      </c>
      <c r="M5110" s="14"/>
      <c r="N5110" s="14" t="s">
        <v>84</v>
      </c>
      <c r="O5110" s="14"/>
      <c r="P5110" s="15" t="s">
        <v>47</v>
      </c>
      <c r="Q5110" s="16">
        <v>2699</v>
      </c>
      <c r="R5110" s="17">
        <v>40</v>
      </c>
      <c r="S5110" s="18">
        <v>1862.31</v>
      </c>
      <c r="T5110" s="19" t="s">
        <v>36</v>
      </c>
      <c r="U5110" s="20" t="s">
        <v>39</v>
      </c>
      <c r="V5110" s="21" t="s">
        <v>40</v>
      </c>
      <c r="W5110" s="22">
        <v>3</v>
      </c>
      <c r="X5110" s="23"/>
    </row>
    <row r="5111" spans="1:24" s="1" customFormat="1" ht="61.05" customHeight="1" x14ac:dyDescent="0.3">
      <c r="A5111" s="24" t="s">
        <v>23</v>
      </c>
      <c r="B5111" s="24" t="s">
        <v>4519</v>
      </c>
      <c r="C5111" s="12" t="s">
        <v>4520</v>
      </c>
      <c r="D5111" s="56"/>
      <c r="E5111" s="41" t="str">
        <f>HYPERLINK("https://www.google.ru/search?q=1372691-100&amp;newwindow=1&amp;tbm=isch","Еще фото")</f>
        <v>Еще фото</v>
      </c>
      <c r="F5111" s="13"/>
      <c r="G5111" s="24" t="s">
        <v>4404</v>
      </c>
      <c r="H5111" s="24" t="s">
        <v>27</v>
      </c>
      <c r="I5111" s="24" t="s">
        <v>4404</v>
      </c>
      <c r="J5111" s="14" t="s">
        <v>311</v>
      </c>
      <c r="K5111" s="15" t="s">
        <v>30</v>
      </c>
      <c r="L5111" s="58"/>
      <c r="M5111" s="14"/>
      <c r="N5111" s="14" t="s">
        <v>84</v>
      </c>
      <c r="O5111" s="14"/>
      <c r="P5111" s="15" t="s">
        <v>47</v>
      </c>
      <c r="Q5111" s="16">
        <v>2699</v>
      </c>
      <c r="R5111" s="17">
        <v>40</v>
      </c>
      <c r="S5111" s="18">
        <v>1862.31</v>
      </c>
      <c r="T5111" s="19" t="s">
        <v>36</v>
      </c>
      <c r="U5111" s="20" t="s">
        <v>88</v>
      </c>
      <c r="V5111" s="21" t="s">
        <v>89</v>
      </c>
      <c r="W5111" s="22">
        <v>2</v>
      </c>
      <c r="X5111" s="23"/>
    </row>
    <row r="5112" spans="1:24" s="1" customFormat="1" ht="26" customHeight="1" x14ac:dyDescent="0.3">
      <c r="A5112" s="11" t="s">
        <v>23</v>
      </c>
      <c r="B5112" s="11" t="s">
        <v>4481</v>
      </c>
      <c r="C5112" s="12" t="s">
        <v>4522</v>
      </c>
      <c r="D5112" s="59"/>
      <c r="E5112" s="41" t="str">
        <f>HYPERLINK("https://www.google.ru/search?q=1373718-338&amp;newwindow=1&amp;tbm=isch","Еще фото")</f>
        <v>Еще фото</v>
      </c>
      <c r="F5112" s="13" t="s">
        <v>103</v>
      </c>
      <c r="G5112" s="11" t="s">
        <v>4404</v>
      </c>
      <c r="H5112" s="11" t="s">
        <v>27</v>
      </c>
      <c r="I5112" s="14" t="s">
        <v>4404</v>
      </c>
      <c r="J5112" s="14" t="s">
        <v>29</v>
      </c>
      <c r="K5112" s="15" t="s">
        <v>30</v>
      </c>
      <c r="L5112" s="57" t="s">
        <v>4483</v>
      </c>
      <c r="M5112" s="14"/>
      <c r="N5112" s="14" t="s">
        <v>127</v>
      </c>
      <c r="O5112" s="14"/>
      <c r="P5112" s="15" t="s">
        <v>47</v>
      </c>
      <c r="Q5112" s="16">
        <v>3699</v>
      </c>
      <c r="R5112" s="17">
        <v>40</v>
      </c>
      <c r="S5112" s="18">
        <v>2552.31</v>
      </c>
      <c r="T5112" s="19" t="s">
        <v>36</v>
      </c>
      <c r="U5112" s="20" t="s">
        <v>39</v>
      </c>
      <c r="V5112" s="21" t="s">
        <v>40</v>
      </c>
      <c r="W5112" s="22">
        <v>5</v>
      </c>
      <c r="X5112" s="23"/>
    </row>
    <row r="5113" spans="1:24" s="1" customFormat="1" ht="26" customHeight="1" x14ac:dyDescent="0.3">
      <c r="A5113" s="24" t="s">
        <v>23</v>
      </c>
      <c r="B5113" s="24" t="s">
        <v>4481</v>
      </c>
      <c r="C5113" s="12" t="s">
        <v>4522</v>
      </c>
      <c r="D5113" s="60"/>
      <c r="E5113" s="41" t="str">
        <f>HYPERLINK("https://www.google.ru/search?q=1373718-338&amp;newwindow=1&amp;tbm=isch","Еще фото")</f>
        <v>Еще фото</v>
      </c>
      <c r="F5113" s="13" t="s">
        <v>103</v>
      </c>
      <c r="G5113" s="24" t="s">
        <v>4404</v>
      </c>
      <c r="H5113" s="24" t="s">
        <v>27</v>
      </c>
      <c r="I5113" s="24" t="s">
        <v>4404</v>
      </c>
      <c r="J5113" s="14" t="s">
        <v>29</v>
      </c>
      <c r="K5113" s="15" t="s">
        <v>30</v>
      </c>
      <c r="L5113" s="62"/>
      <c r="M5113" s="14"/>
      <c r="N5113" s="14" t="s">
        <v>127</v>
      </c>
      <c r="O5113" s="14"/>
      <c r="P5113" s="15" t="s">
        <v>47</v>
      </c>
      <c r="Q5113" s="16">
        <v>3699</v>
      </c>
      <c r="R5113" s="17">
        <v>40</v>
      </c>
      <c r="S5113" s="18">
        <v>2552.31</v>
      </c>
      <c r="T5113" s="19" t="s">
        <v>36</v>
      </c>
      <c r="U5113" s="20" t="s">
        <v>86</v>
      </c>
      <c r="V5113" s="21" t="s">
        <v>87</v>
      </c>
      <c r="W5113" s="22">
        <v>4</v>
      </c>
      <c r="X5113" s="23"/>
    </row>
    <row r="5114" spans="1:24" s="1" customFormat="1" ht="26" customHeight="1" x14ac:dyDescent="0.3">
      <c r="A5114" s="24" t="s">
        <v>23</v>
      </c>
      <c r="B5114" s="24" t="s">
        <v>4481</v>
      </c>
      <c r="C5114" s="12" t="s">
        <v>4522</v>
      </c>
      <c r="D5114" s="60"/>
      <c r="E5114" s="41" t="str">
        <f>HYPERLINK("https://www.google.ru/search?q=1373718-338&amp;newwindow=1&amp;tbm=isch","Еще фото")</f>
        <v>Еще фото</v>
      </c>
      <c r="F5114" s="13" t="s">
        <v>103</v>
      </c>
      <c r="G5114" s="24" t="s">
        <v>4404</v>
      </c>
      <c r="H5114" s="24" t="s">
        <v>27</v>
      </c>
      <c r="I5114" s="24" t="s">
        <v>4404</v>
      </c>
      <c r="J5114" s="14" t="s">
        <v>29</v>
      </c>
      <c r="K5114" s="15" t="s">
        <v>30</v>
      </c>
      <c r="L5114" s="62"/>
      <c r="M5114" s="14"/>
      <c r="N5114" s="14" t="s">
        <v>127</v>
      </c>
      <c r="O5114" s="14"/>
      <c r="P5114" s="15" t="s">
        <v>47</v>
      </c>
      <c r="Q5114" s="16">
        <v>3699</v>
      </c>
      <c r="R5114" s="17">
        <v>40</v>
      </c>
      <c r="S5114" s="18">
        <v>2552.31</v>
      </c>
      <c r="T5114" s="19" t="s">
        <v>36</v>
      </c>
      <c r="U5114" s="20" t="s">
        <v>88</v>
      </c>
      <c r="V5114" s="21" t="s">
        <v>89</v>
      </c>
      <c r="W5114" s="22">
        <v>7</v>
      </c>
      <c r="X5114" s="23"/>
    </row>
    <row r="5115" spans="1:24" s="1" customFormat="1" ht="26" customHeight="1" x14ac:dyDescent="0.3">
      <c r="A5115" s="24" t="s">
        <v>23</v>
      </c>
      <c r="B5115" s="24" t="s">
        <v>4481</v>
      </c>
      <c r="C5115" s="12" t="s">
        <v>4522</v>
      </c>
      <c r="D5115" s="61"/>
      <c r="E5115" s="41" t="str">
        <f>HYPERLINK("https://www.google.ru/search?q=1373718-338&amp;newwindow=1&amp;tbm=isch","Еще фото")</f>
        <v>Еще фото</v>
      </c>
      <c r="F5115" s="13" t="s">
        <v>103</v>
      </c>
      <c r="G5115" s="24" t="s">
        <v>4404</v>
      </c>
      <c r="H5115" s="24" t="s">
        <v>27</v>
      </c>
      <c r="I5115" s="24" t="s">
        <v>4404</v>
      </c>
      <c r="J5115" s="14" t="s">
        <v>29</v>
      </c>
      <c r="K5115" s="15" t="s">
        <v>30</v>
      </c>
      <c r="L5115" s="58"/>
      <c r="M5115" s="14"/>
      <c r="N5115" s="14" t="s">
        <v>127</v>
      </c>
      <c r="O5115" s="14"/>
      <c r="P5115" s="15" t="s">
        <v>47</v>
      </c>
      <c r="Q5115" s="16">
        <v>3699</v>
      </c>
      <c r="R5115" s="17">
        <v>40</v>
      </c>
      <c r="S5115" s="18">
        <v>2552.31</v>
      </c>
      <c r="T5115" s="19" t="s">
        <v>36</v>
      </c>
      <c r="U5115" s="20" t="s">
        <v>90</v>
      </c>
      <c r="V5115" s="21" t="s">
        <v>91</v>
      </c>
      <c r="W5115" s="22">
        <v>3</v>
      </c>
      <c r="X5115" s="23"/>
    </row>
    <row r="5116" spans="1:24" s="1" customFormat="1" ht="52.05" customHeight="1" x14ac:dyDescent="0.3">
      <c r="A5116" s="11" t="s">
        <v>23</v>
      </c>
      <c r="B5116" s="11" t="s">
        <v>4481</v>
      </c>
      <c r="C5116" s="12" t="s">
        <v>4523</v>
      </c>
      <c r="D5116" s="55"/>
      <c r="E5116" s="41" t="str">
        <f>HYPERLINK("https://www.google.ru/search?q=1373718-390&amp;newwindow=1&amp;tbm=isch","Еще фото")</f>
        <v>Еще фото</v>
      </c>
      <c r="F5116" s="13" t="s">
        <v>103</v>
      </c>
      <c r="G5116" s="11" t="s">
        <v>4404</v>
      </c>
      <c r="H5116" s="11" t="s">
        <v>27</v>
      </c>
      <c r="I5116" s="14" t="s">
        <v>4404</v>
      </c>
      <c r="J5116" s="14" t="s">
        <v>29</v>
      </c>
      <c r="K5116" s="15" t="s">
        <v>30</v>
      </c>
      <c r="L5116" s="57" t="s">
        <v>4483</v>
      </c>
      <c r="M5116" s="14"/>
      <c r="N5116" s="14" t="s">
        <v>127</v>
      </c>
      <c r="O5116" s="14"/>
      <c r="P5116" s="15" t="s">
        <v>47</v>
      </c>
      <c r="Q5116" s="16">
        <v>3699</v>
      </c>
      <c r="R5116" s="17">
        <v>40</v>
      </c>
      <c r="S5116" s="18">
        <v>2552.31</v>
      </c>
      <c r="T5116" s="19" t="s">
        <v>36</v>
      </c>
      <c r="U5116" s="20" t="s">
        <v>39</v>
      </c>
      <c r="V5116" s="21" t="s">
        <v>40</v>
      </c>
      <c r="W5116" s="22">
        <v>1</v>
      </c>
      <c r="X5116" s="23"/>
    </row>
    <row r="5117" spans="1:24" s="1" customFormat="1" ht="61.05" customHeight="1" x14ac:dyDescent="0.3">
      <c r="A5117" s="24" t="s">
        <v>23</v>
      </c>
      <c r="B5117" s="24" t="s">
        <v>4481</v>
      </c>
      <c r="C5117" s="12" t="s">
        <v>4523</v>
      </c>
      <c r="D5117" s="56"/>
      <c r="E5117" s="41" t="str">
        <f>HYPERLINK("https://www.google.ru/search?q=1373718-390&amp;newwindow=1&amp;tbm=isch","Еще фото")</f>
        <v>Еще фото</v>
      </c>
      <c r="F5117" s="13" t="s">
        <v>103</v>
      </c>
      <c r="G5117" s="24" t="s">
        <v>4404</v>
      </c>
      <c r="H5117" s="24" t="s">
        <v>27</v>
      </c>
      <c r="I5117" s="24" t="s">
        <v>4404</v>
      </c>
      <c r="J5117" s="14" t="s">
        <v>29</v>
      </c>
      <c r="K5117" s="15" t="s">
        <v>30</v>
      </c>
      <c r="L5117" s="58"/>
      <c r="M5117" s="14"/>
      <c r="N5117" s="14" t="s">
        <v>127</v>
      </c>
      <c r="O5117" s="14"/>
      <c r="P5117" s="15" t="s">
        <v>47</v>
      </c>
      <c r="Q5117" s="16">
        <v>3699</v>
      </c>
      <c r="R5117" s="17">
        <v>40</v>
      </c>
      <c r="S5117" s="18">
        <v>2552.31</v>
      </c>
      <c r="T5117" s="19" t="s">
        <v>36</v>
      </c>
      <c r="U5117" s="20" t="s">
        <v>90</v>
      </c>
      <c r="V5117" s="21" t="s">
        <v>91</v>
      </c>
      <c r="W5117" s="22">
        <v>5</v>
      </c>
      <c r="X5117" s="23"/>
    </row>
    <row r="5118" spans="1:24" s="1" customFormat="1" ht="21" customHeight="1" x14ac:dyDescent="0.3">
      <c r="A5118" s="11" t="s">
        <v>23</v>
      </c>
      <c r="B5118" s="11" t="s">
        <v>4481</v>
      </c>
      <c r="C5118" s="26" t="s">
        <v>4524</v>
      </c>
      <c r="D5118" s="59"/>
      <c r="E5118" s="41" t="str">
        <f>HYPERLINK("https://www.google.ru/search?q=1373718-690&amp;newwindow=1&amp;tbm=isch","Еще фото")</f>
        <v>Еще фото</v>
      </c>
      <c r="F5118" s="13"/>
      <c r="G5118" s="11" t="s">
        <v>4404</v>
      </c>
      <c r="H5118" s="11" t="s">
        <v>27</v>
      </c>
      <c r="I5118" s="14" t="s">
        <v>4404</v>
      </c>
      <c r="J5118" s="14" t="s">
        <v>29</v>
      </c>
      <c r="K5118" s="15" t="s">
        <v>30</v>
      </c>
      <c r="L5118" s="57" t="s">
        <v>4483</v>
      </c>
      <c r="M5118" s="14"/>
      <c r="N5118" s="14" t="s">
        <v>198</v>
      </c>
      <c r="O5118" s="14"/>
      <c r="P5118" s="15" t="s">
        <v>47</v>
      </c>
      <c r="Q5118" s="16">
        <v>3699</v>
      </c>
      <c r="R5118" s="17">
        <v>40</v>
      </c>
      <c r="S5118" s="18">
        <v>2552.31</v>
      </c>
      <c r="T5118" s="19" t="s">
        <v>36</v>
      </c>
      <c r="U5118" s="20" t="s">
        <v>37</v>
      </c>
      <c r="V5118" s="21" t="s">
        <v>38</v>
      </c>
      <c r="W5118" s="22">
        <v>8</v>
      </c>
      <c r="X5118" s="23"/>
    </row>
    <row r="5119" spans="1:24" s="1" customFormat="1" ht="21" customHeight="1" x14ac:dyDescent="0.3">
      <c r="A5119" s="24" t="s">
        <v>23</v>
      </c>
      <c r="B5119" s="24" t="s">
        <v>4481</v>
      </c>
      <c r="C5119" s="27" t="s">
        <v>4524</v>
      </c>
      <c r="D5119" s="60"/>
      <c r="E5119" s="41" t="str">
        <f>HYPERLINK("https://www.google.ru/search?q=1373718-690&amp;newwindow=1&amp;tbm=isch","Еще фото")</f>
        <v>Еще фото</v>
      </c>
      <c r="F5119" s="13"/>
      <c r="G5119" s="24" t="s">
        <v>4404</v>
      </c>
      <c r="H5119" s="24" t="s">
        <v>27</v>
      </c>
      <c r="I5119" s="24" t="s">
        <v>4404</v>
      </c>
      <c r="J5119" s="14" t="s">
        <v>29</v>
      </c>
      <c r="K5119" s="15" t="s">
        <v>30</v>
      </c>
      <c r="L5119" s="62"/>
      <c r="M5119" s="14"/>
      <c r="N5119" s="14" t="s">
        <v>198</v>
      </c>
      <c r="O5119" s="14"/>
      <c r="P5119" s="15" t="s">
        <v>47</v>
      </c>
      <c r="Q5119" s="16">
        <v>3699</v>
      </c>
      <c r="R5119" s="17">
        <v>40</v>
      </c>
      <c r="S5119" s="18">
        <v>2552.31</v>
      </c>
      <c r="T5119" s="19" t="s">
        <v>36</v>
      </c>
      <c r="U5119" s="20" t="s">
        <v>39</v>
      </c>
      <c r="V5119" s="21" t="s">
        <v>40</v>
      </c>
      <c r="W5119" s="22">
        <v>11</v>
      </c>
      <c r="X5119" s="23"/>
    </row>
    <row r="5120" spans="1:24" s="1" customFormat="1" ht="21" customHeight="1" x14ac:dyDescent="0.3">
      <c r="A5120" s="24" t="s">
        <v>23</v>
      </c>
      <c r="B5120" s="24" t="s">
        <v>4481</v>
      </c>
      <c r="C5120" s="27" t="s">
        <v>4524</v>
      </c>
      <c r="D5120" s="60"/>
      <c r="E5120" s="41" t="str">
        <f>HYPERLINK("https://www.google.ru/search?q=1373718-690&amp;newwindow=1&amp;tbm=isch","Еще фото")</f>
        <v>Еще фото</v>
      </c>
      <c r="F5120" s="13"/>
      <c r="G5120" s="24" t="s">
        <v>4404</v>
      </c>
      <c r="H5120" s="24" t="s">
        <v>27</v>
      </c>
      <c r="I5120" s="24" t="s">
        <v>4404</v>
      </c>
      <c r="J5120" s="14" t="s">
        <v>29</v>
      </c>
      <c r="K5120" s="15" t="s">
        <v>30</v>
      </c>
      <c r="L5120" s="62"/>
      <c r="M5120" s="14"/>
      <c r="N5120" s="14" t="s">
        <v>198</v>
      </c>
      <c r="O5120" s="14"/>
      <c r="P5120" s="15" t="s">
        <v>47</v>
      </c>
      <c r="Q5120" s="16">
        <v>3699</v>
      </c>
      <c r="R5120" s="17">
        <v>40</v>
      </c>
      <c r="S5120" s="18">
        <v>2552.31</v>
      </c>
      <c r="T5120" s="19" t="s">
        <v>36</v>
      </c>
      <c r="U5120" s="20" t="s">
        <v>86</v>
      </c>
      <c r="V5120" s="21" t="s">
        <v>87</v>
      </c>
      <c r="W5120" s="22">
        <v>8</v>
      </c>
      <c r="X5120" s="23"/>
    </row>
    <row r="5121" spans="1:24" s="1" customFormat="1" ht="21" customHeight="1" x14ac:dyDescent="0.3">
      <c r="A5121" s="24" t="s">
        <v>23</v>
      </c>
      <c r="B5121" s="24" t="s">
        <v>4481</v>
      </c>
      <c r="C5121" s="27" t="s">
        <v>4524</v>
      </c>
      <c r="D5121" s="60"/>
      <c r="E5121" s="41" t="str">
        <f>HYPERLINK("https://www.google.ru/search?q=1373718-690&amp;newwindow=1&amp;tbm=isch","Еще фото")</f>
        <v>Еще фото</v>
      </c>
      <c r="F5121" s="13"/>
      <c r="G5121" s="24" t="s">
        <v>4404</v>
      </c>
      <c r="H5121" s="24" t="s">
        <v>27</v>
      </c>
      <c r="I5121" s="24" t="s">
        <v>4404</v>
      </c>
      <c r="J5121" s="14" t="s">
        <v>29</v>
      </c>
      <c r="K5121" s="15" t="s">
        <v>30</v>
      </c>
      <c r="L5121" s="62"/>
      <c r="M5121" s="14"/>
      <c r="N5121" s="14" t="s">
        <v>198</v>
      </c>
      <c r="O5121" s="14"/>
      <c r="P5121" s="15" t="s">
        <v>47</v>
      </c>
      <c r="Q5121" s="16">
        <v>3699</v>
      </c>
      <c r="R5121" s="17">
        <v>40</v>
      </c>
      <c r="S5121" s="18">
        <v>2552.31</v>
      </c>
      <c r="T5121" s="19" t="s">
        <v>36</v>
      </c>
      <c r="U5121" s="20" t="s">
        <v>88</v>
      </c>
      <c r="V5121" s="21" t="s">
        <v>89</v>
      </c>
      <c r="W5121" s="22">
        <v>9</v>
      </c>
      <c r="X5121" s="23"/>
    </row>
    <row r="5122" spans="1:24" s="1" customFormat="1" ht="32" customHeight="1" x14ac:dyDescent="0.3">
      <c r="A5122" s="24" t="s">
        <v>23</v>
      </c>
      <c r="B5122" s="24" t="s">
        <v>4481</v>
      </c>
      <c r="C5122" s="27" t="s">
        <v>4524</v>
      </c>
      <c r="D5122" s="61"/>
      <c r="E5122" s="41" t="str">
        <f>HYPERLINK("https://www.google.ru/search?q=1373718-690&amp;newwindow=1&amp;tbm=isch","Еще фото")</f>
        <v>Еще фото</v>
      </c>
      <c r="F5122" s="13"/>
      <c r="G5122" s="24" t="s">
        <v>4404</v>
      </c>
      <c r="H5122" s="24" t="s">
        <v>27</v>
      </c>
      <c r="I5122" s="24" t="s">
        <v>4404</v>
      </c>
      <c r="J5122" s="14" t="s">
        <v>29</v>
      </c>
      <c r="K5122" s="15" t="s">
        <v>30</v>
      </c>
      <c r="L5122" s="58"/>
      <c r="M5122" s="14"/>
      <c r="N5122" s="14" t="s">
        <v>198</v>
      </c>
      <c r="O5122" s="14"/>
      <c r="P5122" s="15" t="s">
        <v>47</v>
      </c>
      <c r="Q5122" s="16">
        <v>3699</v>
      </c>
      <c r="R5122" s="17">
        <v>40</v>
      </c>
      <c r="S5122" s="18">
        <v>2552.31</v>
      </c>
      <c r="T5122" s="19" t="s">
        <v>36</v>
      </c>
      <c r="U5122" s="20" t="s">
        <v>90</v>
      </c>
      <c r="V5122" s="21" t="s">
        <v>91</v>
      </c>
      <c r="W5122" s="22">
        <v>7</v>
      </c>
      <c r="X5122" s="23"/>
    </row>
    <row r="5123" spans="1:24" s="1" customFormat="1" ht="21" customHeight="1" x14ac:dyDescent="0.3">
      <c r="A5123" s="11" t="s">
        <v>23</v>
      </c>
      <c r="B5123" s="11" t="s">
        <v>4525</v>
      </c>
      <c r="C5123" s="26" t="s">
        <v>4526</v>
      </c>
      <c r="D5123" s="59"/>
      <c r="E5123" s="41" t="str">
        <f>HYPERLINK("https://www.google.ru/search?q=1373764-008&amp;newwindow=1&amp;tbm=isch","Еще фото")</f>
        <v>Еще фото</v>
      </c>
      <c r="F5123" s="13" t="s">
        <v>103</v>
      </c>
      <c r="G5123" s="11" t="s">
        <v>4404</v>
      </c>
      <c r="H5123" s="11" t="s">
        <v>27</v>
      </c>
      <c r="I5123" s="14" t="s">
        <v>4404</v>
      </c>
      <c r="J5123" s="14" t="s">
        <v>29</v>
      </c>
      <c r="K5123" s="15" t="s">
        <v>30</v>
      </c>
      <c r="L5123" s="57" t="s">
        <v>4527</v>
      </c>
      <c r="M5123" s="14"/>
      <c r="N5123" s="14" t="s">
        <v>33</v>
      </c>
      <c r="O5123" s="14"/>
      <c r="P5123" s="15" t="s">
        <v>47</v>
      </c>
      <c r="Q5123" s="16">
        <v>5299</v>
      </c>
      <c r="R5123" s="17">
        <v>40</v>
      </c>
      <c r="S5123" s="18">
        <v>3656.31</v>
      </c>
      <c r="T5123" s="19" t="s">
        <v>36</v>
      </c>
      <c r="U5123" s="20" t="s">
        <v>37</v>
      </c>
      <c r="V5123" s="21" t="s">
        <v>38</v>
      </c>
      <c r="W5123" s="22">
        <v>4</v>
      </c>
      <c r="X5123" s="23"/>
    </row>
    <row r="5124" spans="1:24" s="1" customFormat="1" ht="21" customHeight="1" x14ac:dyDescent="0.3">
      <c r="A5124" s="24" t="s">
        <v>23</v>
      </c>
      <c r="B5124" s="24" t="s">
        <v>4525</v>
      </c>
      <c r="C5124" s="27" t="s">
        <v>4526</v>
      </c>
      <c r="D5124" s="60"/>
      <c r="E5124" s="41" t="str">
        <f>HYPERLINK("https://www.google.ru/search?q=1373764-008&amp;newwindow=1&amp;tbm=isch","Еще фото")</f>
        <v>Еще фото</v>
      </c>
      <c r="F5124" s="13" t="s">
        <v>103</v>
      </c>
      <c r="G5124" s="24" t="s">
        <v>4404</v>
      </c>
      <c r="H5124" s="24" t="s">
        <v>27</v>
      </c>
      <c r="I5124" s="24" t="s">
        <v>4404</v>
      </c>
      <c r="J5124" s="14" t="s">
        <v>29</v>
      </c>
      <c r="K5124" s="15" t="s">
        <v>30</v>
      </c>
      <c r="L5124" s="62"/>
      <c r="M5124" s="14"/>
      <c r="N5124" s="14" t="s">
        <v>33</v>
      </c>
      <c r="O5124" s="14"/>
      <c r="P5124" s="15" t="s">
        <v>47</v>
      </c>
      <c r="Q5124" s="16">
        <v>5299</v>
      </c>
      <c r="R5124" s="17">
        <v>40</v>
      </c>
      <c r="S5124" s="18">
        <v>3656.31</v>
      </c>
      <c r="T5124" s="19" t="s">
        <v>36</v>
      </c>
      <c r="U5124" s="20" t="s">
        <v>39</v>
      </c>
      <c r="V5124" s="21" t="s">
        <v>40</v>
      </c>
      <c r="W5124" s="22">
        <v>11</v>
      </c>
      <c r="X5124" s="23"/>
    </row>
    <row r="5125" spans="1:24" s="1" customFormat="1" ht="21" customHeight="1" x14ac:dyDescent="0.3">
      <c r="A5125" s="24" t="s">
        <v>23</v>
      </c>
      <c r="B5125" s="24" t="s">
        <v>4525</v>
      </c>
      <c r="C5125" s="27" t="s">
        <v>4526</v>
      </c>
      <c r="D5125" s="60"/>
      <c r="E5125" s="41" t="str">
        <f>HYPERLINK("https://www.google.ru/search?q=1373764-008&amp;newwindow=1&amp;tbm=isch","Еще фото")</f>
        <v>Еще фото</v>
      </c>
      <c r="F5125" s="13" t="s">
        <v>103</v>
      </c>
      <c r="G5125" s="24" t="s">
        <v>4404</v>
      </c>
      <c r="H5125" s="24" t="s">
        <v>27</v>
      </c>
      <c r="I5125" s="24" t="s">
        <v>4404</v>
      </c>
      <c r="J5125" s="14" t="s">
        <v>29</v>
      </c>
      <c r="K5125" s="15" t="s">
        <v>30</v>
      </c>
      <c r="L5125" s="62"/>
      <c r="M5125" s="14"/>
      <c r="N5125" s="14" t="s">
        <v>33</v>
      </c>
      <c r="O5125" s="14"/>
      <c r="P5125" s="15" t="s">
        <v>47</v>
      </c>
      <c r="Q5125" s="16">
        <v>5299</v>
      </c>
      <c r="R5125" s="17">
        <v>40</v>
      </c>
      <c r="S5125" s="18">
        <v>3656.31</v>
      </c>
      <c r="T5125" s="19" t="s">
        <v>36</v>
      </c>
      <c r="U5125" s="20" t="s">
        <v>86</v>
      </c>
      <c r="V5125" s="21" t="s">
        <v>87</v>
      </c>
      <c r="W5125" s="22">
        <v>14</v>
      </c>
      <c r="X5125" s="23"/>
    </row>
    <row r="5126" spans="1:24" s="1" customFormat="1" ht="21" customHeight="1" x14ac:dyDescent="0.3">
      <c r="A5126" s="24" t="s">
        <v>23</v>
      </c>
      <c r="B5126" s="24" t="s">
        <v>4525</v>
      </c>
      <c r="C5126" s="27" t="s">
        <v>4526</v>
      </c>
      <c r="D5126" s="60"/>
      <c r="E5126" s="41" t="str">
        <f>HYPERLINK("https://www.google.ru/search?q=1373764-008&amp;newwindow=1&amp;tbm=isch","Еще фото")</f>
        <v>Еще фото</v>
      </c>
      <c r="F5126" s="13" t="s">
        <v>103</v>
      </c>
      <c r="G5126" s="24" t="s">
        <v>4404</v>
      </c>
      <c r="H5126" s="24" t="s">
        <v>27</v>
      </c>
      <c r="I5126" s="24" t="s">
        <v>4404</v>
      </c>
      <c r="J5126" s="14" t="s">
        <v>29</v>
      </c>
      <c r="K5126" s="15" t="s">
        <v>30</v>
      </c>
      <c r="L5126" s="62"/>
      <c r="M5126" s="14"/>
      <c r="N5126" s="14" t="s">
        <v>33</v>
      </c>
      <c r="O5126" s="14"/>
      <c r="P5126" s="15" t="s">
        <v>47</v>
      </c>
      <c r="Q5126" s="16">
        <v>5299</v>
      </c>
      <c r="R5126" s="17">
        <v>40</v>
      </c>
      <c r="S5126" s="18">
        <v>3656.31</v>
      </c>
      <c r="T5126" s="19" t="s">
        <v>36</v>
      </c>
      <c r="U5126" s="20" t="s">
        <v>88</v>
      </c>
      <c r="V5126" s="21" t="s">
        <v>89</v>
      </c>
      <c r="W5126" s="22">
        <v>11</v>
      </c>
      <c r="X5126" s="23"/>
    </row>
    <row r="5127" spans="1:24" s="1" customFormat="1" ht="32" customHeight="1" x14ac:dyDescent="0.3">
      <c r="A5127" s="24" t="s">
        <v>23</v>
      </c>
      <c r="B5127" s="24" t="s">
        <v>4525</v>
      </c>
      <c r="C5127" s="27" t="s">
        <v>4526</v>
      </c>
      <c r="D5127" s="61"/>
      <c r="E5127" s="41" t="str">
        <f>HYPERLINK("https://www.google.ru/search?q=1373764-008&amp;newwindow=1&amp;tbm=isch","Еще фото")</f>
        <v>Еще фото</v>
      </c>
      <c r="F5127" s="13" t="s">
        <v>103</v>
      </c>
      <c r="G5127" s="24" t="s">
        <v>4404</v>
      </c>
      <c r="H5127" s="24" t="s">
        <v>27</v>
      </c>
      <c r="I5127" s="24" t="s">
        <v>4404</v>
      </c>
      <c r="J5127" s="14" t="s">
        <v>29</v>
      </c>
      <c r="K5127" s="15" t="s">
        <v>30</v>
      </c>
      <c r="L5127" s="58"/>
      <c r="M5127" s="14"/>
      <c r="N5127" s="14" t="s">
        <v>33</v>
      </c>
      <c r="O5127" s="14"/>
      <c r="P5127" s="15" t="s">
        <v>47</v>
      </c>
      <c r="Q5127" s="16">
        <v>5299</v>
      </c>
      <c r="R5127" s="17">
        <v>40</v>
      </c>
      <c r="S5127" s="18">
        <v>3656.31</v>
      </c>
      <c r="T5127" s="19" t="s">
        <v>36</v>
      </c>
      <c r="U5127" s="20" t="s">
        <v>90</v>
      </c>
      <c r="V5127" s="21" t="s">
        <v>91</v>
      </c>
      <c r="W5127" s="22">
        <v>5</v>
      </c>
      <c r="X5127" s="23"/>
    </row>
    <row r="5128" spans="1:24" s="1" customFormat="1" ht="35" customHeight="1" x14ac:dyDescent="0.3">
      <c r="A5128" s="11" t="s">
        <v>23</v>
      </c>
      <c r="B5128" s="11" t="s">
        <v>4525</v>
      </c>
      <c r="C5128" s="12" t="s">
        <v>4528</v>
      </c>
      <c r="D5128" s="59"/>
      <c r="E5128" s="41" t="str">
        <f>HYPERLINK("https://www.google.ru/search?q=1373764-025&amp;newwindow=1&amp;tbm=isch","Еще фото")</f>
        <v>Еще фото</v>
      </c>
      <c r="F5128" s="13" t="s">
        <v>103</v>
      </c>
      <c r="G5128" s="11" t="s">
        <v>4404</v>
      </c>
      <c r="H5128" s="11" t="s">
        <v>27</v>
      </c>
      <c r="I5128" s="14" t="s">
        <v>4404</v>
      </c>
      <c r="J5128" s="14" t="s">
        <v>29</v>
      </c>
      <c r="K5128" s="15" t="s">
        <v>30</v>
      </c>
      <c r="L5128" s="57" t="s">
        <v>4527</v>
      </c>
      <c r="M5128" s="14"/>
      <c r="N5128" s="14" t="s">
        <v>62</v>
      </c>
      <c r="O5128" s="14"/>
      <c r="P5128" s="15" t="s">
        <v>47</v>
      </c>
      <c r="Q5128" s="16">
        <v>5299</v>
      </c>
      <c r="R5128" s="17">
        <v>40</v>
      </c>
      <c r="S5128" s="18">
        <v>3656.31</v>
      </c>
      <c r="T5128" s="19" t="s">
        <v>36</v>
      </c>
      <c r="U5128" s="20" t="s">
        <v>37</v>
      </c>
      <c r="V5128" s="21" t="s">
        <v>38</v>
      </c>
      <c r="W5128" s="22">
        <v>2</v>
      </c>
      <c r="X5128" s="23"/>
    </row>
    <row r="5129" spans="1:24" s="1" customFormat="1" ht="35" customHeight="1" x14ac:dyDescent="0.3">
      <c r="A5129" s="24" t="s">
        <v>23</v>
      </c>
      <c r="B5129" s="24" t="s">
        <v>4525</v>
      </c>
      <c r="C5129" s="12" t="s">
        <v>4528</v>
      </c>
      <c r="D5129" s="60"/>
      <c r="E5129" s="41" t="str">
        <f>HYPERLINK("https://www.google.ru/search?q=1373764-025&amp;newwindow=1&amp;tbm=isch","Еще фото")</f>
        <v>Еще фото</v>
      </c>
      <c r="F5129" s="13" t="s">
        <v>103</v>
      </c>
      <c r="G5129" s="24" t="s">
        <v>4404</v>
      </c>
      <c r="H5129" s="24" t="s">
        <v>27</v>
      </c>
      <c r="I5129" s="24" t="s">
        <v>4404</v>
      </c>
      <c r="J5129" s="14" t="s">
        <v>29</v>
      </c>
      <c r="K5129" s="15" t="s">
        <v>30</v>
      </c>
      <c r="L5129" s="62"/>
      <c r="M5129" s="14"/>
      <c r="N5129" s="14" t="s">
        <v>62</v>
      </c>
      <c r="O5129" s="14"/>
      <c r="P5129" s="15" t="s">
        <v>47</v>
      </c>
      <c r="Q5129" s="16">
        <v>5299</v>
      </c>
      <c r="R5129" s="17">
        <v>40</v>
      </c>
      <c r="S5129" s="18">
        <v>3656.31</v>
      </c>
      <c r="T5129" s="19" t="s">
        <v>36</v>
      </c>
      <c r="U5129" s="20" t="s">
        <v>39</v>
      </c>
      <c r="V5129" s="21" t="s">
        <v>40</v>
      </c>
      <c r="W5129" s="22">
        <v>1</v>
      </c>
      <c r="X5129" s="23"/>
    </row>
    <row r="5130" spans="1:24" s="1" customFormat="1" ht="37.049999999999997" customHeight="1" x14ac:dyDescent="0.3">
      <c r="A5130" s="24" t="s">
        <v>23</v>
      </c>
      <c r="B5130" s="24" t="s">
        <v>4525</v>
      </c>
      <c r="C5130" s="12" t="s">
        <v>4528</v>
      </c>
      <c r="D5130" s="61"/>
      <c r="E5130" s="41" t="str">
        <f>HYPERLINK("https://www.google.ru/search?q=1373764-025&amp;newwindow=1&amp;tbm=isch","Еще фото")</f>
        <v>Еще фото</v>
      </c>
      <c r="F5130" s="13" t="s">
        <v>103</v>
      </c>
      <c r="G5130" s="24" t="s">
        <v>4404</v>
      </c>
      <c r="H5130" s="24" t="s">
        <v>27</v>
      </c>
      <c r="I5130" s="24" t="s">
        <v>4404</v>
      </c>
      <c r="J5130" s="14" t="s">
        <v>29</v>
      </c>
      <c r="K5130" s="15" t="s">
        <v>30</v>
      </c>
      <c r="L5130" s="58"/>
      <c r="M5130" s="14"/>
      <c r="N5130" s="14" t="s">
        <v>62</v>
      </c>
      <c r="O5130" s="14"/>
      <c r="P5130" s="15" t="s">
        <v>47</v>
      </c>
      <c r="Q5130" s="16">
        <v>5299</v>
      </c>
      <c r="R5130" s="17">
        <v>40</v>
      </c>
      <c r="S5130" s="18">
        <v>3656.31</v>
      </c>
      <c r="T5130" s="19" t="s">
        <v>36</v>
      </c>
      <c r="U5130" s="20" t="s">
        <v>90</v>
      </c>
      <c r="V5130" s="21" t="s">
        <v>91</v>
      </c>
      <c r="W5130" s="22">
        <v>11</v>
      </c>
      <c r="X5130" s="23"/>
    </row>
    <row r="5131" spans="1:24" s="1" customFormat="1" ht="26" customHeight="1" x14ac:dyDescent="0.3">
      <c r="A5131" s="11" t="s">
        <v>23</v>
      </c>
      <c r="B5131" s="11" t="s">
        <v>4525</v>
      </c>
      <c r="C5131" s="12" t="s">
        <v>4529</v>
      </c>
      <c r="D5131" s="59"/>
      <c r="E5131" s="41" t="str">
        <f>HYPERLINK("https://www.google.ru/search?q=1373764-498&amp;newwindow=1&amp;tbm=isch","Еще фото")</f>
        <v>Еще фото</v>
      </c>
      <c r="F5131" s="13"/>
      <c r="G5131" s="11" t="s">
        <v>4404</v>
      </c>
      <c r="H5131" s="11" t="s">
        <v>27</v>
      </c>
      <c r="I5131" s="14" t="s">
        <v>4404</v>
      </c>
      <c r="J5131" s="14" t="s">
        <v>29</v>
      </c>
      <c r="K5131" s="15" t="s">
        <v>30</v>
      </c>
      <c r="L5131" s="57" t="s">
        <v>4527</v>
      </c>
      <c r="M5131" s="14"/>
      <c r="N5131" s="14" t="s">
        <v>115</v>
      </c>
      <c r="O5131" s="14"/>
      <c r="P5131" s="15" t="s">
        <v>47</v>
      </c>
      <c r="Q5131" s="16">
        <v>5299</v>
      </c>
      <c r="R5131" s="17">
        <v>40</v>
      </c>
      <c r="S5131" s="18">
        <v>3656.31</v>
      </c>
      <c r="T5131" s="19" t="s">
        <v>36</v>
      </c>
      <c r="U5131" s="20" t="s">
        <v>37</v>
      </c>
      <c r="V5131" s="21" t="s">
        <v>38</v>
      </c>
      <c r="W5131" s="22">
        <v>4</v>
      </c>
      <c r="X5131" s="23"/>
    </row>
    <row r="5132" spans="1:24" s="1" customFormat="1" ht="26" customHeight="1" x14ac:dyDescent="0.3">
      <c r="A5132" s="24" t="s">
        <v>23</v>
      </c>
      <c r="B5132" s="24" t="s">
        <v>4525</v>
      </c>
      <c r="C5132" s="12" t="s">
        <v>4529</v>
      </c>
      <c r="D5132" s="60"/>
      <c r="E5132" s="41" t="str">
        <f>HYPERLINK("https://www.google.ru/search?q=1373764-498&amp;newwindow=1&amp;tbm=isch","Еще фото")</f>
        <v>Еще фото</v>
      </c>
      <c r="F5132" s="13"/>
      <c r="G5132" s="24" t="s">
        <v>4404</v>
      </c>
      <c r="H5132" s="24" t="s">
        <v>27</v>
      </c>
      <c r="I5132" s="24" t="s">
        <v>4404</v>
      </c>
      <c r="J5132" s="14" t="s">
        <v>29</v>
      </c>
      <c r="K5132" s="15" t="s">
        <v>30</v>
      </c>
      <c r="L5132" s="62"/>
      <c r="M5132" s="14"/>
      <c r="N5132" s="14" t="s">
        <v>115</v>
      </c>
      <c r="O5132" s="14"/>
      <c r="P5132" s="15" t="s">
        <v>47</v>
      </c>
      <c r="Q5132" s="16">
        <v>5299</v>
      </c>
      <c r="R5132" s="17">
        <v>40</v>
      </c>
      <c r="S5132" s="18">
        <v>3656.31</v>
      </c>
      <c r="T5132" s="19" t="s">
        <v>36</v>
      </c>
      <c r="U5132" s="20" t="s">
        <v>39</v>
      </c>
      <c r="V5132" s="21" t="s">
        <v>40</v>
      </c>
      <c r="W5132" s="22">
        <v>11</v>
      </c>
      <c r="X5132" s="23"/>
    </row>
    <row r="5133" spans="1:24" s="1" customFormat="1" ht="26" customHeight="1" x14ac:dyDescent="0.3">
      <c r="A5133" s="24" t="s">
        <v>23</v>
      </c>
      <c r="B5133" s="24" t="s">
        <v>4525</v>
      </c>
      <c r="C5133" s="12" t="s">
        <v>4529</v>
      </c>
      <c r="D5133" s="60"/>
      <c r="E5133" s="41" t="str">
        <f>HYPERLINK("https://www.google.ru/search?q=1373764-498&amp;newwindow=1&amp;tbm=isch","Еще фото")</f>
        <v>Еще фото</v>
      </c>
      <c r="F5133" s="13"/>
      <c r="G5133" s="24" t="s">
        <v>4404</v>
      </c>
      <c r="H5133" s="24" t="s">
        <v>27</v>
      </c>
      <c r="I5133" s="24" t="s">
        <v>4404</v>
      </c>
      <c r="J5133" s="14" t="s">
        <v>29</v>
      </c>
      <c r="K5133" s="15" t="s">
        <v>30</v>
      </c>
      <c r="L5133" s="62"/>
      <c r="M5133" s="14"/>
      <c r="N5133" s="14" t="s">
        <v>115</v>
      </c>
      <c r="O5133" s="14"/>
      <c r="P5133" s="15" t="s">
        <v>47</v>
      </c>
      <c r="Q5133" s="16">
        <v>5299</v>
      </c>
      <c r="R5133" s="17">
        <v>40</v>
      </c>
      <c r="S5133" s="18">
        <v>3656.31</v>
      </c>
      <c r="T5133" s="19" t="s">
        <v>36</v>
      </c>
      <c r="U5133" s="20" t="s">
        <v>88</v>
      </c>
      <c r="V5133" s="21" t="s">
        <v>89</v>
      </c>
      <c r="W5133" s="22">
        <v>5</v>
      </c>
      <c r="X5133" s="23"/>
    </row>
    <row r="5134" spans="1:24" s="1" customFormat="1" ht="26" customHeight="1" x14ac:dyDescent="0.3">
      <c r="A5134" s="24" t="s">
        <v>23</v>
      </c>
      <c r="B5134" s="24" t="s">
        <v>4525</v>
      </c>
      <c r="C5134" s="12" t="s">
        <v>4529</v>
      </c>
      <c r="D5134" s="61"/>
      <c r="E5134" s="41" t="str">
        <f>HYPERLINK("https://www.google.ru/search?q=1373764-498&amp;newwindow=1&amp;tbm=isch","Еще фото")</f>
        <v>Еще фото</v>
      </c>
      <c r="F5134" s="13"/>
      <c r="G5134" s="24" t="s">
        <v>4404</v>
      </c>
      <c r="H5134" s="24" t="s">
        <v>27</v>
      </c>
      <c r="I5134" s="24" t="s">
        <v>4404</v>
      </c>
      <c r="J5134" s="14" t="s">
        <v>29</v>
      </c>
      <c r="K5134" s="15" t="s">
        <v>30</v>
      </c>
      <c r="L5134" s="58"/>
      <c r="M5134" s="14"/>
      <c r="N5134" s="14" t="s">
        <v>115</v>
      </c>
      <c r="O5134" s="14"/>
      <c r="P5134" s="15" t="s">
        <v>47</v>
      </c>
      <c r="Q5134" s="16">
        <v>5299</v>
      </c>
      <c r="R5134" s="17">
        <v>40</v>
      </c>
      <c r="S5134" s="18">
        <v>3656.31</v>
      </c>
      <c r="T5134" s="19" t="s">
        <v>36</v>
      </c>
      <c r="U5134" s="20" t="s">
        <v>90</v>
      </c>
      <c r="V5134" s="21" t="s">
        <v>91</v>
      </c>
      <c r="W5134" s="22">
        <v>2</v>
      </c>
      <c r="X5134" s="23"/>
    </row>
    <row r="5135" spans="1:24" s="1" customFormat="1" ht="52.05" customHeight="1" x14ac:dyDescent="0.3">
      <c r="A5135" s="11" t="s">
        <v>23</v>
      </c>
      <c r="B5135" s="11" t="s">
        <v>4530</v>
      </c>
      <c r="C5135" s="12" t="s">
        <v>4531</v>
      </c>
      <c r="D5135" s="55"/>
      <c r="E5135" s="41" t="str">
        <f>HYPERLINK("https://www.google.ru/search?q=1376508-002&amp;newwindow=1&amp;tbm=isch","Еще фото")</f>
        <v>Еще фото</v>
      </c>
      <c r="F5135" s="13"/>
      <c r="G5135" s="11" t="s">
        <v>4404</v>
      </c>
      <c r="H5135" s="11" t="s">
        <v>27</v>
      </c>
      <c r="I5135" s="14" t="s">
        <v>4404</v>
      </c>
      <c r="J5135" s="14" t="s">
        <v>29</v>
      </c>
      <c r="K5135" s="15" t="s">
        <v>30</v>
      </c>
      <c r="L5135" s="57" t="s">
        <v>4532</v>
      </c>
      <c r="M5135" s="14"/>
      <c r="N5135" s="14" t="s">
        <v>33</v>
      </c>
      <c r="O5135" s="14"/>
      <c r="P5135" s="15" t="s">
        <v>1008</v>
      </c>
      <c r="Q5135" s="16">
        <v>6299</v>
      </c>
      <c r="R5135" s="17">
        <v>40</v>
      </c>
      <c r="S5135" s="18">
        <v>4346.3099999999995</v>
      </c>
      <c r="T5135" s="19" t="s">
        <v>36</v>
      </c>
      <c r="U5135" s="20" t="s">
        <v>37</v>
      </c>
      <c r="V5135" s="21" t="s">
        <v>38</v>
      </c>
      <c r="W5135" s="22">
        <v>2</v>
      </c>
      <c r="X5135" s="23"/>
    </row>
    <row r="5136" spans="1:24" s="1" customFormat="1" ht="61.05" customHeight="1" x14ac:dyDescent="0.3">
      <c r="A5136" s="24" t="s">
        <v>23</v>
      </c>
      <c r="B5136" s="24" t="s">
        <v>4530</v>
      </c>
      <c r="C5136" s="12" t="s">
        <v>4531</v>
      </c>
      <c r="D5136" s="56"/>
      <c r="E5136" s="41" t="str">
        <f>HYPERLINK("https://www.google.ru/search?q=1376508-002&amp;newwindow=1&amp;tbm=isch","Еще фото")</f>
        <v>Еще фото</v>
      </c>
      <c r="F5136" s="13"/>
      <c r="G5136" s="24" t="s">
        <v>4404</v>
      </c>
      <c r="H5136" s="24" t="s">
        <v>27</v>
      </c>
      <c r="I5136" s="24" t="s">
        <v>4404</v>
      </c>
      <c r="J5136" s="14" t="s">
        <v>29</v>
      </c>
      <c r="K5136" s="15" t="s">
        <v>30</v>
      </c>
      <c r="L5136" s="58"/>
      <c r="M5136" s="14"/>
      <c r="N5136" s="14" t="s">
        <v>33</v>
      </c>
      <c r="O5136" s="14"/>
      <c r="P5136" s="15" t="s">
        <v>1008</v>
      </c>
      <c r="Q5136" s="16">
        <v>6299</v>
      </c>
      <c r="R5136" s="17">
        <v>40</v>
      </c>
      <c r="S5136" s="18">
        <v>4346.3099999999995</v>
      </c>
      <c r="T5136" s="19" t="s">
        <v>36</v>
      </c>
      <c r="U5136" s="20" t="s">
        <v>39</v>
      </c>
      <c r="V5136" s="21" t="s">
        <v>40</v>
      </c>
      <c r="W5136" s="22">
        <v>1</v>
      </c>
      <c r="X5136" s="23"/>
    </row>
    <row r="5137" spans="1:24" s="1" customFormat="1" ht="108" customHeight="1" x14ac:dyDescent="0.3">
      <c r="A5137" s="11" t="s">
        <v>23</v>
      </c>
      <c r="B5137" s="11" t="s">
        <v>4533</v>
      </c>
      <c r="C5137" s="12" t="s">
        <v>4534</v>
      </c>
      <c r="D5137" s="25"/>
      <c r="E5137" s="41" t="str">
        <f>HYPERLINK("https://www.google.ru/search?q=1376508-025&amp;newwindow=1&amp;tbm=isch","Еще фото")</f>
        <v>Еще фото</v>
      </c>
      <c r="F5137" s="13" t="s">
        <v>103</v>
      </c>
      <c r="G5137" s="11" t="s">
        <v>4404</v>
      </c>
      <c r="H5137" s="11" t="s">
        <v>27</v>
      </c>
      <c r="I5137" s="14" t="s">
        <v>4404</v>
      </c>
      <c r="J5137" s="14" t="s">
        <v>29</v>
      </c>
      <c r="K5137" s="15" t="s">
        <v>30</v>
      </c>
      <c r="L5137" s="14" t="s">
        <v>4532</v>
      </c>
      <c r="M5137" s="14"/>
      <c r="N5137" s="14" t="s">
        <v>62</v>
      </c>
      <c r="O5137" s="14"/>
      <c r="P5137" s="15" t="s">
        <v>1008</v>
      </c>
      <c r="Q5137" s="16">
        <v>7399</v>
      </c>
      <c r="R5137" s="17">
        <v>40</v>
      </c>
      <c r="S5137" s="18">
        <v>5105.3099999999995</v>
      </c>
      <c r="T5137" s="19" t="s">
        <v>36</v>
      </c>
      <c r="U5137" s="20" t="s">
        <v>39</v>
      </c>
      <c r="V5137" s="21" t="s">
        <v>40</v>
      </c>
      <c r="W5137" s="22">
        <v>1</v>
      </c>
      <c r="X5137" s="23"/>
    </row>
    <row r="5138" spans="1:24" s="1" customFormat="1" ht="52.05" customHeight="1" x14ac:dyDescent="0.3">
      <c r="A5138" s="11" t="s">
        <v>23</v>
      </c>
      <c r="B5138" s="11" t="s">
        <v>4530</v>
      </c>
      <c r="C5138" s="12" t="s">
        <v>4535</v>
      </c>
      <c r="D5138" s="55"/>
      <c r="E5138" s="41" t="str">
        <f>HYPERLINK("https://www.google.ru/search?q=1376508-432&amp;newwindow=1&amp;tbm=isch","Еще фото")</f>
        <v>Еще фото</v>
      </c>
      <c r="F5138" s="13"/>
      <c r="G5138" s="11" t="s">
        <v>4404</v>
      </c>
      <c r="H5138" s="11" t="s">
        <v>27</v>
      </c>
      <c r="I5138" s="14" t="s">
        <v>4404</v>
      </c>
      <c r="J5138" s="14" t="s">
        <v>29</v>
      </c>
      <c r="K5138" s="15" t="s">
        <v>30</v>
      </c>
      <c r="L5138" s="57" t="s">
        <v>4532</v>
      </c>
      <c r="M5138" s="14"/>
      <c r="N5138" s="14" t="s">
        <v>115</v>
      </c>
      <c r="O5138" s="14"/>
      <c r="P5138" s="15" t="s">
        <v>1008</v>
      </c>
      <c r="Q5138" s="16">
        <v>7799</v>
      </c>
      <c r="R5138" s="17">
        <v>40</v>
      </c>
      <c r="S5138" s="18">
        <v>5381.3099999999995</v>
      </c>
      <c r="T5138" s="19" t="s">
        <v>36</v>
      </c>
      <c r="U5138" s="20" t="s">
        <v>37</v>
      </c>
      <c r="V5138" s="21" t="s">
        <v>38</v>
      </c>
      <c r="W5138" s="22">
        <v>1</v>
      </c>
      <c r="X5138" s="23"/>
    </row>
    <row r="5139" spans="1:24" s="1" customFormat="1" ht="61.05" customHeight="1" x14ac:dyDescent="0.3">
      <c r="A5139" s="24" t="s">
        <v>23</v>
      </c>
      <c r="B5139" s="24" t="s">
        <v>4530</v>
      </c>
      <c r="C5139" s="12" t="s">
        <v>4535</v>
      </c>
      <c r="D5139" s="56"/>
      <c r="E5139" s="41" t="str">
        <f>HYPERLINK("https://www.google.ru/search?q=1376508-432&amp;newwindow=1&amp;tbm=isch","Еще фото")</f>
        <v>Еще фото</v>
      </c>
      <c r="F5139" s="13"/>
      <c r="G5139" s="24" t="s">
        <v>4404</v>
      </c>
      <c r="H5139" s="24" t="s">
        <v>27</v>
      </c>
      <c r="I5139" s="24" t="s">
        <v>4404</v>
      </c>
      <c r="J5139" s="14" t="s">
        <v>29</v>
      </c>
      <c r="K5139" s="15" t="s">
        <v>30</v>
      </c>
      <c r="L5139" s="58"/>
      <c r="M5139" s="14"/>
      <c r="N5139" s="14" t="s">
        <v>115</v>
      </c>
      <c r="O5139" s="14"/>
      <c r="P5139" s="15" t="s">
        <v>1008</v>
      </c>
      <c r="Q5139" s="16">
        <v>7799</v>
      </c>
      <c r="R5139" s="17">
        <v>40</v>
      </c>
      <c r="S5139" s="18">
        <v>5381.3099999999995</v>
      </c>
      <c r="T5139" s="19" t="s">
        <v>36</v>
      </c>
      <c r="U5139" s="20" t="s">
        <v>39</v>
      </c>
      <c r="V5139" s="21" t="s">
        <v>40</v>
      </c>
      <c r="W5139" s="22">
        <v>1</v>
      </c>
      <c r="X5139" s="23"/>
    </row>
    <row r="5140" spans="1:24" s="1" customFormat="1" ht="108" customHeight="1" x14ac:dyDescent="0.3">
      <c r="A5140" s="11" t="s">
        <v>23</v>
      </c>
      <c r="B5140" s="11" t="s">
        <v>4536</v>
      </c>
      <c r="C5140" s="12" t="s">
        <v>4537</v>
      </c>
      <c r="D5140" s="25"/>
      <c r="E5140" s="41" t="str">
        <f>HYPERLINK("https://www.google.ru/search?q=1376509-001&amp;newwindow=1&amp;tbm=isch","Еще фото")</f>
        <v>Еще фото</v>
      </c>
      <c r="F5140" s="13" t="s">
        <v>152</v>
      </c>
      <c r="G5140" s="11" t="s">
        <v>4404</v>
      </c>
      <c r="H5140" s="11" t="s">
        <v>27</v>
      </c>
      <c r="I5140" s="14" t="s">
        <v>4404</v>
      </c>
      <c r="J5140" s="14" t="s">
        <v>29</v>
      </c>
      <c r="K5140" s="15" t="s">
        <v>30</v>
      </c>
      <c r="L5140" s="14" t="s">
        <v>4439</v>
      </c>
      <c r="M5140" s="14"/>
      <c r="N5140" s="14" t="s">
        <v>33</v>
      </c>
      <c r="O5140" s="14"/>
      <c r="P5140" s="15" t="s">
        <v>1008</v>
      </c>
      <c r="Q5140" s="16">
        <v>6499</v>
      </c>
      <c r="R5140" s="17">
        <v>40</v>
      </c>
      <c r="S5140" s="18">
        <v>4484.3099999999995</v>
      </c>
      <c r="T5140" s="19" t="s">
        <v>36</v>
      </c>
      <c r="U5140" s="20" t="s">
        <v>37</v>
      </c>
      <c r="V5140" s="21" t="s">
        <v>38</v>
      </c>
      <c r="W5140" s="22">
        <v>2</v>
      </c>
      <c r="X5140" s="23"/>
    </row>
    <row r="5141" spans="1:24" s="1" customFormat="1" ht="52.05" customHeight="1" x14ac:dyDescent="0.3">
      <c r="A5141" s="11" t="s">
        <v>23</v>
      </c>
      <c r="B5141" s="11" t="s">
        <v>4538</v>
      </c>
      <c r="C5141" s="12" t="s">
        <v>4539</v>
      </c>
      <c r="D5141" s="55"/>
      <c r="E5141" s="41" t="str">
        <f>HYPERLINK("https://www.google.ru/search?q=1376831-001&amp;newwindow=1&amp;tbm=isch","Еще фото")</f>
        <v>Еще фото</v>
      </c>
      <c r="F5141" s="13" t="s">
        <v>152</v>
      </c>
      <c r="G5141" s="11" t="s">
        <v>4404</v>
      </c>
      <c r="H5141" s="11" t="s">
        <v>27</v>
      </c>
      <c r="I5141" s="14" t="s">
        <v>4404</v>
      </c>
      <c r="J5141" s="14" t="s">
        <v>29</v>
      </c>
      <c r="K5141" s="15" t="s">
        <v>30</v>
      </c>
      <c r="L5141" s="57" t="s">
        <v>4540</v>
      </c>
      <c r="M5141" s="14"/>
      <c r="N5141" s="14" t="s">
        <v>33</v>
      </c>
      <c r="O5141" s="14"/>
      <c r="P5141" s="15" t="s">
        <v>47</v>
      </c>
      <c r="Q5141" s="16">
        <v>7999</v>
      </c>
      <c r="R5141" s="17">
        <v>40</v>
      </c>
      <c r="S5141" s="18">
        <v>5519.3099999999995</v>
      </c>
      <c r="T5141" s="19" t="s">
        <v>36</v>
      </c>
      <c r="U5141" s="20" t="s">
        <v>37</v>
      </c>
      <c r="V5141" s="21" t="s">
        <v>38</v>
      </c>
      <c r="W5141" s="22">
        <v>2</v>
      </c>
      <c r="X5141" s="23"/>
    </row>
    <row r="5142" spans="1:24" s="1" customFormat="1" ht="61.05" customHeight="1" x14ac:dyDescent="0.3">
      <c r="A5142" s="24" t="s">
        <v>23</v>
      </c>
      <c r="B5142" s="24" t="s">
        <v>4538</v>
      </c>
      <c r="C5142" s="12" t="s">
        <v>4539</v>
      </c>
      <c r="D5142" s="56"/>
      <c r="E5142" s="41" t="str">
        <f>HYPERLINK("https://www.google.ru/search?q=1376831-001&amp;newwindow=1&amp;tbm=isch","Еще фото")</f>
        <v>Еще фото</v>
      </c>
      <c r="F5142" s="13" t="s">
        <v>152</v>
      </c>
      <c r="G5142" s="24" t="s">
        <v>4404</v>
      </c>
      <c r="H5142" s="24" t="s">
        <v>27</v>
      </c>
      <c r="I5142" s="24" t="s">
        <v>4404</v>
      </c>
      <c r="J5142" s="14" t="s">
        <v>29</v>
      </c>
      <c r="K5142" s="15" t="s">
        <v>30</v>
      </c>
      <c r="L5142" s="58"/>
      <c r="M5142" s="14"/>
      <c r="N5142" s="14" t="s">
        <v>33</v>
      </c>
      <c r="O5142" s="14"/>
      <c r="P5142" s="15" t="s">
        <v>47</v>
      </c>
      <c r="Q5142" s="16">
        <v>7999</v>
      </c>
      <c r="R5142" s="17">
        <v>40</v>
      </c>
      <c r="S5142" s="18">
        <v>5519.3099999999995</v>
      </c>
      <c r="T5142" s="19" t="s">
        <v>36</v>
      </c>
      <c r="U5142" s="20" t="s">
        <v>39</v>
      </c>
      <c r="V5142" s="21" t="s">
        <v>40</v>
      </c>
      <c r="W5142" s="22">
        <v>2</v>
      </c>
      <c r="X5142" s="23"/>
    </row>
    <row r="5143" spans="1:24" s="1" customFormat="1" ht="108" customHeight="1" x14ac:dyDescent="0.3">
      <c r="A5143" s="11" t="s">
        <v>23</v>
      </c>
      <c r="B5143" s="11" t="s">
        <v>4538</v>
      </c>
      <c r="C5143" s="12" t="s">
        <v>4541</v>
      </c>
      <c r="D5143" s="25"/>
      <c r="E5143" s="41" t="str">
        <f>HYPERLINK("https://www.google.ru/search?q=1376831-025&amp;newwindow=1&amp;tbm=isch","Еще фото")</f>
        <v>Еще фото</v>
      </c>
      <c r="F5143" s="13" t="s">
        <v>152</v>
      </c>
      <c r="G5143" s="11" t="s">
        <v>4404</v>
      </c>
      <c r="H5143" s="11" t="s">
        <v>27</v>
      </c>
      <c r="I5143" s="14" t="s">
        <v>4404</v>
      </c>
      <c r="J5143" s="14" t="s">
        <v>29</v>
      </c>
      <c r="K5143" s="15" t="s">
        <v>30</v>
      </c>
      <c r="L5143" s="14" t="s">
        <v>4540</v>
      </c>
      <c r="M5143" s="14"/>
      <c r="N5143" s="14" t="s">
        <v>62</v>
      </c>
      <c r="O5143" s="14"/>
      <c r="P5143" s="15" t="s">
        <v>47</v>
      </c>
      <c r="Q5143" s="16">
        <v>8099</v>
      </c>
      <c r="R5143" s="17">
        <v>40</v>
      </c>
      <c r="S5143" s="18">
        <v>5588.3099999999995</v>
      </c>
      <c r="T5143" s="19" t="s">
        <v>36</v>
      </c>
      <c r="U5143" s="20" t="s">
        <v>37</v>
      </c>
      <c r="V5143" s="21" t="s">
        <v>38</v>
      </c>
      <c r="W5143" s="22">
        <v>3</v>
      </c>
      <c r="X5143" s="23"/>
    </row>
    <row r="5144" spans="1:24" s="1" customFormat="1" ht="52.05" customHeight="1" x14ac:dyDescent="0.3">
      <c r="A5144" s="11" t="s">
        <v>23</v>
      </c>
      <c r="B5144" s="11" t="s">
        <v>4542</v>
      </c>
      <c r="C5144" s="12" t="s">
        <v>4543</v>
      </c>
      <c r="D5144" s="55"/>
      <c r="E5144" s="41" t="str">
        <f>HYPERLINK("https://www.google.ru/search?q=1376935-348&amp;newwindow=1&amp;tbm=isch","Еще фото")</f>
        <v>Еще фото</v>
      </c>
      <c r="F5144" s="13"/>
      <c r="G5144" s="11" t="s">
        <v>4404</v>
      </c>
      <c r="H5144" s="11" t="s">
        <v>27</v>
      </c>
      <c r="I5144" s="14" t="s">
        <v>4404</v>
      </c>
      <c r="J5144" s="14" t="s">
        <v>29</v>
      </c>
      <c r="K5144" s="15" t="s">
        <v>59</v>
      </c>
      <c r="L5144" s="57" t="s">
        <v>4544</v>
      </c>
      <c r="M5144" s="14" t="s">
        <v>4545</v>
      </c>
      <c r="N5144" s="14" t="s">
        <v>127</v>
      </c>
      <c r="O5144" s="14"/>
      <c r="P5144" s="15" t="s">
        <v>1008</v>
      </c>
      <c r="Q5144" s="16">
        <v>3599</v>
      </c>
      <c r="R5144" s="17">
        <v>40</v>
      </c>
      <c r="S5144" s="18">
        <v>2483.31</v>
      </c>
      <c r="T5144" s="19" t="s">
        <v>36</v>
      </c>
      <c r="U5144" s="20" t="s">
        <v>63</v>
      </c>
      <c r="V5144" s="21" t="s">
        <v>64</v>
      </c>
      <c r="W5144" s="22">
        <v>1</v>
      </c>
      <c r="X5144" s="23"/>
    </row>
    <row r="5145" spans="1:24" s="1" customFormat="1" ht="61.05" customHeight="1" x14ac:dyDescent="0.3">
      <c r="A5145" s="24" t="s">
        <v>23</v>
      </c>
      <c r="B5145" s="24" t="s">
        <v>4542</v>
      </c>
      <c r="C5145" s="12" t="s">
        <v>4543</v>
      </c>
      <c r="D5145" s="56"/>
      <c r="E5145" s="41" t="str">
        <f>HYPERLINK("https://www.google.ru/search?q=1376935-348&amp;newwindow=1&amp;tbm=isch","Еще фото")</f>
        <v>Еще фото</v>
      </c>
      <c r="F5145" s="13"/>
      <c r="G5145" s="24" t="s">
        <v>4404</v>
      </c>
      <c r="H5145" s="24" t="s">
        <v>27</v>
      </c>
      <c r="I5145" s="24" t="s">
        <v>4404</v>
      </c>
      <c r="J5145" s="14" t="s">
        <v>29</v>
      </c>
      <c r="K5145" s="15" t="s">
        <v>59</v>
      </c>
      <c r="L5145" s="58"/>
      <c r="M5145" s="14" t="s">
        <v>4545</v>
      </c>
      <c r="N5145" s="14" t="s">
        <v>127</v>
      </c>
      <c r="O5145" s="14"/>
      <c r="P5145" s="15" t="s">
        <v>1008</v>
      </c>
      <c r="Q5145" s="16">
        <v>3599</v>
      </c>
      <c r="R5145" s="17">
        <v>40</v>
      </c>
      <c r="S5145" s="18">
        <v>2483.31</v>
      </c>
      <c r="T5145" s="19" t="s">
        <v>36</v>
      </c>
      <c r="U5145" s="20" t="s">
        <v>37</v>
      </c>
      <c r="V5145" s="21" t="s">
        <v>106</v>
      </c>
      <c r="W5145" s="22">
        <v>1</v>
      </c>
      <c r="X5145" s="23"/>
    </row>
    <row r="5146" spans="1:24" s="1" customFormat="1" ht="52.05" customHeight="1" x14ac:dyDescent="0.3">
      <c r="A5146" s="11" t="s">
        <v>23</v>
      </c>
      <c r="B5146" s="11" t="s">
        <v>4546</v>
      </c>
      <c r="C5146" s="12" t="s">
        <v>4547</v>
      </c>
      <c r="D5146" s="55"/>
      <c r="E5146" s="41" t="str">
        <f>HYPERLINK("https://www.google.ru/search?q=1377191-300&amp;newwindow=1&amp;tbm=isch","Еще фото")</f>
        <v>Еще фото</v>
      </c>
      <c r="F5146" s="13"/>
      <c r="G5146" s="11" t="s">
        <v>4404</v>
      </c>
      <c r="H5146" s="11" t="s">
        <v>27</v>
      </c>
      <c r="I5146" s="14" t="s">
        <v>4404</v>
      </c>
      <c r="J5146" s="14" t="s">
        <v>43</v>
      </c>
      <c r="K5146" s="15" t="s">
        <v>30</v>
      </c>
      <c r="L5146" s="57" t="s">
        <v>4548</v>
      </c>
      <c r="M5146" s="14"/>
      <c r="N5146" s="14" t="s">
        <v>127</v>
      </c>
      <c r="O5146" s="14"/>
      <c r="P5146" s="15" t="s">
        <v>47</v>
      </c>
      <c r="Q5146" s="16">
        <v>5299</v>
      </c>
      <c r="R5146" s="17">
        <v>40</v>
      </c>
      <c r="S5146" s="18">
        <v>3656.31</v>
      </c>
      <c r="T5146" s="19" t="s">
        <v>36</v>
      </c>
      <c r="U5146" s="20" t="s">
        <v>37</v>
      </c>
      <c r="V5146" s="21" t="s">
        <v>38</v>
      </c>
      <c r="W5146" s="22">
        <v>1</v>
      </c>
      <c r="X5146" s="23"/>
    </row>
    <row r="5147" spans="1:24" s="1" customFormat="1" ht="61.05" customHeight="1" x14ac:dyDescent="0.3">
      <c r="A5147" s="24" t="s">
        <v>23</v>
      </c>
      <c r="B5147" s="24" t="s">
        <v>4546</v>
      </c>
      <c r="C5147" s="12" t="s">
        <v>4547</v>
      </c>
      <c r="D5147" s="56"/>
      <c r="E5147" s="41" t="str">
        <f>HYPERLINK("https://www.google.ru/search?q=1377191-300&amp;newwindow=1&amp;tbm=isch","Еще фото")</f>
        <v>Еще фото</v>
      </c>
      <c r="F5147" s="13"/>
      <c r="G5147" s="24" t="s">
        <v>4404</v>
      </c>
      <c r="H5147" s="24" t="s">
        <v>27</v>
      </c>
      <c r="I5147" s="24" t="s">
        <v>4404</v>
      </c>
      <c r="J5147" s="14" t="s">
        <v>43</v>
      </c>
      <c r="K5147" s="15" t="s">
        <v>30</v>
      </c>
      <c r="L5147" s="58"/>
      <c r="M5147" s="14"/>
      <c r="N5147" s="14" t="s">
        <v>127</v>
      </c>
      <c r="O5147" s="14"/>
      <c r="P5147" s="15" t="s">
        <v>47</v>
      </c>
      <c r="Q5147" s="16">
        <v>5299</v>
      </c>
      <c r="R5147" s="17">
        <v>40</v>
      </c>
      <c r="S5147" s="18">
        <v>3656.31</v>
      </c>
      <c r="T5147" s="19" t="s">
        <v>36</v>
      </c>
      <c r="U5147" s="20" t="s">
        <v>86</v>
      </c>
      <c r="V5147" s="21" t="s">
        <v>87</v>
      </c>
      <c r="W5147" s="22">
        <v>1</v>
      </c>
      <c r="X5147" s="23"/>
    </row>
    <row r="5148" spans="1:24" s="1" customFormat="1" ht="35" customHeight="1" x14ac:dyDescent="0.3">
      <c r="A5148" s="11" t="s">
        <v>23</v>
      </c>
      <c r="B5148" s="11" t="s">
        <v>4440</v>
      </c>
      <c r="C5148" s="12" t="s">
        <v>4549</v>
      </c>
      <c r="D5148" s="59"/>
      <c r="E5148" s="41" t="str">
        <f>HYPERLINK("https://www.google.ru/search?q=1377264-002&amp;newwindow=1&amp;tbm=isch","Еще фото")</f>
        <v>Еще фото</v>
      </c>
      <c r="F5148" s="13"/>
      <c r="G5148" s="11" t="s">
        <v>4404</v>
      </c>
      <c r="H5148" s="11" t="s">
        <v>27</v>
      </c>
      <c r="I5148" s="14" t="s">
        <v>4404</v>
      </c>
      <c r="J5148" s="14" t="s">
        <v>29</v>
      </c>
      <c r="K5148" s="15" t="s">
        <v>50</v>
      </c>
      <c r="L5148" s="57" t="s">
        <v>4442</v>
      </c>
      <c r="M5148" s="14"/>
      <c r="N5148" s="14" t="s">
        <v>33</v>
      </c>
      <c r="O5148" s="14"/>
      <c r="P5148" s="15" t="s">
        <v>47</v>
      </c>
      <c r="Q5148" s="16">
        <v>2799</v>
      </c>
      <c r="R5148" s="17">
        <v>40</v>
      </c>
      <c r="S5148" s="18">
        <v>1931.31</v>
      </c>
      <c r="T5148" s="19" t="s">
        <v>36</v>
      </c>
      <c r="U5148" s="20" t="s">
        <v>99</v>
      </c>
      <c r="V5148" s="21" t="s">
        <v>100</v>
      </c>
      <c r="W5148" s="22">
        <v>3</v>
      </c>
      <c r="X5148" s="23"/>
    </row>
    <row r="5149" spans="1:24" s="1" customFormat="1" ht="35" customHeight="1" x14ac:dyDescent="0.3">
      <c r="A5149" s="24" t="s">
        <v>23</v>
      </c>
      <c r="B5149" s="24" t="s">
        <v>4440</v>
      </c>
      <c r="C5149" s="12" t="s">
        <v>4549</v>
      </c>
      <c r="D5149" s="60"/>
      <c r="E5149" s="41" t="str">
        <f>HYPERLINK("https://www.google.ru/search?q=1377264-002&amp;newwindow=1&amp;tbm=isch","Еще фото")</f>
        <v>Еще фото</v>
      </c>
      <c r="F5149" s="13"/>
      <c r="G5149" s="24" t="s">
        <v>4404</v>
      </c>
      <c r="H5149" s="24" t="s">
        <v>27</v>
      </c>
      <c r="I5149" s="24" t="s">
        <v>4404</v>
      </c>
      <c r="J5149" s="14" t="s">
        <v>29</v>
      </c>
      <c r="K5149" s="15" t="s">
        <v>50</v>
      </c>
      <c r="L5149" s="62"/>
      <c r="M5149" s="14"/>
      <c r="N5149" s="14" t="s">
        <v>33</v>
      </c>
      <c r="O5149" s="14"/>
      <c r="P5149" s="15" t="s">
        <v>47</v>
      </c>
      <c r="Q5149" s="16">
        <v>2799</v>
      </c>
      <c r="R5149" s="17">
        <v>40</v>
      </c>
      <c r="S5149" s="18">
        <v>1931.31</v>
      </c>
      <c r="T5149" s="19" t="s">
        <v>36</v>
      </c>
      <c r="U5149" s="20" t="s">
        <v>54</v>
      </c>
      <c r="V5149" s="21" t="s">
        <v>55</v>
      </c>
      <c r="W5149" s="22">
        <v>7</v>
      </c>
      <c r="X5149" s="23"/>
    </row>
    <row r="5150" spans="1:24" s="1" customFormat="1" ht="37.049999999999997" customHeight="1" x14ac:dyDescent="0.3">
      <c r="A5150" s="24" t="s">
        <v>23</v>
      </c>
      <c r="B5150" s="24" t="s">
        <v>4440</v>
      </c>
      <c r="C5150" s="12" t="s">
        <v>4549</v>
      </c>
      <c r="D5150" s="61"/>
      <c r="E5150" s="41" t="str">
        <f>HYPERLINK("https://www.google.ru/search?q=1377264-002&amp;newwindow=1&amp;tbm=isch","Еще фото")</f>
        <v>Еще фото</v>
      </c>
      <c r="F5150" s="13"/>
      <c r="G5150" s="24" t="s">
        <v>4404</v>
      </c>
      <c r="H5150" s="24" t="s">
        <v>27</v>
      </c>
      <c r="I5150" s="24" t="s">
        <v>4404</v>
      </c>
      <c r="J5150" s="14" t="s">
        <v>29</v>
      </c>
      <c r="K5150" s="15" t="s">
        <v>50</v>
      </c>
      <c r="L5150" s="58"/>
      <c r="M5150" s="14"/>
      <c r="N5150" s="14" t="s">
        <v>33</v>
      </c>
      <c r="O5150" s="14"/>
      <c r="P5150" s="15" t="s">
        <v>47</v>
      </c>
      <c r="Q5150" s="16">
        <v>2799</v>
      </c>
      <c r="R5150" s="17">
        <v>40</v>
      </c>
      <c r="S5150" s="18">
        <v>1931.31</v>
      </c>
      <c r="T5150" s="19" t="s">
        <v>36</v>
      </c>
      <c r="U5150" s="20" t="s">
        <v>71</v>
      </c>
      <c r="V5150" s="21" t="s">
        <v>72</v>
      </c>
      <c r="W5150" s="22">
        <v>6</v>
      </c>
      <c r="X5150" s="23"/>
    </row>
    <row r="5151" spans="1:24" s="1" customFormat="1" ht="108" customHeight="1" x14ac:dyDescent="0.3">
      <c r="A5151" s="11" t="s">
        <v>23</v>
      </c>
      <c r="B5151" s="11" t="s">
        <v>4550</v>
      </c>
      <c r="C5151" s="12" t="s">
        <v>4551</v>
      </c>
      <c r="D5151" s="25"/>
      <c r="E5151" s="41" t="str">
        <f>HYPERLINK("https://www.google.ru/search?q=1378604-001&amp;newwindow=1&amp;tbm=isch","Еще фото")</f>
        <v>Еще фото</v>
      </c>
      <c r="F5151" s="13" t="s">
        <v>152</v>
      </c>
      <c r="G5151" s="11" t="s">
        <v>4404</v>
      </c>
      <c r="H5151" s="11" t="s">
        <v>27</v>
      </c>
      <c r="I5151" s="14" t="s">
        <v>4404</v>
      </c>
      <c r="J5151" s="14" t="s">
        <v>29</v>
      </c>
      <c r="K5151" s="15" t="s">
        <v>30</v>
      </c>
      <c r="L5151" s="14" t="s">
        <v>4552</v>
      </c>
      <c r="M5151" s="14"/>
      <c r="N5151" s="14" t="s">
        <v>33</v>
      </c>
      <c r="O5151" s="14"/>
      <c r="P5151" s="15" t="s">
        <v>53</v>
      </c>
      <c r="Q5151" s="16">
        <v>9199</v>
      </c>
      <c r="R5151" s="17">
        <v>40</v>
      </c>
      <c r="S5151" s="18">
        <v>6347.3099999999995</v>
      </c>
      <c r="T5151" s="19" t="s">
        <v>36</v>
      </c>
      <c r="U5151" s="20" t="s">
        <v>37</v>
      </c>
      <c r="V5151" s="21" t="s">
        <v>38</v>
      </c>
      <c r="W5151" s="22">
        <v>3</v>
      </c>
      <c r="X5151" s="23"/>
    </row>
    <row r="5152" spans="1:24" s="1" customFormat="1" ht="52.05" customHeight="1" x14ac:dyDescent="0.3">
      <c r="A5152" s="11" t="s">
        <v>23</v>
      </c>
      <c r="B5152" s="11" t="s">
        <v>4553</v>
      </c>
      <c r="C5152" s="12" t="s">
        <v>4554</v>
      </c>
      <c r="D5152" s="55"/>
      <c r="E5152" s="41" t="str">
        <f>HYPERLINK("https://www.google.ru/search?q=1378604-402&amp;newwindow=1&amp;tbm=isch","Еще фото")</f>
        <v>Еще фото</v>
      </c>
      <c r="F5152" s="13"/>
      <c r="G5152" s="11" t="s">
        <v>4404</v>
      </c>
      <c r="H5152" s="11" t="s">
        <v>27</v>
      </c>
      <c r="I5152" s="14" t="s">
        <v>4404</v>
      </c>
      <c r="J5152" s="14" t="s">
        <v>29</v>
      </c>
      <c r="K5152" s="15" t="s">
        <v>30</v>
      </c>
      <c r="L5152" s="57" t="s">
        <v>4555</v>
      </c>
      <c r="M5152" s="14"/>
      <c r="N5152" s="14" t="s">
        <v>115</v>
      </c>
      <c r="O5152" s="14"/>
      <c r="P5152" s="15" t="s">
        <v>53</v>
      </c>
      <c r="Q5152" s="16">
        <v>9199</v>
      </c>
      <c r="R5152" s="17">
        <v>40</v>
      </c>
      <c r="S5152" s="18">
        <v>6347.3099999999995</v>
      </c>
      <c r="T5152" s="19" t="s">
        <v>36</v>
      </c>
      <c r="U5152" s="20" t="s">
        <v>37</v>
      </c>
      <c r="V5152" s="21" t="s">
        <v>38</v>
      </c>
      <c r="W5152" s="22">
        <v>3</v>
      </c>
      <c r="X5152" s="23"/>
    </row>
    <row r="5153" spans="1:24" s="1" customFormat="1" ht="61.05" customHeight="1" x14ac:dyDescent="0.3">
      <c r="A5153" s="24" t="s">
        <v>23</v>
      </c>
      <c r="B5153" s="24" t="s">
        <v>4553</v>
      </c>
      <c r="C5153" s="12" t="s">
        <v>4554</v>
      </c>
      <c r="D5153" s="56"/>
      <c r="E5153" s="41" t="str">
        <f>HYPERLINK("https://www.google.ru/search?q=1378604-402&amp;newwindow=1&amp;tbm=isch","Еще фото")</f>
        <v>Еще фото</v>
      </c>
      <c r="F5153" s="13"/>
      <c r="G5153" s="24" t="s">
        <v>4404</v>
      </c>
      <c r="H5153" s="24" t="s">
        <v>27</v>
      </c>
      <c r="I5153" s="24" t="s">
        <v>4404</v>
      </c>
      <c r="J5153" s="14" t="s">
        <v>29</v>
      </c>
      <c r="K5153" s="15" t="s">
        <v>30</v>
      </c>
      <c r="L5153" s="58"/>
      <c r="M5153" s="14"/>
      <c r="N5153" s="14" t="s">
        <v>115</v>
      </c>
      <c r="O5153" s="14"/>
      <c r="P5153" s="15" t="s">
        <v>53</v>
      </c>
      <c r="Q5153" s="16">
        <v>9199</v>
      </c>
      <c r="R5153" s="17">
        <v>40</v>
      </c>
      <c r="S5153" s="18">
        <v>6347.3099999999995</v>
      </c>
      <c r="T5153" s="19" t="s">
        <v>36</v>
      </c>
      <c r="U5153" s="20" t="s">
        <v>39</v>
      </c>
      <c r="V5153" s="21" t="s">
        <v>40</v>
      </c>
      <c r="W5153" s="22">
        <v>1</v>
      </c>
      <c r="X5153" s="23"/>
    </row>
    <row r="5154" spans="1:24" s="1" customFormat="1" ht="52.05" customHeight="1" x14ac:dyDescent="0.3">
      <c r="A5154" s="11" t="s">
        <v>23</v>
      </c>
      <c r="B5154" s="11" t="s">
        <v>4556</v>
      </c>
      <c r="C5154" s="12" t="s">
        <v>4557</v>
      </c>
      <c r="D5154" s="55"/>
      <c r="E5154" s="41" t="str">
        <f>HYPERLINK("https://www.google.ru/search?q=1379151-466&amp;newwindow=1&amp;tbm=isch","Еще фото")</f>
        <v>Еще фото</v>
      </c>
      <c r="F5154" s="13"/>
      <c r="G5154" s="11" t="s">
        <v>4404</v>
      </c>
      <c r="H5154" s="11" t="s">
        <v>27</v>
      </c>
      <c r="I5154" s="14" t="s">
        <v>4404</v>
      </c>
      <c r="J5154" s="14" t="s">
        <v>29</v>
      </c>
      <c r="K5154" s="15" t="s">
        <v>59</v>
      </c>
      <c r="L5154" s="57" t="s">
        <v>4558</v>
      </c>
      <c r="M5154" s="14"/>
      <c r="N5154" s="14" t="s">
        <v>115</v>
      </c>
      <c r="O5154" s="14"/>
      <c r="P5154" s="15" t="s">
        <v>105</v>
      </c>
      <c r="Q5154" s="16">
        <v>5899</v>
      </c>
      <c r="R5154" s="17">
        <v>40</v>
      </c>
      <c r="S5154" s="18">
        <v>4070.31</v>
      </c>
      <c r="T5154" s="19" t="s">
        <v>36</v>
      </c>
      <c r="U5154" s="20" t="s">
        <v>63</v>
      </c>
      <c r="V5154" s="21" t="s">
        <v>64</v>
      </c>
      <c r="W5154" s="22">
        <v>1</v>
      </c>
      <c r="X5154" s="23"/>
    </row>
    <row r="5155" spans="1:24" s="1" customFormat="1" ht="61.05" customHeight="1" x14ac:dyDescent="0.3">
      <c r="A5155" s="24" t="s">
        <v>23</v>
      </c>
      <c r="B5155" s="24" t="s">
        <v>4556</v>
      </c>
      <c r="C5155" s="12" t="s">
        <v>4557</v>
      </c>
      <c r="D5155" s="56"/>
      <c r="E5155" s="41" t="str">
        <f>HYPERLINK("https://www.google.ru/search?q=1379151-466&amp;newwindow=1&amp;tbm=isch","Еще фото")</f>
        <v>Еще фото</v>
      </c>
      <c r="F5155" s="13"/>
      <c r="G5155" s="24" t="s">
        <v>4404</v>
      </c>
      <c r="H5155" s="24" t="s">
        <v>27</v>
      </c>
      <c r="I5155" s="24" t="s">
        <v>4404</v>
      </c>
      <c r="J5155" s="14" t="s">
        <v>29</v>
      </c>
      <c r="K5155" s="15" t="s">
        <v>59</v>
      </c>
      <c r="L5155" s="58"/>
      <c r="M5155" s="14"/>
      <c r="N5155" s="14" t="s">
        <v>115</v>
      </c>
      <c r="O5155" s="14"/>
      <c r="P5155" s="15" t="s">
        <v>105</v>
      </c>
      <c r="Q5155" s="16">
        <v>5899</v>
      </c>
      <c r="R5155" s="17">
        <v>40</v>
      </c>
      <c r="S5155" s="18">
        <v>4070.31</v>
      </c>
      <c r="T5155" s="19" t="s">
        <v>36</v>
      </c>
      <c r="U5155" s="20" t="s">
        <v>86</v>
      </c>
      <c r="V5155" s="21" t="s">
        <v>38</v>
      </c>
      <c r="W5155" s="22">
        <v>2</v>
      </c>
      <c r="X5155" s="23"/>
    </row>
    <row r="5156" spans="1:24" s="1" customFormat="1" ht="26" customHeight="1" x14ac:dyDescent="0.3">
      <c r="A5156" s="11" t="s">
        <v>23</v>
      </c>
      <c r="B5156" s="11" t="s">
        <v>4559</v>
      </c>
      <c r="C5156" s="12" t="s">
        <v>4560</v>
      </c>
      <c r="D5156" s="59"/>
      <c r="E5156" s="41" t="str">
        <f>HYPERLINK("https://www.google.ru/search?q=1379151-539&amp;newwindow=1&amp;tbm=isch","Еще фото")</f>
        <v>Еще фото</v>
      </c>
      <c r="F5156" s="13"/>
      <c r="G5156" s="11" t="s">
        <v>4404</v>
      </c>
      <c r="H5156" s="11" t="s">
        <v>27</v>
      </c>
      <c r="I5156" s="14" t="s">
        <v>4404</v>
      </c>
      <c r="J5156" s="14" t="s">
        <v>29</v>
      </c>
      <c r="K5156" s="15" t="s">
        <v>59</v>
      </c>
      <c r="L5156" s="57" t="s">
        <v>4561</v>
      </c>
      <c r="M5156" s="14"/>
      <c r="N5156" s="14" t="s">
        <v>4562</v>
      </c>
      <c r="O5156" s="14"/>
      <c r="P5156" s="15" t="s">
        <v>105</v>
      </c>
      <c r="Q5156" s="16">
        <v>5999</v>
      </c>
      <c r="R5156" s="17">
        <v>40</v>
      </c>
      <c r="S5156" s="18">
        <v>4139.3099999999995</v>
      </c>
      <c r="T5156" s="19" t="s">
        <v>36</v>
      </c>
      <c r="U5156" s="20" t="s">
        <v>37</v>
      </c>
      <c r="V5156" s="21" t="s">
        <v>106</v>
      </c>
      <c r="W5156" s="22">
        <v>1</v>
      </c>
      <c r="X5156" s="23"/>
    </row>
    <row r="5157" spans="1:24" s="1" customFormat="1" ht="26" customHeight="1" x14ac:dyDescent="0.3">
      <c r="A5157" s="24" t="s">
        <v>23</v>
      </c>
      <c r="B5157" s="24" t="s">
        <v>4559</v>
      </c>
      <c r="C5157" s="12" t="s">
        <v>4560</v>
      </c>
      <c r="D5157" s="60"/>
      <c r="E5157" s="41" t="str">
        <f>HYPERLINK("https://www.google.ru/search?q=1379151-539&amp;newwindow=1&amp;tbm=isch","Еще фото")</f>
        <v>Еще фото</v>
      </c>
      <c r="F5157" s="13"/>
      <c r="G5157" s="24" t="s">
        <v>4404</v>
      </c>
      <c r="H5157" s="24" t="s">
        <v>27</v>
      </c>
      <c r="I5157" s="24" t="s">
        <v>4404</v>
      </c>
      <c r="J5157" s="14" t="s">
        <v>29</v>
      </c>
      <c r="K5157" s="15" t="s">
        <v>59</v>
      </c>
      <c r="L5157" s="62"/>
      <c r="M5157" s="14"/>
      <c r="N5157" s="14" t="s">
        <v>4562</v>
      </c>
      <c r="O5157" s="14"/>
      <c r="P5157" s="15" t="s">
        <v>105</v>
      </c>
      <c r="Q5157" s="16">
        <v>5999</v>
      </c>
      <c r="R5157" s="17">
        <v>40</v>
      </c>
      <c r="S5157" s="18">
        <v>4139.3099999999995</v>
      </c>
      <c r="T5157" s="19" t="s">
        <v>36</v>
      </c>
      <c r="U5157" s="20" t="s">
        <v>39</v>
      </c>
      <c r="V5157" s="21" t="s">
        <v>85</v>
      </c>
      <c r="W5157" s="22">
        <v>1</v>
      </c>
      <c r="X5157" s="23"/>
    </row>
    <row r="5158" spans="1:24" s="1" customFormat="1" ht="26" customHeight="1" x14ac:dyDescent="0.3">
      <c r="A5158" s="24" t="s">
        <v>23</v>
      </c>
      <c r="B5158" s="24" t="s">
        <v>4559</v>
      </c>
      <c r="C5158" s="12" t="s">
        <v>4560</v>
      </c>
      <c r="D5158" s="60"/>
      <c r="E5158" s="41" t="str">
        <f>HYPERLINK("https://www.google.ru/search?q=1379151-539&amp;newwindow=1&amp;tbm=isch","Еще фото")</f>
        <v>Еще фото</v>
      </c>
      <c r="F5158" s="13"/>
      <c r="G5158" s="24" t="s">
        <v>4404</v>
      </c>
      <c r="H5158" s="24" t="s">
        <v>27</v>
      </c>
      <c r="I5158" s="24" t="s">
        <v>4404</v>
      </c>
      <c r="J5158" s="14" t="s">
        <v>29</v>
      </c>
      <c r="K5158" s="15" t="s">
        <v>59</v>
      </c>
      <c r="L5158" s="62"/>
      <c r="M5158" s="14"/>
      <c r="N5158" s="14" t="s">
        <v>4562</v>
      </c>
      <c r="O5158" s="14"/>
      <c r="P5158" s="15" t="s">
        <v>105</v>
      </c>
      <c r="Q5158" s="16">
        <v>5999</v>
      </c>
      <c r="R5158" s="17">
        <v>40</v>
      </c>
      <c r="S5158" s="18">
        <v>4139.3099999999995</v>
      </c>
      <c r="T5158" s="19" t="s">
        <v>36</v>
      </c>
      <c r="U5158" s="20" t="s">
        <v>86</v>
      </c>
      <c r="V5158" s="21" t="s">
        <v>38</v>
      </c>
      <c r="W5158" s="22">
        <v>2</v>
      </c>
      <c r="X5158" s="23"/>
    </row>
    <row r="5159" spans="1:24" s="1" customFormat="1" ht="26" customHeight="1" x14ac:dyDescent="0.3">
      <c r="A5159" s="24" t="s">
        <v>23</v>
      </c>
      <c r="B5159" s="24" t="s">
        <v>4559</v>
      </c>
      <c r="C5159" s="12" t="s">
        <v>4560</v>
      </c>
      <c r="D5159" s="61"/>
      <c r="E5159" s="41" t="str">
        <f>HYPERLINK("https://www.google.ru/search?q=1379151-539&amp;newwindow=1&amp;tbm=isch","Еще фото")</f>
        <v>Еще фото</v>
      </c>
      <c r="F5159" s="13"/>
      <c r="G5159" s="24" t="s">
        <v>4404</v>
      </c>
      <c r="H5159" s="24" t="s">
        <v>27</v>
      </c>
      <c r="I5159" s="24" t="s">
        <v>4404</v>
      </c>
      <c r="J5159" s="14" t="s">
        <v>29</v>
      </c>
      <c r="K5159" s="15" t="s">
        <v>59</v>
      </c>
      <c r="L5159" s="58"/>
      <c r="M5159" s="14"/>
      <c r="N5159" s="14" t="s">
        <v>4562</v>
      </c>
      <c r="O5159" s="14"/>
      <c r="P5159" s="15" t="s">
        <v>105</v>
      </c>
      <c r="Q5159" s="16">
        <v>5999</v>
      </c>
      <c r="R5159" s="17">
        <v>40</v>
      </c>
      <c r="S5159" s="18">
        <v>4139.3099999999995</v>
      </c>
      <c r="T5159" s="19" t="s">
        <v>36</v>
      </c>
      <c r="U5159" s="20" t="s">
        <v>88</v>
      </c>
      <c r="V5159" s="21" t="s">
        <v>40</v>
      </c>
      <c r="W5159" s="22">
        <v>1</v>
      </c>
      <c r="X5159" s="23"/>
    </row>
    <row r="5160" spans="1:24" s="1" customFormat="1" ht="35" customHeight="1" x14ac:dyDescent="0.3">
      <c r="A5160" s="11" t="s">
        <v>23</v>
      </c>
      <c r="B5160" s="11" t="s">
        <v>4443</v>
      </c>
      <c r="C5160" s="12" t="s">
        <v>4563</v>
      </c>
      <c r="D5160" s="59"/>
      <c r="E5160" s="41" t="str">
        <f>HYPERLINK("https://www.google.ru/search?q=1379779-001&amp;newwindow=1&amp;tbm=isch","Еще фото")</f>
        <v>Еще фото</v>
      </c>
      <c r="F5160" s="28" t="s">
        <v>138</v>
      </c>
      <c r="G5160" s="11" t="s">
        <v>4404</v>
      </c>
      <c r="H5160" s="11" t="s">
        <v>27</v>
      </c>
      <c r="I5160" s="14" t="s">
        <v>4404</v>
      </c>
      <c r="J5160" s="14" t="s">
        <v>29</v>
      </c>
      <c r="K5160" s="15" t="s">
        <v>30</v>
      </c>
      <c r="L5160" s="57" t="s">
        <v>4564</v>
      </c>
      <c r="M5160" s="14"/>
      <c r="N5160" s="14" t="s">
        <v>33</v>
      </c>
      <c r="O5160" s="14"/>
      <c r="P5160" s="15" t="s">
        <v>120</v>
      </c>
      <c r="Q5160" s="16">
        <v>4199</v>
      </c>
      <c r="R5160" s="17">
        <v>40</v>
      </c>
      <c r="S5160" s="18">
        <v>2897.31</v>
      </c>
      <c r="T5160" s="19" t="s">
        <v>36</v>
      </c>
      <c r="U5160" s="20" t="s">
        <v>37</v>
      </c>
      <c r="V5160" s="21" t="s">
        <v>38</v>
      </c>
      <c r="W5160" s="22">
        <v>2</v>
      </c>
      <c r="X5160" s="23"/>
    </row>
    <row r="5161" spans="1:24" s="1" customFormat="1" ht="35" customHeight="1" x14ac:dyDescent="0.3">
      <c r="A5161" s="24" t="s">
        <v>23</v>
      </c>
      <c r="B5161" s="24" t="s">
        <v>4443</v>
      </c>
      <c r="C5161" s="12" t="s">
        <v>4563</v>
      </c>
      <c r="D5161" s="60"/>
      <c r="E5161" s="41" t="str">
        <f>HYPERLINK("https://www.google.ru/search?q=1379779-001&amp;newwindow=1&amp;tbm=isch","Еще фото")</f>
        <v>Еще фото</v>
      </c>
      <c r="F5161" s="28" t="s">
        <v>138</v>
      </c>
      <c r="G5161" s="24" t="s">
        <v>4404</v>
      </c>
      <c r="H5161" s="24" t="s">
        <v>27</v>
      </c>
      <c r="I5161" s="24" t="s">
        <v>4404</v>
      </c>
      <c r="J5161" s="14" t="s">
        <v>29</v>
      </c>
      <c r="K5161" s="15" t="s">
        <v>30</v>
      </c>
      <c r="L5161" s="62"/>
      <c r="M5161" s="14"/>
      <c r="N5161" s="14" t="s">
        <v>33</v>
      </c>
      <c r="O5161" s="14"/>
      <c r="P5161" s="15" t="s">
        <v>120</v>
      </c>
      <c r="Q5161" s="16">
        <v>4199</v>
      </c>
      <c r="R5161" s="17">
        <v>40</v>
      </c>
      <c r="S5161" s="18">
        <v>2897.31</v>
      </c>
      <c r="T5161" s="19" t="s">
        <v>36</v>
      </c>
      <c r="U5161" s="20" t="s">
        <v>39</v>
      </c>
      <c r="V5161" s="21" t="s">
        <v>40</v>
      </c>
      <c r="W5161" s="22">
        <v>1</v>
      </c>
      <c r="X5161" s="23"/>
    </row>
    <row r="5162" spans="1:24" s="1" customFormat="1" ht="37.049999999999997" customHeight="1" x14ac:dyDescent="0.3">
      <c r="A5162" s="24" t="s">
        <v>23</v>
      </c>
      <c r="B5162" s="24" t="s">
        <v>4443</v>
      </c>
      <c r="C5162" s="12" t="s">
        <v>4563</v>
      </c>
      <c r="D5162" s="61"/>
      <c r="E5162" s="41" t="str">
        <f>HYPERLINK("https://www.google.ru/search?q=1379779-001&amp;newwindow=1&amp;tbm=isch","Еще фото")</f>
        <v>Еще фото</v>
      </c>
      <c r="F5162" s="28" t="s">
        <v>138</v>
      </c>
      <c r="G5162" s="24" t="s">
        <v>4404</v>
      </c>
      <c r="H5162" s="24" t="s">
        <v>27</v>
      </c>
      <c r="I5162" s="24" t="s">
        <v>4404</v>
      </c>
      <c r="J5162" s="14" t="s">
        <v>29</v>
      </c>
      <c r="K5162" s="15" t="s">
        <v>30</v>
      </c>
      <c r="L5162" s="58"/>
      <c r="M5162" s="14"/>
      <c r="N5162" s="14" t="s">
        <v>33</v>
      </c>
      <c r="O5162" s="14"/>
      <c r="P5162" s="15" t="s">
        <v>120</v>
      </c>
      <c r="Q5162" s="16">
        <v>4199</v>
      </c>
      <c r="R5162" s="17">
        <v>40</v>
      </c>
      <c r="S5162" s="18">
        <v>2897.31</v>
      </c>
      <c r="T5162" s="19" t="s">
        <v>36</v>
      </c>
      <c r="U5162" s="20" t="s">
        <v>90</v>
      </c>
      <c r="V5162" s="21" t="s">
        <v>91</v>
      </c>
      <c r="W5162" s="22">
        <v>4</v>
      </c>
      <c r="X5162" s="23"/>
    </row>
    <row r="5163" spans="1:24" s="1" customFormat="1" ht="21" customHeight="1" x14ac:dyDescent="0.3">
      <c r="A5163" s="11" t="s">
        <v>23</v>
      </c>
      <c r="B5163" s="11" t="s">
        <v>4443</v>
      </c>
      <c r="C5163" s="26" t="s">
        <v>4565</v>
      </c>
      <c r="D5163" s="59"/>
      <c r="E5163" s="41" t="str">
        <f>HYPERLINK("https://www.google.ru/search?q=1379779-025&amp;newwindow=1&amp;tbm=isch","Еще фото")</f>
        <v>Еще фото</v>
      </c>
      <c r="F5163" s="28" t="s">
        <v>138</v>
      </c>
      <c r="G5163" s="11" t="s">
        <v>4404</v>
      </c>
      <c r="H5163" s="11" t="s">
        <v>27</v>
      </c>
      <c r="I5163" s="14" t="s">
        <v>4404</v>
      </c>
      <c r="J5163" s="14" t="s">
        <v>29</v>
      </c>
      <c r="K5163" s="15" t="s">
        <v>30</v>
      </c>
      <c r="L5163" s="57" t="s">
        <v>4564</v>
      </c>
      <c r="M5163" s="14"/>
      <c r="N5163" s="14" t="s">
        <v>62</v>
      </c>
      <c r="O5163" s="14"/>
      <c r="P5163" s="15" t="s">
        <v>120</v>
      </c>
      <c r="Q5163" s="16">
        <v>4199</v>
      </c>
      <c r="R5163" s="17">
        <v>40</v>
      </c>
      <c r="S5163" s="18">
        <v>2897.31</v>
      </c>
      <c r="T5163" s="19" t="s">
        <v>36</v>
      </c>
      <c r="U5163" s="20" t="s">
        <v>37</v>
      </c>
      <c r="V5163" s="21" t="s">
        <v>38</v>
      </c>
      <c r="W5163" s="22">
        <v>1</v>
      </c>
      <c r="X5163" s="23"/>
    </row>
    <row r="5164" spans="1:24" s="1" customFormat="1" ht="21" customHeight="1" x14ac:dyDescent="0.3">
      <c r="A5164" s="24" t="s">
        <v>23</v>
      </c>
      <c r="B5164" s="24" t="s">
        <v>4443</v>
      </c>
      <c r="C5164" s="27" t="s">
        <v>4565</v>
      </c>
      <c r="D5164" s="60"/>
      <c r="E5164" s="41" t="str">
        <f>HYPERLINK("https://www.google.ru/search?q=1379779-025&amp;newwindow=1&amp;tbm=isch","Еще фото")</f>
        <v>Еще фото</v>
      </c>
      <c r="F5164" s="28" t="s">
        <v>138</v>
      </c>
      <c r="G5164" s="24" t="s">
        <v>4404</v>
      </c>
      <c r="H5164" s="24" t="s">
        <v>27</v>
      </c>
      <c r="I5164" s="24" t="s">
        <v>4404</v>
      </c>
      <c r="J5164" s="14" t="s">
        <v>29</v>
      </c>
      <c r="K5164" s="15" t="s">
        <v>30</v>
      </c>
      <c r="L5164" s="62"/>
      <c r="M5164" s="14"/>
      <c r="N5164" s="14" t="s">
        <v>62</v>
      </c>
      <c r="O5164" s="14"/>
      <c r="P5164" s="15" t="s">
        <v>120</v>
      </c>
      <c r="Q5164" s="16">
        <v>4199</v>
      </c>
      <c r="R5164" s="17">
        <v>40</v>
      </c>
      <c r="S5164" s="18">
        <v>2897.31</v>
      </c>
      <c r="T5164" s="19" t="s">
        <v>36</v>
      </c>
      <c r="U5164" s="20" t="s">
        <v>39</v>
      </c>
      <c r="V5164" s="21" t="s">
        <v>40</v>
      </c>
      <c r="W5164" s="22">
        <v>15</v>
      </c>
      <c r="X5164" s="23"/>
    </row>
    <row r="5165" spans="1:24" s="1" customFormat="1" ht="21" customHeight="1" x14ac:dyDescent="0.3">
      <c r="A5165" s="24" t="s">
        <v>23</v>
      </c>
      <c r="B5165" s="24" t="s">
        <v>4443</v>
      </c>
      <c r="C5165" s="27" t="s">
        <v>4565</v>
      </c>
      <c r="D5165" s="60"/>
      <c r="E5165" s="41" t="str">
        <f>HYPERLINK("https://www.google.ru/search?q=1379779-025&amp;newwindow=1&amp;tbm=isch","Еще фото")</f>
        <v>Еще фото</v>
      </c>
      <c r="F5165" s="28" t="s">
        <v>138</v>
      </c>
      <c r="G5165" s="24" t="s">
        <v>4404</v>
      </c>
      <c r="H5165" s="24" t="s">
        <v>27</v>
      </c>
      <c r="I5165" s="24" t="s">
        <v>4404</v>
      </c>
      <c r="J5165" s="14" t="s">
        <v>29</v>
      </c>
      <c r="K5165" s="15" t="s">
        <v>30</v>
      </c>
      <c r="L5165" s="62"/>
      <c r="M5165" s="14"/>
      <c r="N5165" s="14" t="s">
        <v>62</v>
      </c>
      <c r="O5165" s="14"/>
      <c r="P5165" s="15" t="s">
        <v>120</v>
      </c>
      <c r="Q5165" s="16">
        <v>4199</v>
      </c>
      <c r="R5165" s="17">
        <v>40</v>
      </c>
      <c r="S5165" s="18">
        <v>2897.31</v>
      </c>
      <c r="T5165" s="19" t="s">
        <v>36</v>
      </c>
      <c r="U5165" s="20" t="s">
        <v>86</v>
      </c>
      <c r="V5165" s="21" t="s">
        <v>87</v>
      </c>
      <c r="W5165" s="22">
        <v>3</v>
      </c>
      <c r="X5165" s="23"/>
    </row>
    <row r="5166" spans="1:24" s="1" customFormat="1" ht="21" customHeight="1" x14ac:dyDescent="0.3">
      <c r="A5166" s="24" t="s">
        <v>23</v>
      </c>
      <c r="B5166" s="24" t="s">
        <v>4443</v>
      </c>
      <c r="C5166" s="27" t="s">
        <v>4565</v>
      </c>
      <c r="D5166" s="60"/>
      <c r="E5166" s="41" t="str">
        <f>HYPERLINK("https://www.google.ru/search?q=1379779-025&amp;newwindow=1&amp;tbm=isch","Еще фото")</f>
        <v>Еще фото</v>
      </c>
      <c r="F5166" s="28" t="s">
        <v>138</v>
      </c>
      <c r="G5166" s="24" t="s">
        <v>4404</v>
      </c>
      <c r="H5166" s="24" t="s">
        <v>27</v>
      </c>
      <c r="I5166" s="24" t="s">
        <v>4404</v>
      </c>
      <c r="J5166" s="14" t="s">
        <v>29</v>
      </c>
      <c r="K5166" s="15" t="s">
        <v>30</v>
      </c>
      <c r="L5166" s="62"/>
      <c r="M5166" s="14"/>
      <c r="N5166" s="14" t="s">
        <v>62</v>
      </c>
      <c r="O5166" s="14"/>
      <c r="P5166" s="15" t="s">
        <v>120</v>
      </c>
      <c r="Q5166" s="16">
        <v>4199</v>
      </c>
      <c r="R5166" s="17">
        <v>40</v>
      </c>
      <c r="S5166" s="18">
        <v>2897.31</v>
      </c>
      <c r="T5166" s="19" t="s">
        <v>36</v>
      </c>
      <c r="U5166" s="20" t="s">
        <v>88</v>
      </c>
      <c r="V5166" s="21" t="s">
        <v>89</v>
      </c>
      <c r="W5166" s="22">
        <v>1</v>
      </c>
      <c r="X5166" s="23"/>
    </row>
    <row r="5167" spans="1:24" s="1" customFormat="1" ht="32" customHeight="1" x14ac:dyDescent="0.3">
      <c r="A5167" s="24" t="s">
        <v>23</v>
      </c>
      <c r="B5167" s="24" t="s">
        <v>4443</v>
      </c>
      <c r="C5167" s="27" t="s">
        <v>4565</v>
      </c>
      <c r="D5167" s="61"/>
      <c r="E5167" s="41" t="str">
        <f>HYPERLINK("https://www.google.ru/search?q=1379779-025&amp;newwindow=1&amp;tbm=isch","Еще фото")</f>
        <v>Еще фото</v>
      </c>
      <c r="F5167" s="28" t="s">
        <v>138</v>
      </c>
      <c r="G5167" s="24" t="s">
        <v>4404</v>
      </c>
      <c r="H5167" s="24" t="s">
        <v>27</v>
      </c>
      <c r="I5167" s="24" t="s">
        <v>4404</v>
      </c>
      <c r="J5167" s="14" t="s">
        <v>29</v>
      </c>
      <c r="K5167" s="15" t="s">
        <v>30</v>
      </c>
      <c r="L5167" s="58"/>
      <c r="M5167" s="14"/>
      <c r="N5167" s="14" t="s">
        <v>62</v>
      </c>
      <c r="O5167" s="14"/>
      <c r="P5167" s="15" t="s">
        <v>120</v>
      </c>
      <c r="Q5167" s="16">
        <v>4199</v>
      </c>
      <c r="R5167" s="17">
        <v>40</v>
      </c>
      <c r="S5167" s="18">
        <v>2897.31</v>
      </c>
      <c r="T5167" s="19" t="s">
        <v>36</v>
      </c>
      <c r="U5167" s="20" t="s">
        <v>90</v>
      </c>
      <c r="V5167" s="21" t="s">
        <v>91</v>
      </c>
      <c r="W5167" s="22">
        <v>5</v>
      </c>
      <c r="X5167" s="23"/>
    </row>
    <row r="5168" spans="1:24" s="1" customFormat="1" ht="108" customHeight="1" x14ac:dyDescent="0.3">
      <c r="A5168" s="11" t="s">
        <v>23</v>
      </c>
      <c r="B5168" s="11" t="s">
        <v>4443</v>
      </c>
      <c r="C5168" s="12" t="s">
        <v>4566</v>
      </c>
      <c r="D5168" s="25"/>
      <c r="E5168" s="41" t="str">
        <f>HYPERLINK("https://www.google.ru/search?q=1379779-410&amp;newwindow=1&amp;tbm=isch","Еще фото")</f>
        <v>Еще фото</v>
      </c>
      <c r="F5168" s="28" t="s">
        <v>138</v>
      </c>
      <c r="G5168" s="11" t="s">
        <v>4404</v>
      </c>
      <c r="H5168" s="11" t="s">
        <v>27</v>
      </c>
      <c r="I5168" s="14" t="s">
        <v>4404</v>
      </c>
      <c r="J5168" s="14" t="s">
        <v>29</v>
      </c>
      <c r="K5168" s="15" t="s">
        <v>30</v>
      </c>
      <c r="L5168" s="14" t="s">
        <v>4564</v>
      </c>
      <c r="M5168" s="14"/>
      <c r="N5168" s="14" t="s">
        <v>115</v>
      </c>
      <c r="O5168" s="14"/>
      <c r="P5168" s="15" t="s">
        <v>120</v>
      </c>
      <c r="Q5168" s="16">
        <v>4199</v>
      </c>
      <c r="R5168" s="17">
        <v>40</v>
      </c>
      <c r="S5168" s="18">
        <v>2897.31</v>
      </c>
      <c r="T5168" s="19" t="s">
        <v>36</v>
      </c>
      <c r="U5168" s="20" t="s">
        <v>39</v>
      </c>
      <c r="V5168" s="21" t="s">
        <v>40</v>
      </c>
      <c r="W5168" s="22">
        <v>1</v>
      </c>
      <c r="X5168" s="23"/>
    </row>
    <row r="5169" spans="1:24" s="1" customFormat="1" ht="21" customHeight="1" x14ac:dyDescent="0.3">
      <c r="A5169" s="11" t="s">
        <v>23</v>
      </c>
      <c r="B5169" s="11" t="s">
        <v>4567</v>
      </c>
      <c r="C5169" s="26" t="s">
        <v>4568</v>
      </c>
      <c r="D5169" s="59"/>
      <c r="E5169" s="41" t="str">
        <f>HYPERLINK("https://www.google.ru/search?q=1379809-001&amp;newwindow=1&amp;tbm=isch","Еще фото")</f>
        <v>Еще фото</v>
      </c>
      <c r="F5169" s="13"/>
      <c r="G5169" s="11" t="s">
        <v>4404</v>
      </c>
      <c r="H5169" s="11" t="s">
        <v>27</v>
      </c>
      <c r="I5169" s="14" t="s">
        <v>4404</v>
      </c>
      <c r="J5169" s="14" t="s">
        <v>29</v>
      </c>
      <c r="K5169" s="15" t="s">
        <v>30</v>
      </c>
      <c r="L5169" s="57" t="s">
        <v>4569</v>
      </c>
      <c r="M5169" s="14"/>
      <c r="N5169" s="14" t="s">
        <v>33</v>
      </c>
      <c r="O5169" s="14"/>
      <c r="P5169" s="15" t="s">
        <v>542</v>
      </c>
      <c r="Q5169" s="16">
        <v>7199</v>
      </c>
      <c r="R5169" s="17">
        <v>40</v>
      </c>
      <c r="S5169" s="18">
        <v>4967.3099999999995</v>
      </c>
      <c r="T5169" s="19" t="s">
        <v>36</v>
      </c>
      <c r="U5169" s="20" t="s">
        <v>37</v>
      </c>
      <c r="V5169" s="21" t="s">
        <v>38</v>
      </c>
      <c r="W5169" s="22">
        <v>9</v>
      </c>
      <c r="X5169" s="23"/>
    </row>
    <row r="5170" spans="1:24" s="1" customFormat="1" ht="21" customHeight="1" x14ac:dyDescent="0.3">
      <c r="A5170" s="24" t="s">
        <v>23</v>
      </c>
      <c r="B5170" s="24" t="s">
        <v>4567</v>
      </c>
      <c r="C5170" s="27" t="s">
        <v>4568</v>
      </c>
      <c r="D5170" s="60"/>
      <c r="E5170" s="41" t="str">
        <f>HYPERLINK("https://www.google.ru/search?q=1379809-001&amp;newwindow=1&amp;tbm=isch","Еще фото")</f>
        <v>Еще фото</v>
      </c>
      <c r="F5170" s="13"/>
      <c r="G5170" s="24" t="s">
        <v>4404</v>
      </c>
      <c r="H5170" s="24" t="s">
        <v>27</v>
      </c>
      <c r="I5170" s="24" t="s">
        <v>4404</v>
      </c>
      <c r="J5170" s="14" t="s">
        <v>29</v>
      </c>
      <c r="K5170" s="15" t="s">
        <v>30</v>
      </c>
      <c r="L5170" s="62"/>
      <c r="M5170" s="14"/>
      <c r="N5170" s="14" t="s">
        <v>33</v>
      </c>
      <c r="O5170" s="14"/>
      <c r="P5170" s="15" t="s">
        <v>542</v>
      </c>
      <c r="Q5170" s="16">
        <v>7199</v>
      </c>
      <c r="R5170" s="17">
        <v>40</v>
      </c>
      <c r="S5170" s="18">
        <v>4967.3099999999995</v>
      </c>
      <c r="T5170" s="19" t="s">
        <v>36</v>
      </c>
      <c r="U5170" s="20" t="s">
        <v>39</v>
      </c>
      <c r="V5170" s="21" t="s">
        <v>40</v>
      </c>
      <c r="W5170" s="22">
        <v>19</v>
      </c>
      <c r="X5170" s="23"/>
    </row>
    <row r="5171" spans="1:24" s="1" customFormat="1" ht="21" customHeight="1" x14ac:dyDescent="0.3">
      <c r="A5171" s="24" t="s">
        <v>23</v>
      </c>
      <c r="B5171" s="24" t="s">
        <v>4567</v>
      </c>
      <c r="C5171" s="27" t="s">
        <v>4568</v>
      </c>
      <c r="D5171" s="60"/>
      <c r="E5171" s="41" t="str">
        <f>HYPERLINK("https://www.google.ru/search?q=1379809-001&amp;newwindow=1&amp;tbm=isch","Еще фото")</f>
        <v>Еще фото</v>
      </c>
      <c r="F5171" s="13"/>
      <c r="G5171" s="24" t="s">
        <v>4404</v>
      </c>
      <c r="H5171" s="24" t="s">
        <v>27</v>
      </c>
      <c r="I5171" s="24" t="s">
        <v>4404</v>
      </c>
      <c r="J5171" s="14" t="s">
        <v>29</v>
      </c>
      <c r="K5171" s="15" t="s">
        <v>30</v>
      </c>
      <c r="L5171" s="62"/>
      <c r="M5171" s="14"/>
      <c r="N5171" s="14" t="s">
        <v>33</v>
      </c>
      <c r="O5171" s="14"/>
      <c r="P5171" s="15" t="s">
        <v>542</v>
      </c>
      <c r="Q5171" s="16">
        <v>7199</v>
      </c>
      <c r="R5171" s="17">
        <v>40</v>
      </c>
      <c r="S5171" s="18">
        <v>4967.3099999999995</v>
      </c>
      <c r="T5171" s="19" t="s">
        <v>36</v>
      </c>
      <c r="U5171" s="20" t="s">
        <v>86</v>
      </c>
      <c r="V5171" s="21" t="s">
        <v>87</v>
      </c>
      <c r="W5171" s="22">
        <v>17</v>
      </c>
      <c r="X5171" s="23"/>
    </row>
    <row r="5172" spans="1:24" s="1" customFormat="1" ht="21" customHeight="1" x14ac:dyDescent="0.3">
      <c r="A5172" s="24" t="s">
        <v>23</v>
      </c>
      <c r="B5172" s="24" t="s">
        <v>4567</v>
      </c>
      <c r="C5172" s="27" t="s">
        <v>4568</v>
      </c>
      <c r="D5172" s="60"/>
      <c r="E5172" s="41" t="str">
        <f>HYPERLINK("https://www.google.ru/search?q=1379809-001&amp;newwindow=1&amp;tbm=isch","Еще фото")</f>
        <v>Еще фото</v>
      </c>
      <c r="F5172" s="13"/>
      <c r="G5172" s="24" t="s">
        <v>4404</v>
      </c>
      <c r="H5172" s="24" t="s">
        <v>27</v>
      </c>
      <c r="I5172" s="24" t="s">
        <v>4404</v>
      </c>
      <c r="J5172" s="14" t="s">
        <v>29</v>
      </c>
      <c r="K5172" s="15" t="s">
        <v>30</v>
      </c>
      <c r="L5172" s="62"/>
      <c r="M5172" s="14"/>
      <c r="N5172" s="14" t="s">
        <v>33</v>
      </c>
      <c r="O5172" s="14"/>
      <c r="P5172" s="15" t="s">
        <v>542</v>
      </c>
      <c r="Q5172" s="16">
        <v>7199</v>
      </c>
      <c r="R5172" s="17">
        <v>40</v>
      </c>
      <c r="S5172" s="18">
        <v>4967.3099999999995</v>
      </c>
      <c r="T5172" s="19" t="s">
        <v>36</v>
      </c>
      <c r="U5172" s="20" t="s">
        <v>88</v>
      </c>
      <c r="V5172" s="21" t="s">
        <v>89</v>
      </c>
      <c r="W5172" s="22">
        <v>13</v>
      </c>
      <c r="X5172" s="23"/>
    </row>
    <row r="5173" spans="1:24" s="1" customFormat="1" ht="32" customHeight="1" x14ac:dyDescent="0.3">
      <c r="A5173" s="24" t="s">
        <v>23</v>
      </c>
      <c r="B5173" s="24" t="s">
        <v>4567</v>
      </c>
      <c r="C5173" s="27" t="s">
        <v>4568</v>
      </c>
      <c r="D5173" s="61"/>
      <c r="E5173" s="41" t="str">
        <f>HYPERLINK("https://www.google.ru/search?q=1379809-001&amp;newwindow=1&amp;tbm=isch","Еще фото")</f>
        <v>Еще фото</v>
      </c>
      <c r="F5173" s="13"/>
      <c r="G5173" s="24" t="s">
        <v>4404</v>
      </c>
      <c r="H5173" s="24" t="s">
        <v>27</v>
      </c>
      <c r="I5173" s="24" t="s">
        <v>4404</v>
      </c>
      <c r="J5173" s="14" t="s">
        <v>29</v>
      </c>
      <c r="K5173" s="15" t="s">
        <v>30</v>
      </c>
      <c r="L5173" s="58"/>
      <c r="M5173" s="14"/>
      <c r="N5173" s="14" t="s">
        <v>33</v>
      </c>
      <c r="O5173" s="14"/>
      <c r="P5173" s="15" t="s">
        <v>542</v>
      </c>
      <c r="Q5173" s="16">
        <v>7199</v>
      </c>
      <c r="R5173" s="17">
        <v>40</v>
      </c>
      <c r="S5173" s="18">
        <v>4967.3099999999995</v>
      </c>
      <c r="T5173" s="19" t="s">
        <v>36</v>
      </c>
      <c r="U5173" s="20" t="s">
        <v>90</v>
      </c>
      <c r="V5173" s="21" t="s">
        <v>91</v>
      </c>
      <c r="W5173" s="22">
        <v>11</v>
      </c>
      <c r="X5173" s="23"/>
    </row>
    <row r="5174" spans="1:24" s="1" customFormat="1" ht="35" customHeight="1" x14ac:dyDescent="0.3">
      <c r="A5174" s="11" t="s">
        <v>23</v>
      </c>
      <c r="B5174" s="11" t="s">
        <v>4567</v>
      </c>
      <c r="C5174" s="12" t="s">
        <v>4570</v>
      </c>
      <c r="D5174" s="59"/>
      <c r="E5174" s="41" t="str">
        <f>HYPERLINK("https://www.google.ru/search?q=1379809-348&amp;newwindow=1&amp;tbm=isch","Еще фото")</f>
        <v>Еще фото</v>
      </c>
      <c r="F5174" s="13"/>
      <c r="G5174" s="11" t="s">
        <v>4404</v>
      </c>
      <c r="H5174" s="11" t="s">
        <v>27</v>
      </c>
      <c r="I5174" s="14" t="s">
        <v>4404</v>
      </c>
      <c r="J5174" s="14" t="s">
        <v>43</v>
      </c>
      <c r="K5174" s="15" t="s">
        <v>30</v>
      </c>
      <c r="L5174" s="57" t="s">
        <v>4569</v>
      </c>
      <c r="M5174" s="14"/>
      <c r="N5174" s="14" t="s">
        <v>127</v>
      </c>
      <c r="O5174" s="14"/>
      <c r="P5174" s="15" t="s">
        <v>542</v>
      </c>
      <c r="Q5174" s="16">
        <v>7999</v>
      </c>
      <c r="R5174" s="17">
        <v>40</v>
      </c>
      <c r="S5174" s="18">
        <v>5519.3099999999995</v>
      </c>
      <c r="T5174" s="19" t="s">
        <v>36</v>
      </c>
      <c r="U5174" s="20" t="s">
        <v>37</v>
      </c>
      <c r="V5174" s="21" t="s">
        <v>38</v>
      </c>
      <c r="W5174" s="22">
        <v>4</v>
      </c>
      <c r="X5174" s="23"/>
    </row>
    <row r="5175" spans="1:24" s="1" customFormat="1" ht="35" customHeight="1" x14ac:dyDescent="0.3">
      <c r="A5175" s="24" t="s">
        <v>23</v>
      </c>
      <c r="B5175" s="24" t="s">
        <v>4567</v>
      </c>
      <c r="C5175" s="12" t="s">
        <v>4570</v>
      </c>
      <c r="D5175" s="60"/>
      <c r="E5175" s="41" t="str">
        <f>HYPERLINK("https://www.google.ru/search?q=1379809-348&amp;newwindow=1&amp;tbm=isch","Еще фото")</f>
        <v>Еще фото</v>
      </c>
      <c r="F5175" s="13"/>
      <c r="G5175" s="24" t="s">
        <v>4404</v>
      </c>
      <c r="H5175" s="24" t="s">
        <v>27</v>
      </c>
      <c r="I5175" s="24" t="s">
        <v>4404</v>
      </c>
      <c r="J5175" s="14" t="s">
        <v>43</v>
      </c>
      <c r="K5175" s="15" t="s">
        <v>30</v>
      </c>
      <c r="L5175" s="62"/>
      <c r="M5175" s="14"/>
      <c r="N5175" s="14" t="s">
        <v>127</v>
      </c>
      <c r="O5175" s="14"/>
      <c r="P5175" s="15" t="s">
        <v>542</v>
      </c>
      <c r="Q5175" s="16">
        <v>7999</v>
      </c>
      <c r="R5175" s="17">
        <v>40</v>
      </c>
      <c r="S5175" s="18">
        <v>5519.3099999999995</v>
      </c>
      <c r="T5175" s="19" t="s">
        <v>36</v>
      </c>
      <c r="U5175" s="20" t="s">
        <v>39</v>
      </c>
      <c r="V5175" s="21" t="s">
        <v>40</v>
      </c>
      <c r="W5175" s="22">
        <v>3</v>
      </c>
      <c r="X5175" s="23"/>
    </row>
    <row r="5176" spans="1:24" s="1" customFormat="1" ht="37.049999999999997" customHeight="1" x14ac:dyDescent="0.3">
      <c r="A5176" s="24" t="s">
        <v>23</v>
      </c>
      <c r="B5176" s="24" t="s">
        <v>4567</v>
      </c>
      <c r="C5176" s="12" t="s">
        <v>4570</v>
      </c>
      <c r="D5176" s="61"/>
      <c r="E5176" s="41" t="str">
        <f>HYPERLINK("https://www.google.ru/search?q=1379809-348&amp;newwindow=1&amp;tbm=isch","Еще фото")</f>
        <v>Еще фото</v>
      </c>
      <c r="F5176" s="13"/>
      <c r="G5176" s="24" t="s">
        <v>4404</v>
      </c>
      <c r="H5176" s="24" t="s">
        <v>27</v>
      </c>
      <c r="I5176" s="24" t="s">
        <v>4404</v>
      </c>
      <c r="J5176" s="14" t="s">
        <v>43</v>
      </c>
      <c r="K5176" s="15" t="s">
        <v>30</v>
      </c>
      <c r="L5176" s="58"/>
      <c r="M5176" s="14"/>
      <c r="N5176" s="14" t="s">
        <v>127</v>
      </c>
      <c r="O5176" s="14"/>
      <c r="P5176" s="15" t="s">
        <v>542</v>
      </c>
      <c r="Q5176" s="16">
        <v>7999</v>
      </c>
      <c r="R5176" s="17">
        <v>40</v>
      </c>
      <c r="S5176" s="18">
        <v>5519.3099999999995</v>
      </c>
      <c r="T5176" s="19" t="s">
        <v>36</v>
      </c>
      <c r="U5176" s="20" t="s">
        <v>86</v>
      </c>
      <c r="V5176" s="21" t="s">
        <v>87</v>
      </c>
      <c r="W5176" s="22">
        <v>6</v>
      </c>
      <c r="X5176" s="23"/>
    </row>
    <row r="5177" spans="1:24" s="1" customFormat="1" ht="108" customHeight="1" x14ac:dyDescent="0.3">
      <c r="A5177" s="11" t="s">
        <v>23</v>
      </c>
      <c r="B5177" s="11" t="s">
        <v>4571</v>
      </c>
      <c r="C5177" s="12" t="s">
        <v>4572</v>
      </c>
      <c r="D5177" s="25"/>
      <c r="E5177" s="41" t="str">
        <f>HYPERLINK("https://www.google.ru/search?q=1380377-001&amp;newwindow=1&amp;tbm=isch","Еще фото")</f>
        <v>Еще фото</v>
      </c>
      <c r="F5177" s="13" t="s">
        <v>152</v>
      </c>
      <c r="G5177" s="11" t="s">
        <v>4404</v>
      </c>
      <c r="H5177" s="11" t="s">
        <v>27</v>
      </c>
      <c r="I5177" s="14" t="s">
        <v>4404</v>
      </c>
      <c r="J5177" s="14" t="s">
        <v>29</v>
      </c>
      <c r="K5177" s="15" t="s">
        <v>30</v>
      </c>
      <c r="L5177" s="14" t="s">
        <v>4573</v>
      </c>
      <c r="M5177" s="14"/>
      <c r="N5177" s="14" t="s">
        <v>33</v>
      </c>
      <c r="O5177" s="14"/>
      <c r="P5177" s="15" t="s">
        <v>120</v>
      </c>
      <c r="Q5177" s="16">
        <v>4799</v>
      </c>
      <c r="R5177" s="17">
        <v>40</v>
      </c>
      <c r="S5177" s="18">
        <v>3311.31</v>
      </c>
      <c r="T5177" s="19" t="s">
        <v>36</v>
      </c>
      <c r="U5177" s="20" t="s">
        <v>39</v>
      </c>
      <c r="V5177" s="21" t="s">
        <v>40</v>
      </c>
      <c r="W5177" s="22">
        <v>1</v>
      </c>
      <c r="X5177" s="23"/>
    </row>
    <row r="5178" spans="1:24" s="1" customFormat="1" ht="108" customHeight="1" x14ac:dyDescent="0.3">
      <c r="A5178" s="11" t="s">
        <v>23</v>
      </c>
      <c r="B5178" s="11" t="s">
        <v>4574</v>
      </c>
      <c r="C5178" s="12" t="s">
        <v>4575</v>
      </c>
      <c r="D5178" s="25"/>
      <c r="E5178" s="41" t="str">
        <f>HYPERLINK("https://www.google.ru/search?q=1380377-011&amp;newwindow=1&amp;tbm=isch","Еще фото")</f>
        <v>Еще фото</v>
      </c>
      <c r="F5178" s="13"/>
      <c r="G5178" s="11" t="s">
        <v>4404</v>
      </c>
      <c r="H5178" s="11" t="s">
        <v>27</v>
      </c>
      <c r="I5178" s="14" t="s">
        <v>4404</v>
      </c>
      <c r="J5178" s="14" t="s">
        <v>43</v>
      </c>
      <c r="K5178" s="15" t="s">
        <v>30</v>
      </c>
      <c r="L5178" s="14" t="s">
        <v>4573</v>
      </c>
      <c r="M5178" s="14"/>
      <c r="N5178" s="14" t="s">
        <v>62</v>
      </c>
      <c r="O5178" s="14"/>
      <c r="P5178" s="15" t="s">
        <v>120</v>
      </c>
      <c r="Q5178" s="16">
        <v>4899</v>
      </c>
      <c r="R5178" s="17">
        <v>40</v>
      </c>
      <c r="S5178" s="18">
        <v>3380.31</v>
      </c>
      <c r="T5178" s="19" t="s">
        <v>36</v>
      </c>
      <c r="U5178" s="20" t="s">
        <v>39</v>
      </c>
      <c r="V5178" s="21" t="s">
        <v>40</v>
      </c>
      <c r="W5178" s="22">
        <v>3</v>
      </c>
      <c r="X5178" s="23"/>
    </row>
    <row r="5179" spans="1:24" s="1" customFormat="1" ht="52.05" customHeight="1" x14ac:dyDescent="0.3">
      <c r="A5179" s="11" t="s">
        <v>23</v>
      </c>
      <c r="B5179" s="11" t="s">
        <v>4571</v>
      </c>
      <c r="C5179" s="12" t="s">
        <v>4576</v>
      </c>
      <c r="D5179" s="55"/>
      <c r="E5179" s="41" t="str">
        <f>HYPERLINK("https://www.google.ru/search?q=1380377-410&amp;newwindow=1&amp;tbm=isch","Еще фото")</f>
        <v>Еще фото</v>
      </c>
      <c r="F5179" s="13"/>
      <c r="G5179" s="11" t="s">
        <v>4404</v>
      </c>
      <c r="H5179" s="11" t="s">
        <v>27</v>
      </c>
      <c r="I5179" s="14" t="s">
        <v>4404</v>
      </c>
      <c r="J5179" s="14" t="s">
        <v>29</v>
      </c>
      <c r="K5179" s="15" t="s">
        <v>30</v>
      </c>
      <c r="L5179" s="57" t="s">
        <v>4573</v>
      </c>
      <c r="M5179" s="14"/>
      <c r="N5179" s="14" t="s">
        <v>115</v>
      </c>
      <c r="O5179" s="14"/>
      <c r="P5179" s="15" t="s">
        <v>120</v>
      </c>
      <c r="Q5179" s="16">
        <v>5399</v>
      </c>
      <c r="R5179" s="17">
        <v>40</v>
      </c>
      <c r="S5179" s="18">
        <v>3725.31</v>
      </c>
      <c r="T5179" s="19" t="s">
        <v>36</v>
      </c>
      <c r="U5179" s="20" t="s">
        <v>39</v>
      </c>
      <c r="V5179" s="21" t="s">
        <v>40</v>
      </c>
      <c r="W5179" s="22">
        <v>3</v>
      </c>
      <c r="X5179" s="23"/>
    </row>
    <row r="5180" spans="1:24" s="1" customFormat="1" ht="61.05" customHeight="1" x14ac:dyDescent="0.3">
      <c r="A5180" s="24" t="s">
        <v>23</v>
      </c>
      <c r="B5180" s="24" t="s">
        <v>4571</v>
      </c>
      <c r="C5180" s="12" t="s">
        <v>4576</v>
      </c>
      <c r="D5180" s="56"/>
      <c r="E5180" s="41" t="str">
        <f>HYPERLINK("https://www.google.ru/search?q=1380377-410&amp;newwindow=1&amp;tbm=isch","Еще фото")</f>
        <v>Еще фото</v>
      </c>
      <c r="F5180" s="13"/>
      <c r="G5180" s="24" t="s">
        <v>4404</v>
      </c>
      <c r="H5180" s="24" t="s">
        <v>27</v>
      </c>
      <c r="I5180" s="24" t="s">
        <v>4404</v>
      </c>
      <c r="J5180" s="14" t="s">
        <v>29</v>
      </c>
      <c r="K5180" s="15" t="s">
        <v>30</v>
      </c>
      <c r="L5180" s="58"/>
      <c r="M5180" s="14"/>
      <c r="N5180" s="14" t="s">
        <v>115</v>
      </c>
      <c r="O5180" s="14"/>
      <c r="P5180" s="15" t="s">
        <v>120</v>
      </c>
      <c r="Q5180" s="16">
        <v>5399</v>
      </c>
      <c r="R5180" s="17">
        <v>40</v>
      </c>
      <c r="S5180" s="18">
        <v>3725.31</v>
      </c>
      <c r="T5180" s="19" t="s">
        <v>36</v>
      </c>
      <c r="U5180" s="20" t="s">
        <v>86</v>
      </c>
      <c r="V5180" s="21" t="s">
        <v>87</v>
      </c>
      <c r="W5180" s="22">
        <v>2</v>
      </c>
      <c r="X5180" s="23"/>
    </row>
    <row r="5181" spans="1:24" s="1" customFormat="1" ht="52.05" customHeight="1" x14ac:dyDescent="0.3">
      <c r="A5181" s="11" t="s">
        <v>23</v>
      </c>
      <c r="B5181" s="11" t="s">
        <v>4577</v>
      </c>
      <c r="C5181" s="12" t="s">
        <v>4578</v>
      </c>
      <c r="D5181" s="55"/>
      <c r="E5181" s="41" t="str">
        <f>HYPERLINK("https://www.google.ru/search?q=1382438-001&amp;newwindow=1&amp;tbm=isch","Еще фото")</f>
        <v>Еще фото</v>
      </c>
      <c r="F5181" s="13" t="s">
        <v>152</v>
      </c>
      <c r="G5181" s="11" t="s">
        <v>4404</v>
      </c>
      <c r="H5181" s="11" t="s">
        <v>27</v>
      </c>
      <c r="I5181" s="14" t="s">
        <v>4404</v>
      </c>
      <c r="J5181" s="14" t="s">
        <v>29</v>
      </c>
      <c r="K5181" s="15" t="s">
        <v>59</v>
      </c>
      <c r="L5181" s="57" t="s">
        <v>4579</v>
      </c>
      <c r="M5181" s="14"/>
      <c r="N5181" s="14" t="s">
        <v>33</v>
      </c>
      <c r="O5181" s="14"/>
      <c r="P5181" s="15" t="s">
        <v>47</v>
      </c>
      <c r="Q5181" s="16">
        <v>3399</v>
      </c>
      <c r="R5181" s="17">
        <v>40</v>
      </c>
      <c r="S5181" s="18">
        <v>2345.31</v>
      </c>
      <c r="T5181" s="19" t="s">
        <v>36</v>
      </c>
      <c r="U5181" s="20" t="s">
        <v>39</v>
      </c>
      <c r="V5181" s="21" t="s">
        <v>85</v>
      </c>
      <c r="W5181" s="22">
        <v>3</v>
      </c>
      <c r="X5181" s="23"/>
    </row>
    <row r="5182" spans="1:24" s="1" customFormat="1" ht="61.05" customHeight="1" x14ac:dyDescent="0.3">
      <c r="A5182" s="24" t="s">
        <v>23</v>
      </c>
      <c r="B5182" s="24" t="s">
        <v>4577</v>
      </c>
      <c r="C5182" s="12" t="s">
        <v>4578</v>
      </c>
      <c r="D5182" s="56"/>
      <c r="E5182" s="41" t="str">
        <f>HYPERLINK("https://www.google.ru/search?q=1382438-001&amp;newwindow=1&amp;tbm=isch","Еще фото")</f>
        <v>Еще фото</v>
      </c>
      <c r="F5182" s="13" t="s">
        <v>152</v>
      </c>
      <c r="G5182" s="24" t="s">
        <v>4404</v>
      </c>
      <c r="H5182" s="24" t="s">
        <v>27</v>
      </c>
      <c r="I5182" s="24" t="s">
        <v>4404</v>
      </c>
      <c r="J5182" s="14" t="s">
        <v>29</v>
      </c>
      <c r="K5182" s="15" t="s">
        <v>59</v>
      </c>
      <c r="L5182" s="58"/>
      <c r="M5182" s="14"/>
      <c r="N5182" s="14" t="s">
        <v>33</v>
      </c>
      <c r="O5182" s="14"/>
      <c r="P5182" s="15" t="s">
        <v>47</v>
      </c>
      <c r="Q5182" s="16">
        <v>3399</v>
      </c>
      <c r="R5182" s="17">
        <v>40</v>
      </c>
      <c r="S5182" s="18">
        <v>2345.31</v>
      </c>
      <c r="T5182" s="19" t="s">
        <v>36</v>
      </c>
      <c r="U5182" s="20" t="s">
        <v>86</v>
      </c>
      <c r="V5182" s="21" t="s">
        <v>38</v>
      </c>
      <c r="W5182" s="22">
        <v>1</v>
      </c>
      <c r="X5182" s="23"/>
    </row>
    <row r="5183" spans="1:24" s="1" customFormat="1" ht="26" customHeight="1" x14ac:dyDescent="0.3">
      <c r="A5183" s="11" t="s">
        <v>23</v>
      </c>
      <c r="B5183" s="11" t="s">
        <v>4580</v>
      </c>
      <c r="C5183" s="12" t="s">
        <v>4581</v>
      </c>
      <c r="D5183" s="59"/>
      <c r="E5183" s="41" t="str">
        <f>HYPERLINK("https://www.google.ru/search?q=1382438-520&amp;newwindow=1&amp;tbm=isch","Еще фото")</f>
        <v>Еще фото</v>
      </c>
      <c r="F5183" s="13"/>
      <c r="G5183" s="11" t="s">
        <v>4404</v>
      </c>
      <c r="H5183" s="11" t="s">
        <v>27</v>
      </c>
      <c r="I5183" s="14" t="s">
        <v>4404</v>
      </c>
      <c r="J5183" s="14" t="s">
        <v>29</v>
      </c>
      <c r="K5183" s="15" t="s">
        <v>59</v>
      </c>
      <c r="L5183" s="57" t="s">
        <v>4582</v>
      </c>
      <c r="M5183" s="14"/>
      <c r="N5183" s="14" t="s">
        <v>79</v>
      </c>
      <c r="O5183" s="14"/>
      <c r="P5183" s="15" t="s">
        <v>47</v>
      </c>
      <c r="Q5183" s="16">
        <v>3399</v>
      </c>
      <c r="R5183" s="17">
        <v>40</v>
      </c>
      <c r="S5183" s="18">
        <v>2345.31</v>
      </c>
      <c r="T5183" s="19" t="s">
        <v>36</v>
      </c>
      <c r="U5183" s="20" t="s">
        <v>63</v>
      </c>
      <c r="V5183" s="21" t="s">
        <v>64</v>
      </c>
      <c r="W5183" s="22">
        <v>13</v>
      </c>
      <c r="X5183" s="23"/>
    </row>
    <row r="5184" spans="1:24" s="1" customFormat="1" ht="26" customHeight="1" x14ac:dyDescent="0.3">
      <c r="A5184" s="24" t="s">
        <v>23</v>
      </c>
      <c r="B5184" s="24" t="s">
        <v>4580</v>
      </c>
      <c r="C5184" s="12" t="s">
        <v>4581</v>
      </c>
      <c r="D5184" s="60"/>
      <c r="E5184" s="41" t="str">
        <f>HYPERLINK("https://www.google.ru/search?q=1382438-520&amp;newwindow=1&amp;tbm=isch","Еще фото")</f>
        <v>Еще фото</v>
      </c>
      <c r="F5184" s="13"/>
      <c r="G5184" s="24" t="s">
        <v>4404</v>
      </c>
      <c r="H5184" s="24" t="s">
        <v>27</v>
      </c>
      <c r="I5184" s="24" t="s">
        <v>4404</v>
      </c>
      <c r="J5184" s="14" t="s">
        <v>29</v>
      </c>
      <c r="K5184" s="15" t="s">
        <v>59</v>
      </c>
      <c r="L5184" s="62"/>
      <c r="M5184" s="14"/>
      <c r="N5184" s="14" t="s">
        <v>79</v>
      </c>
      <c r="O5184" s="14"/>
      <c r="P5184" s="15" t="s">
        <v>47</v>
      </c>
      <c r="Q5184" s="16">
        <v>3399</v>
      </c>
      <c r="R5184" s="17">
        <v>40</v>
      </c>
      <c r="S5184" s="18">
        <v>2345.31</v>
      </c>
      <c r="T5184" s="19" t="s">
        <v>36</v>
      </c>
      <c r="U5184" s="20" t="s">
        <v>37</v>
      </c>
      <c r="V5184" s="21" t="s">
        <v>106</v>
      </c>
      <c r="W5184" s="22">
        <v>13</v>
      </c>
      <c r="X5184" s="23"/>
    </row>
    <row r="5185" spans="1:24" s="1" customFormat="1" ht="26" customHeight="1" x14ac:dyDescent="0.3">
      <c r="A5185" s="24" t="s">
        <v>23</v>
      </c>
      <c r="B5185" s="24" t="s">
        <v>4580</v>
      </c>
      <c r="C5185" s="12" t="s">
        <v>4581</v>
      </c>
      <c r="D5185" s="60"/>
      <c r="E5185" s="41" t="str">
        <f>HYPERLINK("https://www.google.ru/search?q=1382438-520&amp;newwindow=1&amp;tbm=isch","Еще фото")</f>
        <v>Еще фото</v>
      </c>
      <c r="F5185" s="13"/>
      <c r="G5185" s="24" t="s">
        <v>4404</v>
      </c>
      <c r="H5185" s="24" t="s">
        <v>27</v>
      </c>
      <c r="I5185" s="24" t="s">
        <v>4404</v>
      </c>
      <c r="J5185" s="14" t="s">
        <v>29</v>
      </c>
      <c r="K5185" s="15" t="s">
        <v>59</v>
      </c>
      <c r="L5185" s="62"/>
      <c r="M5185" s="14"/>
      <c r="N5185" s="14" t="s">
        <v>79</v>
      </c>
      <c r="O5185" s="14"/>
      <c r="P5185" s="15" t="s">
        <v>47</v>
      </c>
      <c r="Q5185" s="16">
        <v>3399</v>
      </c>
      <c r="R5185" s="17">
        <v>40</v>
      </c>
      <c r="S5185" s="18">
        <v>2345.31</v>
      </c>
      <c r="T5185" s="19" t="s">
        <v>36</v>
      </c>
      <c r="U5185" s="20" t="s">
        <v>39</v>
      </c>
      <c r="V5185" s="21" t="s">
        <v>85</v>
      </c>
      <c r="W5185" s="22">
        <v>10</v>
      </c>
      <c r="X5185" s="23"/>
    </row>
    <row r="5186" spans="1:24" s="1" customFormat="1" ht="26" customHeight="1" x14ac:dyDescent="0.3">
      <c r="A5186" s="24" t="s">
        <v>23</v>
      </c>
      <c r="B5186" s="24" t="s">
        <v>4580</v>
      </c>
      <c r="C5186" s="12" t="s">
        <v>4581</v>
      </c>
      <c r="D5186" s="61"/>
      <c r="E5186" s="41" t="str">
        <f>HYPERLINK("https://www.google.ru/search?q=1382438-520&amp;newwindow=1&amp;tbm=isch","Еще фото")</f>
        <v>Еще фото</v>
      </c>
      <c r="F5186" s="13"/>
      <c r="G5186" s="24" t="s">
        <v>4404</v>
      </c>
      <c r="H5186" s="24" t="s">
        <v>27</v>
      </c>
      <c r="I5186" s="24" t="s">
        <v>4404</v>
      </c>
      <c r="J5186" s="14" t="s">
        <v>29</v>
      </c>
      <c r="K5186" s="15" t="s">
        <v>59</v>
      </c>
      <c r="L5186" s="58"/>
      <c r="M5186" s="14"/>
      <c r="N5186" s="14" t="s">
        <v>79</v>
      </c>
      <c r="O5186" s="14"/>
      <c r="P5186" s="15" t="s">
        <v>47</v>
      </c>
      <c r="Q5186" s="16">
        <v>3399</v>
      </c>
      <c r="R5186" s="17">
        <v>40</v>
      </c>
      <c r="S5186" s="18">
        <v>2345.31</v>
      </c>
      <c r="T5186" s="19" t="s">
        <v>36</v>
      </c>
      <c r="U5186" s="20" t="s">
        <v>86</v>
      </c>
      <c r="V5186" s="21" t="s">
        <v>38</v>
      </c>
      <c r="W5186" s="22">
        <v>6</v>
      </c>
      <c r="X5186" s="23"/>
    </row>
    <row r="5187" spans="1:24" s="1" customFormat="1" ht="108" customHeight="1" x14ac:dyDescent="0.3">
      <c r="A5187" s="11" t="s">
        <v>23</v>
      </c>
      <c r="B5187" s="11" t="s">
        <v>4583</v>
      </c>
      <c r="C5187" s="12" t="s">
        <v>4584</v>
      </c>
      <c r="D5187" s="25"/>
      <c r="E5187" s="41" t="str">
        <f>HYPERLINK("https://www.google.ru/search?q=1382617-001&amp;newwindow=1&amp;tbm=isch","Еще фото")</f>
        <v>Еще фото</v>
      </c>
      <c r="F5187" s="13" t="s">
        <v>103</v>
      </c>
      <c r="G5187" s="11" t="s">
        <v>4404</v>
      </c>
      <c r="H5187" s="11" t="s">
        <v>27</v>
      </c>
      <c r="I5187" s="14" t="s">
        <v>4404</v>
      </c>
      <c r="J5187" s="14" t="s">
        <v>29</v>
      </c>
      <c r="K5187" s="15" t="s">
        <v>30</v>
      </c>
      <c r="L5187" s="14" t="s">
        <v>4585</v>
      </c>
      <c r="M5187" s="14"/>
      <c r="N5187" s="14" t="s">
        <v>33</v>
      </c>
      <c r="O5187" s="14"/>
      <c r="P5187" s="15" t="s">
        <v>47</v>
      </c>
      <c r="Q5187" s="16">
        <v>3199</v>
      </c>
      <c r="R5187" s="17">
        <v>40</v>
      </c>
      <c r="S5187" s="18">
        <v>2207.31</v>
      </c>
      <c r="T5187" s="19" t="s">
        <v>36</v>
      </c>
      <c r="U5187" s="20" t="s">
        <v>86</v>
      </c>
      <c r="V5187" s="21" t="s">
        <v>87</v>
      </c>
      <c r="W5187" s="22">
        <v>3</v>
      </c>
      <c r="X5187" s="23"/>
    </row>
    <row r="5188" spans="1:24" s="1" customFormat="1" ht="108" customHeight="1" x14ac:dyDescent="0.3">
      <c r="A5188" s="11" t="s">
        <v>23</v>
      </c>
      <c r="B5188" s="11" t="s">
        <v>4583</v>
      </c>
      <c r="C5188" s="12" t="s">
        <v>4586</v>
      </c>
      <c r="D5188" s="25"/>
      <c r="E5188" s="41" t="str">
        <f>HYPERLINK("https://www.google.ru/search?q=1382617-025&amp;newwindow=1&amp;tbm=isch","Еще фото")</f>
        <v>Еще фото</v>
      </c>
      <c r="F5188" s="13" t="s">
        <v>103</v>
      </c>
      <c r="G5188" s="11" t="s">
        <v>4404</v>
      </c>
      <c r="H5188" s="11" t="s">
        <v>27</v>
      </c>
      <c r="I5188" s="14" t="s">
        <v>4404</v>
      </c>
      <c r="J5188" s="14" t="s">
        <v>29</v>
      </c>
      <c r="K5188" s="15" t="s">
        <v>30</v>
      </c>
      <c r="L5188" s="14" t="s">
        <v>4585</v>
      </c>
      <c r="M5188" s="14"/>
      <c r="N5188" s="14" t="s">
        <v>62</v>
      </c>
      <c r="O5188" s="14"/>
      <c r="P5188" s="15" t="s">
        <v>47</v>
      </c>
      <c r="Q5188" s="16">
        <v>3399</v>
      </c>
      <c r="R5188" s="17">
        <v>40</v>
      </c>
      <c r="S5188" s="18">
        <v>2345.31</v>
      </c>
      <c r="T5188" s="19" t="s">
        <v>36</v>
      </c>
      <c r="U5188" s="20" t="s">
        <v>86</v>
      </c>
      <c r="V5188" s="21" t="s">
        <v>87</v>
      </c>
      <c r="W5188" s="22">
        <v>2</v>
      </c>
      <c r="X5188" s="23"/>
    </row>
    <row r="5189" spans="1:24" s="1" customFormat="1" ht="21" customHeight="1" x14ac:dyDescent="0.3">
      <c r="A5189" s="11" t="s">
        <v>23</v>
      </c>
      <c r="B5189" s="11" t="s">
        <v>4587</v>
      </c>
      <c r="C5189" s="26" t="s">
        <v>4588</v>
      </c>
      <c r="D5189" s="59"/>
      <c r="E5189" s="41" t="str">
        <f>HYPERLINK("https://www.google.ru/search?q=1382620-703&amp;newwindow=1&amp;tbm=isch","Еще фото")</f>
        <v>Еще фото</v>
      </c>
      <c r="F5189" s="13"/>
      <c r="G5189" s="11" t="s">
        <v>4404</v>
      </c>
      <c r="H5189" s="11" t="s">
        <v>27</v>
      </c>
      <c r="I5189" s="14" t="s">
        <v>4404</v>
      </c>
      <c r="J5189" s="14" t="s">
        <v>29</v>
      </c>
      <c r="K5189" s="15" t="s">
        <v>30</v>
      </c>
      <c r="L5189" s="57" t="s">
        <v>4589</v>
      </c>
      <c r="M5189" s="14"/>
      <c r="N5189" s="14" t="s">
        <v>46</v>
      </c>
      <c r="O5189" s="14"/>
      <c r="P5189" s="15" t="s">
        <v>47</v>
      </c>
      <c r="Q5189" s="16">
        <v>3299</v>
      </c>
      <c r="R5189" s="17">
        <v>40</v>
      </c>
      <c r="S5189" s="18">
        <v>2276.31</v>
      </c>
      <c r="T5189" s="19" t="s">
        <v>36</v>
      </c>
      <c r="U5189" s="20" t="s">
        <v>37</v>
      </c>
      <c r="V5189" s="21" t="s">
        <v>38</v>
      </c>
      <c r="W5189" s="22">
        <v>8</v>
      </c>
      <c r="X5189" s="23"/>
    </row>
    <row r="5190" spans="1:24" s="1" customFormat="1" ht="21" customHeight="1" x14ac:dyDescent="0.3">
      <c r="A5190" s="24" t="s">
        <v>23</v>
      </c>
      <c r="B5190" s="24" t="s">
        <v>4587</v>
      </c>
      <c r="C5190" s="27" t="s">
        <v>4588</v>
      </c>
      <c r="D5190" s="60"/>
      <c r="E5190" s="41" t="str">
        <f>HYPERLINK("https://www.google.ru/search?q=1382620-703&amp;newwindow=1&amp;tbm=isch","Еще фото")</f>
        <v>Еще фото</v>
      </c>
      <c r="F5190" s="13"/>
      <c r="G5190" s="24" t="s">
        <v>4404</v>
      </c>
      <c r="H5190" s="24" t="s">
        <v>27</v>
      </c>
      <c r="I5190" s="24" t="s">
        <v>4404</v>
      </c>
      <c r="J5190" s="14" t="s">
        <v>29</v>
      </c>
      <c r="K5190" s="15" t="s">
        <v>30</v>
      </c>
      <c r="L5190" s="62"/>
      <c r="M5190" s="14"/>
      <c r="N5190" s="14" t="s">
        <v>46</v>
      </c>
      <c r="O5190" s="14"/>
      <c r="P5190" s="15" t="s">
        <v>47</v>
      </c>
      <c r="Q5190" s="16">
        <v>3299</v>
      </c>
      <c r="R5190" s="17">
        <v>40</v>
      </c>
      <c r="S5190" s="18">
        <v>2276.31</v>
      </c>
      <c r="T5190" s="19" t="s">
        <v>36</v>
      </c>
      <c r="U5190" s="20" t="s">
        <v>39</v>
      </c>
      <c r="V5190" s="21" t="s">
        <v>40</v>
      </c>
      <c r="W5190" s="22">
        <v>16</v>
      </c>
      <c r="X5190" s="23"/>
    </row>
    <row r="5191" spans="1:24" s="1" customFormat="1" ht="21" customHeight="1" x14ac:dyDescent="0.3">
      <c r="A5191" s="24" t="s">
        <v>23</v>
      </c>
      <c r="B5191" s="24" t="s">
        <v>4587</v>
      </c>
      <c r="C5191" s="27" t="s">
        <v>4588</v>
      </c>
      <c r="D5191" s="60"/>
      <c r="E5191" s="41" t="str">
        <f>HYPERLINK("https://www.google.ru/search?q=1382620-703&amp;newwindow=1&amp;tbm=isch","Еще фото")</f>
        <v>Еще фото</v>
      </c>
      <c r="F5191" s="13"/>
      <c r="G5191" s="24" t="s">
        <v>4404</v>
      </c>
      <c r="H5191" s="24" t="s">
        <v>27</v>
      </c>
      <c r="I5191" s="24" t="s">
        <v>4404</v>
      </c>
      <c r="J5191" s="14" t="s">
        <v>29</v>
      </c>
      <c r="K5191" s="15" t="s">
        <v>30</v>
      </c>
      <c r="L5191" s="62"/>
      <c r="M5191" s="14"/>
      <c r="N5191" s="14" t="s">
        <v>46</v>
      </c>
      <c r="O5191" s="14"/>
      <c r="P5191" s="15" t="s">
        <v>47</v>
      </c>
      <c r="Q5191" s="16">
        <v>3299</v>
      </c>
      <c r="R5191" s="17">
        <v>40</v>
      </c>
      <c r="S5191" s="18">
        <v>2276.31</v>
      </c>
      <c r="T5191" s="19" t="s">
        <v>36</v>
      </c>
      <c r="U5191" s="20" t="s">
        <v>86</v>
      </c>
      <c r="V5191" s="21" t="s">
        <v>87</v>
      </c>
      <c r="W5191" s="22">
        <v>11</v>
      </c>
      <c r="X5191" s="23"/>
    </row>
    <row r="5192" spans="1:24" s="1" customFormat="1" ht="21" customHeight="1" x14ac:dyDescent="0.3">
      <c r="A5192" s="24" t="s">
        <v>23</v>
      </c>
      <c r="B5192" s="24" t="s">
        <v>4587</v>
      </c>
      <c r="C5192" s="27" t="s">
        <v>4588</v>
      </c>
      <c r="D5192" s="60"/>
      <c r="E5192" s="41" t="str">
        <f>HYPERLINK("https://www.google.ru/search?q=1382620-703&amp;newwindow=1&amp;tbm=isch","Еще фото")</f>
        <v>Еще фото</v>
      </c>
      <c r="F5192" s="13"/>
      <c r="G5192" s="24" t="s">
        <v>4404</v>
      </c>
      <c r="H5192" s="24" t="s">
        <v>27</v>
      </c>
      <c r="I5192" s="24" t="s">
        <v>4404</v>
      </c>
      <c r="J5192" s="14" t="s">
        <v>29</v>
      </c>
      <c r="K5192" s="15" t="s">
        <v>30</v>
      </c>
      <c r="L5192" s="62"/>
      <c r="M5192" s="14"/>
      <c r="N5192" s="14" t="s">
        <v>46</v>
      </c>
      <c r="O5192" s="14"/>
      <c r="P5192" s="15" t="s">
        <v>47</v>
      </c>
      <c r="Q5192" s="16">
        <v>3299</v>
      </c>
      <c r="R5192" s="17">
        <v>40</v>
      </c>
      <c r="S5192" s="18">
        <v>2276.31</v>
      </c>
      <c r="T5192" s="19" t="s">
        <v>36</v>
      </c>
      <c r="U5192" s="20" t="s">
        <v>88</v>
      </c>
      <c r="V5192" s="21" t="s">
        <v>89</v>
      </c>
      <c r="W5192" s="22">
        <v>8</v>
      </c>
      <c r="X5192" s="23"/>
    </row>
    <row r="5193" spans="1:24" s="1" customFormat="1" ht="32" customHeight="1" x14ac:dyDescent="0.3">
      <c r="A5193" s="24" t="s">
        <v>23</v>
      </c>
      <c r="B5193" s="24" t="s">
        <v>4587</v>
      </c>
      <c r="C5193" s="27" t="s">
        <v>4588</v>
      </c>
      <c r="D5193" s="61"/>
      <c r="E5193" s="41" t="str">
        <f>HYPERLINK("https://www.google.ru/search?q=1382620-703&amp;newwindow=1&amp;tbm=isch","Еще фото")</f>
        <v>Еще фото</v>
      </c>
      <c r="F5193" s="13"/>
      <c r="G5193" s="24" t="s">
        <v>4404</v>
      </c>
      <c r="H5193" s="24" t="s">
        <v>27</v>
      </c>
      <c r="I5193" s="24" t="s">
        <v>4404</v>
      </c>
      <c r="J5193" s="14" t="s">
        <v>29</v>
      </c>
      <c r="K5193" s="15" t="s">
        <v>30</v>
      </c>
      <c r="L5193" s="58"/>
      <c r="M5193" s="14"/>
      <c r="N5193" s="14" t="s">
        <v>46</v>
      </c>
      <c r="O5193" s="14"/>
      <c r="P5193" s="15" t="s">
        <v>47</v>
      </c>
      <c r="Q5193" s="16">
        <v>3299</v>
      </c>
      <c r="R5193" s="17">
        <v>40</v>
      </c>
      <c r="S5193" s="18">
        <v>2276.31</v>
      </c>
      <c r="T5193" s="19" t="s">
        <v>36</v>
      </c>
      <c r="U5193" s="20" t="s">
        <v>90</v>
      </c>
      <c r="V5193" s="21" t="s">
        <v>91</v>
      </c>
      <c r="W5193" s="22">
        <v>8</v>
      </c>
      <c r="X5193" s="23"/>
    </row>
    <row r="5194" spans="1:24" s="1" customFormat="1" ht="21" customHeight="1" x14ac:dyDescent="0.3">
      <c r="A5194" s="11" t="s">
        <v>23</v>
      </c>
      <c r="B5194" s="11" t="s">
        <v>4587</v>
      </c>
      <c r="C5194" s="26" t="s">
        <v>4590</v>
      </c>
      <c r="D5194" s="59"/>
      <c r="E5194" s="41" t="str">
        <f>HYPERLINK("https://www.google.ru/search?q=1382620-714&amp;newwindow=1&amp;tbm=isch","Еще фото")</f>
        <v>Еще фото</v>
      </c>
      <c r="F5194" s="13"/>
      <c r="G5194" s="11" t="s">
        <v>4404</v>
      </c>
      <c r="H5194" s="11" t="s">
        <v>27</v>
      </c>
      <c r="I5194" s="14" t="s">
        <v>4404</v>
      </c>
      <c r="J5194" s="14" t="s">
        <v>29</v>
      </c>
      <c r="K5194" s="15" t="s">
        <v>30</v>
      </c>
      <c r="L5194" s="57" t="s">
        <v>4591</v>
      </c>
      <c r="M5194" s="14"/>
      <c r="N5194" s="14" t="s">
        <v>198</v>
      </c>
      <c r="O5194" s="14"/>
      <c r="P5194" s="15" t="s">
        <v>47</v>
      </c>
      <c r="Q5194" s="16">
        <v>3299</v>
      </c>
      <c r="R5194" s="17">
        <v>40</v>
      </c>
      <c r="S5194" s="18">
        <v>2276.31</v>
      </c>
      <c r="T5194" s="19" t="s">
        <v>36</v>
      </c>
      <c r="U5194" s="20" t="s">
        <v>37</v>
      </c>
      <c r="V5194" s="21" t="s">
        <v>38</v>
      </c>
      <c r="W5194" s="22">
        <v>6</v>
      </c>
      <c r="X5194" s="23"/>
    </row>
    <row r="5195" spans="1:24" s="1" customFormat="1" ht="21" customHeight="1" x14ac:dyDescent="0.3">
      <c r="A5195" s="24" t="s">
        <v>23</v>
      </c>
      <c r="B5195" s="24" t="s">
        <v>4587</v>
      </c>
      <c r="C5195" s="27" t="s">
        <v>4590</v>
      </c>
      <c r="D5195" s="60"/>
      <c r="E5195" s="41" t="str">
        <f>HYPERLINK("https://www.google.ru/search?q=1382620-714&amp;newwindow=1&amp;tbm=isch","Еще фото")</f>
        <v>Еще фото</v>
      </c>
      <c r="F5195" s="13"/>
      <c r="G5195" s="24" t="s">
        <v>4404</v>
      </c>
      <c r="H5195" s="24" t="s">
        <v>27</v>
      </c>
      <c r="I5195" s="24" t="s">
        <v>4404</v>
      </c>
      <c r="J5195" s="14" t="s">
        <v>29</v>
      </c>
      <c r="K5195" s="15" t="s">
        <v>30</v>
      </c>
      <c r="L5195" s="62"/>
      <c r="M5195" s="14"/>
      <c r="N5195" s="14" t="s">
        <v>198</v>
      </c>
      <c r="O5195" s="14"/>
      <c r="P5195" s="15" t="s">
        <v>47</v>
      </c>
      <c r="Q5195" s="16">
        <v>3299</v>
      </c>
      <c r="R5195" s="17">
        <v>40</v>
      </c>
      <c r="S5195" s="18">
        <v>2276.31</v>
      </c>
      <c r="T5195" s="19" t="s">
        <v>36</v>
      </c>
      <c r="U5195" s="20" t="s">
        <v>39</v>
      </c>
      <c r="V5195" s="21" t="s">
        <v>40</v>
      </c>
      <c r="W5195" s="22">
        <v>13</v>
      </c>
      <c r="X5195" s="23"/>
    </row>
    <row r="5196" spans="1:24" s="1" customFormat="1" ht="21" customHeight="1" x14ac:dyDescent="0.3">
      <c r="A5196" s="24" t="s">
        <v>23</v>
      </c>
      <c r="B5196" s="24" t="s">
        <v>4587</v>
      </c>
      <c r="C5196" s="27" t="s">
        <v>4590</v>
      </c>
      <c r="D5196" s="60"/>
      <c r="E5196" s="41" t="str">
        <f>HYPERLINK("https://www.google.ru/search?q=1382620-714&amp;newwindow=1&amp;tbm=isch","Еще фото")</f>
        <v>Еще фото</v>
      </c>
      <c r="F5196" s="13"/>
      <c r="G5196" s="24" t="s">
        <v>4404</v>
      </c>
      <c r="H5196" s="24" t="s">
        <v>27</v>
      </c>
      <c r="I5196" s="24" t="s">
        <v>4404</v>
      </c>
      <c r="J5196" s="14" t="s">
        <v>29</v>
      </c>
      <c r="K5196" s="15" t="s">
        <v>30</v>
      </c>
      <c r="L5196" s="62"/>
      <c r="M5196" s="14"/>
      <c r="N5196" s="14" t="s">
        <v>198</v>
      </c>
      <c r="O5196" s="14"/>
      <c r="P5196" s="15" t="s">
        <v>47</v>
      </c>
      <c r="Q5196" s="16">
        <v>3299</v>
      </c>
      <c r="R5196" s="17">
        <v>40</v>
      </c>
      <c r="S5196" s="18">
        <v>2276.31</v>
      </c>
      <c r="T5196" s="19" t="s">
        <v>36</v>
      </c>
      <c r="U5196" s="20" t="s">
        <v>86</v>
      </c>
      <c r="V5196" s="21" t="s">
        <v>87</v>
      </c>
      <c r="W5196" s="22">
        <v>14</v>
      </c>
      <c r="X5196" s="23"/>
    </row>
    <row r="5197" spans="1:24" s="1" customFormat="1" ht="21" customHeight="1" x14ac:dyDescent="0.3">
      <c r="A5197" s="24" t="s">
        <v>23</v>
      </c>
      <c r="B5197" s="24" t="s">
        <v>4587</v>
      </c>
      <c r="C5197" s="27" t="s">
        <v>4590</v>
      </c>
      <c r="D5197" s="60"/>
      <c r="E5197" s="41" t="str">
        <f>HYPERLINK("https://www.google.ru/search?q=1382620-714&amp;newwindow=1&amp;tbm=isch","Еще фото")</f>
        <v>Еще фото</v>
      </c>
      <c r="F5197" s="13"/>
      <c r="G5197" s="24" t="s">
        <v>4404</v>
      </c>
      <c r="H5197" s="24" t="s">
        <v>27</v>
      </c>
      <c r="I5197" s="24" t="s">
        <v>4404</v>
      </c>
      <c r="J5197" s="14" t="s">
        <v>29</v>
      </c>
      <c r="K5197" s="15" t="s">
        <v>30</v>
      </c>
      <c r="L5197" s="62"/>
      <c r="M5197" s="14"/>
      <c r="N5197" s="14" t="s">
        <v>198</v>
      </c>
      <c r="O5197" s="14"/>
      <c r="P5197" s="15" t="s">
        <v>47</v>
      </c>
      <c r="Q5197" s="16">
        <v>3299</v>
      </c>
      <c r="R5197" s="17">
        <v>40</v>
      </c>
      <c r="S5197" s="18">
        <v>2276.31</v>
      </c>
      <c r="T5197" s="19" t="s">
        <v>36</v>
      </c>
      <c r="U5197" s="20" t="s">
        <v>88</v>
      </c>
      <c r="V5197" s="21" t="s">
        <v>89</v>
      </c>
      <c r="W5197" s="22">
        <v>12</v>
      </c>
      <c r="X5197" s="23"/>
    </row>
    <row r="5198" spans="1:24" s="1" customFormat="1" ht="32" customHeight="1" x14ac:dyDescent="0.3">
      <c r="A5198" s="24" t="s">
        <v>23</v>
      </c>
      <c r="B5198" s="24" t="s">
        <v>4587</v>
      </c>
      <c r="C5198" s="27" t="s">
        <v>4590</v>
      </c>
      <c r="D5198" s="61"/>
      <c r="E5198" s="41" t="str">
        <f>HYPERLINK("https://www.google.ru/search?q=1382620-714&amp;newwindow=1&amp;tbm=isch","Еще фото")</f>
        <v>Еще фото</v>
      </c>
      <c r="F5198" s="13"/>
      <c r="G5198" s="24" t="s">
        <v>4404</v>
      </c>
      <c r="H5198" s="24" t="s">
        <v>27</v>
      </c>
      <c r="I5198" s="24" t="s">
        <v>4404</v>
      </c>
      <c r="J5198" s="14" t="s">
        <v>29</v>
      </c>
      <c r="K5198" s="15" t="s">
        <v>30</v>
      </c>
      <c r="L5198" s="58"/>
      <c r="M5198" s="14"/>
      <c r="N5198" s="14" t="s">
        <v>198</v>
      </c>
      <c r="O5198" s="14"/>
      <c r="P5198" s="15" t="s">
        <v>47</v>
      </c>
      <c r="Q5198" s="16">
        <v>3299</v>
      </c>
      <c r="R5198" s="17">
        <v>40</v>
      </c>
      <c r="S5198" s="18">
        <v>2276.31</v>
      </c>
      <c r="T5198" s="19" t="s">
        <v>36</v>
      </c>
      <c r="U5198" s="20" t="s">
        <v>90</v>
      </c>
      <c r="V5198" s="21" t="s">
        <v>91</v>
      </c>
      <c r="W5198" s="22">
        <v>5</v>
      </c>
      <c r="X5198" s="23"/>
    </row>
    <row r="5199" spans="1:24" s="1" customFormat="1" ht="108" customHeight="1" x14ac:dyDescent="0.3">
      <c r="A5199" s="11" t="s">
        <v>23</v>
      </c>
      <c r="B5199" s="11" t="s">
        <v>4592</v>
      </c>
      <c r="C5199" s="12" t="s">
        <v>4593</v>
      </c>
      <c r="D5199" s="25"/>
      <c r="E5199" s="41" t="str">
        <f>HYPERLINK("https://www.google.ru/search?q=1382640-001&amp;newwindow=1&amp;tbm=isch","Еще фото")</f>
        <v>Еще фото</v>
      </c>
      <c r="F5199" s="13" t="s">
        <v>152</v>
      </c>
      <c r="G5199" s="11" t="s">
        <v>4404</v>
      </c>
      <c r="H5199" s="11" t="s">
        <v>27</v>
      </c>
      <c r="I5199" s="14" t="s">
        <v>4404</v>
      </c>
      <c r="J5199" s="14" t="s">
        <v>29</v>
      </c>
      <c r="K5199" s="15" t="s">
        <v>30</v>
      </c>
      <c r="L5199" s="14" t="s">
        <v>4594</v>
      </c>
      <c r="M5199" s="14"/>
      <c r="N5199" s="14" t="s">
        <v>33</v>
      </c>
      <c r="O5199" s="14"/>
      <c r="P5199" s="15" t="s">
        <v>47</v>
      </c>
      <c r="Q5199" s="16">
        <v>3699</v>
      </c>
      <c r="R5199" s="17">
        <v>40</v>
      </c>
      <c r="S5199" s="18">
        <v>2552.31</v>
      </c>
      <c r="T5199" s="19" t="s">
        <v>36</v>
      </c>
      <c r="U5199" s="20" t="s">
        <v>39</v>
      </c>
      <c r="V5199" s="21" t="s">
        <v>40</v>
      </c>
      <c r="W5199" s="22">
        <v>1</v>
      </c>
      <c r="X5199" s="23"/>
    </row>
    <row r="5200" spans="1:24" s="1" customFormat="1" ht="108" customHeight="1" x14ac:dyDescent="0.3">
      <c r="A5200" s="11" t="s">
        <v>23</v>
      </c>
      <c r="B5200" s="11" t="s">
        <v>4595</v>
      </c>
      <c r="C5200" s="12" t="s">
        <v>4596</v>
      </c>
      <c r="D5200" s="25"/>
      <c r="E5200" s="41" t="str">
        <f>HYPERLINK("https://www.google.ru/search?q=1382640-703&amp;newwindow=1&amp;tbm=isch","Еще фото")</f>
        <v>Еще фото</v>
      </c>
      <c r="F5200" s="13"/>
      <c r="G5200" s="11" t="s">
        <v>4404</v>
      </c>
      <c r="H5200" s="11" t="s">
        <v>27</v>
      </c>
      <c r="I5200" s="14" t="s">
        <v>4404</v>
      </c>
      <c r="J5200" s="14" t="s">
        <v>29</v>
      </c>
      <c r="K5200" s="15" t="s">
        <v>30</v>
      </c>
      <c r="L5200" s="14" t="s">
        <v>4597</v>
      </c>
      <c r="M5200" s="14"/>
      <c r="N5200" s="14" t="s">
        <v>46</v>
      </c>
      <c r="O5200" s="14"/>
      <c r="P5200" s="15" t="s">
        <v>47</v>
      </c>
      <c r="Q5200" s="16">
        <v>3699</v>
      </c>
      <c r="R5200" s="17">
        <v>40</v>
      </c>
      <c r="S5200" s="18">
        <v>2552.31</v>
      </c>
      <c r="T5200" s="19" t="s">
        <v>36</v>
      </c>
      <c r="U5200" s="20" t="s">
        <v>90</v>
      </c>
      <c r="V5200" s="21" t="s">
        <v>91</v>
      </c>
      <c r="W5200" s="22">
        <v>4</v>
      </c>
      <c r="X5200" s="23"/>
    </row>
    <row r="5201" spans="1:24" s="1" customFormat="1" ht="108" customHeight="1" x14ac:dyDescent="0.3">
      <c r="A5201" s="11" t="s">
        <v>23</v>
      </c>
      <c r="B5201" s="11" t="s">
        <v>4598</v>
      </c>
      <c r="C5201" s="12" t="s">
        <v>4599</v>
      </c>
      <c r="D5201" s="25"/>
      <c r="E5201" s="41" t="str">
        <f>HYPERLINK("https://www.google.ru/search?q=1382641-001&amp;newwindow=1&amp;tbm=isch","Еще фото")</f>
        <v>Еще фото</v>
      </c>
      <c r="F5201" s="28" t="s">
        <v>138</v>
      </c>
      <c r="G5201" s="11" t="s">
        <v>4404</v>
      </c>
      <c r="H5201" s="11" t="s">
        <v>27</v>
      </c>
      <c r="I5201" s="14" t="s">
        <v>4404</v>
      </c>
      <c r="J5201" s="14" t="s">
        <v>29</v>
      </c>
      <c r="K5201" s="15" t="s">
        <v>30</v>
      </c>
      <c r="L5201" s="14" t="s">
        <v>4600</v>
      </c>
      <c r="M5201" s="14"/>
      <c r="N5201" s="14" t="s">
        <v>33</v>
      </c>
      <c r="O5201" s="14"/>
      <c r="P5201" s="15" t="s">
        <v>47</v>
      </c>
      <c r="Q5201" s="16">
        <v>3699</v>
      </c>
      <c r="R5201" s="17">
        <v>40</v>
      </c>
      <c r="S5201" s="18">
        <v>2552.31</v>
      </c>
      <c r="T5201" s="19" t="s">
        <v>36</v>
      </c>
      <c r="U5201" s="20" t="s">
        <v>86</v>
      </c>
      <c r="V5201" s="21" t="s">
        <v>87</v>
      </c>
      <c r="W5201" s="22">
        <v>1</v>
      </c>
      <c r="X5201" s="23"/>
    </row>
    <row r="5202" spans="1:24" s="1" customFormat="1" ht="108" customHeight="1" x14ac:dyDescent="0.3">
      <c r="A5202" s="11" t="s">
        <v>23</v>
      </c>
      <c r="B5202" s="11" t="s">
        <v>4598</v>
      </c>
      <c r="C5202" s="12" t="s">
        <v>4601</v>
      </c>
      <c r="D5202" s="25"/>
      <c r="E5202" s="41" t="str">
        <f>HYPERLINK("https://www.google.ru/search?q=1382641-025&amp;newwindow=1&amp;tbm=isch","Еще фото")</f>
        <v>Еще фото</v>
      </c>
      <c r="F5202" s="28" t="s">
        <v>138</v>
      </c>
      <c r="G5202" s="11" t="s">
        <v>4404</v>
      </c>
      <c r="H5202" s="11" t="s">
        <v>27</v>
      </c>
      <c r="I5202" s="14" t="s">
        <v>4404</v>
      </c>
      <c r="J5202" s="14" t="s">
        <v>29</v>
      </c>
      <c r="K5202" s="15" t="s">
        <v>30</v>
      </c>
      <c r="L5202" s="14" t="s">
        <v>4600</v>
      </c>
      <c r="M5202" s="14"/>
      <c r="N5202" s="14" t="s">
        <v>62</v>
      </c>
      <c r="O5202" s="14"/>
      <c r="P5202" s="15" t="s">
        <v>47</v>
      </c>
      <c r="Q5202" s="16">
        <v>3699</v>
      </c>
      <c r="R5202" s="17">
        <v>40</v>
      </c>
      <c r="S5202" s="18">
        <v>2552.31</v>
      </c>
      <c r="T5202" s="19" t="s">
        <v>36</v>
      </c>
      <c r="U5202" s="20" t="s">
        <v>90</v>
      </c>
      <c r="V5202" s="21" t="s">
        <v>91</v>
      </c>
      <c r="W5202" s="22">
        <v>7</v>
      </c>
      <c r="X5202" s="23"/>
    </row>
    <row r="5203" spans="1:24" s="1" customFormat="1" ht="52.05" customHeight="1" x14ac:dyDescent="0.3">
      <c r="A5203" s="11" t="s">
        <v>23</v>
      </c>
      <c r="B5203" s="11" t="s">
        <v>4602</v>
      </c>
      <c r="C5203" s="12" t="s">
        <v>4603</v>
      </c>
      <c r="D5203" s="55"/>
      <c r="E5203" s="41" t="str">
        <f>HYPERLINK("https://www.google.ru/search?q=1382725-001&amp;newwindow=1&amp;tbm=isch","Еще фото")</f>
        <v>Еще фото</v>
      </c>
      <c r="F5203" s="28" t="s">
        <v>138</v>
      </c>
      <c r="G5203" s="11" t="s">
        <v>4404</v>
      </c>
      <c r="H5203" s="11" t="s">
        <v>27</v>
      </c>
      <c r="I5203" s="14" t="s">
        <v>4404</v>
      </c>
      <c r="J5203" s="14" t="s">
        <v>43</v>
      </c>
      <c r="K5203" s="15" t="s">
        <v>59</v>
      </c>
      <c r="L5203" s="57" t="s">
        <v>4604</v>
      </c>
      <c r="M5203" s="14"/>
      <c r="N5203" s="14" t="s">
        <v>33</v>
      </c>
      <c r="O5203" s="14"/>
      <c r="P5203" s="15" t="s">
        <v>120</v>
      </c>
      <c r="Q5203" s="16">
        <v>4699</v>
      </c>
      <c r="R5203" s="17">
        <v>40</v>
      </c>
      <c r="S5203" s="18">
        <v>3242.31</v>
      </c>
      <c r="T5203" s="19" t="s">
        <v>36</v>
      </c>
      <c r="U5203" s="20" t="s">
        <v>63</v>
      </c>
      <c r="V5203" s="21" t="s">
        <v>64</v>
      </c>
      <c r="W5203" s="22">
        <v>3</v>
      </c>
      <c r="X5203" s="23"/>
    </row>
    <row r="5204" spans="1:24" s="1" customFormat="1" ht="61.05" customHeight="1" x14ac:dyDescent="0.3">
      <c r="A5204" s="24" t="s">
        <v>23</v>
      </c>
      <c r="B5204" s="24" t="s">
        <v>4602</v>
      </c>
      <c r="C5204" s="12" t="s">
        <v>4603</v>
      </c>
      <c r="D5204" s="56"/>
      <c r="E5204" s="41" t="str">
        <f>HYPERLINK("https://www.google.ru/search?q=1382725-001&amp;newwindow=1&amp;tbm=isch","Еще фото")</f>
        <v>Еще фото</v>
      </c>
      <c r="F5204" s="28" t="s">
        <v>138</v>
      </c>
      <c r="G5204" s="24" t="s">
        <v>4404</v>
      </c>
      <c r="H5204" s="24" t="s">
        <v>27</v>
      </c>
      <c r="I5204" s="24" t="s">
        <v>4404</v>
      </c>
      <c r="J5204" s="14" t="s">
        <v>43</v>
      </c>
      <c r="K5204" s="15" t="s">
        <v>59</v>
      </c>
      <c r="L5204" s="58"/>
      <c r="M5204" s="14"/>
      <c r="N5204" s="14" t="s">
        <v>33</v>
      </c>
      <c r="O5204" s="14"/>
      <c r="P5204" s="15" t="s">
        <v>120</v>
      </c>
      <c r="Q5204" s="16">
        <v>4699</v>
      </c>
      <c r="R5204" s="17">
        <v>40</v>
      </c>
      <c r="S5204" s="18">
        <v>3242.31</v>
      </c>
      <c r="T5204" s="19" t="s">
        <v>36</v>
      </c>
      <c r="U5204" s="20" t="s">
        <v>37</v>
      </c>
      <c r="V5204" s="21" t="s">
        <v>106</v>
      </c>
      <c r="W5204" s="22">
        <v>3</v>
      </c>
      <c r="X5204" s="23"/>
    </row>
    <row r="5205" spans="1:24" s="1" customFormat="1" ht="13.05" customHeight="1" x14ac:dyDescent="0.3">
      <c r="A5205" s="11" t="s">
        <v>23</v>
      </c>
      <c r="B5205" s="11" t="s">
        <v>4447</v>
      </c>
      <c r="C5205" s="12" t="s">
        <v>4605</v>
      </c>
      <c r="D5205" s="59"/>
      <c r="E5205" s="41" t="str">
        <f t="shared" ref="E5205:E5212" si="180">HYPERLINK("https://www.google.ru/search?q=1383154-001&amp;newwindow=1&amp;tbm=isch","Еще фото")</f>
        <v>Еще фото</v>
      </c>
      <c r="F5205" s="13" t="s">
        <v>103</v>
      </c>
      <c r="G5205" s="11" t="s">
        <v>4404</v>
      </c>
      <c r="H5205" s="11" t="s">
        <v>27</v>
      </c>
      <c r="I5205" s="14" t="s">
        <v>4404</v>
      </c>
      <c r="J5205" s="14" t="s">
        <v>211</v>
      </c>
      <c r="K5205" s="15" t="s">
        <v>30</v>
      </c>
      <c r="L5205" s="57" t="s">
        <v>4449</v>
      </c>
      <c r="M5205" s="14"/>
      <c r="N5205" s="14" t="s">
        <v>33</v>
      </c>
      <c r="O5205" s="14"/>
      <c r="P5205" s="15" t="s">
        <v>4450</v>
      </c>
      <c r="Q5205" s="16">
        <v>5999</v>
      </c>
      <c r="R5205" s="17">
        <v>40</v>
      </c>
      <c r="S5205" s="18">
        <v>4139.3099999999995</v>
      </c>
      <c r="T5205" s="19" t="s">
        <v>36</v>
      </c>
      <c r="U5205" s="33" t="s">
        <v>4606</v>
      </c>
      <c r="V5205" s="22">
        <v>44</v>
      </c>
      <c r="W5205" s="22">
        <v>4</v>
      </c>
      <c r="X5205" s="23"/>
    </row>
    <row r="5206" spans="1:24" s="1" customFormat="1" ht="13.05" customHeight="1" x14ac:dyDescent="0.3">
      <c r="A5206" s="24" t="s">
        <v>23</v>
      </c>
      <c r="B5206" s="24" t="s">
        <v>4447</v>
      </c>
      <c r="C5206" s="12" t="s">
        <v>4605</v>
      </c>
      <c r="D5206" s="60"/>
      <c r="E5206" s="41" t="str">
        <f t="shared" si="180"/>
        <v>Еще фото</v>
      </c>
      <c r="F5206" s="13" t="s">
        <v>103</v>
      </c>
      <c r="G5206" s="24" t="s">
        <v>4404</v>
      </c>
      <c r="H5206" s="24" t="s">
        <v>27</v>
      </c>
      <c r="I5206" s="24" t="s">
        <v>4404</v>
      </c>
      <c r="J5206" s="14" t="s">
        <v>211</v>
      </c>
      <c r="K5206" s="15" t="s">
        <v>30</v>
      </c>
      <c r="L5206" s="62"/>
      <c r="M5206" s="14"/>
      <c r="N5206" s="14" t="s">
        <v>33</v>
      </c>
      <c r="O5206" s="14"/>
      <c r="P5206" s="15" t="s">
        <v>4450</v>
      </c>
      <c r="Q5206" s="16">
        <v>5999</v>
      </c>
      <c r="R5206" s="17">
        <v>40</v>
      </c>
      <c r="S5206" s="18">
        <v>4139.3099999999995</v>
      </c>
      <c r="T5206" s="19" t="s">
        <v>36</v>
      </c>
      <c r="U5206" s="20" t="s">
        <v>2642</v>
      </c>
      <c r="V5206" s="22">
        <v>46</v>
      </c>
      <c r="W5206" s="22">
        <v>5</v>
      </c>
      <c r="X5206" s="23"/>
    </row>
    <row r="5207" spans="1:24" s="1" customFormat="1" ht="13.05" customHeight="1" x14ac:dyDescent="0.3">
      <c r="A5207" s="24" t="s">
        <v>23</v>
      </c>
      <c r="B5207" s="24" t="s">
        <v>4447</v>
      </c>
      <c r="C5207" s="12" t="s">
        <v>4605</v>
      </c>
      <c r="D5207" s="60"/>
      <c r="E5207" s="41" t="str">
        <f t="shared" si="180"/>
        <v>Еще фото</v>
      </c>
      <c r="F5207" s="13" t="s">
        <v>103</v>
      </c>
      <c r="G5207" s="24" t="s">
        <v>4404</v>
      </c>
      <c r="H5207" s="24" t="s">
        <v>27</v>
      </c>
      <c r="I5207" s="24" t="s">
        <v>4404</v>
      </c>
      <c r="J5207" s="14" t="s">
        <v>211</v>
      </c>
      <c r="K5207" s="15" t="s">
        <v>30</v>
      </c>
      <c r="L5207" s="62"/>
      <c r="M5207" s="14"/>
      <c r="N5207" s="14" t="s">
        <v>33</v>
      </c>
      <c r="O5207" s="14"/>
      <c r="P5207" s="15" t="s">
        <v>4450</v>
      </c>
      <c r="Q5207" s="16">
        <v>5999</v>
      </c>
      <c r="R5207" s="17">
        <v>40</v>
      </c>
      <c r="S5207" s="18">
        <v>4139.3099999999995</v>
      </c>
      <c r="T5207" s="19" t="s">
        <v>36</v>
      </c>
      <c r="U5207" s="20" t="s">
        <v>2643</v>
      </c>
      <c r="V5207" s="21" t="s">
        <v>38</v>
      </c>
      <c r="W5207" s="22">
        <v>7</v>
      </c>
      <c r="X5207" s="23"/>
    </row>
    <row r="5208" spans="1:24" s="1" customFormat="1" ht="13.05" customHeight="1" x14ac:dyDescent="0.3">
      <c r="A5208" s="24" t="s">
        <v>23</v>
      </c>
      <c r="B5208" s="24" t="s">
        <v>4447</v>
      </c>
      <c r="C5208" s="12" t="s">
        <v>4605</v>
      </c>
      <c r="D5208" s="60"/>
      <c r="E5208" s="41" t="str">
        <f t="shared" si="180"/>
        <v>Еще фото</v>
      </c>
      <c r="F5208" s="13" t="s">
        <v>103</v>
      </c>
      <c r="G5208" s="24" t="s">
        <v>4404</v>
      </c>
      <c r="H5208" s="24" t="s">
        <v>27</v>
      </c>
      <c r="I5208" s="24" t="s">
        <v>4404</v>
      </c>
      <c r="J5208" s="14" t="s">
        <v>211</v>
      </c>
      <c r="K5208" s="15" t="s">
        <v>30</v>
      </c>
      <c r="L5208" s="62"/>
      <c r="M5208" s="14"/>
      <c r="N5208" s="14" t="s">
        <v>33</v>
      </c>
      <c r="O5208" s="14"/>
      <c r="P5208" s="15" t="s">
        <v>4450</v>
      </c>
      <c r="Q5208" s="16">
        <v>5999</v>
      </c>
      <c r="R5208" s="17">
        <v>40</v>
      </c>
      <c r="S5208" s="18">
        <v>4139.3099999999995</v>
      </c>
      <c r="T5208" s="19" t="s">
        <v>36</v>
      </c>
      <c r="U5208" s="20" t="s">
        <v>2644</v>
      </c>
      <c r="V5208" s="22">
        <v>50</v>
      </c>
      <c r="W5208" s="22">
        <v>8</v>
      </c>
      <c r="X5208" s="23"/>
    </row>
    <row r="5209" spans="1:24" s="1" customFormat="1" ht="13.05" customHeight="1" x14ac:dyDescent="0.3">
      <c r="A5209" s="24" t="s">
        <v>23</v>
      </c>
      <c r="B5209" s="24" t="s">
        <v>4447</v>
      </c>
      <c r="C5209" s="12" t="s">
        <v>4605</v>
      </c>
      <c r="D5209" s="60"/>
      <c r="E5209" s="41" t="str">
        <f t="shared" si="180"/>
        <v>Еще фото</v>
      </c>
      <c r="F5209" s="13" t="s">
        <v>103</v>
      </c>
      <c r="G5209" s="24" t="s">
        <v>4404</v>
      </c>
      <c r="H5209" s="24" t="s">
        <v>27</v>
      </c>
      <c r="I5209" s="24" t="s">
        <v>4404</v>
      </c>
      <c r="J5209" s="14" t="s">
        <v>211</v>
      </c>
      <c r="K5209" s="15" t="s">
        <v>30</v>
      </c>
      <c r="L5209" s="62"/>
      <c r="M5209" s="14"/>
      <c r="N5209" s="14" t="s">
        <v>33</v>
      </c>
      <c r="O5209" s="14"/>
      <c r="P5209" s="15" t="s">
        <v>4450</v>
      </c>
      <c r="Q5209" s="16">
        <v>5999</v>
      </c>
      <c r="R5209" s="17">
        <v>40</v>
      </c>
      <c r="S5209" s="18">
        <v>4139.3099999999995</v>
      </c>
      <c r="T5209" s="19" t="s">
        <v>36</v>
      </c>
      <c r="U5209" s="20" t="s">
        <v>4452</v>
      </c>
      <c r="V5209" s="22">
        <v>52</v>
      </c>
      <c r="W5209" s="22">
        <v>8</v>
      </c>
      <c r="X5209" s="23"/>
    </row>
    <row r="5210" spans="1:24" s="1" customFormat="1" ht="13.05" customHeight="1" x14ac:dyDescent="0.3">
      <c r="A5210" s="24" t="s">
        <v>23</v>
      </c>
      <c r="B5210" s="24" t="s">
        <v>4447</v>
      </c>
      <c r="C5210" s="12" t="s">
        <v>4605</v>
      </c>
      <c r="D5210" s="60"/>
      <c r="E5210" s="41" t="str">
        <f t="shared" si="180"/>
        <v>Еще фото</v>
      </c>
      <c r="F5210" s="13" t="s">
        <v>103</v>
      </c>
      <c r="G5210" s="24" t="s">
        <v>4404</v>
      </c>
      <c r="H5210" s="24" t="s">
        <v>27</v>
      </c>
      <c r="I5210" s="24" t="s">
        <v>4404</v>
      </c>
      <c r="J5210" s="14" t="s">
        <v>211</v>
      </c>
      <c r="K5210" s="15" t="s">
        <v>30</v>
      </c>
      <c r="L5210" s="62"/>
      <c r="M5210" s="14"/>
      <c r="N5210" s="14" t="s">
        <v>33</v>
      </c>
      <c r="O5210" s="14"/>
      <c r="P5210" s="15" t="s">
        <v>4450</v>
      </c>
      <c r="Q5210" s="16">
        <v>5999</v>
      </c>
      <c r="R5210" s="17">
        <v>40</v>
      </c>
      <c r="S5210" s="18">
        <v>4139.3099999999995</v>
      </c>
      <c r="T5210" s="19" t="s">
        <v>36</v>
      </c>
      <c r="U5210" s="20" t="s">
        <v>4453</v>
      </c>
      <c r="V5210" s="22">
        <v>54</v>
      </c>
      <c r="W5210" s="22">
        <v>13</v>
      </c>
      <c r="X5210" s="23"/>
    </row>
    <row r="5211" spans="1:24" s="1" customFormat="1" ht="13.05" customHeight="1" x14ac:dyDescent="0.3">
      <c r="A5211" s="24" t="s">
        <v>23</v>
      </c>
      <c r="B5211" s="24" t="s">
        <v>4447</v>
      </c>
      <c r="C5211" s="12" t="s">
        <v>4605</v>
      </c>
      <c r="D5211" s="60"/>
      <c r="E5211" s="41" t="str">
        <f t="shared" si="180"/>
        <v>Еще фото</v>
      </c>
      <c r="F5211" s="13" t="s">
        <v>103</v>
      </c>
      <c r="G5211" s="24" t="s">
        <v>4404</v>
      </c>
      <c r="H5211" s="24" t="s">
        <v>27</v>
      </c>
      <c r="I5211" s="24" t="s">
        <v>4404</v>
      </c>
      <c r="J5211" s="14" t="s">
        <v>211</v>
      </c>
      <c r="K5211" s="15" t="s">
        <v>30</v>
      </c>
      <c r="L5211" s="62"/>
      <c r="M5211" s="14"/>
      <c r="N5211" s="14" t="s">
        <v>33</v>
      </c>
      <c r="O5211" s="14"/>
      <c r="P5211" s="15" t="s">
        <v>4450</v>
      </c>
      <c r="Q5211" s="16">
        <v>5999</v>
      </c>
      <c r="R5211" s="17">
        <v>40</v>
      </c>
      <c r="S5211" s="18">
        <v>4139.3099999999995</v>
      </c>
      <c r="T5211" s="19" t="s">
        <v>36</v>
      </c>
      <c r="U5211" s="20" t="s">
        <v>4454</v>
      </c>
      <c r="V5211" s="22">
        <v>56</v>
      </c>
      <c r="W5211" s="22">
        <v>5</v>
      </c>
      <c r="X5211" s="23"/>
    </row>
    <row r="5212" spans="1:24" s="1" customFormat="1" ht="18" customHeight="1" x14ac:dyDescent="0.3">
      <c r="A5212" s="24" t="s">
        <v>23</v>
      </c>
      <c r="B5212" s="24" t="s">
        <v>4447</v>
      </c>
      <c r="C5212" s="12" t="s">
        <v>4605</v>
      </c>
      <c r="D5212" s="61"/>
      <c r="E5212" s="41" t="str">
        <f t="shared" si="180"/>
        <v>Еще фото</v>
      </c>
      <c r="F5212" s="13" t="s">
        <v>103</v>
      </c>
      <c r="G5212" s="24" t="s">
        <v>4404</v>
      </c>
      <c r="H5212" s="24" t="s">
        <v>27</v>
      </c>
      <c r="I5212" s="24" t="s">
        <v>4404</v>
      </c>
      <c r="J5212" s="14" t="s">
        <v>211</v>
      </c>
      <c r="K5212" s="15" t="s">
        <v>30</v>
      </c>
      <c r="L5212" s="58"/>
      <c r="M5212" s="14"/>
      <c r="N5212" s="14" t="s">
        <v>33</v>
      </c>
      <c r="O5212" s="14"/>
      <c r="P5212" s="15" t="s">
        <v>4450</v>
      </c>
      <c r="Q5212" s="16">
        <v>5999</v>
      </c>
      <c r="R5212" s="17">
        <v>40</v>
      </c>
      <c r="S5212" s="18">
        <v>4139.3099999999995</v>
      </c>
      <c r="T5212" s="19" t="s">
        <v>36</v>
      </c>
      <c r="U5212" s="20" t="s">
        <v>4455</v>
      </c>
      <c r="V5212" s="22">
        <v>58</v>
      </c>
      <c r="W5212" s="22">
        <v>5</v>
      </c>
      <c r="X5212" s="23"/>
    </row>
    <row r="5213" spans="1:24" s="1" customFormat="1" ht="13.05" customHeight="1" x14ac:dyDescent="0.3">
      <c r="A5213" s="11" t="s">
        <v>23</v>
      </c>
      <c r="B5213" s="11" t="s">
        <v>4447</v>
      </c>
      <c r="C5213" s="12" t="s">
        <v>4607</v>
      </c>
      <c r="D5213" s="59"/>
      <c r="E5213" s="41" t="str">
        <f t="shared" ref="E5213:E5220" si="181">HYPERLINK("https://www.google.ru/search?q=1383154-035&amp;newwindow=1&amp;tbm=isch","Еще фото")</f>
        <v>Еще фото</v>
      </c>
      <c r="F5213" s="13"/>
      <c r="G5213" s="11" t="s">
        <v>4404</v>
      </c>
      <c r="H5213" s="11" t="s">
        <v>27</v>
      </c>
      <c r="I5213" s="14" t="s">
        <v>4404</v>
      </c>
      <c r="J5213" s="14" t="s">
        <v>211</v>
      </c>
      <c r="K5213" s="15" t="s">
        <v>30</v>
      </c>
      <c r="L5213" s="57" t="s">
        <v>4449</v>
      </c>
      <c r="M5213" s="14"/>
      <c r="N5213" s="14" t="s">
        <v>62</v>
      </c>
      <c r="O5213" s="14"/>
      <c r="P5213" s="15" t="s">
        <v>4450</v>
      </c>
      <c r="Q5213" s="16">
        <v>5999</v>
      </c>
      <c r="R5213" s="17">
        <v>40</v>
      </c>
      <c r="S5213" s="18">
        <v>4139.3099999999995</v>
      </c>
      <c r="T5213" s="19" t="s">
        <v>36</v>
      </c>
      <c r="U5213" s="33" t="s">
        <v>2642</v>
      </c>
      <c r="V5213" s="22">
        <v>46</v>
      </c>
      <c r="W5213" s="22">
        <v>8</v>
      </c>
      <c r="X5213" s="23"/>
    </row>
    <row r="5214" spans="1:24" s="1" customFormat="1" ht="13.05" customHeight="1" x14ac:dyDescent="0.3">
      <c r="A5214" s="24" t="s">
        <v>23</v>
      </c>
      <c r="B5214" s="24" t="s">
        <v>4447</v>
      </c>
      <c r="C5214" s="12" t="s">
        <v>4607</v>
      </c>
      <c r="D5214" s="60"/>
      <c r="E5214" s="41" t="str">
        <f t="shared" si="181"/>
        <v>Еще фото</v>
      </c>
      <c r="F5214" s="13"/>
      <c r="G5214" s="24" t="s">
        <v>4404</v>
      </c>
      <c r="H5214" s="24" t="s">
        <v>27</v>
      </c>
      <c r="I5214" s="24" t="s">
        <v>4404</v>
      </c>
      <c r="J5214" s="14" t="s">
        <v>211</v>
      </c>
      <c r="K5214" s="15" t="s">
        <v>30</v>
      </c>
      <c r="L5214" s="62"/>
      <c r="M5214" s="14"/>
      <c r="N5214" s="14" t="s">
        <v>62</v>
      </c>
      <c r="O5214" s="14"/>
      <c r="P5214" s="15" t="s">
        <v>4450</v>
      </c>
      <c r="Q5214" s="16">
        <v>5999</v>
      </c>
      <c r="R5214" s="17">
        <v>40</v>
      </c>
      <c r="S5214" s="18">
        <v>4139.3099999999995</v>
      </c>
      <c r="T5214" s="19" t="s">
        <v>36</v>
      </c>
      <c r="U5214" s="20" t="s">
        <v>2643</v>
      </c>
      <c r="V5214" s="21" t="s">
        <v>38</v>
      </c>
      <c r="W5214" s="22">
        <v>14</v>
      </c>
      <c r="X5214" s="23"/>
    </row>
    <row r="5215" spans="1:24" s="1" customFormat="1" ht="13.05" customHeight="1" x14ac:dyDescent="0.3">
      <c r="A5215" s="24" t="s">
        <v>23</v>
      </c>
      <c r="B5215" s="24" t="s">
        <v>4447</v>
      </c>
      <c r="C5215" s="12" t="s">
        <v>4607</v>
      </c>
      <c r="D5215" s="60"/>
      <c r="E5215" s="41" t="str">
        <f t="shared" si="181"/>
        <v>Еще фото</v>
      </c>
      <c r="F5215" s="13"/>
      <c r="G5215" s="24" t="s">
        <v>4404</v>
      </c>
      <c r="H5215" s="24" t="s">
        <v>27</v>
      </c>
      <c r="I5215" s="24" t="s">
        <v>4404</v>
      </c>
      <c r="J5215" s="14" t="s">
        <v>211</v>
      </c>
      <c r="K5215" s="15" t="s">
        <v>30</v>
      </c>
      <c r="L5215" s="62"/>
      <c r="M5215" s="14"/>
      <c r="N5215" s="14" t="s">
        <v>62</v>
      </c>
      <c r="O5215" s="14"/>
      <c r="P5215" s="15" t="s">
        <v>4450</v>
      </c>
      <c r="Q5215" s="16">
        <v>5999</v>
      </c>
      <c r="R5215" s="17">
        <v>40</v>
      </c>
      <c r="S5215" s="18">
        <v>4139.3099999999995</v>
      </c>
      <c r="T5215" s="19" t="s">
        <v>36</v>
      </c>
      <c r="U5215" s="20" t="s">
        <v>2644</v>
      </c>
      <c r="V5215" s="22">
        <v>50</v>
      </c>
      <c r="W5215" s="22">
        <v>12</v>
      </c>
      <c r="X5215" s="23"/>
    </row>
    <row r="5216" spans="1:24" s="1" customFormat="1" ht="13.05" customHeight="1" x14ac:dyDescent="0.3">
      <c r="A5216" s="24" t="s">
        <v>23</v>
      </c>
      <c r="B5216" s="24" t="s">
        <v>4447</v>
      </c>
      <c r="C5216" s="12" t="s">
        <v>4607</v>
      </c>
      <c r="D5216" s="60"/>
      <c r="E5216" s="41" t="str">
        <f t="shared" si="181"/>
        <v>Еще фото</v>
      </c>
      <c r="F5216" s="13"/>
      <c r="G5216" s="24" t="s">
        <v>4404</v>
      </c>
      <c r="H5216" s="24" t="s">
        <v>27</v>
      </c>
      <c r="I5216" s="24" t="s">
        <v>4404</v>
      </c>
      <c r="J5216" s="14" t="s">
        <v>211</v>
      </c>
      <c r="K5216" s="15" t="s">
        <v>30</v>
      </c>
      <c r="L5216" s="62"/>
      <c r="M5216" s="14"/>
      <c r="N5216" s="14" t="s">
        <v>62</v>
      </c>
      <c r="O5216" s="14"/>
      <c r="P5216" s="15" t="s">
        <v>4450</v>
      </c>
      <c r="Q5216" s="16">
        <v>5999</v>
      </c>
      <c r="R5216" s="17">
        <v>40</v>
      </c>
      <c r="S5216" s="18">
        <v>4139.3099999999995</v>
      </c>
      <c r="T5216" s="19" t="s">
        <v>36</v>
      </c>
      <c r="U5216" s="20" t="s">
        <v>4452</v>
      </c>
      <c r="V5216" s="22">
        <v>52</v>
      </c>
      <c r="W5216" s="22">
        <v>17</v>
      </c>
      <c r="X5216" s="23"/>
    </row>
    <row r="5217" spans="1:24" s="1" customFormat="1" ht="13.05" customHeight="1" x14ac:dyDescent="0.3">
      <c r="A5217" s="24" t="s">
        <v>23</v>
      </c>
      <c r="B5217" s="24" t="s">
        <v>4447</v>
      </c>
      <c r="C5217" s="12" t="s">
        <v>4607</v>
      </c>
      <c r="D5217" s="60"/>
      <c r="E5217" s="41" t="str">
        <f t="shared" si="181"/>
        <v>Еще фото</v>
      </c>
      <c r="F5217" s="13"/>
      <c r="G5217" s="24" t="s">
        <v>4404</v>
      </c>
      <c r="H5217" s="24" t="s">
        <v>27</v>
      </c>
      <c r="I5217" s="24" t="s">
        <v>4404</v>
      </c>
      <c r="J5217" s="14" t="s">
        <v>211</v>
      </c>
      <c r="K5217" s="15" t="s">
        <v>30</v>
      </c>
      <c r="L5217" s="62"/>
      <c r="M5217" s="14"/>
      <c r="N5217" s="14" t="s">
        <v>62</v>
      </c>
      <c r="O5217" s="14"/>
      <c r="P5217" s="15" t="s">
        <v>4450</v>
      </c>
      <c r="Q5217" s="16">
        <v>5999</v>
      </c>
      <c r="R5217" s="17">
        <v>40</v>
      </c>
      <c r="S5217" s="18">
        <v>4139.3099999999995</v>
      </c>
      <c r="T5217" s="19" t="s">
        <v>36</v>
      </c>
      <c r="U5217" s="20" t="s">
        <v>4453</v>
      </c>
      <c r="V5217" s="22">
        <v>54</v>
      </c>
      <c r="W5217" s="22">
        <v>12</v>
      </c>
      <c r="X5217" s="23"/>
    </row>
    <row r="5218" spans="1:24" s="1" customFormat="1" ht="13.05" customHeight="1" x14ac:dyDescent="0.3">
      <c r="A5218" s="24" t="s">
        <v>23</v>
      </c>
      <c r="B5218" s="24" t="s">
        <v>4447</v>
      </c>
      <c r="C5218" s="12" t="s">
        <v>4607</v>
      </c>
      <c r="D5218" s="60"/>
      <c r="E5218" s="41" t="str">
        <f t="shared" si="181"/>
        <v>Еще фото</v>
      </c>
      <c r="F5218" s="13"/>
      <c r="G5218" s="24" t="s">
        <v>4404</v>
      </c>
      <c r="H5218" s="24" t="s">
        <v>27</v>
      </c>
      <c r="I5218" s="24" t="s">
        <v>4404</v>
      </c>
      <c r="J5218" s="14" t="s">
        <v>211</v>
      </c>
      <c r="K5218" s="15" t="s">
        <v>30</v>
      </c>
      <c r="L5218" s="62"/>
      <c r="M5218" s="14"/>
      <c r="N5218" s="14" t="s">
        <v>62</v>
      </c>
      <c r="O5218" s="14"/>
      <c r="P5218" s="15" t="s">
        <v>4450</v>
      </c>
      <c r="Q5218" s="16">
        <v>5999</v>
      </c>
      <c r="R5218" s="17">
        <v>40</v>
      </c>
      <c r="S5218" s="18">
        <v>4139.3099999999995</v>
      </c>
      <c r="T5218" s="19" t="s">
        <v>36</v>
      </c>
      <c r="U5218" s="20" t="s">
        <v>4454</v>
      </c>
      <c r="V5218" s="22">
        <v>56</v>
      </c>
      <c r="W5218" s="22">
        <v>3</v>
      </c>
      <c r="X5218" s="23"/>
    </row>
    <row r="5219" spans="1:24" s="1" customFormat="1" ht="13.05" customHeight="1" x14ac:dyDescent="0.3">
      <c r="A5219" s="24" t="s">
        <v>23</v>
      </c>
      <c r="B5219" s="24" t="s">
        <v>4447</v>
      </c>
      <c r="C5219" s="12" t="s">
        <v>4607</v>
      </c>
      <c r="D5219" s="60"/>
      <c r="E5219" s="41" t="str">
        <f t="shared" si="181"/>
        <v>Еще фото</v>
      </c>
      <c r="F5219" s="13"/>
      <c r="G5219" s="24" t="s">
        <v>4404</v>
      </c>
      <c r="H5219" s="24" t="s">
        <v>27</v>
      </c>
      <c r="I5219" s="24" t="s">
        <v>4404</v>
      </c>
      <c r="J5219" s="14" t="s">
        <v>211</v>
      </c>
      <c r="K5219" s="15" t="s">
        <v>30</v>
      </c>
      <c r="L5219" s="62"/>
      <c r="M5219" s="14"/>
      <c r="N5219" s="14" t="s">
        <v>62</v>
      </c>
      <c r="O5219" s="14"/>
      <c r="P5219" s="15" t="s">
        <v>4450</v>
      </c>
      <c r="Q5219" s="16">
        <v>5999</v>
      </c>
      <c r="R5219" s="17">
        <v>40</v>
      </c>
      <c r="S5219" s="18">
        <v>4139.3099999999995</v>
      </c>
      <c r="T5219" s="19" t="s">
        <v>36</v>
      </c>
      <c r="U5219" s="20" t="s">
        <v>4455</v>
      </c>
      <c r="V5219" s="22">
        <v>58</v>
      </c>
      <c r="W5219" s="22">
        <v>3</v>
      </c>
      <c r="X5219" s="23"/>
    </row>
    <row r="5220" spans="1:24" s="1" customFormat="1" ht="18" customHeight="1" x14ac:dyDescent="0.3">
      <c r="A5220" s="24" t="s">
        <v>23</v>
      </c>
      <c r="B5220" s="24" t="s">
        <v>4447</v>
      </c>
      <c r="C5220" s="12" t="s">
        <v>4607</v>
      </c>
      <c r="D5220" s="61"/>
      <c r="E5220" s="41" t="str">
        <f t="shared" si="181"/>
        <v>Еще фото</v>
      </c>
      <c r="F5220" s="13"/>
      <c r="G5220" s="24" t="s">
        <v>4404</v>
      </c>
      <c r="H5220" s="24" t="s">
        <v>27</v>
      </c>
      <c r="I5220" s="24" t="s">
        <v>4404</v>
      </c>
      <c r="J5220" s="14" t="s">
        <v>211</v>
      </c>
      <c r="K5220" s="15" t="s">
        <v>30</v>
      </c>
      <c r="L5220" s="58"/>
      <c r="M5220" s="14"/>
      <c r="N5220" s="14" t="s">
        <v>62</v>
      </c>
      <c r="O5220" s="14"/>
      <c r="P5220" s="15" t="s">
        <v>4450</v>
      </c>
      <c r="Q5220" s="16">
        <v>5999</v>
      </c>
      <c r="R5220" s="17">
        <v>40</v>
      </c>
      <c r="S5220" s="18">
        <v>4139.3099999999995</v>
      </c>
      <c r="T5220" s="19" t="s">
        <v>36</v>
      </c>
      <c r="U5220" s="20" t="s">
        <v>4456</v>
      </c>
      <c r="V5220" s="21" t="s">
        <v>40</v>
      </c>
      <c r="W5220" s="22">
        <v>2</v>
      </c>
      <c r="X5220" s="23"/>
    </row>
    <row r="5221" spans="1:24" s="1" customFormat="1" ht="14" customHeight="1" x14ac:dyDescent="0.3">
      <c r="A5221" s="11" t="s">
        <v>23</v>
      </c>
      <c r="B5221" s="11" t="s">
        <v>4447</v>
      </c>
      <c r="C5221" s="12" t="s">
        <v>4608</v>
      </c>
      <c r="D5221" s="59"/>
      <c r="E5221" s="41" t="str">
        <f t="shared" ref="E5221:E5227" si="182">HYPERLINK("https://www.google.ru/search?q=1383154-410&amp;newwindow=1&amp;tbm=isch","Еще фото")</f>
        <v>Еще фото</v>
      </c>
      <c r="F5221" s="13"/>
      <c r="G5221" s="11" t="s">
        <v>4404</v>
      </c>
      <c r="H5221" s="11" t="s">
        <v>27</v>
      </c>
      <c r="I5221" s="14" t="s">
        <v>4404</v>
      </c>
      <c r="J5221" s="14" t="s">
        <v>211</v>
      </c>
      <c r="K5221" s="15" t="s">
        <v>30</v>
      </c>
      <c r="L5221" s="57" t="s">
        <v>4449</v>
      </c>
      <c r="M5221" s="14"/>
      <c r="N5221" s="14" t="s">
        <v>115</v>
      </c>
      <c r="O5221" s="14"/>
      <c r="P5221" s="15" t="s">
        <v>4450</v>
      </c>
      <c r="Q5221" s="16">
        <v>5999</v>
      </c>
      <c r="R5221" s="17">
        <v>40</v>
      </c>
      <c r="S5221" s="18">
        <v>4139.3099999999995</v>
      </c>
      <c r="T5221" s="19" t="s">
        <v>36</v>
      </c>
      <c r="U5221" s="20" t="s">
        <v>2642</v>
      </c>
      <c r="V5221" s="22">
        <v>46</v>
      </c>
      <c r="W5221" s="22">
        <v>2</v>
      </c>
      <c r="X5221" s="23"/>
    </row>
    <row r="5222" spans="1:24" s="1" customFormat="1" ht="14" customHeight="1" x14ac:dyDescent="0.3">
      <c r="A5222" s="24" t="s">
        <v>23</v>
      </c>
      <c r="B5222" s="24" t="s">
        <v>4447</v>
      </c>
      <c r="C5222" s="12" t="s">
        <v>4608</v>
      </c>
      <c r="D5222" s="60"/>
      <c r="E5222" s="41" t="str">
        <f t="shared" si="182"/>
        <v>Еще фото</v>
      </c>
      <c r="F5222" s="13"/>
      <c r="G5222" s="24" t="s">
        <v>4404</v>
      </c>
      <c r="H5222" s="24" t="s">
        <v>27</v>
      </c>
      <c r="I5222" s="24" t="s">
        <v>4404</v>
      </c>
      <c r="J5222" s="14" t="s">
        <v>211</v>
      </c>
      <c r="K5222" s="15" t="s">
        <v>30</v>
      </c>
      <c r="L5222" s="62"/>
      <c r="M5222" s="14"/>
      <c r="N5222" s="14" t="s">
        <v>115</v>
      </c>
      <c r="O5222" s="14"/>
      <c r="P5222" s="15" t="s">
        <v>4450</v>
      </c>
      <c r="Q5222" s="16">
        <v>5999</v>
      </c>
      <c r="R5222" s="17">
        <v>40</v>
      </c>
      <c r="S5222" s="18">
        <v>4139.3099999999995</v>
      </c>
      <c r="T5222" s="19" t="s">
        <v>36</v>
      </c>
      <c r="U5222" s="20" t="s">
        <v>2643</v>
      </c>
      <c r="V5222" s="21" t="s">
        <v>38</v>
      </c>
      <c r="W5222" s="22">
        <v>14</v>
      </c>
      <c r="X5222" s="23"/>
    </row>
    <row r="5223" spans="1:24" s="1" customFormat="1" ht="14" customHeight="1" x14ac:dyDescent="0.3">
      <c r="A5223" s="24" t="s">
        <v>23</v>
      </c>
      <c r="B5223" s="24" t="s">
        <v>4447</v>
      </c>
      <c r="C5223" s="12" t="s">
        <v>4608</v>
      </c>
      <c r="D5223" s="60"/>
      <c r="E5223" s="41" t="str">
        <f t="shared" si="182"/>
        <v>Еще фото</v>
      </c>
      <c r="F5223" s="13"/>
      <c r="G5223" s="24" t="s">
        <v>4404</v>
      </c>
      <c r="H5223" s="24" t="s">
        <v>27</v>
      </c>
      <c r="I5223" s="24" t="s">
        <v>4404</v>
      </c>
      <c r="J5223" s="14" t="s">
        <v>211</v>
      </c>
      <c r="K5223" s="15" t="s">
        <v>30</v>
      </c>
      <c r="L5223" s="62"/>
      <c r="M5223" s="14"/>
      <c r="N5223" s="14" t="s">
        <v>115</v>
      </c>
      <c r="O5223" s="14"/>
      <c r="P5223" s="15" t="s">
        <v>4450</v>
      </c>
      <c r="Q5223" s="16">
        <v>5999</v>
      </c>
      <c r="R5223" s="17">
        <v>40</v>
      </c>
      <c r="S5223" s="18">
        <v>4139.3099999999995</v>
      </c>
      <c r="T5223" s="19" t="s">
        <v>36</v>
      </c>
      <c r="U5223" s="20" t="s">
        <v>2644</v>
      </c>
      <c r="V5223" s="22">
        <v>50</v>
      </c>
      <c r="W5223" s="22">
        <v>10</v>
      </c>
      <c r="X5223" s="23"/>
    </row>
    <row r="5224" spans="1:24" s="1" customFormat="1" ht="14" customHeight="1" x14ac:dyDescent="0.3">
      <c r="A5224" s="24" t="s">
        <v>23</v>
      </c>
      <c r="B5224" s="24" t="s">
        <v>4447</v>
      </c>
      <c r="C5224" s="12" t="s">
        <v>4608</v>
      </c>
      <c r="D5224" s="60"/>
      <c r="E5224" s="41" t="str">
        <f t="shared" si="182"/>
        <v>Еще фото</v>
      </c>
      <c r="F5224" s="13"/>
      <c r="G5224" s="24" t="s">
        <v>4404</v>
      </c>
      <c r="H5224" s="24" t="s">
        <v>27</v>
      </c>
      <c r="I5224" s="24" t="s">
        <v>4404</v>
      </c>
      <c r="J5224" s="14" t="s">
        <v>211</v>
      </c>
      <c r="K5224" s="15" t="s">
        <v>30</v>
      </c>
      <c r="L5224" s="62"/>
      <c r="M5224" s="14"/>
      <c r="N5224" s="14" t="s">
        <v>115</v>
      </c>
      <c r="O5224" s="14"/>
      <c r="P5224" s="15" t="s">
        <v>4450</v>
      </c>
      <c r="Q5224" s="16">
        <v>5999</v>
      </c>
      <c r="R5224" s="17">
        <v>40</v>
      </c>
      <c r="S5224" s="18">
        <v>4139.3099999999995</v>
      </c>
      <c r="T5224" s="19" t="s">
        <v>36</v>
      </c>
      <c r="U5224" s="20" t="s">
        <v>4452</v>
      </c>
      <c r="V5224" s="22">
        <v>52</v>
      </c>
      <c r="W5224" s="22">
        <v>10</v>
      </c>
      <c r="X5224" s="23"/>
    </row>
    <row r="5225" spans="1:24" s="1" customFormat="1" ht="14" customHeight="1" x14ac:dyDescent="0.3">
      <c r="A5225" s="24" t="s">
        <v>23</v>
      </c>
      <c r="B5225" s="24" t="s">
        <v>4447</v>
      </c>
      <c r="C5225" s="12" t="s">
        <v>4608</v>
      </c>
      <c r="D5225" s="60"/>
      <c r="E5225" s="41" t="str">
        <f t="shared" si="182"/>
        <v>Еще фото</v>
      </c>
      <c r="F5225" s="13"/>
      <c r="G5225" s="24" t="s">
        <v>4404</v>
      </c>
      <c r="H5225" s="24" t="s">
        <v>27</v>
      </c>
      <c r="I5225" s="24" t="s">
        <v>4404</v>
      </c>
      <c r="J5225" s="14" t="s">
        <v>211</v>
      </c>
      <c r="K5225" s="15" t="s">
        <v>30</v>
      </c>
      <c r="L5225" s="62"/>
      <c r="M5225" s="14"/>
      <c r="N5225" s="14" t="s">
        <v>115</v>
      </c>
      <c r="O5225" s="14"/>
      <c r="P5225" s="15" t="s">
        <v>4450</v>
      </c>
      <c r="Q5225" s="16">
        <v>5999</v>
      </c>
      <c r="R5225" s="17">
        <v>40</v>
      </c>
      <c r="S5225" s="18">
        <v>4139.3099999999995</v>
      </c>
      <c r="T5225" s="19" t="s">
        <v>36</v>
      </c>
      <c r="U5225" s="20" t="s">
        <v>4453</v>
      </c>
      <c r="V5225" s="22">
        <v>54</v>
      </c>
      <c r="W5225" s="22">
        <v>11</v>
      </c>
      <c r="X5225" s="23"/>
    </row>
    <row r="5226" spans="1:24" s="1" customFormat="1" ht="14" customHeight="1" x14ac:dyDescent="0.3">
      <c r="A5226" s="24" t="s">
        <v>23</v>
      </c>
      <c r="B5226" s="24" t="s">
        <v>4447</v>
      </c>
      <c r="C5226" s="12" t="s">
        <v>4608</v>
      </c>
      <c r="D5226" s="60"/>
      <c r="E5226" s="41" t="str">
        <f t="shared" si="182"/>
        <v>Еще фото</v>
      </c>
      <c r="F5226" s="13"/>
      <c r="G5226" s="24" t="s">
        <v>4404</v>
      </c>
      <c r="H5226" s="24" t="s">
        <v>27</v>
      </c>
      <c r="I5226" s="24" t="s">
        <v>4404</v>
      </c>
      <c r="J5226" s="14" t="s">
        <v>211</v>
      </c>
      <c r="K5226" s="15" t="s">
        <v>30</v>
      </c>
      <c r="L5226" s="62"/>
      <c r="M5226" s="14"/>
      <c r="N5226" s="14" t="s">
        <v>115</v>
      </c>
      <c r="O5226" s="14"/>
      <c r="P5226" s="15" t="s">
        <v>4450</v>
      </c>
      <c r="Q5226" s="16">
        <v>5999</v>
      </c>
      <c r="R5226" s="17">
        <v>40</v>
      </c>
      <c r="S5226" s="18">
        <v>4139.3099999999995</v>
      </c>
      <c r="T5226" s="19" t="s">
        <v>36</v>
      </c>
      <c r="U5226" s="20" t="s">
        <v>4454</v>
      </c>
      <c r="V5226" s="22">
        <v>56</v>
      </c>
      <c r="W5226" s="22">
        <v>8</v>
      </c>
      <c r="X5226" s="23"/>
    </row>
    <row r="5227" spans="1:24" s="1" customFormat="1" ht="17" customHeight="1" x14ac:dyDescent="0.3">
      <c r="A5227" s="24" t="s">
        <v>23</v>
      </c>
      <c r="B5227" s="24" t="s">
        <v>4447</v>
      </c>
      <c r="C5227" s="12" t="s">
        <v>4608</v>
      </c>
      <c r="D5227" s="61"/>
      <c r="E5227" s="41" t="str">
        <f t="shared" si="182"/>
        <v>Еще фото</v>
      </c>
      <c r="F5227" s="13"/>
      <c r="G5227" s="24" t="s">
        <v>4404</v>
      </c>
      <c r="H5227" s="24" t="s">
        <v>27</v>
      </c>
      <c r="I5227" s="24" t="s">
        <v>4404</v>
      </c>
      <c r="J5227" s="14" t="s">
        <v>211</v>
      </c>
      <c r="K5227" s="15" t="s">
        <v>30</v>
      </c>
      <c r="L5227" s="58"/>
      <c r="M5227" s="14"/>
      <c r="N5227" s="14" t="s">
        <v>115</v>
      </c>
      <c r="O5227" s="14"/>
      <c r="P5227" s="15" t="s">
        <v>4450</v>
      </c>
      <c r="Q5227" s="16">
        <v>5999</v>
      </c>
      <c r="R5227" s="17">
        <v>40</v>
      </c>
      <c r="S5227" s="18">
        <v>4139.3099999999995</v>
      </c>
      <c r="T5227" s="19" t="s">
        <v>36</v>
      </c>
      <c r="U5227" s="20" t="s">
        <v>4455</v>
      </c>
      <c r="V5227" s="22">
        <v>58</v>
      </c>
      <c r="W5227" s="22">
        <v>6</v>
      </c>
      <c r="X5227" s="23"/>
    </row>
    <row r="5228" spans="1:24" s="1" customFormat="1" ht="108" customHeight="1" x14ac:dyDescent="0.3">
      <c r="A5228" s="11" t="s">
        <v>23</v>
      </c>
      <c r="B5228" s="11" t="s">
        <v>4609</v>
      </c>
      <c r="C5228" s="12" t="s">
        <v>4610</v>
      </c>
      <c r="D5228" s="25"/>
      <c r="E5228" s="41" t="str">
        <f>HYPERLINK("https://www.google.ru/search?q=1383356-005&amp;newwindow=1&amp;tbm=isch","Еще фото")</f>
        <v>Еще фото</v>
      </c>
      <c r="F5228" s="13"/>
      <c r="G5228" s="11" t="s">
        <v>4404</v>
      </c>
      <c r="H5228" s="11" t="s">
        <v>27</v>
      </c>
      <c r="I5228" s="14" t="s">
        <v>4404</v>
      </c>
      <c r="J5228" s="14" t="s">
        <v>29</v>
      </c>
      <c r="K5228" s="15" t="s">
        <v>30</v>
      </c>
      <c r="L5228" s="14" t="s">
        <v>4611</v>
      </c>
      <c r="M5228" s="14"/>
      <c r="N5228" s="14" t="s">
        <v>33</v>
      </c>
      <c r="O5228" s="14"/>
      <c r="P5228" s="15" t="s">
        <v>47</v>
      </c>
      <c r="Q5228" s="16">
        <v>3999</v>
      </c>
      <c r="R5228" s="17">
        <v>40</v>
      </c>
      <c r="S5228" s="18">
        <v>2759.31</v>
      </c>
      <c r="T5228" s="19" t="s">
        <v>36</v>
      </c>
      <c r="U5228" s="20" t="s">
        <v>39</v>
      </c>
      <c r="V5228" s="21" t="s">
        <v>40</v>
      </c>
      <c r="W5228" s="22">
        <v>1</v>
      </c>
      <c r="X5228" s="23"/>
    </row>
    <row r="5229" spans="1:24" s="1" customFormat="1" ht="21" customHeight="1" x14ac:dyDescent="0.3">
      <c r="A5229" s="11" t="s">
        <v>23</v>
      </c>
      <c r="B5229" s="11" t="s">
        <v>4609</v>
      </c>
      <c r="C5229" s="26" t="s">
        <v>4612</v>
      </c>
      <c r="D5229" s="59"/>
      <c r="E5229" s="41" t="str">
        <f>HYPERLINK("https://www.google.ru/search?q=1383356-009&amp;newwindow=1&amp;tbm=isch","Еще фото")</f>
        <v>Еще фото</v>
      </c>
      <c r="F5229" s="13"/>
      <c r="G5229" s="11" t="s">
        <v>4404</v>
      </c>
      <c r="H5229" s="11" t="s">
        <v>27</v>
      </c>
      <c r="I5229" s="14" t="s">
        <v>4404</v>
      </c>
      <c r="J5229" s="14" t="s">
        <v>29</v>
      </c>
      <c r="K5229" s="15" t="s">
        <v>30</v>
      </c>
      <c r="L5229" s="57" t="s">
        <v>4611</v>
      </c>
      <c r="M5229" s="14"/>
      <c r="N5229" s="14" t="s">
        <v>33</v>
      </c>
      <c r="O5229" s="14"/>
      <c r="P5229" s="15" t="s">
        <v>47</v>
      </c>
      <c r="Q5229" s="16">
        <v>3499</v>
      </c>
      <c r="R5229" s="17">
        <v>40</v>
      </c>
      <c r="S5229" s="18">
        <v>2414.31</v>
      </c>
      <c r="T5229" s="19" t="s">
        <v>36</v>
      </c>
      <c r="U5229" s="20" t="s">
        <v>37</v>
      </c>
      <c r="V5229" s="21" t="s">
        <v>38</v>
      </c>
      <c r="W5229" s="22">
        <v>3</v>
      </c>
      <c r="X5229" s="23"/>
    </row>
    <row r="5230" spans="1:24" s="1" customFormat="1" ht="21" customHeight="1" x14ac:dyDescent="0.3">
      <c r="A5230" s="24" t="s">
        <v>23</v>
      </c>
      <c r="B5230" s="24" t="s">
        <v>4609</v>
      </c>
      <c r="C5230" s="27" t="s">
        <v>4612</v>
      </c>
      <c r="D5230" s="60"/>
      <c r="E5230" s="41" t="str">
        <f>HYPERLINK("https://www.google.ru/search?q=1383356-009&amp;newwindow=1&amp;tbm=isch","Еще фото")</f>
        <v>Еще фото</v>
      </c>
      <c r="F5230" s="13"/>
      <c r="G5230" s="24" t="s">
        <v>4404</v>
      </c>
      <c r="H5230" s="24" t="s">
        <v>27</v>
      </c>
      <c r="I5230" s="24" t="s">
        <v>4404</v>
      </c>
      <c r="J5230" s="14" t="s">
        <v>29</v>
      </c>
      <c r="K5230" s="15" t="s">
        <v>30</v>
      </c>
      <c r="L5230" s="62"/>
      <c r="M5230" s="14"/>
      <c r="N5230" s="14" t="s">
        <v>33</v>
      </c>
      <c r="O5230" s="14"/>
      <c r="P5230" s="15" t="s">
        <v>47</v>
      </c>
      <c r="Q5230" s="16">
        <v>3499</v>
      </c>
      <c r="R5230" s="17">
        <v>40</v>
      </c>
      <c r="S5230" s="18">
        <v>2414.31</v>
      </c>
      <c r="T5230" s="19" t="s">
        <v>36</v>
      </c>
      <c r="U5230" s="20" t="s">
        <v>39</v>
      </c>
      <c r="V5230" s="21" t="s">
        <v>40</v>
      </c>
      <c r="W5230" s="22">
        <v>12</v>
      </c>
      <c r="X5230" s="23"/>
    </row>
    <row r="5231" spans="1:24" s="1" customFormat="1" ht="21" customHeight="1" x14ac:dyDescent="0.3">
      <c r="A5231" s="24" t="s">
        <v>23</v>
      </c>
      <c r="B5231" s="24" t="s">
        <v>4609</v>
      </c>
      <c r="C5231" s="27" t="s">
        <v>4612</v>
      </c>
      <c r="D5231" s="60"/>
      <c r="E5231" s="41" t="str">
        <f>HYPERLINK("https://www.google.ru/search?q=1383356-009&amp;newwindow=1&amp;tbm=isch","Еще фото")</f>
        <v>Еще фото</v>
      </c>
      <c r="F5231" s="13"/>
      <c r="G5231" s="24" t="s">
        <v>4404</v>
      </c>
      <c r="H5231" s="24" t="s">
        <v>27</v>
      </c>
      <c r="I5231" s="24" t="s">
        <v>4404</v>
      </c>
      <c r="J5231" s="14" t="s">
        <v>29</v>
      </c>
      <c r="K5231" s="15" t="s">
        <v>30</v>
      </c>
      <c r="L5231" s="62"/>
      <c r="M5231" s="14"/>
      <c r="N5231" s="14" t="s">
        <v>33</v>
      </c>
      <c r="O5231" s="14"/>
      <c r="P5231" s="15" t="s">
        <v>47</v>
      </c>
      <c r="Q5231" s="16">
        <v>3499</v>
      </c>
      <c r="R5231" s="17">
        <v>40</v>
      </c>
      <c r="S5231" s="18">
        <v>2414.31</v>
      </c>
      <c r="T5231" s="19" t="s">
        <v>36</v>
      </c>
      <c r="U5231" s="20" t="s">
        <v>86</v>
      </c>
      <c r="V5231" s="21" t="s">
        <v>87</v>
      </c>
      <c r="W5231" s="22">
        <v>7</v>
      </c>
      <c r="X5231" s="23"/>
    </row>
    <row r="5232" spans="1:24" s="1" customFormat="1" ht="21" customHeight="1" x14ac:dyDescent="0.3">
      <c r="A5232" s="24" t="s">
        <v>23</v>
      </c>
      <c r="B5232" s="24" t="s">
        <v>4609</v>
      </c>
      <c r="C5232" s="27" t="s">
        <v>4612</v>
      </c>
      <c r="D5232" s="60"/>
      <c r="E5232" s="41" t="str">
        <f>HYPERLINK("https://www.google.ru/search?q=1383356-009&amp;newwindow=1&amp;tbm=isch","Еще фото")</f>
        <v>Еще фото</v>
      </c>
      <c r="F5232" s="13"/>
      <c r="G5232" s="24" t="s">
        <v>4404</v>
      </c>
      <c r="H5232" s="24" t="s">
        <v>27</v>
      </c>
      <c r="I5232" s="24" t="s">
        <v>4404</v>
      </c>
      <c r="J5232" s="14" t="s">
        <v>29</v>
      </c>
      <c r="K5232" s="15" t="s">
        <v>30</v>
      </c>
      <c r="L5232" s="62"/>
      <c r="M5232" s="14"/>
      <c r="N5232" s="14" t="s">
        <v>33</v>
      </c>
      <c r="O5232" s="14"/>
      <c r="P5232" s="15" t="s">
        <v>47</v>
      </c>
      <c r="Q5232" s="16">
        <v>3499</v>
      </c>
      <c r="R5232" s="17">
        <v>40</v>
      </c>
      <c r="S5232" s="18">
        <v>2414.31</v>
      </c>
      <c r="T5232" s="19" t="s">
        <v>36</v>
      </c>
      <c r="U5232" s="20" t="s">
        <v>88</v>
      </c>
      <c r="V5232" s="21" t="s">
        <v>89</v>
      </c>
      <c r="W5232" s="22">
        <v>10</v>
      </c>
      <c r="X5232" s="23"/>
    </row>
    <row r="5233" spans="1:24" s="1" customFormat="1" ht="32" customHeight="1" x14ac:dyDescent="0.3">
      <c r="A5233" s="24" t="s">
        <v>23</v>
      </c>
      <c r="B5233" s="24" t="s">
        <v>4609</v>
      </c>
      <c r="C5233" s="27" t="s">
        <v>4612</v>
      </c>
      <c r="D5233" s="61"/>
      <c r="E5233" s="41" t="str">
        <f>HYPERLINK("https://www.google.ru/search?q=1383356-009&amp;newwindow=1&amp;tbm=isch","Еще фото")</f>
        <v>Еще фото</v>
      </c>
      <c r="F5233" s="13"/>
      <c r="G5233" s="24" t="s">
        <v>4404</v>
      </c>
      <c r="H5233" s="24" t="s">
        <v>27</v>
      </c>
      <c r="I5233" s="24" t="s">
        <v>4404</v>
      </c>
      <c r="J5233" s="14" t="s">
        <v>29</v>
      </c>
      <c r="K5233" s="15" t="s">
        <v>30</v>
      </c>
      <c r="L5233" s="58"/>
      <c r="M5233" s="14"/>
      <c r="N5233" s="14" t="s">
        <v>33</v>
      </c>
      <c r="O5233" s="14"/>
      <c r="P5233" s="15" t="s">
        <v>47</v>
      </c>
      <c r="Q5233" s="16">
        <v>3499</v>
      </c>
      <c r="R5233" s="17">
        <v>40</v>
      </c>
      <c r="S5233" s="18">
        <v>2414.31</v>
      </c>
      <c r="T5233" s="19" t="s">
        <v>36</v>
      </c>
      <c r="U5233" s="20" t="s">
        <v>90</v>
      </c>
      <c r="V5233" s="21" t="s">
        <v>91</v>
      </c>
      <c r="W5233" s="22">
        <v>2</v>
      </c>
      <c r="X5233" s="23"/>
    </row>
    <row r="5234" spans="1:24" s="1" customFormat="1" ht="21" customHeight="1" x14ac:dyDescent="0.3">
      <c r="A5234" s="11" t="s">
        <v>23</v>
      </c>
      <c r="B5234" s="11" t="s">
        <v>4609</v>
      </c>
      <c r="C5234" s="26" t="s">
        <v>4613</v>
      </c>
      <c r="D5234" s="59"/>
      <c r="E5234" s="41" t="str">
        <f>HYPERLINK("https://www.google.ru/search?q=1383356-011&amp;newwindow=1&amp;tbm=isch","Еще фото")</f>
        <v>Еще фото</v>
      </c>
      <c r="F5234" s="13"/>
      <c r="G5234" s="11" t="s">
        <v>4404</v>
      </c>
      <c r="H5234" s="11" t="s">
        <v>27</v>
      </c>
      <c r="I5234" s="14" t="s">
        <v>4404</v>
      </c>
      <c r="J5234" s="14" t="s">
        <v>29</v>
      </c>
      <c r="K5234" s="15" t="s">
        <v>30</v>
      </c>
      <c r="L5234" s="57" t="s">
        <v>4611</v>
      </c>
      <c r="M5234" s="14"/>
      <c r="N5234" s="14" t="s">
        <v>62</v>
      </c>
      <c r="O5234" s="14"/>
      <c r="P5234" s="15" t="s">
        <v>47</v>
      </c>
      <c r="Q5234" s="16">
        <v>3499</v>
      </c>
      <c r="R5234" s="17">
        <v>40</v>
      </c>
      <c r="S5234" s="18">
        <v>2414.31</v>
      </c>
      <c r="T5234" s="19" t="s">
        <v>36</v>
      </c>
      <c r="U5234" s="20" t="s">
        <v>37</v>
      </c>
      <c r="V5234" s="21" t="s">
        <v>38</v>
      </c>
      <c r="W5234" s="22">
        <v>9</v>
      </c>
      <c r="X5234" s="23"/>
    </row>
    <row r="5235" spans="1:24" s="1" customFormat="1" ht="21" customHeight="1" x14ac:dyDescent="0.3">
      <c r="A5235" s="24" t="s">
        <v>23</v>
      </c>
      <c r="B5235" s="24" t="s">
        <v>4609</v>
      </c>
      <c r="C5235" s="27" t="s">
        <v>4613</v>
      </c>
      <c r="D5235" s="60"/>
      <c r="E5235" s="41" t="str">
        <f>HYPERLINK("https://www.google.ru/search?q=1383356-011&amp;newwindow=1&amp;tbm=isch","Еще фото")</f>
        <v>Еще фото</v>
      </c>
      <c r="F5235" s="13"/>
      <c r="G5235" s="24" t="s">
        <v>4404</v>
      </c>
      <c r="H5235" s="24" t="s">
        <v>27</v>
      </c>
      <c r="I5235" s="24" t="s">
        <v>4404</v>
      </c>
      <c r="J5235" s="14" t="s">
        <v>29</v>
      </c>
      <c r="K5235" s="15" t="s">
        <v>30</v>
      </c>
      <c r="L5235" s="62"/>
      <c r="M5235" s="14"/>
      <c r="N5235" s="14" t="s">
        <v>62</v>
      </c>
      <c r="O5235" s="14"/>
      <c r="P5235" s="15" t="s">
        <v>47</v>
      </c>
      <c r="Q5235" s="16">
        <v>3499</v>
      </c>
      <c r="R5235" s="17">
        <v>40</v>
      </c>
      <c r="S5235" s="18">
        <v>2414.31</v>
      </c>
      <c r="T5235" s="19" t="s">
        <v>36</v>
      </c>
      <c r="U5235" s="20" t="s">
        <v>39</v>
      </c>
      <c r="V5235" s="21" t="s">
        <v>40</v>
      </c>
      <c r="W5235" s="22">
        <v>24</v>
      </c>
      <c r="X5235" s="23"/>
    </row>
    <row r="5236" spans="1:24" s="1" customFormat="1" ht="21" customHeight="1" x14ac:dyDescent="0.3">
      <c r="A5236" s="24" t="s">
        <v>23</v>
      </c>
      <c r="B5236" s="24" t="s">
        <v>4609</v>
      </c>
      <c r="C5236" s="27" t="s">
        <v>4613</v>
      </c>
      <c r="D5236" s="60"/>
      <c r="E5236" s="41" t="str">
        <f>HYPERLINK("https://www.google.ru/search?q=1383356-011&amp;newwindow=1&amp;tbm=isch","Еще фото")</f>
        <v>Еще фото</v>
      </c>
      <c r="F5236" s="13"/>
      <c r="G5236" s="24" t="s">
        <v>4404</v>
      </c>
      <c r="H5236" s="24" t="s">
        <v>27</v>
      </c>
      <c r="I5236" s="24" t="s">
        <v>4404</v>
      </c>
      <c r="J5236" s="14" t="s">
        <v>29</v>
      </c>
      <c r="K5236" s="15" t="s">
        <v>30</v>
      </c>
      <c r="L5236" s="62"/>
      <c r="M5236" s="14"/>
      <c r="N5236" s="14" t="s">
        <v>62</v>
      </c>
      <c r="O5236" s="14"/>
      <c r="P5236" s="15" t="s">
        <v>47</v>
      </c>
      <c r="Q5236" s="16">
        <v>3499</v>
      </c>
      <c r="R5236" s="17">
        <v>40</v>
      </c>
      <c r="S5236" s="18">
        <v>2414.31</v>
      </c>
      <c r="T5236" s="19" t="s">
        <v>36</v>
      </c>
      <c r="U5236" s="20" t="s">
        <v>86</v>
      </c>
      <c r="V5236" s="21" t="s">
        <v>87</v>
      </c>
      <c r="W5236" s="22">
        <v>22</v>
      </c>
      <c r="X5236" s="23"/>
    </row>
    <row r="5237" spans="1:24" s="1" customFormat="1" ht="21" customHeight="1" x14ac:dyDescent="0.3">
      <c r="A5237" s="24" t="s">
        <v>23</v>
      </c>
      <c r="B5237" s="24" t="s">
        <v>4609</v>
      </c>
      <c r="C5237" s="27" t="s">
        <v>4613</v>
      </c>
      <c r="D5237" s="60"/>
      <c r="E5237" s="41" t="str">
        <f>HYPERLINK("https://www.google.ru/search?q=1383356-011&amp;newwindow=1&amp;tbm=isch","Еще фото")</f>
        <v>Еще фото</v>
      </c>
      <c r="F5237" s="13"/>
      <c r="G5237" s="24" t="s">
        <v>4404</v>
      </c>
      <c r="H5237" s="24" t="s">
        <v>27</v>
      </c>
      <c r="I5237" s="24" t="s">
        <v>4404</v>
      </c>
      <c r="J5237" s="14" t="s">
        <v>29</v>
      </c>
      <c r="K5237" s="15" t="s">
        <v>30</v>
      </c>
      <c r="L5237" s="62"/>
      <c r="M5237" s="14"/>
      <c r="N5237" s="14" t="s">
        <v>62</v>
      </c>
      <c r="O5237" s="14"/>
      <c r="P5237" s="15" t="s">
        <v>47</v>
      </c>
      <c r="Q5237" s="16">
        <v>3499</v>
      </c>
      <c r="R5237" s="17">
        <v>40</v>
      </c>
      <c r="S5237" s="18">
        <v>2414.31</v>
      </c>
      <c r="T5237" s="19" t="s">
        <v>36</v>
      </c>
      <c r="U5237" s="20" t="s">
        <v>88</v>
      </c>
      <c r="V5237" s="21" t="s">
        <v>89</v>
      </c>
      <c r="W5237" s="22">
        <v>12</v>
      </c>
      <c r="X5237" s="23"/>
    </row>
    <row r="5238" spans="1:24" s="1" customFormat="1" ht="32" customHeight="1" x14ac:dyDescent="0.3">
      <c r="A5238" s="24" t="s">
        <v>23</v>
      </c>
      <c r="B5238" s="24" t="s">
        <v>4609</v>
      </c>
      <c r="C5238" s="27" t="s">
        <v>4613</v>
      </c>
      <c r="D5238" s="61"/>
      <c r="E5238" s="41" t="str">
        <f>HYPERLINK("https://www.google.ru/search?q=1383356-011&amp;newwindow=1&amp;tbm=isch","Еще фото")</f>
        <v>Еще фото</v>
      </c>
      <c r="F5238" s="13"/>
      <c r="G5238" s="24" t="s">
        <v>4404</v>
      </c>
      <c r="H5238" s="24" t="s">
        <v>27</v>
      </c>
      <c r="I5238" s="24" t="s">
        <v>4404</v>
      </c>
      <c r="J5238" s="14" t="s">
        <v>29</v>
      </c>
      <c r="K5238" s="15" t="s">
        <v>30</v>
      </c>
      <c r="L5238" s="58"/>
      <c r="M5238" s="14"/>
      <c r="N5238" s="14" t="s">
        <v>62</v>
      </c>
      <c r="O5238" s="14"/>
      <c r="P5238" s="15" t="s">
        <v>47</v>
      </c>
      <c r="Q5238" s="16">
        <v>3499</v>
      </c>
      <c r="R5238" s="17">
        <v>40</v>
      </c>
      <c r="S5238" s="18">
        <v>2414.31</v>
      </c>
      <c r="T5238" s="19" t="s">
        <v>36</v>
      </c>
      <c r="U5238" s="20" t="s">
        <v>90</v>
      </c>
      <c r="V5238" s="21" t="s">
        <v>91</v>
      </c>
      <c r="W5238" s="22">
        <v>4</v>
      </c>
      <c r="X5238" s="23"/>
    </row>
    <row r="5239" spans="1:24" s="1" customFormat="1" ht="21" customHeight="1" x14ac:dyDescent="0.3">
      <c r="A5239" s="11" t="s">
        <v>23</v>
      </c>
      <c r="B5239" s="11" t="s">
        <v>4609</v>
      </c>
      <c r="C5239" s="26" t="s">
        <v>4614</v>
      </c>
      <c r="D5239" s="59"/>
      <c r="E5239" s="41" t="str">
        <f>HYPERLINK("https://www.google.ru/search?q=1383356-203&amp;newwindow=1&amp;tbm=isch","Еще фото")</f>
        <v>Еще фото</v>
      </c>
      <c r="F5239" s="13" t="s">
        <v>103</v>
      </c>
      <c r="G5239" s="11" t="s">
        <v>4404</v>
      </c>
      <c r="H5239" s="11" t="s">
        <v>27</v>
      </c>
      <c r="I5239" s="14" t="s">
        <v>4404</v>
      </c>
      <c r="J5239" s="14" t="s">
        <v>29</v>
      </c>
      <c r="K5239" s="15" t="s">
        <v>30</v>
      </c>
      <c r="L5239" s="57" t="s">
        <v>4611</v>
      </c>
      <c r="M5239" s="14"/>
      <c r="N5239" s="14" t="s">
        <v>229</v>
      </c>
      <c r="O5239" s="14"/>
      <c r="P5239" s="15" t="s">
        <v>47</v>
      </c>
      <c r="Q5239" s="16">
        <v>3499</v>
      </c>
      <c r="R5239" s="17">
        <v>40</v>
      </c>
      <c r="S5239" s="18">
        <v>2414.31</v>
      </c>
      <c r="T5239" s="19" t="s">
        <v>36</v>
      </c>
      <c r="U5239" s="20" t="s">
        <v>37</v>
      </c>
      <c r="V5239" s="21" t="s">
        <v>38</v>
      </c>
      <c r="W5239" s="22">
        <v>6</v>
      </c>
      <c r="X5239" s="23"/>
    </row>
    <row r="5240" spans="1:24" s="1" customFormat="1" ht="21" customHeight="1" x14ac:dyDescent="0.3">
      <c r="A5240" s="24" t="s">
        <v>23</v>
      </c>
      <c r="B5240" s="24" t="s">
        <v>4609</v>
      </c>
      <c r="C5240" s="27" t="s">
        <v>4614</v>
      </c>
      <c r="D5240" s="60"/>
      <c r="E5240" s="41" t="str">
        <f>HYPERLINK("https://www.google.ru/search?q=1383356-203&amp;newwindow=1&amp;tbm=isch","Еще фото")</f>
        <v>Еще фото</v>
      </c>
      <c r="F5240" s="13" t="s">
        <v>103</v>
      </c>
      <c r="G5240" s="24" t="s">
        <v>4404</v>
      </c>
      <c r="H5240" s="24" t="s">
        <v>27</v>
      </c>
      <c r="I5240" s="24" t="s">
        <v>4404</v>
      </c>
      <c r="J5240" s="14" t="s">
        <v>29</v>
      </c>
      <c r="K5240" s="15" t="s">
        <v>30</v>
      </c>
      <c r="L5240" s="62"/>
      <c r="M5240" s="14"/>
      <c r="N5240" s="14" t="s">
        <v>229</v>
      </c>
      <c r="O5240" s="14"/>
      <c r="P5240" s="15" t="s">
        <v>47</v>
      </c>
      <c r="Q5240" s="16">
        <v>3499</v>
      </c>
      <c r="R5240" s="17">
        <v>40</v>
      </c>
      <c r="S5240" s="18">
        <v>2414.31</v>
      </c>
      <c r="T5240" s="19" t="s">
        <v>36</v>
      </c>
      <c r="U5240" s="20" t="s">
        <v>39</v>
      </c>
      <c r="V5240" s="21" t="s">
        <v>40</v>
      </c>
      <c r="W5240" s="22">
        <v>14</v>
      </c>
      <c r="X5240" s="23"/>
    </row>
    <row r="5241" spans="1:24" s="1" customFormat="1" ht="21" customHeight="1" x14ac:dyDescent="0.3">
      <c r="A5241" s="24" t="s">
        <v>23</v>
      </c>
      <c r="B5241" s="24" t="s">
        <v>4609</v>
      </c>
      <c r="C5241" s="27" t="s">
        <v>4614</v>
      </c>
      <c r="D5241" s="60"/>
      <c r="E5241" s="41" t="str">
        <f>HYPERLINK("https://www.google.ru/search?q=1383356-203&amp;newwindow=1&amp;tbm=isch","Еще фото")</f>
        <v>Еще фото</v>
      </c>
      <c r="F5241" s="13" t="s">
        <v>103</v>
      </c>
      <c r="G5241" s="24" t="s">
        <v>4404</v>
      </c>
      <c r="H5241" s="24" t="s">
        <v>27</v>
      </c>
      <c r="I5241" s="24" t="s">
        <v>4404</v>
      </c>
      <c r="J5241" s="14" t="s">
        <v>29</v>
      </c>
      <c r="K5241" s="15" t="s">
        <v>30</v>
      </c>
      <c r="L5241" s="62"/>
      <c r="M5241" s="14"/>
      <c r="N5241" s="14" t="s">
        <v>229</v>
      </c>
      <c r="O5241" s="14"/>
      <c r="P5241" s="15" t="s">
        <v>47</v>
      </c>
      <c r="Q5241" s="16">
        <v>3499</v>
      </c>
      <c r="R5241" s="17">
        <v>40</v>
      </c>
      <c r="S5241" s="18">
        <v>2414.31</v>
      </c>
      <c r="T5241" s="19" t="s">
        <v>36</v>
      </c>
      <c r="U5241" s="20" t="s">
        <v>86</v>
      </c>
      <c r="V5241" s="21" t="s">
        <v>87</v>
      </c>
      <c r="W5241" s="22">
        <v>16</v>
      </c>
      <c r="X5241" s="23"/>
    </row>
    <row r="5242" spans="1:24" s="1" customFormat="1" ht="21" customHeight="1" x14ac:dyDescent="0.3">
      <c r="A5242" s="24" t="s">
        <v>23</v>
      </c>
      <c r="B5242" s="24" t="s">
        <v>4609</v>
      </c>
      <c r="C5242" s="27" t="s">
        <v>4614</v>
      </c>
      <c r="D5242" s="60"/>
      <c r="E5242" s="41" t="str">
        <f>HYPERLINK("https://www.google.ru/search?q=1383356-203&amp;newwindow=1&amp;tbm=isch","Еще фото")</f>
        <v>Еще фото</v>
      </c>
      <c r="F5242" s="13" t="s">
        <v>103</v>
      </c>
      <c r="G5242" s="24" t="s">
        <v>4404</v>
      </c>
      <c r="H5242" s="24" t="s">
        <v>27</v>
      </c>
      <c r="I5242" s="24" t="s">
        <v>4404</v>
      </c>
      <c r="J5242" s="14" t="s">
        <v>29</v>
      </c>
      <c r="K5242" s="15" t="s">
        <v>30</v>
      </c>
      <c r="L5242" s="62"/>
      <c r="M5242" s="14"/>
      <c r="N5242" s="14" t="s">
        <v>229</v>
      </c>
      <c r="O5242" s="14"/>
      <c r="P5242" s="15" t="s">
        <v>47</v>
      </c>
      <c r="Q5242" s="16">
        <v>3499</v>
      </c>
      <c r="R5242" s="17">
        <v>40</v>
      </c>
      <c r="S5242" s="18">
        <v>2414.31</v>
      </c>
      <c r="T5242" s="19" t="s">
        <v>36</v>
      </c>
      <c r="U5242" s="20" t="s">
        <v>88</v>
      </c>
      <c r="V5242" s="21" t="s">
        <v>89</v>
      </c>
      <c r="W5242" s="22">
        <v>12</v>
      </c>
      <c r="X5242" s="23"/>
    </row>
    <row r="5243" spans="1:24" s="1" customFormat="1" ht="32" customHeight="1" x14ac:dyDescent="0.3">
      <c r="A5243" s="24" t="s">
        <v>23</v>
      </c>
      <c r="B5243" s="24" t="s">
        <v>4609</v>
      </c>
      <c r="C5243" s="27" t="s">
        <v>4614</v>
      </c>
      <c r="D5243" s="61"/>
      <c r="E5243" s="41" t="str">
        <f>HYPERLINK("https://www.google.ru/search?q=1383356-203&amp;newwindow=1&amp;tbm=isch","Еще фото")</f>
        <v>Еще фото</v>
      </c>
      <c r="F5243" s="13" t="s">
        <v>103</v>
      </c>
      <c r="G5243" s="24" t="s">
        <v>4404</v>
      </c>
      <c r="H5243" s="24" t="s">
        <v>27</v>
      </c>
      <c r="I5243" s="24" t="s">
        <v>4404</v>
      </c>
      <c r="J5243" s="14" t="s">
        <v>29</v>
      </c>
      <c r="K5243" s="15" t="s">
        <v>30</v>
      </c>
      <c r="L5243" s="58"/>
      <c r="M5243" s="14"/>
      <c r="N5243" s="14" t="s">
        <v>229</v>
      </c>
      <c r="O5243" s="14"/>
      <c r="P5243" s="15" t="s">
        <v>47</v>
      </c>
      <c r="Q5243" s="16">
        <v>3499</v>
      </c>
      <c r="R5243" s="17">
        <v>40</v>
      </c>
      <c r="S5243" s="18">
        <v>2414.31</v>
      </c>
      <c r="T5243" s="19" t="s">
        <v>36</v>
      </c>
      <c r="U5243" s="20" t="s">
        <v>90</v>
      </c>
      <c r="V5243" s="21" t="s">
        <v>91</v>
      </c>
      <c r="W5243" s="22">
        <v>8</v>
      </c>
      <c r="X5243" s="23"/>
    </row>
    <row r="5244" spans="1:24" s="1" customFormat="1" ht="21" customHeight="1" x14ac:dyDescent="0.3">
      <c r="A5244" s="11" t="s">
        <v>23</v>
      </c>
      <c r="B5244" s="11" t="s">
        <v>4609</v>
      </c>
      <c r="C5244" s="26" t="s">
        <v>4615</v>
      </c>
      <c r="D5244" s="59"/>
      <c r="E5244" s="41" t="str">
        <f>HYPERLINK("https://www.google.ru/search?q=1383356-338&amp;newwindow=1&amp;tbm=isch","Еще фото")</f>
        <v>Еще фото</v>
      </c>
      <c r="F5244" s="13"/>
      <c r="G5244" s="11" t="s">
        <v>4404</v>
      </c>
      <c r="H5244" s="11" t="s">
        <v>27</v>
      </c>
      <c r="I5244" s="14" t="s">
        <v>4404</v>
      </c>
      <c r="J5244" s="14" t="s">
        <v>29</v>
      </c>
      <c r="K5244" s="15" t="s">
        <v>30</v>
      </c>
      <c r="L5244" s="57" t="s">
        <v>4616</v>
      </c>
      <c r="M5244" s="14"/>
      <c r="N5244" s="14" t="s">
        <v>127</v>
      </c>
      <c r="O5244" s="14"/>
      <c r="P5244" s="15" t="s">
        <v>47</v>
      </c>
      <c r="Q5244" s="16">
        <v>3499</v>
      </c>
      <c r="R5244" s="17">
        <v>40</v>
      </c>
      <c r="S5244" s="18">
        <v>2414.31</v>
      </c>
      <c r="T5244" s="19" t="s">
        <v>36</v>
      </c>
      <c r="U5244" s="20" t="s">
        <v>37</v>
      </c>
      <c r="V5244" s="21" t="s">
        <v>38</v>
      </c>
      <c r="W5244" s="22">
        <v>9</v>
      </c>
      <c r="X5244" s="23"/>
    </row>
    <row r="5245" spans="1:24" s="1" customFormat="1" ht="21" customHeight="1" x14ac:dyDescent="0.3">
      <c r="A5245" s="24" t="s">
        <v>23</v>
      </c>
      <c r="B5245" s="24" t="s">
        <v>4609</v>
      </c>
      <c r="C5245" s="27" t="s">
        <v>4615</v>
      </c>
      <c r="D5245" s="60"/>
      <c r="E5245" s="41" t="str">
        <f>HYPERLINK("https://www.google.ru/search?q=1383356-338&amp;newwindow=1&amp;tbm=isch","Еще фото")</f>
        <v>Еще фото</v>
      </c>
      <c r="F5245" s="13"/>
      <c r="G5245" s="24" t="s">
        <v>4404</v>
      </c>
      <c r="H5245" s="24" t="s">
        <v>27</v>
      </c>
      <c r="I5245" s="24" t="s">
        <v>4404</v>
      </c>
      <c r="J5245" s="14" t="s">
        <v>29</v>
      </c>
      <c r="K5245" s="15" t="s">
        <v>30</v>
      </c>
      <c r="L5245" s="62"/>
      <c r="M5245" s="14"/>
      <c r="N5245" s="14" t="s">
        <v>127</v>
      </c>
      <c r="O5245" s="14"/>
      <c r="P5245" s="15" t="s">
        <v>47</v>
      </c>
      <c r="Q5245" s="16">
        <v>3499</v>
      </c>
      <c r="R5245" s="17">
        <v>40</v>
      </c>
      <c r="S5245" s="18">
        <v>2414.31</v>
      </c>
      <c r="T5245" s="19" t="s">
        <v>36</v>
      </c>
      <c r="U5245" s="20" t="s">
        <v>39</v>
      </c>
      <c r="V5245" s="21" t="s">
        <v>40</v>
      </c>
      <c r="W5245" s="22">
        <v>25</v>
      </c>
      <c r="X5245" s="23"/>
    </row>
    <row r="5246" spans="1:24" s="1" customFormat="1" ht="21" customHeight="1" x14ac:dyDescent="0.3">
      <c r="A5246" s="24" t="s">
        <v>23</v>
      </c>
      <c r="B5246" s="24" t="s">
        <v>4609</v>
      </c>
      <c r="C5246" s="27" t="s">
        <v>4615</v>
      </c>
      <c r="D5246" s="60"/>
      <c r="E5246" s="41" t="str">
        <f>HYPERLINK("https://www.google.ru/search?q=1383356-338&amp;newwindow=1&amp;tbm=isch","Еще фото")</f>
        <v>Еще фото</v>
      </c>
      <c r="F5246" s="13"/>
      <c r="G5246" s="24" t="s">
        <v>4404</v>
      </c>
      <c r="H5246" s="24" t="s">
        <v>27</v>
      </c>
      <c r="I5246" s="24" t="s">
        <v>4404</v>
      </c>
      <c r="J5246" s="14" t="s">
        <v>29</v>
      </c>
      <c r="K5246" s="15" t="s">
        <v>30</v>
      </c>
      <c r="L5246" s="62"/>
      <c r="M5246" s="14"/>
      <c r="N5246" s="14" t="s">
        <v>127</v>
      </c>
      <c r="O5246" s="14"/>
      <c r="P5246" s="15" t="s">
        <v>47</v>
      </c>
      <c r="Q5246" s="16">
        <v>3499</v>
      </c>
      <c r="R5246" s="17">
        <v>40</v>
      </c>
      <c r="S5246" s="18">
        <v>2414.31</v>
      </c>
      <c r="T5246" s="19" t="s">
        <v>36</v>
      </c>
      <c r="U5246" s="20" t="s">
        <v>86</v>
      </c>
      <c r="V5246" s="21" t="s">
        <v>87</v>
      </c>
      <c r="W5246" s="22">
        <v>25</v>
      </c>
      <c r="X5246" s="23"/>
    </row>
    <row r="5247" spans="1:24" s="1" customFormat="1" ht="21" customHeight="1" x14ac:dyDescent="0.3">
      <c r="A5247" s="24" t="s">
        <v>23</v>
      </c>
      <c r="B5247" s="24" t="s">
        <v>4609</v>
      </c>
      <c r="C5247" s="27" t="s">
        <v>4615</v>
      </c>
      <c r="D5247" s="60"/>
      <c r="E5247" s="41" t="str">
        <f>HYPERLINK("https://www.google.ru/search?q=1383356-338&amp;newwindow=1&amp;tbm=isch","Еще фото")</f>
        <v>Еще фото</v>
      </c>
      <c r="F5247" s="13"/>
      <c r="G5247" s="24" t="s">
        <v>4404</v>
      </c>
      <c r="H5247" s="24" t="s">
        <v>27</v>
      </c>
      <c r="I5247" s="24" t="s">
        <v>4404</v>
      </c>
      <c r="J5247" s="14" t="s">
        <v>29</v>
      </c>
      <c r="K5247" s="15" t="s">
        <v>30</v>
      </c>
      <c r="L5247" s="62"/>
      <c r="M5247" s="14"/>
      <c r="N5247" s="14" t="s">
        <v>127</v>
      </c>
      <c r="O5247" s="14"/>
      <c r="P5247" s="15" t="s">
        <v>47</v>
      </c>
      <c r="Q5247" s="16">
        <v>3499</v>
      </c>
      <c r="R5247" s="17">
        <v>40</v>
      </c>
      <c r="S5247" s="18">
        <v>2414.31</v>
      </c>
      <c r="T5247" s="19" t="s">
        <v>36</v>
      </c>
      <c r="U5247" s="20" t="s">
        <v>88</v>
      </c>
      <c r="V5247" s="21" t="s">
        <v>89</v>
      </c>
      <c r="W5247" s="22">
        <v>12</v>
      </c>
      <c r="X5247" s="23"/>
    </row>
    <row r="5248" spans="1:24" s="1" customFormat="1" ht="32" customHeight="1" x14ac:dyDescent="0.3">
      <c r="A5248" s="24" t="s">
        <v>23</v>
      </c>
      <c r="B5248" s="24" t="s">
        <v>4609</v>
      </c>
      <c r="C5248" s="27" t="s">
        <v>4615</v>
      </c>
      <c r="D5248" s="61"/>
      <c r="E5248" s="41" t="str">
        <f>HYPERLINK("https://www.google.ru/search?q=1383356-338&amp;newwindow=1&amp;tbm=isch","Еще фото")</f>
        <v>Еще фото</v>
      </c>
      <c r="F5248" s="13"/>
      <c r="G5248" s="24" t="s">
        <v>4404</v>
      </c>
      <c r="H5248" s="24" t="s">
        <v>27</v>
      </c>
      <c r="I5248" s="24" t="s">
        <v>4404</v>
      </c>
      <c r="J5248" s="14" t="s">
        <v>29</v>
      </c>
      <c r="K5248" s="15" t="s">
        <v>30</v>
      </c>
      <c r="L5248" s="58"/>
      <c r="M5248" s="14"/>
      <c r="N5248" s="14" t="s">
        <v>127</v>
      </c>
      <c r="O5248" s="14"/>
      <c r="P5248" s="15" t="s">
        <v>47</v>
      </c>
      <c r="Q5248" s="16">
        <v>3499</v>
      </c>
      <c r="R5248" s="17">
        <v>40</v>
      </c>
      <c r="S5248" s="18">
        <v>2414.31</v>
      </c>
      <c r="T5248" s="19" t="s">
        <v>36</v>
      </c>
      <c r="U5248" s="20" t="s">
        <v>90</v>
      </c>
      <c r="V5248" s="21" t="s">
        <v>91</v>
      </c>
      <c r="W5248" s="22">
        <v>4</v>
      </c>
      <c r="X5248" s="23"/>
    </row>
    <row r="5249" spans="1:24" s="1" customFormat="1" ht="26" customHeight="1" x14ac:dyDescent="0.3">
      <c r="A5249" s="11" t="s">
        <v>23</v>
      </c>
      <c r="B5249" s="11" t="s">
        <v>4617</v>
      </c>
      <c r="C5249" s="12" t="s">
        <v>4618</v>
      </c>
      <c r="D5249" s="59"/>
      <c r="E5249" s="41" t="str">
        <f>HYPERLINK("https://www.google.ru/search?q=1383356-410&amp;newwindow=1&amp;tbm=isch","Еще фото")</f>
        <v>Еще фото</v>
      </c>
      <c r="F5249" s="13" t="s">
        <v>103</v>
      </c>
      <c r="G5249" s="11" t="s">
        <v>4404</v>
      </c>
      <c r="H5249" s="11" t="s">
        <v>27</v>
      </c>
      <c r="I5249" s="14" t="s">
        <v>4404</v>
      </c>
      <c r="J5249" s="14" t="s">
        <v>29</v>
      </c>
      <c r="K5249" s="15" t="s">
        <v>30</v>
      </c>
      <c r="L5249" s="57" t="s">
        <v>4611</v>
      </c>
      <c r="M5249" s="14"/>
      <c r="N5249" s="14" t="s">
        <v>115</v>
      </c>
      <c r="O5249" s="14"/>
      <c r="P5249" s="15" t="s">
        <v>47</v>
      </c>
      <c r="Q5249" s="16">
        <v>3499</v>
      </c>
      <c r="R5249" s="17">
        <v>40</v>
      </c>
      <c r="S5249" s="18">
        <v>2414.31</v>
      </c>
      <c r="T5249" s="19" t="s">
        <v>36</v>
      </c>
      <c r="U5249" s="20" t="s">
        <v>37</v>
      </c>
      <c r="V5249" s="21" t="s">
        <v>38</v>
      </c>
      <c r="W5249" s="22">
        <v>4</v>
      </c>
      <c r="X5249" s="23"/>
    </row>
    <row r="5250" spans="1:24" s="1" customFormat="1" ht="26" customHeight="1" x14ac:dyDescent="0.3">
      <c r="A5250" s="24" t="s">
        <v>23</v>
      </c>
      <c r="B5250" s="24" t="s">
        <v>4617</v>
      </c>
      <c r="C5250" s="12" t="s">
        <v>4618</v>
      </c>
      <c r="D5250" s="60"/>
      <c r="E5250" s="41" t="str">
        <f>HYPERLINK("https://www.google.ru/search?q=1383356-410&amp;newwindow=1&amp;tbm=isch","Еще фото")</f>
        <v>Еще фото</v>
      </c>
      <c r="F5250" s="13" t="s">
        <v>103</v>
      </c>
      <c r="G5250" s="24" t="s">
        <v>4404</v>
      </c>
      <c r="H5250" s="24" t="s">
        <v>27</v>
      </c>
      <c r="I5250" s="24" t="s">
        <v>4404</v>
      </c>
      <c r="J5250" s="14" t="s">
        <v>29</v>
      </c>
      <c r="K5250" s="15" t="s">
        <v>30</v>
      </c>
      <c r="L5250" s="62"/>
      <c r="M5250" s="14"/>
      <c r="N5250" s="14" t="s">
        <v>115</v>
      </c>
      <c r="O5250" s="14"/>
      <c r="P5250" s="15" t="s">
        <v>47</v>
      </c>
      <c r="Q5250" s="16">
        <v>3499</v>
      </c>
      <c r="R5250" s="17">
        <v>40</v>
      </c>
      <c r="S5250" s="18">
        <v>2414.31</v>
      </c>
      <c r="T5250" s="19" t="s">
        <v>36</v>
      </c>
      <c r="U5250" s="20" t="s">
        <v>86</v>
      </c>
      <c r="V5250" s="21" t="s">
        <v>87</v>
      </c>
      <c r="W5250" s="22">
        <v>3</v>
      </c>
      <c r="X5250" s="23"/>
    </row>
    <row r="5251" spans="1:24" s="1" customFormat="1" ht="26" customHeight="1" x14ac:dyDescent="0.3">
      <c r="A5251" s="24" t="s">
        <v>23</v>
      </c>
      <c r="B5251" s="24" t="s">
        <v>4617</v>
      </c>
      <c r="C5251" s="12" t="s">
        <v>4618</v>
      </c>
      <c r="D5251" s="60"/>
      <c r="E5251" s="41" t="str">
        <f>HYPERLINK("https://www.google.ru/search?q=1383356-410&amp;newwindow=1&amp;tbm=isch","Еще фото")</f>
        <v>Еще фото</v>
      </c>
      <c r="F5251" s="13" t="s">
        <v>103</v>
      </c>
      <c r="G5251" s="24" t="s">
        <v>4404</v>
      </c>
      <c r="H5251" s="24" t="s">
        <v>27</v>
      </c>
      <c r="I5251" s="24" t="s">
        <v>4404</v>
      </c>
      <c r="J5251" s="14" t="s">
        <v>29</v>
      </c>
      <c r="K5251" s="15" t="s">
        <v>30</v>
      </c>
      <c r="L5251" s="62"/>
      <c r="M5251" s="14"/>
      <c r="N5251" s="14" t="s">
        <v>115</v>
      </c>
      <c r="O5251" s="14"/>
      <c r="P5251" s="15" t="s">
        <v>47</v>
      </c>
      <c r="Q5251" s="16">
        <v>3499</v>
      </c>
      <c r="R5251" s="17">
        <v>40</v>
      </c>
      <c r="S5251" s="18">
        <v>2414.31</v>
      </c>
      <c r="T5251" s="19" t="s">
        <v>36</v>
      </c>
      <c r="U5251" s="20" t="s">
        <v>88</v>
      </c>
      <c r="V5251" s="21" t="s">
        <v>89</v>
      </c>
      <c r="W5251" s="22">
        <v>3</v>
      </c>
      <c r="X5251" s="23"/>
    </row>
    <row r="5252" spans="1:24" s="1" customFormat="1" ht="26" customHeight="1" x14ac:dyDescent="0.3">
      <c r="A5252" s="24" t="s">
        <v>23</v>
      </c>
      <c r="B5252" s="24" t="s">
        <v>4617</v>
      </c>
      <c r="C5252" s="12" t="s">
        <v>4618</v>
      </c>
      <c r="D5252" s="61"/>
      <c r="E5252" s="41" t="str">
        <f>HYPERLINK("https://www.google.ru/search?q=1383356-410&amp;newwindow=1&amp;tbm=isch","Еще фото")</f>
        <v>Еще фото</v>
      </c>
      <c r="F5252" s="13" t="s">
        <v>103</v>
      </c>
      <c r="G5252" s="24" t="s">
        <v>4404</v>
      </c>
      <c r="H5252" s="24" t="s">
        <v>27</v>
      </c>
      <c r="I5252" s="24" t="s">
        <v>4404</v>
      </c>
      <c r="J5252" s="14" t="s">
        <v>29</v>
      </c>
      <c r="K5252" s="15" t="s">
        <v>30</v>
      </c>
      <c r="L5252" s="58"/>
      <c r="M5252" s="14"/>
      <c r="N5252" s="14" t="s">
        <v>115</v>
      </c>
      <c r="O5252" s="14"/>
      <c r="P5252" s="15" t="s">
        <v>47</v>
      </c>
      <c r="Q5252" s="16">
        <v>3499</v>
      </c>
      <c r="R5252" s="17">
        <v>40</v>
      </c>
      <c r="S5252" s="18">
        <v>2414.31</v>
      </c>
      <c r="T5252" s="19" t="s">
        <v>36</v>
      </c>
      <c r="U5252" s="20" t="s">
        <v>90</v>
      </c>
      <c r="V5252" s="21" t="s">
        <v>91</v>
      </c>
      <c r="W5252" s="22">
        <v>4</v>
      </c>
      <c r="X5252" s="23"/>
    </row>
    <row r="5253" spans="1:24" s="1" customFormat="1" ht="17" customHeight="1" x14ac:dyDescent="0.3">
      <c r="A5253" s="11" t="s">
        <v>23</v>
      </c>
      <c r="B5253" s="11" t="s">
        <v>4609</v>
      </c>
      <c r="C5253" s="12" t="s">
        <v>4619</v>
      </c>
      <c r="D5253" s="59"/>
      <c r="E5253" s="41" t="str">
        <f t="shared" ref="E5253:E5258" si="183">HYPERLINK("https://www.google.ru/search?q=1383356-452&amp;newwindow=1&amp;tbm=isch","Еще фото")</f>
        <v>Еще фото</v>
      </c>
      <c r="F5253" s="13"/>
      <c r="G5253" s="11" t="s">
        <v>4404</v>
      </c>
      <c r="H5253" s="11" t="s">
        <v>27</v>
      </c>
      <c r="I5253" s="14" t="s">
        <v>4404</v>
      </c>
      <c r="J5253" s="14" t="s">
        <v>29</v>
      </c>
      <c r="K5253" s="15" t="s">
        <v>30</v>
      </c>
      <c r="L5253" s="57" t="s">
        <v>4611</v>
      </c>
      <c r="M5253" s="14"/>
      <c r="N5253" s="14" t="s">
        <v>115</v>
      </c>
      <c r="O5253" s="14"/>
      <c r="P5253" s="15" t="s">
        <v>47</v>
      </c>
      <c r="Q5253" s="16">
        <v>3499</v>
      </c>
      <c r="R5253" s="17">
        <v>40</v>
      </c>
      <c r="S5253" s="18">
        <v>2414.31</v>
      </c>
      <c r="T5253" s="19" t="s">
        <v>36</v>
      </c>
      <c r="U5253" s="20" t="s">
        <v>37</v>
      </c>
      <c r="V5253" s="21" t="s">
        <v>38</v>
      </c>
      <c r="W5253" s="22">
        <v>4</v>
      </c>
      <c r="X5253" s="23"/>
    </row>
    <row r="5254" spans="1:24" s="1" customFormat="1" ht="17" customHeight="1" x14ac:dyDescent="0.3">
      <c r="A5254" s="24" t="s">
        <v>23</v>
      </c>
      <c r="B5254" s="24" t="s">
        <v>4609</v>
      </c>
      <c r="C5254" s="12" t="s">
        <v>4619</v>
      </c>
      <c r="D5254" s="60"/>
      <c r="E5254" s="41" t="str">
        <f t="shared" si="183"/>
        <v>Еще фото</v>
      </c>
      <c r="F5254" s="13"/>
      <c r="G5254" s="24" t="s">
        <v>4404</v>
      </c>
      <c r="H5254" s="24" t="s">
        <v>27</v>
      </c>
      <c r="I5254" s="24" t="s">
        <v>4404</v>
      </c>
      <c r="J5254" s="14" t="s">
        <v>29</v>
      </c>
      <c r="K5254" s="15" t="s">
        <v>30</v>
      </c>
      <c r="L5254" s="62"/>
      <c r="M5254" s="14"/>
      <c r="N5254" s="14" t="s">
        <v>115</v>
      </c>
      <c r="O5254" s="14"/>
      <c r="P5254" s="15" t="s">
        <v>47</v>
      </c>
      <c r="Q5254" s="16">
        <v>3499</v>
      </c>
      <c r="R5254" s="17">
        <v>40</v>
      </c>
      <c r="S5254" s="18">
        <v>2414.31</v>
      </c>
      <c r="T5254" s="19" t="s">
        <v>36</v>
      </c>
      <c r="U5254" s="20" t="s">
        <v>39</v>
      </c>
      <c r="V5254" s="21" t="s">
        <v>40</v>
      </c>
      <c r="W5254" s="22">
        <v>20</v>
      </c>
      <c r="X5254" s="23"/>
    </row>
    <row r="5255" spans="1:24" s="1" customFormat="1" ht="17" customHeight="1" x14ac:dyDescent="0.3">
      <c r="A5255" s="24" t="s">
        <v>23</v>
      </c>
      <c r="B5255" s="24" t="s">
        <v>4609</v>
      </c>
      <c r="C5255" s="12" t="s">
        <v>4619</v>
      </c>
      <c r="D5255" s="60"/>
      <c r="E5255" s="41" t="str">
        <f t="shared" si="183"/>
        <v>Еще фото</v>
      </c>
      <c r="F5255" s="13"/>
      <c r="G5255" s="24" t="s">
        <v>4404</v>
      </c>
      <c r="H5255" s="24" t="s">
        <v>27</v>
      </c>
      <c r="I5255" s="24" t="s">
        <v>4404</v>
      </c>
      <c r="J5255" s="14" t="s">
        <v>29</v>
      </c>
      <c r="K5255" s="15" t="s">
        <v>30</v>
      </c>
      <c r="L5255" s="62"/>
      <c r="M5255" s="14"/>
      <c r="N5255" s="14" t="s">
        <v>115</v>
      </c>
      <c r="O5255" s="14"/>
      <c r="P5255" s="15" t="s">
        <v>47</v>
      </c>
      <c r="Q5255" s="16">
        <v>3499</v>
      </c>
      <c r="R5255" s="17">
        <v>40</v>
      </c>
      <c r="S5255" s="18">
        <v>2414.31</v>
      </c>
      <c r="T5255" s="19" t="s">
        <v>36</v>
      </c>
      <c r="U5255" s="20" t="s">
        <v>86</v>
      </c>
      <c r="V5255" s="21" t="s">
        <v>87</v>
      </c>
      <c r="W5255" s="22">
        <v>16</v>
      </c>
      <c r="X5255" s="23"/>
    </row>
    <row r="5256" spans="1:24" s="1" customFormat="1" ht="17" customHeight="1" x14ac:dyDescent="0.3">
      <c r="A5256" s="24" t="s">
        <v>23</v>
      </c>
      <c r="B5256" s="24" t="s">
        <v>4609</v>
      </c>
      <c r="C5256" s="12" t="s">
        <v>4619</v>
      </c>
      <c r="D5256" s="60"/>
      <c r="E5256" s="41" t="str">
        <f t="shared" si="183"/>
        <v>Еще фото</v>
      </c>
      <c r="F5256" s="13"/>
      <c r="G5256" s="24" t="s">
        <v>4404</v>
      </c>
      <c r="H5256" s="24" t="s">
        <v>27</v>
      </c>
      <c r="I5256" s="24" t="s">
        <v>4404</v>
      </c>
      <c r="J5256" s="14" t="s">
        <v>29</v>
      </c>
      <c r="K5256" s="15" t="s">
        <v>30</v>
      </c>
      <c r="L5256" s="62"/>
      <c r="M5256" s="14"/>
      <c r="N5256" s="14" t="s">
        <v>115</v>
      </c>
      <c r="O5256" s="14"/>
      <c r="P5256" s="15" t="s">
        <v>47</v>
      </c>
      <c r="Q5256" s="16">
        <v>3499</v>
      </c>
      <c r="R5256" s="17">
        <v>40</v>
      </c>
      <c r="S5256" s="18">
        <v>2414.31</v>
      </c>
      <c r="T5256" s="19" t="s">
        <v>36</v>
      </c>
      <c r="U5256" s="20" t="s">
        <v>88</v>
      </c>
      <c r="V5256" s="21" t="s">
        <v>89</v>
      </c>
      <c r="W5256" s="22">
        <v>10</v>
      </c>
      <c r="X5256" s="23"/>
    </row>
    <row r="5257" spans="1:24" s="1" customFormat="1" ht="17" customHeight="1" x14ac:dyDescent="0.3">
      <c r="A5257" s="24" t="s">
        <v>23</v>
      </c>
      <c r="B5257" s="24" t="s">
        <v>4609</v>
      </c>
      <c r="C5257" s="12" t="s">
        <v>4619</v>
      </c>
      <c r="D5257" s="60"/>
      <c r="E5257" s="41" t="str">
        <f t="shared" si="183"/>
        <v>Еще фото</v>
      </c>
      <c r="F5257" s="13"/>
      <c r="G5257" s="24" t="s">
        <v>4404</v>
      </c>
      <c r="H5257" s="24" t="s">
        <v>27</v>
      </c>
      <c r="I5257" s="24" t="s">
        <v>4404</v>
      </c>
      <c r="J5257" s="14" t="s">
        <v>29</v>
      </c>
      <c r="K5257" s="15" t="s">
        <v>30</v>
      </c>
      <c r="L5257" s="62"/>
      <c r="M5257" s="14"/>
      <c r="N5257" s="14" t="s">
        <v>115</v>
      </c>
      <c r="O5257" s="14"/>
      <c r="P5257" s="15" t="s">
        <v>47</v>
      </c>
      <c r="Q5257" s="16">
        <v>3499</v>
      </c>
      <c r="R5257" s="17">
        <v>40</v>
      </c>
      <c r="S5257" s="18">
        <v>2414.31</v>
      </c>
      <c r="T5257" s="19" t="s">
        <v>36</v>
      </c>
      <c r="U5257" s="20" t="s">
        <v>90</v>
      </c>
      <c r="V5257" s="21" t="s">
        <v>91</v>
      </c>
      <c r="W5257" s="22">
        <v>8</v>
      </c>
      <c r="X5257" s="23"/>
    </row>
    <row r="5258" spans="1:24" s="1" customFormat="1" ht="22.05" customHeight="1" x14ac:dyDescent="0.3">
      <c r="A5258" s="24" t="s">
        <v>23</v>
      </c>
      <c r="B5258" s="24" t="s">
        <v>4609</v>
      </c>
      <c r="C5258" s="12" t="s">
        <v>4619</v>
      </c>
      <c r="D5258" s="61"/>
      <c r="E5258" s="41" t="str">
        <f t="shared" si="183"/>
        <v>Еще фото</v>
      </c>
      <c r="F5258" s="13"/>
      <c r="G5258" s="24" t="s">
        <v>4404</v>
      </c>
      <c r="H5258" s="24" t="s">
        <v>27</v>
      </c>
      <c r="I5258" s="24" t="s">
        <v>4404</v>
      </c>
      <c r="J5258" s="14" t="s">
        <v>29</v>
      </c>
      <c r="K5258" s="15" t="s">
        <v>30</v>
      </c>
      <c r="L5258" s="58"/>
      <c r="M5258" s="14"/>
      <c r="N5258" s="14" t="s">
        <v>115</v>
      </c>
      <c r="O5258" s="14"/>
      <c r="P5258" s="15" t="s">
        <v>47</v>
      </c>
      <c r="Q5258" s="16">
        <v>3499</v>
      </c>
      <c r="R5258" s="17">
        <v>40</v>
      </c>
      <c r="S5258" s="18">
        <v>2414.31</v>
      </c>
      <c r="T5258" s="19" t="s">
        <v>36</v>
      </c>
      <c r="U5258" s="20" t="s">
        <v>408</v>
      </c>
      <c r="V5258" s="21" t="s">
        <v>409</v>
      </c>
      <c r="W5258" s="22">
        <v>1</v>
      </c>
      <c r="X5258" s="23"/>
    </row>
    <row r="5259" spans="1:24" s="1" customFormat="1" ht="35" customHeight="1" x14ac:dyDescent="0.3">
      <c r="A5259" s="11" t="s">
        <v>23</v>
      </c>
      <c r="B5259" s="11" t="s">
        <v>4406</v>
      </c>
      <c r="C5259" s="12" t="s">
        <v>4620</v>
      </c>
      <c r="D5259" s="59"/>
      <c r="E5259" s="41" t="str">
        <f>HYPERLINK("https://www.google.ru/search?q=1384217-001&amp;newwindow=1&amp;tbm=isch","Еще фото")</f>
        <v>Еще фото</v>
      </c>
      <c r="F5259" s="13"/>
      <c r="G5259" s="11" t="s">
        <v>4404</v>
      </c>
      <c r="H5259" s="11" t="s">
        <v>27</v>
      </c>
      <c r="I5259" s="14" t="s">
        <v>4404</v>
      </c>
      <c r="J5259" s="14" t="s">
        <v>29</v>
      </c>
      <c r="K5259" s="15" t="s">
        <v>30</v>
      </c>
      <c r="L5259" s="57" t="s">
        <v>4408</v>
      </c>
      <c r="M5259" s="14"/>
      <c r="N5259" s="14" t="s">
        <v>33</v>
      </c>
      <c r="O5259" s="14"/>
      <c r="P5259" s="15" t="s">
        <v>1008</v>
      </c>
      <c r="Q5259" s="16">
        <v>13599</v>
      </c>
      <c r="R5259" s="17">
        <v>40</v>
      </c>
      <c r="S5259" s="18">
        <v>9383.31</v>
      </c>
      <c r="T5259" s="19" t="s">
        <v>36</v>
      </c>
      <c r="U5259" s="20" t="s">
        <v>37</v>
      </c>
      <c r="V5259" s="21" t="s">
        <v>38</v>
      </c>
      <c r="W5259" s="22">
        <v>3</v>
      </c>
      <c r="X5259" s="23"/>
    </row>
    <row r="5260" spans="1:24" s="1" customFormat="1" ht="35" customHeight="1" x14ac:dyDescent="0.3">
      <c r="A5260" s="24" t="s">
        <v>23</v>
      </c>
      <c r="B5260" s="24" t="s">
        <v>4406</v>
      </c>
      <c r="C5260" s="12" t="s">
        <v>4620</v>
      </c>
      <c r="D5260" s="60"/>
      <c r="E5260" s="41" t="str">
        <f>HYPERLINK("https://www.google.ru/search?q=1384217-001&amp;newwindow=1&amp;tbm=isch","Еще фото")</f>
        <v>Еще фото</v>
      </c>
      <c r="F5260" s="13"/>
      <c r="G5260" s="24" t="s">
        <v>4404</v>
      </c>
      <c r="H5260" s="24" t="s">
        <v>27</v>
      </c>
      <c r="I5260" s="24" t="s">
        <v>4404</v>
      </c>
      <c r="J5260" s="14" t="s">
        <v>29</v>
      </c>
      <c r="K5260" s="15" t="s">
        <v>30</v>
      </c>
      <c r="L5260" s="62"/>
      <c r="M5260" s="14"/>
      <c r="N5260" s="14" t="s">
        <v>33</v>
      </c>
      <c r="O5260" s="14"/>
      <c r="P5260" s="15" t="s">
        <v>1008</v>
      </c>
      <c r="Q5260" s="16">
        <v>13599</v>
      </c>
      <c r="R5260" s="17">
        <v>40</v>
      </c>
      <c r="S5260" s="18">
        <v>9383.31</v>
      </c>
      <c r="T5260" s="19" t="s">
        <v>36</v>
      </c>
      <c r="U5260" s="20" t="s">
        <v>39</v>
      </c>
      <c r="V5260" s="21" t="s">
        <v>40</v>
      </c>
      <c r="W5260" s="22">
        <v>11</v>
      </c>
      <c r="X5260" s="23"/>
    </row>
    <row r="5261" spans="1:24" s="1" customFormat="1" ht="37.049999999999997" customHeight="1" x14ac:dyDescent="0.3">
      <c r="A5261" s="24" t="s">
        <v>23</v>
      </c>
      <c r="B5261" s="24" t="s">
        <v>4406</v>
      </c>
      <c r="C5261" s="12" t="s">
        <v>4620</v>
      </c>
      <c r="D5261" s="61"/>
      <c r="E5261" s="41" t="str">
        <f>HYPERLINK("https://www.google.ru/search?q=1384217-001&amp;newwindow=1&amp;tbm=isch","Еще фото")</f>
        <v>Еще фото</v>
      </c>
      <c r="F5261" s="13"/>
      <c r="G5261" s="24" t="s">
        <v>4404</v>
      </c>
      <c r="H5261" s="24" t="s">
        <v>27</v>
      </c>
      <c r="I5261" s="24" t="s">
        <v>4404</v>
      </c>
      <c r="J5261" s="14" t="s">
        <v>29</v>
      </c>
      <c r="K5261" s="15" t="s">
        <v>30</v>
      </c>
      <c r="L5261" s="58"/>
      <c r="M5261" s="14"/>
      <c r="N5261" s="14" t="s">
        <v>33</v>
      </c>
      <c r="O5261" s="14"/>
      <c r="P5261" s="15" t="s">
        <v>1008</v>
      </c>
      <c r="Q5261" s="16">
        <v>13599</v>
      </c>
      <c r="R5261" s="17">
        <v>40</v>
      </c>
      <c r="S5261" s="18">
        <v>9383.31</v>
      </c>
      <c r="T5261" s="19" t="s">
        <v>36</v>
      </c>
      <c r="U5261" s="20" t="s">
        <v>90</v>
      </c>
      <c r="V5261" s="21" t="s">
        <v>91</v>
      </c>
      <c r="W5261" s="22">
        <v>1</v>
      </c>
      <c r="X5261" s="23"/>
    </row>
    <row r="5262" spans="1:24" s="1" customFormat="1" ht="52.05" customHeight="1" x14ac:dyDescent="0.3">
      <c r="A5262" s="11" t="s">
        <v>23</v>
      </c>
      <c r="B5262" s="11" t="s">
        <v>4621</v>
      </c>
      <c r="C5262" s="12" t="s">
        <v>4622</v>
      </c>
      <c r="D5262" s="55"/>
      <c r="E5262" s="41" t="str">
        <f>HYPERLINK("https://www.google.ru/search?q=1386560-001&amp;newwindow=1&amp;tbm=isch","Еще фото")</f>
        <v>Еще фото</v>
      </c>
      <c r="F5262" s="13" t="s">
        <v>103</v>
      </c>
      <c r="G5262" s="11" t="s">
        <v>4404</v>
      </c>
      <c r="H5262" s="11" t="s">
        <v>27</v>
      </c>
      <c r="I5262" s="14" t="s">
        <v>4404</v>
      </c>
      <c r="J5262" s="14" t="s">
        <v>29</v>
      </c>
      <c r="K5262" s="15" t="s">
        <v>30</v>
      </c>
      <c r="L5262" s="57" t="s">
        <v>4623</v>
      </c>
      <c r="M5262" s="14"/>
      <c r="N5262" s="14" t="s">
        <v>33</v>
      </c>
      <c r="O5262" s="14"/>
      <c r="P5262" s="15" t="s">
        <v>53</v>
      </c>
      <c r="Q5262" s="16">
        <v>6099</v>
      </c>
      <c r="R5262" s="17">
        <v>40</v>
      </c>
      <c r="S5262" s="18">
        <v>4208.3099999999995</v>
      </c>
      <c r="T5262" s="19" t="s">
        <v>36</v>
      </c>
      <c r="U5262" s="20" t="s">
        <v>37</v>
      </c>
      <c r="V5262" s="21" t="s">
        <v>38</v>
      </c>
      <c r="W5262" s="22">
        <v>9</v>
      </c>
      <c r="X5262" s="23"/>
    </row>
    <row r="5263" spans="1:24" s="1" customFormat="1" ht="61.05" customHeight="1" x14ac:dyDescent="0.3">
      <c r="A5263" s="24" t="s">
        <v>23</v>
      </c>
      <c r="B5263" s="24" t="s">
        <v>4621</v>
      </c>
      <c r="C5263" s="12" t="s">
        <v>4622</v>
      </c>
      <c r="D5263" s="56"/>
      <c r="E5263" s="41" t="str">
        <f>HYPERLINK("https://www.google.ru/search?q=1386560-001&amp;newwindow=1&amp;tbm=isch","Еще фото")</f>
        <v>Еще фото</v>
      </c>
      <c r="F5263" s="13" t="s">
        <v>103</v>
      </c>
      <c r="G5263" s="24" t="s">
        <v>4404</v>
      </c>
      <c r="H5263" s="24" t="s">
        <v>27</v>
      </c>
      <c r="I5263" s="24" t="s">
        <v>4404</v>
      </c>
      <c r="J5263" s="14" t="s">
        <v>29</v>
      </c>
      <c r="K5263" s="15" t="s">
        <v>30</v>
      </c>
      <c r="L5263" s="58"/>
      <c r="M5263" s="14"/>
      <c r="N5263" s="14" t="s">
        <v>33</v>
      </c>
      <c r="O5263" s="14"/>
      <c r="P5263" s="15" t="s">
        <v>53</v>
      </c>
      <c r="Q5263" s="16">
        <v>6099</v>
      </c>
      <c r="R5263" s="17">
        <v>40</v>
      </c>
      <c r="S5263" s="18">
        <v>4208.3099999999995</v>
      </c>
      <c r="T5263" s="19" t="s">
        <v>36</v>
      </c>
      <c r="U5263" s="20" t="s">
        <v>39</v>
      </c>
      <c r="V5263" s="21" t="s">
        <v>40</v>
      </c>
      <c r="W5263" s="22">
        <v>8</v>
      </c>
      <c r="X5263" s="23"/>
    </row>
    <row r="5264" spans="1:24" s="1" customFormat="1" ht="26" customHeight="1" x14ac:dyDescent="0.3">
      <c r="A5264" s="11" t="s">
        <v>23</v>
      </c>
      <c r="B5264" s="11" t="s">
        <v>4621</v>
      </c>
      <c r="C5264" s="12" t="s">
        <v>4624</v>
      </c>
      <c r="D5264" s="59"/>
      <c r="E5264" s="41" t="str">
        <f>HYPERLINK("https://www.google.ru/search?q=1386560-025&amp;newwindow=1&amp;tbm=isch","Еще фото")</f>
        <v>Еще фото</v>
      </c>
      <c r="F5264" s="13" t="s">
        <v>103</v>
      </c>
      <c r="G5264" s="11" t="s">
        <v>4404</v>
      </c>
      <c r="H5264" s="11" t="s">
        <v>27</v>
      </c>
      <c r="I5264" s="14" t="s">
        <v>4404</v>
      </c>
      <c r="J5264" s="14" t="s">
        <v>43</v>
      </c>
      <c r="K5264" s="15" t="s">
        <v>30</v>
      </c>
      <c r="L5264" s="57" t="s">
        <v>4623</v>
      </c>
      <c r="M5264" s="14"/>
      <c r="N5264" s="14" t="s">
        <v>62</v>
      </c>
      <c r="O5264" s="14"/>
      <c r="P5264" s="15" t="s">
        <v>53</v>
      </c>
      <c r="Q5264" s="16">
        <v>6099</v>
      </c>
      <c r="R5264" s="17">
        <v>40</v>
      </c>
      <c r="S5264" s="18">
        <v>4208.3099999999995</v>
      </c>
      <c r="T5264" s="19" t="s">
        <v>36</v>
      </c>
      <c r="U5264" s="20" t="s">
        <v>37</v>
      </c>
      <c r="V5264" s="21" t="s">
        <v>38</v>
      </c>
      <c r="W5264" s="22">
        <v>6</v>
      </c>
      <c r="X5264" s="23"/>
    </row>
    <row r="5265" spans="1:24" s="1" customFormat="1" ht="26" customHeight="1" x14ac:dyDescent="0.3">
      <c r="A5265" s="24" t="s">
        <v>23</v>
      </c>
      <c r="B5265" s="24" t="s">
        <v>4621</v>
      </c>
      <c r="C5265" s="12" t="s">
        <v>4624</v>
      </c>
      <c r="D5265" s="60"/>
      <c r="E5265" s="41" t="str">
        <f>HYPERLINK("https://www.google.ru/search?q=1386560-025&amp;newwindow=1&amp;tbm=isch","Еще фото")</f>
        <v>Еще фото</v>
      </c>
      <c r="F5265" s="13" t="s">
        <v>103</v>
      </c>
      <c r="G5265" s="24" t="s">
        <v>4404</v>
      </c>
      <c r="H5265" s="24" t="s">
        <v>27</v>
      </c>
      <c r="I5265" s="24" t="s">
        <v>4404</v>
      </c>
      <c r="J5265" s="14" t="s">
        <v>43</v>
      </c>
      <c r="K5265" s="15" t="s">
        <v>30</v>
      </c>
      <c r="L5265" s="62"/>
      <c r="M5265" s="14"/>
      <c r="N5265" s="14" t="s">
        <v>62</v>
      </c>
      <c r="O5265" s="14"/>
      <c r="P5265" s="15" t="s">
        <v>53</v>
      </c>
      <c r="Q5265" s="16">
        <v>6099</v>
      </c>
      <c r="R5265" s="17">
        <v>40</v>
      </c>
      <c r="S5265" s="18">
        <v>4208.3099999999995</v>
      </c>
      <c r="T5265" s="19" t="s">
        <v>36</v>
      </c>
      <c r="U5265" s="20" t="s">
        <v>39</v>
      </c>
      <c r="V5265" s="21" t="s">
        <v>40</v>
      </c>
      <c r="W5265" s="22">
        <v>13</v>
      </c>
      <c r="X5265" s="23"/>
    </row>
    <row r="5266" spans="1:24" s="1" customFormat="1" ht="26" customHeight="1" x14ac:dyDescent="0.3">
      <c r="A5266" s="24" t="s">
        <v>23</v>
      </c>
      <c r="B5266" s="24" t="s">
        <v>4621</v>
      </c>
      <c r="C5266" s="12" t="s">
        <v>4624</v>
      </c>
      <c r="D5266" s="60"/>
      <c r="E5266" s="41" t="str">
        <f>HYPERLINK("https://www.google.ru/search?q=1386560-025&amp;newwindow=1&amp;tbm=isch","Еще фото")</f>
        <v>Еще фото</v>
      </c>
      <c r="F5266" s="13" t="s">
        <v>103</v>
      </c>
      <c r="G5266" s="24" t="s">
        <v>4404</v>
      </c>
      <c r="H5266" s="24" t="s">
        <v>27</v>
      </c>
      <c r="I5266" s="24" t="s">
        <v>4404</v>
      </c>
      <c r="J5266" s="14" t="s">
        <v>43</v>
      </c>
      <c r="K5266" s="15" t="s">
        <v>30</v>
      </c>
      <c r="L5266" s="62"/>
      <c r="M5266" s="14"/>
      <c r="N5266" s="14" t="s">
        <v>62</v>
      </c>
      <c r="O5266" s="14"/>
      <c r="P5266" s="15" t="s">
        <v>53</v>
      </c>
      <c r="Q5266" s="16">
        <v>6099</v>
      </c>
      <c r="R5266" s="17">
        <v>40</v>
      </c>
      <c r="S5266" s="18">
        <v>4208.3099999999995</v>
      </c>
      <c r="T5266" s="19" t="s">
        <v>36</v>
      </c>
      <c r="U5266" s="20" t="s">
        <v>88</v>
      </c>
      <c r="V5266" s="21" t="s">
        <v>89</v>
      </c>
      <c r="W5266" s="22">
        <v>6</v>
      </c>
      <c r="X5266" s="23"/>
    </row>
    <row r="5267" spans="1:24" s="1" customFormat="1" ht="26" customHeight="1" x14ac:dyDescent="0.3">
      <c r="A5267" s="24" t="s">
        <v>23</v>
      </c>
      <c r="B5267" s="24" t="s">
        <v>4621</v>
      </c>
      <c r="C5267" s="12" t="s">
        <v>4624</v>
      </c>
      <c r="D5267" s="61"/>
      <c r="E5267" s="41" t="str">
        <f>HYPERLINK("https://www.google.ru/search?q=1386560-025&amp;newwindow=1&amp;tbm=isch","Еще фото")</f>
        <v>Еще фото</v>
      </c>
      <c r="F5267" s="13" t="s">
        <v>103</v>
      </c>
      <c r="G5267" s="24" t="s">
        <v>4404</v>
      </c>
      <c r="H5267" s="24" t="s">
        <v>27</v>
      </c>
      <c r="I5267" s="24" t="s">
        <v>4404</v>
      </c>
      <c r="J5267" s="14" t="s">
        <v>43</v>
      </c>
      <c r="K5267" s="15" t="s">
        <v>30</v>
      </c>
      <c r="L5267" s="58"/>
      <c r="M5267" s="14"/>
      <c r="N5267" s="14" t="s">
        <v>62</v>
      </c>
      <c r="O5267" s="14"/>
      <c r="P5267" s="15" t="s">
        <v>53</v>
      </c>
      <c r="Q5267" s="16">
        <v>6099</v>
      </c>
      <c r="R5267" s="17">
        <v>40</v>
      </c>
      <c r="S5267" s="18">
        <v>4208.3099999999995</v>
      </c>
      <c r="T5267" s="19" t="s">
        <v>36</v>
      </c>
      <c r="U5267" s="20" t="s">
        <v>90</v>
      </c>
      <c r="V5267" s="21" t="s">
        <v>91</v>
      </c>
      <c r="W5267" s="22">
        <v>4</v>
      </c>
      <c r="X5267" s="23"/>
    </row>
    <row r="5268" spans="1:24" s="1" customFormat="1" ht="21" customHeight="1" x14ac:dyDescent="0.3">
      <c r="A5268" s="11" t="s">
        <v>23</v>
      </c>
      <c r="B5268" s="11" t="s">
        <v>4621</v>
      </c>
      <c r="C5268" s="26" t="s">
        <v>4625</v>
      </c>
      <c r="D5268" s="59"/>
      <c r="E5268" s="41" t="str">
        <f>HYPERLINK("https://www.google.ru/search?q=1386560-289&amp;newwindow=1&amp;tbm=isch","Еще фото")</f>
        <v>Еще фото</v>
      </c>
      <c r="F5268" s="13"/>
      <c r="G5268" s="11" t="s">
        <v>4404</v>
      </c>
      <c r="H5268" s="11" t="s">
        <v>27</v>
      </c>
      <c r="I5268" s="14" t="s">
        <v>4404</v>
      </c>
      <c r="J5268" s="14" t="s">
        <v>43</v>
      </c>
      <c r="K5268" s="15" t="s">
        <v>30</v>
      </c>
      <c r="L5268" s="57" t="s">
        <v>4623</v>
      </c>
      <c r="M5268" s="14" t="s">
        <v>32</v>
      </c>
      <c r="N5268" s="14" t="s">
        <v>127</v>
      </c>
      <c r="O5268" s="14"/>
      <c r="P5268" s="15" t="s">
        <v>53</v>
      </c>
      <c r="Q5268" s="16">
        <v>6499</v>
      </c>
      <c r="R5268" s="17">
        <v>40</v>
      </c>
      <c r="S5268" s="18">
        <v>4484.3099999999995</v>
      </c>
      <c r="T5268" s="19" t="s">
        <v>36</v>
      </c>
      <c r="U5268" s="20" t="s">
        <v>37</v>
      </c>
      <c r="V5268" s="21" t="s">
        <v>38</v>
      </c>
      <c r="W5268" s="22">
        <v>5</v>
      </c>
      <c r="X5268" s="23"/>
    </row>
    <row r="5269" spans="1:24" s="1" customFormat="1" ht="21" customHeight="1" x14ac:dyDescent="0.3">
      <c r="A5269" s="24" t="s">
        <v>23</v>
      </c>
      <c r="B5269" s="24" t="s">
        <v>4621</v>
      </c>
      <c r="C5269" s="27" t="s">
        <v>4625</v>
      </c>
      <c r="D5269" s="60"/>
      <c r="E5269" s="41" t="str">
        <f>HYPERLINK("https://www.google.ru/search?q=1386560-289&amp;newwindow=1&amp;tbm=isch","Еще фото")</f>
        <v>Еще фото</v>
      </c>
      <c r="F5269" s="13"/>
      <c r="G5269" s="24" t="s">
        <v>4404</v>
      </c>
      <c r="H5269" s="24" t="s">
        <v>27</v>
      </c>
      <c r="I5269" s="24" t="s">
        <v>4404</v>
      </c>
      <c r="J5269" s="14" t="s">
        <v>43</v>
      </c>
      <c r="K5269" s="15" t="s">
        <v>30</v>
      </c>
      <c r="L5269" s="62"/>
      <c r="M5269" s="14" t="s">
        <v>32</v>
      </c>
      <c r="N5269" s="14" t="s">
        <v>127</v>
      </c>
      <c r="O5269" s="14"/>
      <c r="P5269" s="15" t="s">
        <v>53</v>
      </c>
      <c r="Q5269" s="16">
        <v>6499</v>
      </c>
      <c r="R5269" s="17">
        <v>40</v>
      </c>
      <c r="S5269" s="18">
        <v>4484.3099999999995</v>
      </c>
      <c r="T5269" s="19" t="s">
        <v>36</v>
      </c>
      <c r="U5269" s="20" t="s">
        <v>39</v>
      </c>
      <c r="V5269" s="21" t="s">
        <v>40</v>
      </c>
      <c r="W5269" s="22">
        <v>23</v>
      </c>
      <c r="X5269" s="23"/>
    </row>
    <row r="5270" spans="1:24" s="1" customFormat="1" ht="21" customHeight="1" x14ac:dyDescent="0.3">
      <c r="A5270" s="24" t="s">
        <v>23</v>
      </c>
      <c r="B5270" s="24" t="s">
        <v>4621</v>
      </c>
      <c r="C5270" s="27" t="s">
        <v>4625</v>
      </c>
      <c r="D5270" s="60"/>
      <c r="E5270" s="41" t="str">
        <f>HYPERLINK("https://www.google.ru/search?q=1386560-289&amp;newwindow=1&amp;tbm=isch","Еще фото")</f>
        <v>Еще фото</v>
      </c>
      <c r="F5270" s="13"/>
      <c r="G5270" s="24" t="s">
        <v>4404</v>
      </c>
      <c r="H5270" s="24" t="s">
        <v>27</v>
      </c>
      <c r="I5270" s="24" t="s">
        <v>4404</v>
      </c>
      <c r="J5270" s="14" t="s">
        <v>43</v>
      </c>
      <c r="K5270" s="15" t="s">
        <v>30</v>
      </c>
      <c r="L5270" s="62"/>
      <c r="M5270" s="14" t="s">
        <v>32</v>
      </c>
      <c r="N5270" s="14" t="s">
        <v>127</v>
      </c>
      <c r="O5270" s="14"/>
      <c r="P5270" s="15" t="s">
        <v>53</v>
      </c>
      <c r="Q5270" s="16">
        <v>6499</v>
      </c>
      <c r="R5270" s="17">
        <v>40</v>
      </c>
      <c r="S5270" s="18">
        <v>4484.3099999999995</v>
      </c>
      <c r="T5270" s="19" t="s">
        <v>36</v>
      </c>
      <c r="U5270" s="20" t="s">
        <v>86</v>
      </c>
      <c r="V5270" s="21" t="s">
        <v>87</v>
      </c>
      <c r="W5270" s="22">
        <v>13</v>
      </c>
      <c r="X5270" s="23"/>
    </row>
    <row r="5271" spans="1:24" s="1" customFormat="1" ht="21" customHeight="1" x14ac:dyDescent="0.3">
      <c r="A5271" s="24" t="s">
        <v>23</v>
      </c>
      <c r="B5271" s="24" t="s">
        <v>4621</v>
      </c>
      <c r="C5271" s="27" t="s">
        <v>4625</v>
      </c>
      <c r="D5271" s="60"/>
      <c r="E5271" s="41" t="str">
        <f>HYPERLINK("https://www.google.ru/search?q=1386560-289&amp;newwindow=1&amp;tbm=isch","Еще фото")</f>
        <v>Еще фото</v>
      </c>
      <c r="F5271" s="13"/>
      <c r="G5271" s="24" t="s">
        <v>4404</v>
      </c>
      <c r="H5271" s="24" t="s">
        <v>27</v>
      </c>
      <c r="I5271" s="24" t="s">
        <v>4404</v>
      </c>
      <c r="J5271" s="14" t="s">
        <v>43</v>
      </c>
      <c r="K5271" s="15" t="s">
        <v>30</v>
      </c>
      <c r="L5271" s="62"/>
      <c r="M5271" s="14" t="s">
        <v>32</v>
      </c>
      <c r="N5271" s="14" t="s">
        <v>127</v>
      </c>
      <c r="O5271" s="14"/>
      <c r="P5271" s="15" t="s">
        <v>53</v>
      </c>
      <c r="Q5271" s="16">
        <v>6499</v>
      </c>
      <c r="R5271" s="17">
        <v>40</v>
      </c>
      <c r="S5271" s="18">
        <v>4484.3099999999995</v>
      </c>
      <c r="T5271" s="19" t="s">
        <v>36</v>
      </c>
      <c r="U5271" s="20" t="s">
        <v>88</v>
      </c>
      <c r="V5271" s="21" t="s">
        <v>89</v>
      </c>
      <c r="W5271" s="22">
        <v>11</v>
      </c>
      <c r="X5271" s="23"/>
    </row>
    <row r="5272" spans="1:24" s="1" customFormat="1" ht="32" customHeight="1" x14ac:dyDescent="0.3">
      <c r="A5272" s="24" t="s">
        <v>23</v>
      </c>
      <c r="B5272" s="24" t="s">
        <v>4621</v>
      </c>
      <c r="C5272" s="27" t="s">
        <v>4625</v>
      </c>
      <c r="D5272" s="61"/>
      <c r="E5272" s="41" t="str">
        <f>HYPERLINK("https://www.google.ru/search?q=1386560-289&amp;newwindow=1&amp;tbm=isch","Еще фото")</f>
        <v>Еще фото</v>
      </c>
      <c r="F5272" s="13"/>
      <c r="G5272" s="24" t="s">
        <v>4404</v>
      </c>
      <c r="H5272" s="24" t="s">
        <v>27</v>
      </c>
      <c r="I5272" s="24" t="s">
        <v>4404</v>
      </c>
      <c r="J5272" s="14" t="s">
        <v>43</v>
      </c>
      <c r="K5272" s="15" t="s">
        <v>30</v>
      </c>
      <c r="L5272" s="58"/>
      <c r="M5272" s="14" t="s">
        <v>32</v>
      </c>
      <c r="N5272" s="14" t="s">
        <v>127</v>
      </c>
      <c r="O5272" s="14"/>
      <c r="P5272" s="15" t="s">
        <v>53</v>
      </c>
      <c r="Q5272" s="16">
        <v>6499</v>
      </c>
      <c r="R5272" s="17">
        <v>40</v>
      </c>
      <c r="S5272" s="18">
        <v>4484.3099999999995</v>
      </c>
      <c r="T5272" s="19" t="s">
        <v>36</v>
      </c>
      <c r="U5272" s="20" t="s">
        <v>90</v>
      </c>
      <c r="V5272" s="21" t="s">
        <v>91</v>
      </c>
      <c r="W5272" s="22">
        <v>5</v>
      </c>
      <c r="X5272" s="23"/>
    </row>
    <row r="5273" spans="1:24" s="1" customFormat="1" ht="52.05" customHeight="1" x14ac:dyDescent="0.3">
      <c r="A5273" s="11" t="s">
        <v>23</v>
      </c>
      <c r="B5273" s="11" t="s">
        <v>4621</v>
      </c>
      <c r="C5273" s="12" t="s">
        <v>4626</v>
      </c>
      <c r="D5273" s="55"/>
      <c r="E5273" s="41" t="str">
        <f>HYPERLINK("https://www.google.ru/search?q=1386560-348&amp;newwindow=1&amp;tbm=isch","Еще фото")</f>
        <v>Еще фото</v>
      </c>
      <c r="F5273" s="13" t="s">
        <v>152</v>
      </c>
      <c r="G5273" s="11" t="s">
        <v>4404</v>
      </c>
      <c r="H5273" s="11" t="s">
        <v>27</v>
      </c>
      <c r="I5273" s="14" t="s">
        <v>4404</v>
      </c>
      <c r="J5273" s="14" t="s">
        <v>43</v>
      </c>
      <c r="K5273" s="15" t="s">
        <v>30</v>
      </c>
      <c r="L5273" s="57" t="s">
        <v>4623</v>
      </c>
      <c r="M5273" s="14" t="s">
        <v>32</v>
      </c>
      <c r="N5273" s="14" t="s">
        <v>127</v>
      </c>
      <c r="O5273" s="14"/>
      <c r="P5273" s="15" t="s">
        <v>53</v>
      </c>
      <c r="Q5273" s="16">
        <v>7699</v>
      </c>
      <c r="R5273" s="17">
        <v>40</v>
      </c>
      <c r="S5273" s="18">
        <v>5312.3099999999995</v>
      </c>
      <c r="T5273" s="19" t="s">
        <v>36</v>
      </c>
      <c r="U5273" s="20" t="s">
        <v>39</v>
      </c>
      <c r="V5273" s="21" t="s">
        <v>40</v>
      </c>
      <c r="W5273" s="22">
        <v>3</v>
      </c>
      <c r="X5273" s="23"/>
    </row>
    <row r="5274" spans="1:24" s="1" customFormat="1" ht="61.05" customHeight="1" x14ac:dyDescent="0.3">
      <c r="A5274" s="24" t="s">
        <v>23</v>
      </c>
      <c r="B5274" s="24" t="s">
        <v>4621</v>
      </c>
      <c r="C5274" s="12" t="s">
        <v>4626</v>
      </c>
      <c r="D5274" s="56"/>
      <c r="E5274" s="41" t="str">
        <f>HYPERLINK("https://www.google.ru/search?q=1386560-348&amp;newwindow=1&amp;tbm=isch","Еще фото")</f>
        <v>Еще фото</v>
      </c>
      <c r="F5274" s="13" t="s">
        <v>152</v>
      </c>
      <c r="G5274" s="24" t="s">
        <v>4404</v>
      </c>
      <c r="H5274" s="24" t="s">
        <v>27</v>
      </c>
      <c r="I5274" s="24" t="s">
        <v>4404</v>
      </c>
      <c r="J5274" s="14" t="s">
        <v>43</v>
      </c>
      <c r="K5274" s="15" t="s">
        <v>30</v>
      </c>
      <c r="L5274" s="58"/>
      <c r="M5274" s="14" t="s">
        <v>32</v>
      </c>
      <c r="N5274" s="14" t="s">
        <v>127</v>
      </c>
      <c r="O5274" s="14"/>
      <c r="P5274" s="15" t="s">
        <v>53</v>
      </c>
      <c r="Q5274" s="16">
        <v>7699</v>
      </c>
      <c r="R5274" s="17">
        <v>40</v>
      </c>
      <c r="S5274" s="18">
        <v>5312.3099999999995</v>
      </c>
      <c r="T5274" s="19" t="s">
        <v>36</v>
      </c>
      <c r="U5274" s="20" t="s">
        <v>88</v>
      </c>
      <c r="V5274" s="21" t="s">
        <v>89</v>
      </c>
      <c r="W5274" s="22">
        <v>1</v>
      </c>
      <c r="X5274" s="23"/>
    </row>
    <row r="5275" spans="1:24" s="1" customFormat="1" ht="26" customHeight="1" x14ac:dyDescent="0.3">
      <c r="A5275" s="11" t="s">
        <v>23</v>
      </c>
      <c r="B5275" s="11" t="s">
        <v>4627</v>
      </c>
      <c r="C5275" s="12" t="s">
        <v>4628</v>
      </c>
      <c r="D5275" s="59"/>
      <c r="E5275" s="41" t="str">
        <f>HYPERLINK("https://www.google.ru/search?q=1388646-338&amp;newwindow=1&amp;tbm=isch","Еще фото")</f>
        <v>Еще фото</v>
      </c>
      <c r="F5275" s="13"/>
      <c r="G5275" s="11" t="s">
        <v>4404</v>
      </c>
      <c r="H5275" s="11" t="s">
        <v>27</v>
      </c>
      <c r="I5275" s="14" t="s">
        <v>4404</v>
      </c>
      <c r="J5275" s="14" t="s">
        <v>29</v>
      </c>
      <c r="K5275" s="15" t="s">
        <v>59</v>
      </c>
      <c r="L5275" s="57" t="s">
        <v>4629</v>
      </c>
      <c r="M5275" s="14"/>
      <c r="N5275" s="14" t="s">
        <v>127</v>
      </c>
      <c r="O5275" s="14"/>
      <c r="P5275" s="15" t="s">
        <v>508</v>
      </c>
      <c r="Q5275" s="16">
        <v>3999</v>
      </c>
      <c r="R5275" s="17">
        <v>40</v>
      </c>
      <c r="S5275" s="18">
        <v>2759.31</v>
      </c>
      <c r="T5275" s="19" t="s">
        <v>36</v>
      </c>
      <c r="U5275" s="20" t="s">
        <v>63</v>
      </c>
      <c r="V5275" s="21" t="s">
        <v>64</v>
      </c>
      <c r="W5275" s="22">
        <v>11</v>
      </c>
      <c r="X5275" s="23"/>
    </row>
    <row r="5276" spans="1:24" s="1" customFormat="1" ht="26" customHeight="1" x14ac:dyDescent="0.3">
      <c r="A5276" s="24" t="s">
        <v>23</v>
      </c>
      <c r="B5276" s="24" t="s">
        <v>4627</v>
      </c>
      <c r="C5276" s="12" t="s">
        <v>4628</v>
      </c>
      <c r="D5276" s="60"/>
      <c r="E5276" s="41" t="str">
        <f>HYPERLINK("https://www.google.ru/search?q=1388646-338&amp;newwindow=1&amp;tbm=isch","Еще фото")</f>
        <v>Еще фото</v>
      </c>
      <c r="F5276" s="13"/>
      <c r="G5276" s="24" t="s">
        <v>4404</v>
      </c>
      <c r="H5276" s="24" t="s">
        <v>27</v>
      </c>
      <c r="I5276" s="24" t="s">
        <v>4404</v>
      </c>
      <c r="J5276" s="14" t="s">
        <v>29</v>
      </c>
      <c r="K5276" s="15" t="s">
        <v>59</v>
      </c>
      <c r="L5276" s="62"/>
      <c r="M5276" s="14"/>
      <c r="N5276" s="14" t="s">
        <v>127</v>
      </c>
      <c r="O5276" s="14"/>
      <c r="P5276" s="15" t="s">
        <v>508</v>
      </c>
      <c r="Q5276" s="16">
        <v>3999</v>
      </c>
      <c r="R5276" s="17">
        <v>40</v>
      </c>
      <c r="S5276" s="18">
        <v>2759.31</v>
      </c>
      <c r="T5276" s="19" t="s">
        <v>36</v>
      </c>
      <c r="U5276" s="20" t="s">
        <v>37</v>
      </c>
      <c r="V5276" s="21" t="s">
        <v>106</v>
      </c>
      <c r="W5276" s="22">
        <v>4</v>
      </c>
      <c r="X5276" s="23"/>
    </row>
    <row r="5277" spans="1:24" s="1" customFormat="1" ht="26" customHeight="1" x14ac:dyDescent="0.3">
      <c r="A5277" s="24" t="s">
        <v>23</v>
      </c>
      <c r="B5277" s="24" t="s">
        <v>4627</v>
      </c>
      <c r="C5277" s="12" t="s">
        <v>4628</v>
      </c>
      <c r="D5277" s="60"/>
      <c r="E5277" s="41" t="str">
        <f>HYPERLINK("https://www.google.ru/search?q=1388646-338&amp;newwindow=1&amp;tbm=isch","Еще фото")</f>
        <v>Еще фото</v>
      </c>
      <c r="F5277" s="13"/>
      <c r="G5277" s="24" t="s">
        <v>4404</v>
      </c>
      <c r="H5277" s="24" t="s">
        <v>27</v>
      </c>
      <c r="I5277" s="24" t="s">
        <v>4404</v>
      </c>
      <c r="J5277" s="14" t="s">
        <v>29</v>
      </c>
      <c r="K5277" s="15" t="s">
        <v>59</v>
      </c>
      <c r="L5277" s="62"/>
      <c r="M5277" s="14"/>
      <c r="N5277" s="14" t="s">
        <v>127</v>
      </c>
      <c r="O5277" s="14"/>
      <c r="P5277" s="15" t="s">
        <v>508</v>
      </c>
      <c r="Q5277" s="16">
        <v>3999</v>
      </c>
      <c r="R5277" s="17">
        <v>40</v>
      </c>
      <c r="S5277" s="18">
        <v>2759.31</v>
      </c>
      <c r="T5277" s="19" t="s">
        <v>36</v>
      </c>
      <c r="U5277" s="20" t="s">
        <v>39</v>
      </c>
      <c r="V5277" s="21" t="s">
        <v>85</v>
      </c>
      <c r="W5277" s="22">
        <v>9</v>
      </c>
      <c r="X5277" s="23"/>
    </row>
    <row r="5278" spans="1:24" s="1" customFormat="1" ht="26" customHeight="1" x14ac:dyDescent="0.3">
      <c r="A5278" s="24" t="s">
        <v>23</v>
      </c>
      <c r="B5278" s="24" t="s">
        <v>4627</v>
      </c>
      <c r="C5278" s="12" t="s">
        <v>4628</v>
      </c>
      <c r="D5278" s="61"/>
      <c r="E5278" s="41" t="str">
        <f>HYPERLINK("https://www.google.ru/search?q=1388646-338&amp;newwindow=1&amp;tbm=isch","Еще фото")</f>
        <v>Еще фото</v>
      </c>
      <c r="F5278" s="13"/>
      <c r="G5278" s="24" t="s">
        <v>4404</v>
      </c>
      <c r="H5278" s="24" t="s">
        <v>27</v>
      </c>
      <c r="I5278" s="24" t="s">
        <v>4404</v>
      </c>
      <c r="J5278" s="14" t="s">
        <v>29</v>
      </c>
      <c r="K5278" s="15" t="s">
        <v>59</v>
      </c>
      <c r="L5278" s="58"/>
      <c r="M5278" s="14"/>
      <c r="N5278" s="14" t="s">
        <v>127</v>
      </c>
      <c r="O5278" s="14"/>
      <c r="P5278" s="15" t="s">
        <v>508</v>
      </c>
      <c r="Q5278" s="16">
        <v>3999</v>
      </c>
      <c r="R5278" s="17">
        <v>40</v>
      </c>
      <c r="S5278" s="18">
        <v>2759.31</v>
      </c>
      <c r="T5278" s="19" t="s">
        <v>36</v>
      </c>
      <c r="U5278" s="20" t="s">
        <v>86</v>
      </c>
      <c r="V5278" s="21" t="s">
        <v>38</v>
      </c>
      <c r="W5278" s="22">
        <v>5</v>
      </c>
      <c r="X5278" s="23"/>
    </row>
    <row r="5279" spans="1:24" s="1" customFormat="1" ht="26" customHeight="1" x14ac:dyDescent="0.3">
      <c r="A5279" s="11" t="s">
        <v>23</v>
      </c>
      <c r="B5279" s="11" t="s">
        <v>4627</v>
      </c>
      <c r="C5279" s="12" t="s">
        <v>4630</v>
      </c>
      <c r="D5279" s="59"/>
      <c r="E5279" s="41" t="str">
        <f>HYPERLINK("https://www.google.ru/search?q=1388646-520&amp;newwindow=1&amp;tbm=isch","Еще фото")</f>
        <v>Еще фото</v>
      </c>
      <c r="F5279" s="13"/>
      <c r="G5279" s="11" t="s">
        <v>4404</v>
      </c>
      <c r="H5279" s="11" t="s">
        <v>27</v>
      </c>
      <c r="I5279" s="14" t="s">
        <v>4404</v>
      </c>
      <c r="J5279" s="14" t="s">
        <v>29</v>
      </c>
      <c r="K5279" s="15" t="s">
        <v>59</v>
      </c>
      <c r="L5279" s="57" t="s">
        <v>4629</v>
      </c>
      <c r="M5279" s="14"/>
      <c r="N5279" s="14" t="s">
        <v>79</v>
      </c>
      <c r="O5279" s="14"/>
      <c r="P5279" s="15" t="s">
        <v>508</v>
      </c>
      <c r="Q5279" s="16">
        <v>3999</v>
      </c>
      <c r="R5279" s="17">
        <v>40</v>
      </c>
      <c r="S5279" s="18">
        <v>2759.31</v>
      </c>
      <c r="T5279" s="19" t="s">
        <v>36</v>
      </c>
      <c r="U5279" s="20" t="s">
        <v>63</v>
      </c>
      <c r="V5279" s="21" t="s">
        <v>64</v>
      </c>
      <c r="W5279" s="22">
        <v>10</v>
      </c>
      <c r="X5279" s="23"/>
    </row>
    <row r="5280" spans="1:24" s="1" customFormat="1" ht="26" customHeight="1" x14ac:dyDescent="0.3">
      <c r="A5280" s="24" t="s">
        <v>23</v>
      </c>
      <c r="B5280" s="24" t="s">
        <v>4627</v>
      </c>
      <c r="C5280" s="12" t="s">
        <v>4630</v>
      </c>
      <c r="D5280" s="60"/>
      <c r="E5280" s="41" t="str">
        <f>HYPERLINK("https://www.google.ru/search?q=1388646-520&amp;newwindow=1&amp;tbm=isch","Еще фото")</f>
        <v>Еще фото</v>
      </c>
      <c r="F5280" s="13"/>
      <c r="G5280" s="24" t="s">
        <v>4404</v>
      </c>
      <c r="H5280" s="24" t="s">
        <v>27</v>
      </c>
      <c r="I5280" s="24" t="s">
        <v>4404</v>
      </c>
      <c r="J5280" s="14" t="s">
        <v>29</v>
      </c>
      <c r="K5280" s="15" t="s">
        <v>59</v>
      </c>
      <c r="L5280" s="62"/>
      <c r="M5280" s="14"/>
      <c r="N5280" s="14" t="s">
        <v>79</v>
      </c>
      <c r="O5280" s="14"/>
      <c r="P5280" s="15" t="s">
        <v>508</v>
      </c>
      <c r="Q5280" s="16">
        <v>3999</v>
      </c>
      <c r="R5280" s="17">
        <v>40</v>
      </c>
      <c r="S5280" s="18">
        <v>2759.31</v>
      </c>
      <c r="T5280" s="19" t="s">
        <v>36</v>
      </c>
      <c r="U5280" s="20" t="s">
        <v>37</v>
      </c>
      <c r="V5280" s="21" t="s">
        <v>106</v>
      </c>
      <c r="W5280" s="22">
        <v>5</v>
      </c>
      <c r="X5280" s="23"/>
    </row>
    <row r="5281" spans="1:24" s="1" customFormat="1" ht="26" customHeight="1" x14ac:dyDescent="0.3">
      <c r="A5281" s="24" t="s">
        <v>23</v>
      </c>
      <c r="B5281" s="24" t="s">
        <v>4627</v>
      </c>
      <c r="C5281" s="12" t="s">
        <v>4630</v>
      </c>
      <c r="D5281" s="60"/>
      <c r="E5281" s="41" t="str">
        <f>HYPERLINK("https://www.google.ru/search?q=1388646-520&amp;newwindow=1&amp;tbm=isch","Еще фото")</f>
        <v>Еще фото</v>
      </c>
      <c r="F5281" s="13"/>
      <c r="G5281" s="24" t="s">
        <v>4404</v>
      </c>
      <c r="H5281" s="24" t="s">
        <v>27</v>
      </c>
      <c r="I5281" s="24" t="s">
        <v>4404</v>
      </c>
      <c r="J5281" s="14" t="s">
        <v>29</v>
      </c>
      <c r="K5281" s="15" t="s">
        <v>59</v>
      </c>
      <c r="L5281" s="62"/>
      <c r="M5281" s="14"/>
      <c r="N5281" s="14" t="s">
        <v>79</v>
      </c>
      <c r="O5281" s="14"/>
      <c r="P5281" s="15" t="s">
        <v>508</v>
      </c>
      <c r="Q5281" s="16">
        <v>3999</v>
      </c>
      <c r="R5281" s="17">
        <v>40</v>
      </c>
      <c r="S5281" s="18">
        <v>2759.31</v>
      </c>
      <c r="T5281" s="19" t="s">
        <v>36</v>
      </c>
      <c r="U5281" s="20" t="s">
        <v>39</v>
      </c>
      <c r="V5281" s="21" t="s">
        <v>85</v>
      </c>
      <c r="W5281" s="22">
        <v>4</v>
      </c>
      <c r="X5281" s="23"/>
    </row>
    <row r="5282" spans="1:24" s="1" customFormat="1" ht="26" customHeight="1" x14ac:dyDescent="0.3">
      <c r="A5282" s="24" t="s">
        <v>23</v>
      </c>
      <c r="B5282" s="24" t="s">
        <v>4627</v>
      </c>
      <c r="C5282" s="12" t="s">
        <v>4630</v>
      </c>
      <c r="D5282" s="61"/>
      <c r="E5282" s="41" t="str">
        <f>HYPERLINK("https://www.google.ru/search?q=1388646-520&amp;newwindow=1&amp;tbm=isch","Еще фото")</f>
        <v>Еще фото</v>
      </c>
      <c r="F5282" s="13"/>
      <c r="G5282" s="24" t="s">
        <v>4404</v>
      </c>
      <c r="H5282" s="24" t="s">
        <v>27</v>
      </c>
      <c r="I5282" s="24" t="s">
        <v>4404</v>
      </c>
      <c r="J5282" s="14" t="s">
        <v>29</v>
      </c>
      <c r="K5282" s="15" t="s">
        <v>59</v>
      </c>
      <c r="L5282" s="58"/>
      <c r="M5282" s="14"/>
      <c r="N5282" s="14" t="s">
        <v>79</v>
      </c>
      <c r="O5282" s="14"/>
      <c r="P5282" s="15" t="s">
        <v>508</v>
      </c>
      <c r="Q5282" s="16">
        <v>3999</v>
      </c>
      <c r="R5282" s="17">
        <v>40</v>
      </c>
      <c r="S5282" s="18">
        <v>2759.31</v>
      </c>
      <c r="T5282" s="19" t="s">
        <v>36</v>
      </c>
      <c r="U5282" s="20" t="s">
        <v>86</v>
      </c>
      <c r="V5282" s="21" t="s">
        <v>38</v>
      </c>
      <c r="W5282" s="22">
        <v>5</v>
      </c>
      <c r="X5282" s="23"/>
    </row>
    <row r="5283" spans="1:24" s="1" customFormat="1" ht="52.05" customHeight="1" x14ac:dyDescent="0.3">
      <c r="A5283" s="11" t="s">
        <v>23</v>
      </c>
      <c r="B5283" s="11" t="s">
        <v>4631</v>
      </c>
      <c r="C5283" s="12" t="s">
        <v>4632</v>
      </c>
      <c r="D5283" s="55"/>
      <c r="E5283" s="41" t="str">
        <f>HYPERLINK("https://www.google.ru/search?q=1389569-001&amp;newwindow=1&amp;tbm=isch","Еще фото")</f>
        <v>Еще фото</v>
      </c>
      <c r="F5283" s="13"/>
      <c r="G5283" s="11" t="s">
        <v>4404</v>
      </c>
      <c r="H5283" s="11" t="s">
        <v>27</v>
      </c>
      <c r="I5283" s="14" t="s">
        <v>4404</v>
      </c>
      <c r="J5283" s="14" t="s">
        <v>29</v>
      </c>
      <c r="K5283" s="15" t="s">
        <v>59</v>
      </c>
      <c r="L5283" s="57" t="s">
        <v>4633</v>
      </c>
      <c r="M5283" s="14"/>
      <c r="N5283" s="14" t="s">
        <v>33</v>
      </c>
      <c r="O5283" s="14"/>
      <c r="P5283" s="15" t="s">
        <v>4634</v>
      </c>
      <c r="Q5283" s="16">
        <v>7499</v>
      </c>
      <c r="R5283" s="17">
        <v>40</v>
      </c>
      <c r="S5283" s="18">
        <v>5174.3099999999995</v>
      </c>
      <c r="T5283" s="19" t="s">
        <v>36</v>
      </c>
      <c r="U5283" s="20" t="s">
        <v>63</v>
      </c>
      <c r="V5283" s="21" t="s">
        <v>64</v>
      </c>
      <c r="W5283" s="22">
        <v>1</v>
      </c>
      <c r="X5283" s="23"/>
    </row>
    <row r="5284" spans="1:24" s="1" customFormat="1" ht="61.05" customHeight="1" x14ac:dyDescent="0.3">
      <c r="A5284" s="24" t="s">
        <v>23</v>
      </c>
      <c r="B5284" s="24" t="s">
        <v>4631</v>
      </c>
      <c r="C5284" s="12" t="s">
        <v>4632</v>
      </c>
      <c r="D5284" s="56"/>
      <c r="E5284" s="41" t="str">
        <f>HYPERLINK("https://www.google.ru/search?q=1389569-001&amp;newwindow=1&amp;tbm=isch","Еще фото")</f>
        <v>Еще фото</v>
      </c>
      <c r="F5284" s="13"/>
      <c r="G5284" s="24" t="s">
        <v>4404</v>
      </c>
      <c r="H5284" s="24" t="s">
        <v>27</v>
      </c>
      <c r="I5284" s="24" t="s">
        <v>4404</v>
      </c>
      <c r="J5284" s="14" t="s">
        <v>29</v>
      </c>
      <c r="K5284" s="15" t="s">
        <v>59</v>
      </c>
      <c r="L5284" s="58"/>
      <c r="M5284" s="14"/>
      <c r="N5284" s="14" t="s">
        <v>33</v>
      </c>
      <c r="O5284" s="14"/>
      <c r="P5284" s="15" t="s">
        <v>4634</v>
      </c>
      <c r="Q5284" s="16">
        <v>7499</v>
      </c>
      <c r="R5284" s="17">
        <v>40</v>
      </c>
      <c r="S5284" s="18">
        <v>5174.3099999999995</v>
      </c>
      <c r="T5284" s="19" t="s">
        <v>36</v>
      </c>
      <c r="U5284" s="20" t="s">
        <v>86</v>
      </c>
      <c r="V5284" s="21" t="s">
        <v>38</v>
      </c>
      <c r="W5284" s="22">
        <v>1</v>
      </c>
      <c r="X5284" s="23"/>
    </row>
    <row r="5285" spans="1:24" s="1" customFormat="1" ht="52.05" customHeight="1" x14ac:dyDescent="0.3">
      <c r="A5285" s="11" t="s">
        <v>23</v>
      </c>
      <c r="B5285" s="11" t="s">
        <v>4635</v>
      </c>
      <c r="C5285" s="12" t="s">
        <v>4636</v>
      </c>
      <c r="D5285" s="55"/>
      <c r="E5285" s="41" t="str">
        <f>HYPERLINK("https://www.google.ru/search?q=1389712-001&amp;newwindow=1&amp;tbm=isch","Еще фото")</f>
        <v>Еще фото</v>
      </c>
      <c r="F5285" s="13"/>
      <c r="G5285" s="11" t="s">
        <v>4404</v>
      </c>
      <c r="H5285" s="11" t="s">
        <v>27</v>
      </c>
      <c r="I5285" s="14" t="s">
        <v>4404</v>
      </c>
      <c r="J5285" s="14" t="s">
        <v>29</v>
      </c>
      <c r="K5285" s="15" t="s">
        <v>59</v>
      </c>
      <c r="L5285" s="57" t="s">
        <v>4637</v>
      </c>
      <c r="M5285" s="14"/>
      <c r="N5285" s="14" t="s">
        <v>33</v>
      </c>
      <c r="O5285" s="14"/>
      <c r="P5285" s="15" t="s">
        <v>4142</v>
      </c>
      <c r="Q5285" s="16">
        <v>11099</v>
      </c>
      <c r="R5285" s="17">
        <v>40</v>
      </c>
      <c r="S5285" s="18">
        <v>7658.3099999999986</v>
      </c>
      <c r="T5285" s="19" t="s">
        <v>36</v>
      </c>
      <c r="U5285" s="20" t="s">
        <v>63</v>
      </c>
      <c r="V5285" s="21" t="s">
        <v>64</v>
      </c>
      <c r="W5285" s="22">
        <v>2</v>
      </c>
      <c r="X5285" s="23"/>
    </row>
    <row r="5286" spans="1:24" s="1" customFormat="1" ht="61.05" customHeight="1" x14ac:dyDescent="0.3">
      <c r="A5286" s="24" t="s">
        <v>23</v>
      </c>
      <c r="B5286" s="24" t="s">
        <v>4635</v>
      </c>
      <c r="C5286" s="12" t="s">
        <v>4636</v>
      </c>
      <c r="D5286" s="56"/>
      <c r="E5286" s="41" t="str">
        <f>HYPERLINK("https://www.google.ru/search?q=1389712-001&amp;newwindow=1&amp;tbm=isch","Еще фото")</f>
        <v>Еще фото</v>
      </c>
      <c r="F5286" s="13"/>
      <c r="G5286" s="24" t="s">
        <v>4404</v>
      </c>
      <c r="H5286" s="24" t="s">
        <v>27</v>
      </c>
      <c r="I5286" s="24" t="s">
        <v>4404</v>
      </c>
      <c r="J5286" s="14" t="s">
        <v>29</v>
      </c>
      <c r="K5286" s="15" t="s">
        <v>59</v>
      </c>
      <c r="L5286" s="58"/>
      <c r="M5286" s="14"/>
      <c r="N5286" s="14" t="s">
        <v>33</v>
      </c>
      <c r="O5286" s="14"/>
      <c r="P5286" s="15" t="s">
        <v>4142</v>
      </c>
      <c r="Q5286" s="16">
        <v>11099</v>
      </c>
      <c r="R5286" s="17">
        <v>40</v>
      </c>
      <c r="S5286" s="18">
        <v>7658.3099999999986</v>
      </c>
      <c r="T5286" s="19" t="s">
        <v>36</v>
      </c>
      <c r="U5286" s="20" t="s">
        <v>86</v>
      </c>
      <c r="V5286" s="21" t="s">
        <v>38</v>
      </c>
      <c r="W5286" s="22">
        <v>2</v>
      </c>
      <c r="X5286" s="23"/>
    </row>
    <row r="5287" spans="1:24" s="1" customFormat="1" ht="108" customHeight="1" x14ac:dyDescent="0.3">
      <c r="A5287" s="11" t="s">
        <v>23</v>
      </c>
      <c r="B5287" s="11" t="s">
        <v>4635</v>
      </c>
      <c r="C5287" s="12" t="s">
        <v>4638</v>
      </c>
      <c r="D5287" s="25"/>
      <c r="E5287" s="41" t="str">
        <f>HYPERLINK("https://www.google.ru/search?q=1389712-299&amp;newwindow=1&amp;tbm=isch","Еще фото")</f>
        <v>Еще фото</v>
      </c>
      <c r="F5287" s="13"/>
      <c r="G5287" s="11" t="s">
        <v>4404</v>
      </c>
      <c r="H5287" s="11" t="s">
        <v>27</v>
      </c>
      <c r="I5287" s="14" t="s">
        <v>4404</v>
      </c>
      <c r="J5287" s="14" t="s">
        <v>29</v>
      </c>
      <c r="K5287" s="15" t="s">
        <v>59</v>
      </c>
      <c r="L5287" s="14" t="s">
        <v>4637</v>
      </c>
      <c r="M5287" s="14"/>
      <c r="N5287" s="14" t="s">
        <v>229</v>
      </c>
      <c r="O5287" s="14"/>
      <c r="P5287" s="15" t="s">
        <v>4142</v>
      </c>
      <c r="Q5287" s="16">
        <v>11099</v>
      </c>
      <c r="R5287" s="17">
        <v>40</v>
      </c>
      <c r="S5287" s="18">
        <v>7658.3099999999986</v>
      </c>
      <c r="T5287" s="19" t="s">
        <v>36</v>
      </c>
      <c r="U5287" s="20" t="s">
        <v>86</v>
      </c>
      <c r="V5287" s="21" t="s">
        <v>38</v>
      </c>
      <c r="W5287" s="22">
        <v>1</v>
      </c>
      <c r="X5287" s="23"/>
    </row>
    <row r="5288" spans="1:24" s="1" customFormat="1" ht="26" customHeight="1" x14ac:dyDescent="0.3">
      <c r="A5288" s="11" t="s">
        <v>23</v>
      </c>
      <c r="B5288" s="11" t="s">
        <v>4639</v>
      </c>
      <c r="C5288" s="12" t="s">
        <v>4640</v>
      </c>
      <c r="D5288" s="59"/>
      <c r="E5288" s="41" t="str">
        <f>HYPERLINK("https://www.google.ru/search?q=1389882-001&amp;newwindow=1&amp;tbm=isch","Еще фото")</f>
        <v>Еще фото</v>
      </c>
      <c r="F5288" s="13" t="s">
        <v>103</v>
      </c>
      <c r="G5288" s="11" t="s">
        <v>4404</v>
      </c>
      <c r="H5288" s="11" t="s">
        <v>27</v>
      </c>
      <c r="I5288" s="14" t="s">
        <v>4404</v>
      </c>
      <c r="J5288" s="14" t="s">
        <v>29</v>
      </c>
      <c r="K5288" s="15" t="s">
        <v>59</v>
      </c>
      <c r="L5288" s="57" t="s">
        <v>4641</v>
      </c>
      <c r="M5288" s="14"/>
      <c r="N5288" s="14" t="s">
        <v>33</v>
      </c>
      <c r="O5288" s="14"/>
      <c r="P5288" s="15" t="s">
        <v>47</v>
      </c>
      <c r="Q5288" s="16">
        <v>3299</v>
      </c>
      <c r="R5288" s="17">
        <v>40</v>
      </c>
      <c r="S5288" s="18">
        <v>2276.31</v>
      </c>
      <c r="T5288" s="19" t="s">
        <v>36</v>
      </c>
      <c r="U5288" s="20" t="s">
        <v>63</v>
      </c>
      <c r="V5288" s="21" t="s">
        <v>64</v>
      </c>
      <c r="W5288" s="22">
        <v>2</v>
      </c>
      <c r="X5288" s="23"/>
    </row>
    <row r="5289" spans="1:24" s="1" customFormat="1" ht="26" customHeight="1" x14ac:dyDescent="0.3">
      <c r="A5289" s="24" t="s">
        <v>23</v>
      </c>
      <c r="B5289" s="24" t="s">
        <v>4639</v>
      </c>
      <c r="C5289" s="12" t="s">
        <v>4640</v>
      </c>
      <c r="D5289" s="60"/>
      <c r="E5289" s="41" t="str">
        <f>HYPERLINK("https://www.google.ru/search?q=1389882-001&amp;newwindow=1&amp;tbm=isch","Еще фото")</f>
        <v>Еще фото</v>
      </c>
      <c r="F5289" s="13" t="s">
        <v>103</v>
      </c>
      <c r="G5289" s="24" t="s">
        <v>4404</v>
      </c>
      <c r="H5289" s="24" t="s">
        <v>27</v>
      </c>
      <c r="I5289" s="24" t="s">
        <v>4404</v>
      </c>
      <c r="J5289" s="14" t="s">
        <v>29</v>
      </c>
      <c r="K5289" s="15" t="s">
        <v>59</v>
      </c>
      <c r="L5289" s="62"/>
      <c r="M5289" s="14"/>
      <c r="N5289" s="14" t="s">
        <v>33</v>
      </c>
      <c r="O5289" s="14"/>
      <c r="P5289" s="15" t="s">
        <v>47</v>
      </c>
      <c r="Q5289" s="16">
        <v>3299</v>
      </c>
      <c r="R5289" s="17">
        <v>40</v>
      </c>
      <c r="S5289" s="18">
        <v>2276.31</v>
      </c>
      <c r="T5289" s="19" t="s">
        <v>36</v>
      </c>
      <c r="U5289" s="20" t="s">
        <v>37</v>
      </c>
      <c r="V5289" s="21" t="s">
        <v>106</v>
      </c>
      <c r="W5289" s="22">
        <v>5</v>
      </c>
      <c r="X5289" s="23"/>
    </row>
    <row r="5290" spans="1:24" s="1" customFormat="1" ht="26" customHeight="1" x14ac:dyDescent="0.3">
      <c r="A5290" s="24" t="s">
        <v>23</v>
      </c>
      <c r="B5290" s="24" t="s">
        <v>4639</v>
      </c>
      <c r="C5290" s="12" t="s">
        <v>4640</v>
      </c>
      <c r="D5290" s="60"/>
      <c r="E5290" s="41" t="str">
        <f>HYPERLINK("https://www.google.ru/search?q=1389882-001&amp;newwindow=1&amp;tbm=isch","Еще фото")</f>
        <v>Еще фото</v>
      </c>
      <c r="F5290" s="13" t="s">
        <v>103</v>
      </c>
      <c r="G5290" s="24" t="s">
        <v>4404</v>
      </c>
      <c r="H5290" s="24" t="s">
        <v>27</v>
      </c>
      <c r="I5290" s="24" t="s">
        <v>4404</v>
      </c>
      <c r="J5290" s="14" t="s">
        <v>29</v>
      </c>
      <c r="K5290" s="15" t="s">
        <v>59</v>
      </c>
      <c r="L5290" s="62"/>
      <c r="M5290" s="14"/>
      <c r="N5290" s="14" t="s">
        <v>33</v>
      </c>
      <c r="O5290" s="14"/>
      <c r="P5290" s="15" t="s">
        <v>47</v>
      </c>
      <c r="Q5290" s="16">
        <v>3299</v>
      </c>
      <c r="R5290" s="17">
        <v>40</v>
      </c>
      <c r="S5290" s="18">
        <v>2276.31</v>
      </c>
      <c r="T5290" s="19" t="s">
        <v>36</v>
      </c>
      <c r="U5290" s="20" t="s">
        <v>39</v>
      </c>
      <c r="V5290" s="21" t="s">
        <v>85</v>
      </c>
      <c r="W5290" s="22">
        <v>19</v>
      </c>
      <c r="X5290" s="23"/>
    </row>
    <row r="5291" spans="1:24" s="1" customFormat="1" ht="26" customHeight="1" x14ac:dyDescent="0.3">
      <c r="A5291" s="24" t="s">
        <v>23</v>
      </c>
      <c r="B5291" s="24" t="s">
        <v>4639</v>
      </c>
      <c r="C5291" s="12" t="s">
        <v>4640</v>
      </c>
      <c r="D5291" s="61"/>
      <c r="E5291" s="41" t="str">
        <f>HYPERLINK("https://www.google.ru/search?q=1389882-001&amp;newwindow=1&amp;tbm=isch","Еще фото")</f>
        <v>Еще фото</v>
      </c>
      <c r="F5291" s="13" t="s">
        <v>103</v>
      </c>
      <c r="G5291" s="24" t="s">
        <v>4404</v>
      </c>
      <c r="H5291" s="24" t="s">
        <v>27</v>
      </c>
      <c r="I5291" s="24" t="s">
        <v>4404</v>
      </c>
      <c r="J5291" s="14" t="s">
        <v>29</v>
      </c>
      <c r="K5291" s="15" t="s">
        <v>59</v>
      </c>
      <c r="L5291" s="58"/>
      <c r="M5291" s="14"/>
      <c r="N5291" s="14" t="s">
        <v>33</v>
      </c>
      <c r="O5291" s="14"/>
      <c r="P5291" s="15" t="s">
        <v>47</v>
      </c>
      <c r="Q5291" s="16">
        <v>3299</v>
      </c>
      <c r="R5291" s="17">
        <v>40</v>
      </c>
      <c r="S5291" s="18">
        <v>2276.31</v>
      </c>
      <c r="T5291" s="19" t="s">
        <v>36</v>
      </c>
      <c r="U5291" s="20" t="s">
        <v>86</v>
      </c>
      <c r="V5291" s="21" t="s">
        <v>38</v>
      </c>
      <c r="W5291" s="22">
        <v>10</v>
      </c>
      <c r="X5291" s="23"/>
    </row>
    <row r="5292" spans="1:24" s="1" customFormat="1" ht="52.05" customHeight="1" x14ac:dyDescent="0.3">
      <c r="A5292" s="11" t="s">
        <v>23</v>
      </c>
      <c r="B5292" s="11" t="s">
        <v>4639</v>
      </c>
      <c r="C5292" s="12" t="s">
        <v>4642</v>
      </c>
      <c r="D5292" s="55"/>
      <c r="E5292" s="41" t="str">
        <f>HYPERLINK("https://www.google.ru/search?q=1389882-002&amp;newwindow=1&amp;tbm=isch","Еще фото")</f>
        <v>Еще фото</v>
      </c>
      <c r="F5292" s="13" t="s">
        <v>103</v>
      </c>
      <c r="G5292" s="11" t="s">
        <v>4404</v>
      </c>
      <c r="H5292" s="11" t="s">
        <v>27</v>
      </c>
      <c r="I5292" s="14" t="s">
        <v>4404</v>
      </c>
      <c r="J5292" s="14" t="s">
        <v>29</v>
      </c>
      <c r="K5292" s="15" t="s">
        <v>59</v>
      </c>
      <c r="L5292" s="57" t="s">
        <v>4641</v>
      </c>
      <c r="M5292" s="14"/>
      <c r="N5292" s="14" t="s">
        <v>33</v>
      </c>
      <c r="O5292" s="14"/>
      <c r="P5292" s="15" t="s">
        <v>47</v>
      </c>
      <c r="Q5292" s="16">
        <v>3299</v>
      </c>
      <c r="R5292" s="17">
        <v>40</v>
      </c>
      <c r="S5292" s="18">
        <v>2276.31</v>
      </c>
      <c r="T5292" s="19" t="s">
        <v>36</v>
      </c>
      <c r="U5292" s="20" t="s">
        <v>39</v>
      </c>
      <c r="V5292" s="21" t="s">
        <v>85</v>
      </c>
      <c r="W5292" s="22">
        <v>6</v>
      </c>
      <c r="X5292" s="23"/>
    </row>
    <row r="5293" spans="1:24" s="1" customFormat="1" ht="61.05" customHeight="1" x14ac:dyDescent="0.3">
      <c r="A5293" s="24" t="s">
        <v>23</v>
      </c>
      <c r="B5293" s="24" t="s">
        <v>4639</v>
      </c>
      <c r="C5293" s="12" t="s">
        <v>4642</v>
      </c>
      <c r="D5293" s="56"/>
      <c r="E5293" s="41" t="str">
        <f>HYPERLINK("https://www.google.ru/search?q=1389882-002&amp;newwindow=1&amp;tbm=isch","Еще фото")</f>
        <v>Еще фото</v>
      </c>
      <c r="F5293" s="13" t="s">
        <v>103</v>
      </c>
      <c r="G5293" s="24" t="s">
        <v>4404</v>
      </c>
      <c r="H5293" s="24" t="s">
        <v>27</v>
      </c>
      <c r="I5293" s="24" t="s">
        <v>4404</v>
      </c>
      <c r="J5293" s="14" t="s">
        <v>29</v>
      </c>
      <c r="K5293" s="15" t="s">
        <v>59</v>
      </c>
      <c r="L5293" s="58"/>
      <c r="M5293" s="14"/>
      <c r="N5293" s="14" t="s">
        <v>33</v>
      </c>
      <c r="O5293" s="14"/>
      <c r="P5293" s="15" t="s">
        <v>47</v>
      </c>
      <c r="Q5293" s="16">
        <v>3299</v>
      </c>
      <c r="R5293" s="17">
        <v>40</v>
      </c>
      <c r="S5293" s="18">
        <v>2276.31</v>
      </c>
      <c r="T5293" s="19" t="s">
        <v>36</v>
      </c>
      <c r="U5293" s="20" t="s">
        <v>86</v>
      </c>
      <c r="V5293" s="21" t="s">
        <v>38</v>
      </c>
      <c r="W5293" s="22">
        <v>3</v>
      </c>
      <c r="X5293" s="23"/>
    </row>
    <row r="5294" spans="1:24" s="1" customFormat="1" ht="26" customHeight="1" x14ac:dyDescent="0.3">
      <c r="A5294" s="11" t="s">
        <v>23</v>
      </c>
      <c r="B5294" s="11" t="s">
        <v>4639</v>
      </c>
      <c r="C5294" s="12" t="s">
        <v>4643</v>
      </c>
      <c r="D5294" s="59"/>
      <c r="E5294" s="41" t="str">
        <f>HYPERLINK("https://www.google.ru/search?q=1389882-025&amp;newwindow=1&amp;tbm=isch","Еще фото")</f>
        <v>Еще фото</v>
      </c>
      <c r="F5294" s="13"/>
      <c r="G5294" s="11" t="s">
        <v>4404</v>
      </c>
      <c r="H5294" s="11" t="s">
        <v>27</v>
      </c>
      <c r="I5294" s="14" t="s">
        <v>4404</v>
      </c>
      <c r="J5294" s="14" t="s">
        <v>29</v>
      </c>
      <c r="K5294" s="15" t="s">
        <v>59</v>
      </c>
      <c r="L5294" s="57" t="s">
        <v>4641</v>
      </c>
      <c r="M5294" s="14"/>
      <c r="N5294" s="14" t="s">
        <v>62</v>
      </c>
      <c r="O5294" s="14"/>
      <c r="P5294" s="15" t="s">
        <v>47</v>
      </c>
      <c r="Q5294" s="16">
        <v>3299</v>
      </c>
      <c r="R5294" s="17">
        <v>40</v>
      </c>
      <c r="S5294" s="18">
        <v>2276.31</v>
      </c>
      <c r="T5294" s="19" t="s">
        <v>36</v>
      </c>
      <c r="U5294" s="20" t="s">
        <v>63</v>
      </c>
      <c r="V5294" s="21" t="s">
        <v>64</v>
      </c>
      <c r="W5294" s="22">
        <v>9</v>
      </c>
      <c r="X5294" s="23"/>
    </row>
    <row r="5295" spans="1:24" s="1" customFormat="1" ht="26" customHeight="1" x14ac:dyDescent="0.3">
      <c r="A5295" s="24" t="s">
        <v>23</v>
      </c>
      <c r="B5295" s="24" t="s">
        <v>4639</v>
      </c>
      <c r="C5295" s="12" t="s">
        <v>4643</v>
      </c>
      <c r="D5295" s="60"/>
      <c r="E5295" s="41" t="str">
        <f>HYPERLINK("https://www.google.ru/search?q=1389882-025&amp;newwindow=1&amp;tbm=isch","Еще фото")</f>
        <v>Еще фото</v>
      </c>
      <c r="F5295" s="13"/>
      <c r="G5295" s="24" t="s">
        <v>4404</v>
      </c>
      <c r="H5295" s="24" t="s">
        <v>27</v>
      </c>
      <c r="I5295" s="24" t="s">
        <v>4404</v>
      </c>
      <c r="J5295" s="14" t="s">
        <v>29</v>
      </c>
      <c r="K5295" s="15" t="s">
        <v>59</v>
      </c>
      <c r="L5295" s="62"/>
      <c r="M5295" s="14"/>
      <c r="N5295" s="14" t="s">
        <v>62</v>
      </c>
      <c r="O5295" s="14"/>
      <c r="P5295" s="15" t="s">
        <v>47</v>
      </c>
      <c r="Q5295" s="16">
        <v>3299</v>
      </c>
      <c r="R5295" s="17">
        <v>40</v>
      </c>
      <c r="S5295" s="18">
        <v>2276.31</v>
      </c>
      <c r="T5295" s="19" t="s">
        <v>36</v>
      </c>
      <c r="U5295" s="20" t="s">
        <v>37</v>
      </c>
      <c r="V5295" s="21" t="s">
        <v>106</v>
      </c>
      <c r="W5295" s="22">
        <v>4</v>
      </c>
      <c r="X5295" s="23"/>
    </row>
    <row r="5296" spans="1:24" s="1" customFormat="1" ht="26" customHeight="1" x14ac:dyDescent="0.3">
      <c r="A5296" s="24" t="s">
        <v>23</v>
      </c>
      <c r="B5296" s="24" t="s">
        <v>4639</v>
      </c>
      <c r="C5296" s="12" t="s">
        <v>4643</v>
      </c>
      <c r="D5296" s="60"/>
      <c r="E5296" s="41" t="str">
        <f>HYPERLINK("https://www.google.ru/search?q=1389882-025&amp;newwindow=1&amp;tbm=isch","Еще фото")</f>
        <v>Еще фото</v>
      </c>
      <c r="F5296" s="13"/>
      <c r="G5296" s="24" t="s">
        <v>4404</v>
      </c>
      <c r="H5296" s="24" t="s">
        <v>27</v>
      </c>
      <c r="I5296" s="24" t="s">
        <v>4404</v>
      </c>
      <c r="J5296" s="14" t="s">
        <v>29</v>
      </c>
      <c r="K5296" s="15" t="s">
        <v>59</v>
      </c>
      <c r="L5296" s="62"/>
      <c r="M5296" s="14"/>
      <c r="N5296" s="14" t="s">
        <v>62</v>
      </c>
      <c r="O5296" s="14"/>
      <c r="P5296" s="15" t="s">
        <v>47</v>
      </c>
      <c r="Q5296" s="16">
        <v>3299</v>
      </c>
      <c r="R5296" s="17">
        <v>40</v>
      </c>
      <c r="S5296" s="18">
        <v>2276.31</v>
      </c>
      <c r="T5296" s="19" t="s">
        <v>36</v>
      </c>
      <c r="U5296" s="20" t="s">
        <v>39</v>
      </c>
      <c r="V5296" s="21" t="s">
        <v>85</v>
      </c>
      <c r="W5296" s="22">
        <v>15</v>
      </c>
      <c r="X5296" s="23"/>
    </row>
    <row r="5297" spans="1:24" s="1" customFormat="1" ht="26" customHeight="1" x14ac:dyDescent="0.3">
      <c r="A5297" s="24" t="s">
        <v>23</v>
      </c>
      <c r="B5297" s="24" t="s">
        <v>4639</v>
      </c>
      <c r="C5297" s="12" t="s">
        <v>4643</v>
      </c>
      <c r="D5297" s="61"/>
      <c r="E5297" s="41" t="str">
        <f>HYPERLINK("https://www.google.ru/search?q=1389882-025&amp;newwindow=1&amp;tbm=isch","Еще фото")</f>
        <v>Еще фото</v>
      </c>
      <c r="F5297" s="13"/>
      <c r="G5297" s="24" t="s">
        <v>4404</v>
      </c>
      <c r="H5297" s="24" t="s">
        <v>27</v>
      </c>
      <c r="I5297" s="24" t="s">
        <v>4404</v>
      </c>
      <c r="J5297" s="14" t="s">
        <v>29</v>
      </c>
      <c r="K5297" s="15" t="s">
        <v>59</v>
      </c>
      <c r="L5297" s="58"/>
      <c r="M5297" s="14"/>
      <c r="N5297" s="14" t="s">
        <v>62</v>
      </c>
      <c r="O5297" s="14"/>
      <c r="P5297" s="15" t="s">
        <v>47</v>
      </c>
      <c r="Q5297" s="16">
        <v>3299</v>
      </c>
      <c r="R5297" s="17">
        <v>40</v>
      </c>
      <c r="S5297" s="18">
        <v>2276.31</v>
      </c>
      <c r="T5297" s="19" t="s">
        <v>36</v>
      </c>
      <c r="U5297" s="20" t="s">
        <v>86</v>
      </c>
      <c r="V5297" s="21" t="s">
        <v>38</v>
      </c>
      <c r="W5297" s="22">
        <v>7</v>
      </c>
      <c r="X5297" s="23"/>
    </row>
    <row r="5298" spans="1:24" s="1" customFormat="1" ht="52.05" customHeight="1" x14ac:dyDescent="0.3">
      <c r="A5298" s="11" t="s">
        <v>23</v>
      </c>
      <c r="B5298" s="11" t="s">
        <v>4639</v>
      </c>
      <c r="C5298" s="12" t="s">
        <v>4644</v>
      </c>
      <c r="D5298" s="55"/>
      <c r="E5298" s="41" t="str">
        <f>HYPERLINK("https://www.google.ru/search?q=1389882-520&amp;newwindow=1&amp;tbm=isch","Еще фото")</f>
        <v>Еще фото</v>
      </c>
      <c r="F5298" s="13"/>
      <c r="G5298" s="11" t="s">
        <v>4404</v>
      </c>
      <c r="H5298" s="11" t="s">
        <v>27</v>
      </c>
      <c r="I5298" s="14" t="s">
        <v>4404</v>
      </c>
      <c r="J5298" s="14" t="s">
        <v>29</v>
      </c>
      <c r="K5298" s="15" t="s">
        <v>59</v>
      </c>
      <c r="L5298" s="57" t="s">
        <v>4645</v>
      </c>
      <c r="M5298" s="14"/>
      <c r="N5298" s="14" t="s">
        <v>79</v>
      </c>
      <c r="O5298" s="14"/>
      <c r="P5298" s="15" t="s">
        <v>47</v>
      </c>
      <c r="Q5298" s="16">
        <v>3299</v>
      </c>
      <c r="R5298" s="17">
        <v>40</v>
      </c>
      <c r="S5298" s="18">
        <v>2276.31</v>
      </c>
      <c r="T5298" s="19" t="s">
        <v>36</v>
      </c>
      <c r="U5298" s="20" t="s">
        <v>37</v>
      </c>
      <c r="V5298" s="21" t="s">
        <v>106</v>
      </c>
      <c r="W5298" s="22">
        <v>1</v>
      </c>
      <c r="X5298" s="23"/>
    </row>
    <row r="5299" spans="1:24" s="1" customFormat="1" ht="61.05" customHeight="1" x14ac:dyDescent="0.3">
      <c r="A5299" s="24" t="s">
        <v>23</v>
      </c>
      <c r="B5299" s="24" t="s">
        <v>4639</v>
      </c>
      <c r="C5299" s="12" t="s">
        <v>4644</v>
      </c>
      <c r="D5299" s="56"/>
      <c r="E5299" s="41" t="str">
        <f>HYPERLINK("https://www.google.ru/search?q=1389882-520&amp;newwindow=1&amp;tbm=isch","Еще фото")</f>
        <v>Еще фото</v>
      </c>
      <c r="F5299" s="13"/>
      <c r="G5299" s="24" t="s">
        <v>4404</v>
      </c>
      <c r="H5299" s="24" t="s">
        <v>27</v>
      </c>
      <c r="I5299" s="24" t="s">
        <v>4404</v>
      </c>
      <c r="J5299" s="14" t="s">
        <v>29</v>
      </c>
      <c r="K5299" s="15" t="s">
        <v>59</v>
      </c>
      <c r="L5299" s="58"/>
      <c r="M5299" s="14"/>
      <c r="N5299" s="14" t="s">
        <v>79</v>
      </c>
      <c r="O5299" s="14"/>
      <c r="P5299" s="15" t="s">
        <v>47</v>
      </c>
      <c r="Q5299" s="16">
        <v>3299</v>
      </c>
      <c r="R5299" s="17">
        <v>40</v>
      </c>
      <c r="S5299" s="18">
        <v>2276.31</v>
      </c>
      <c r="T5299" s="19" t="s">
        <v>36</v>
      </c>
      <c r="U5299" s="20" t="s">
        <v>86</v>
      </c>
      <c r="V5299" s="21" t="s">
        <v>38</v>
      </c>
      <c r="W5299" s="22">
        <v>5</v>
      </c>
      <c r="X5299" s="23"/>
    </row>
    <row r="5300" spans="1:24" s="1" customFormat="1" ht="35" customHeight="1" x14ac:dyDescent="0.3">
      <c r="A5300" s="11" t="s">
        <v>23</v>
      </c>
      <c r="B5300" s="11" t="s">
        <v>4639</v>
      </c>
      <c r="C5300" s="12" t="s">
        <v>4646</v>
      </c>
      <c r="D5300" s="59"/>
      <c r="E5300" s="41" t="str">
        <f>HYPERLINK("https://www.google.ru/search?q=1389882-703&amp;newwindow=1&amp;tbm=isch","Еще фото")</f>
        <v>Еще фото</v>
      </c>
      <c r="F5300" s="13"/>
      <c r="G5300" s="11" t="s">
        <v>4404</v>
      </c>
      <c r="H5300" s="11" t="s">
        <v>27</v>
      </c>
      <c r="I5300" s="14" t="s">
        <v>4404</v>
      </c>
      <c r="J5300" s="14" t="s">
        <v>29</v>
      </c>
      <c r="K5300" s="15" t="s">
        <v>59</v>
      </c>
      <c r="L5300" s="57" t="s">
        <v>4645</v>
      </c>
      <c r="M5300" s="14"/>
      <c r="N5300" s="14" t="s">
        <v>46</v>
      </c>
      <c r="O5300" s="14"/>
      <c r="P5300" s="15" t="s">
        <v>47</v>
      </c>
      <c r="Q5300" s="16">
        <v>3299</v>
      </c>
      <c r="R5300" s="17">
        <v>40</v>
      </c>
      <c r="S5300" s="18">
        <v>2276.31</v>
      </c>
      <c r="T5300" s="19" t="s">
        <v>36</v>
      </c>
      <c r="U5300" s="20" t="s">
        <v>39</v>
      </c>
      <c r="V5300" s="21" t="s">
        <v>85</v>
      </c>
      <c r="W5300" s="22">
        <v>11</v>
      </c>
      <c r="X5300" s="23"/>
    </row>
    <row r="5301" spans="1:24" s="1" customFormat="1" ht="35" customHeight="1" x14ac:dyDescent="0.3">
      <c r="A5301" s="24" t="s">
        <v>23</v>
      </c>
      <c r="B5301" s="24" t="s">
        <v>4639</v>
      </c>
      <c r="C5301" s="12" t="s">
        <v>4646</v>
      </c>
      <c r="D5301" s="60"/>
      <c r="E5301" s="41" t="str">
        <f>HYPERLINK("https://www.google.ru/search?q=1389882-703&amp;newwindow=1&amp;tbm=isch","Еще фото")</f>
        <v>Еще фото</v>
      </c>
      <c r="F5301" s="13"/>
      <c r="G5301" s="24" t="s">
        <v>4404</v>
      </c>
      <c r="H5301" s="24" t="s">
        <v>27</v>
      </c>
      <c r="I5301" s="24" t="s">
        <v>4404</v>
      </c>
      <c r="J5301" s="14" t="s">
        <v>29</v>
      </c>
      <c r="K5301" s="15" t="s">
        <v>59</v>
      </c>
      <c r="L5301" s="62"/>
      <c r="M5301" s="14"/>
      <c r="N5301" s="14" t="s">
        <v>46</v>
      </c>
      <c r="O5301" s="14"/>
      <c r="P5301" s="15" t="s">
        <v>47</v>
      </c>
      <c r="Q5301" s="16">
        <v>3299</v>
      </c>
      <c r="R5301" s="17">
        <v>40</v>
      </c>
      <c r="S5301" s="18">
        <v>2276.31</v>
      </c>
      <c r="T5301" s="19" t="s">
        <v>36</v>
      </c>
      <c r="U5301" s="20" t="s">
        <v>86</v>
      </c>
      <c r="V5301" s="21" t="s">
        <v>38</v>
      </c>
      <c r="W5301" s="22">
        <v>3</v>
      </c>
      <c r="X5301" s="23"/>
    </row>
    <row r="5302" spans="1:24" s="1" customFormat="1" ht="37.049999999999997" customHeight="1" x14ac:dyDescent="0.3">
      <c r="A5302" s="24" t="s">
        <v>23</v>
      </c>
      <c r="B5302" s="24" t="s">
        <v>4639</v>
      </c>
      <c r="C5302" s="12" t="s">
        <v>4646</v>
      </c>
      <c r="D5302" s="61"/>
      <c r="E5302" s="41" t="str">
        <f>HYPERLINK("https://www.google.ru/search?q=1389882-703&amp;newwindow=1&amp;tbm=isch","Еще фото")</f>
        <v>Еще фото</v>
      </c>
      <c r="F5302" s="13"/>
      <c r="G5302" s="24" t="s">
        <v>4404</v>
      </c>
      <c r="H5302" s="24" t="s">
        <v>27</v>
      </c>
      <c r="I5302" s="24" t="s">
        <v>4404</v>
      </c>
      <c r="J5302" s="14" t="s">
        <v>29</v>
      </c>
      <c r="K5302" s="15" t="s">
        <v>59</v>
      </c>
      <c r="L5302" s="58"/>
      <c r="M5302" s="14"/>
      <c r="N5302" s="14" t="s">
        <v>46</v>
      </c>
      <c r="O5302" s="14"/>
      <c r="P5302" s="15" t="s">
        <v>47</v>
      </c>
      <c r="Q5302" s="16">
        <v>3299</v>
      </c>
      <c r="R5302" s="17">
        <v>40</v>
      </c>
      <c r="S5302" s="18">
        <v>2276.31</v>
      </c>
      <c r="T5302" s="19" t="s">
        <v>36</v>
      </c>
      <c r="U5302" s="20" t="s">
        <v>88</v>
      </c>
      <c r="V5302" s="21" t="s">
        <v>40</v>
      </c>
      <c r="W5302" s="22">
        <v>3</v>
      </c>
      <c r="X5302" s="23"/>
    </row>
    <row r="5303" spans="1:24" s="1" customFormat="1" ht="35" customHeight="1" x14ac:dyDescent="0.3">
      <c r="A5303" s="11" t="s">
        <v>23</v>
      </c>
      <c r="B5303" s="11" t="s">
        <v>4647</v>
      </c>
      <c r="C5303" s="12" t="s">
        <v>4648</v>
      </c>
      <c r="D5303" s="59"/>
      <c r="E5303" s="41" t="str">
        <f>HYPERLINK("https://www.google.ru/search?q=1389919-001&amp;newwindow=1&amp;tbm=isch","Еще фото")</f>
        <v>Еще фото</v>
      </c>
      <c r="F5303" s="13"/>
      <c r="G5303" s="11" t="s">
        <v>4404</v>
      </c>
      <c r="H5303" s="11" t="s">
        <v>27</v>
      </c>
      <c r="I5303" s="14" t="s">
        <v>4404</v>
      </c>
      <c r="J5303" s="14" t="s">
        <v>43</v>
      </c>
      <c r="K5303" s="15" t="s">
        <v>30</v>
      </c>
      <c r="L5303" s="57" t="s">
        <v>4649</v>
      </c>
      <c r="M5303" s="14"/>
      <c r="N5303" s="14" t="s">
        <v>33</v>
      </c>
      <c r="O5303" s="14"/>
      <c r="P5303" s="15" t="s">
        <v>175</v>
      </c>
      <c r="Q5303" s="16">
        <v>8499</v>
      </c>
      <c r="R5303" s="17">
        <v>40</v>
      </c>
      <c r="S5303" s="18">
        <v>5864.3099999999995</v>
      </c>
      <c r="T5303" s="19" t="s">
        <v>36</v>
      </c>
      <c r="U5303" s="20" t="s">
        <v>37</v>
      </c>
      <c r="V5303" s="21" t="s">
        <v>38</v>
      </c>
      <c r="W5303" s="22">
        <v>1</v>
      </c>
      <c r="X5303" s="23"/>
    </row>
    <row r="5304" spans="1:24" s="1" customFormat="1" ht="35" customHeight="1" x14ac:dyDescent="0.3">
      <c r="A5304" s="24" t="s">
        <v>23</v>
      </c>
      <c r="B5304" s="24" t="s">
        <v>4647</v>
      </c>
      <c r="C5304" s="12" t="s">
        <v>4648</v>
      </c>
      <c r="D5304" s="60"/>
      <c r="E5304" s="41" t="str">
        <f>HYPERLINK("https://www.google.ru/search?q=1389919-001&amp;newwindow=1&amp;tbm=isch","Еще фото")</f>
        <v>Еще фото</v>
      </c>
      <c r="F5304" s="13"/>
      <c r="G5304" s="24" t="s">
        <v>4404</v>
      </c>
      <c r="H5304" s="24" t="s">
        <v>27</v>
      </c>
      <c r="I5304" s="24" t="s">
        <v>4404</v>
      </c>
      <c r="J5304" s="14" t="s">
        <v>43</v>
      </c>
      <c r="K5304" s="15" t="s">
        <v>30</v>
      </c>
      <c r="L5304" s="62"/>
      <c r="M5304" s="14"/>
      <c r="N5304" s="14" t="s">
        <v>33</v>
      </c>
      <c r="O5304" s="14"/>
      <c r="P5304" s="15" t="s">
        <v>175</v>
      </c>
      <c r="Q5304" s="16">
        <v>8499</v>
      </c>
      <c r="R5304" s="17">
        <v>40</v>
      </c>
      <c r="S5304" s="18">
        <v>5864.3099999999995</v>
      </c>
      <c r="T5304" s="19" t="s">
        <v>36</v>
      </c>
      <c r="U5304" s="20" t="s">
        <v>39</v>
      </c>
      <c r="V5304" s="21" t="s">
        <v>40</v>
      </c>
      <c r="W5304" s="22">
        <v>9</v>
      </c>
      <c r="X5304" s="23"/>
    </row>
    <row r="5305" spans="1:24" s="1" customFormat="1" ht="37.049999999999997" customHeight="1" x14ac:dyDescent="0.3">
      <c r="A5305" s="24" t="s">
        <v>23</v>
      </c>
      <c r="B5305" s="24" t="s">
        <v>4647</v>
      </c>
      <c r="C5305" s="12" t="s">
        <v>4648</v>
      </c>
      <c r="D5305" s="61"/>
      <c r="E5305" s="41" t="str">
        <f>HYPERLINK("https://www.google.ru/search?q=1389919-001&amp;newwindow=1&amp;tbm=isch","Еще фото")</f>
        <v>Еще фото</v>
      </c>
      <c r="F5305" s="13"/>
      <c r="G5305" s="24" t="s">
        <v>4404</v>
      </c>
      <c r="H5305" s="24" t="s">
        <v>27</v>
      </c>
      <c r="I5305" s="24" t="s">
        <v>4404</v>
      </c>
      <c r="J5305" s="14" t="s">
        <v>43</v>
      </c>
      <c r="K5305" s="15" t="s">
        <v>30</v>
      </c>
      <c r="L5305" s="58"/>
      <c r="M5305" s="14"/>
      <c r="N5305" s="14" t="s">
        <v>33</v>
      </c>
      <c r="O5305" s="14"/>
      <c r="P5305" s="15" t="s">
        <v>175</v>
      </c>
      <c r="Q5305" s="16">
        <v>8499</v>
      </c>
      <c r="R5305" s="17">
        <v>40</v>
      </c>
      <c r="S5305" s="18">
        <v>5864.3099999999995</v>
      </c>
      <c r="T5305" s="19" t="s">
        <v>36</v>
      </c>
      <c r="U5305" s="20" t="s">
        <v>86</v>
      </c>
      <c r="V5305" s="21" t="s">
        <v>87</v>
      </c>
      <c r="W5305" s="22">
        <v>1</v>
      </c>
      <c r="X5305" s="23"/>
    </row>
    <row r="5306" spans="1:24" s="1" customFormat="1" ht="108" customHeight="1" x14ac:dyDescent="0.3">
      <c r="A5306" s="11" t="s">
        <v>23</v>
      </c>
      <c r="B5306" s="11" t="s">
        <v>4422</v>
      </c>
      <c r="C5306" s="12" t="s">
        <v>4650</v>
      </c>
      <c r="D5306" s="25"/>
      <c r="E5306" s="41" t="str">
        <f>HYPERLINK("https://www.google.ru/search?q=6005086-002&amp;newwindow=1&amp;tbm=isch","Еще фото")</f>
        <v>Еще фото</v>
      </c>
      <c r="F5306" s="13"/>
      <c r="G5306" s="11" t="s">
        <v>4404</v>
      </c>
      <c r="H5306" s="11" t="s">
        <v>27</v>
      </c>
      <c r="I5306" s="14" t="s">
        <v>4404</v>
      </c>
      <c r="J5306" s="14" t="s">
        <v>29</v>
      </c>
      <c r="K5306" s="15" t="s">
        <v>59</v>
      </c>
      <c r="L5306" s="14" t="s">
        <v>4424</v>
      </c>
      <c r="M5306" s="14"/>
      <c r="N5306" s="14" t="s">
        <v>33</v>
      </c>
      <c r="O5306" s="14"/>
      <c r="P5306" s="15" t="s">
        <v>458</v>
      </c>
      <c r="Q5306" s="16">
        <v>10599</v>
      </c>
      <c r="R5306" s="17">
        <v>40</v>
      </c>
      <c r="S5306" s="18">
        <v>7313.3099999999986</v>
      </c>
      <c r="T5306" s="19" t="s">
        <v>36</v>
      </c>
      <c r="U5306" s="20" t="s">
        <v>86</v>
      </c>
      <c r="V5306" s="21" t="s">
        <v>38</v>
      </c>
      <c r="W5306" s="22">
        <v>1</v>
      </c>
      <c r="X5306" s="23"/>
    </row>
    <row r="5307" spans="1:24" s="1" customFormat="1" ht="108" customHeight="1" x14ac:dyDescent="0.3">
      <c r="A5307" s="11" t="s">
        <v>23</v>
      </c>
      <c r="B5307" s="11" t="s">
        <v>4651</v>
      </c>
      <c r="C5307" s="12" t="s">
        <v>4652</v>
      </c>
      <c r="D5307" s="25"/>
      <c r="E5307" s="41" t="str">
        <f>HYPERLINK("https://www.google.ru/search?q=6007178-035&amp;newwindow=1&amp;tbm=isch","Еще фото")</f>
        <v>Еще фото</v>
      </c>
      <c r="F5307" s="13"/>
      <c r="G5307" s="11" t="s">
        <v>4404</v>
      </c>
      <c r="H5307" s="11" t="s">
        <v>27</v>
      </c>
      <c r="I5307" s="14" t="s">
        <v>4404</v>
      </c>
      <c r="J5307" s="14" t="s">
        <v>29</v>
      </c>
      <c r="K5307" s="15" t="s">
        <v>30</v>
      </c>
      <c r="L5307" s="14" t="s">
        <v>4653</v>
      </c>
      <c r="M5307" s="14"/>
      <c r="N5307" s="14" t="s">
        <v>62</v>
      </c>
      <c r="O5307" s="14"/>
      <c r="P5307" s="15" t="s">
        <v>1008</v>
      </c>
      <c r="Q5307" s="16">
        <v>8499</v>
      </c>
      <c r="R5307" s="17">
        <v>40</v>
      </c>
      <c r="S5307" s="18">
        <v>5864.3099999999995</v>
      </c>
      <c r="T5307" s="19" t="s">
        <v>36</v>
      </c>
      <c r="U5307" s="20" t="s">
        <v>37</v>
      </c>
      <c r="V5307" s="21" t="s">
        <v>38</v>
      </c>
      <c r="W5307" s="22">
        <v>2</v>
      </c>
      <c r="X5307" s="23"/>
    </row>
    <row r="5308" spans="1:24" s="1" customFormat="1" ht="52.05" customHeight="1" x14ac:dyDescent="0.3">
      <c r="A5308" s="11" t="s">
        <v>23</v>
      </c>
      <c r="B5308" s="11" t="s">
        <v>4651</v>
      </c>
      <c r="C5308" s="12" t="s">
        <v>4654</v>
      </c>
      <c r="D5308" s="55"/>
      <c r="E5308" s="41" t="str">
        <f>HYPERLINK("https://www.google.ru/search?q=6007178-651&amp;newwindow=1&amp;tbm=isch","Еще фото")</f>
        <v>Еще фото</v>
      </c>
      <c r="F5308" s="13"/>
      <c r="G5308" s="11" t="s">
        <v>4404</v>
      </c>
      <c r="H5308" s="11" t="s">
        <v>27</v>
      </c>
      <c r="I5308" s="14" t="s">
        <v>4404</v>
      </c>
      <c r="J5308" s="14" t="s">
        <v>29</v>
      </c>
      <c r="K5308" s="15" t="s">
        <v>30</v>
      </c>
      <c r="L5308" s="57" t="s">
        <v>4653</v>
      </c>
      <c r="M5308" s="14"/>
      <c r="N5308" s="14" t="s">
        <v>332</v>
      </c>
      <c r="O5308" s="14"/>
      <c r="P5308" s="15" t="s">
        <v>1008</v>
      </c>
      <c r="Q5308" s="16">
        <v>8499</v>
      </c>
      <c r="R5308" s="17">
        <v>40</v>
      </c>
      <c r="S5308" s="18">
        <v>5864.3099999999995</v>
      </c>
      <c r="T5308" s="19" t="s">
        <v>36</v>
      </c>
      <c r="U5308" s="20" t="s">
        <v>37</v>
      </c>
      <c r="V5308" s="21" t="s">
        <v>38</v>
      </c>
      <c r="W5308" s="22">
        <v>4</v>
      </c>
      <c r="X5308" s="23"/>
    </row>
    <row r="5309" spans="1:24" s="1" customFormat="1" ht="61.05" customHeight="1" x14ac:dyDescent="0.3">
      <c r="A5309" s="24" t="s">
        <v>23</v>
      </c>
      <c r="B5309" s="24" t="s">
        <v>4651</v>
      </c>
      <c r="C5309" s="12" t="s">
        <v>4654</v>
      </c>
      <c r="D5309" s="56"/>
      <c r="E5309" s="41" t="str">
        <f>HYPERLINK("https://www.google.ru/search?q=6007178-651&amp;newwindow=1&amp;tbm=isch","Еще фото")</f>
        <v>Еще фото</v>
      </c>
      <c r="F5309" s="13"/>
      <c r="G5309" s="24" t="s">
        <v>4404</v>
      </c>
      <c r="H5309" s="24" t="s">
        <v>27</v>
      </c>
      <c r="I5309" s="24" t="s">
        <v>4404</v>
      </c>
      <c r="J5309" s="14" t="s">
        <v>29</v>
      </c>
      <c r="K5309" s="15" t="s">
        <v>30</v>
      </c>
      <c r="L5309" s="58"/>
      <c r="M5309" s="14"/>
      <c r="N5309" s="14" t="s">
        <v>332</v>
      </c>
      <c r="O5309" s="14"/>
      <c r="P5309" s="15" t="s">
        <v>1008</v>
      </c>
      <c r="Q5309" s="16">
        <v>8499</v>
      </c>
      <c r="R5309" s="17">
        <v>40</v>
      </c>
      <c r="S5309" s="18">
        <v>5864.3099999999995</v>
      </c>
      <c r="T5309" s="19" t="s">
        <v>36</v>
      </c>
      <c r="U5309" s="20" t="s">
        <v>39</v>
      </c>
      <c r="V5309" s="21" t="s">
        <v>40</v>
      </c>
      <c r="W5309" s="22">
        <v>6</v>
      </c>
      <c r="X5309" s="23"/>
    </row>
    <row r="5310" spans="1:24" s="1" customFormat="1" ht="108" customHeight="1" x14ac:dyDescent="0.3">
      <c r="A5310" s="11" t="s">
        <v>23</v>
      </c>
      <c r="B5310" s="11" t="s">
        <v>4655</v>
      </c>
      <c r="C5310" s="12" t="s">
        <v>4656</v>
      </c>
      <c r="D5310" s="25"/>
      <c r="E5310" s="41" t="str">
        <f>HYPERLINK("https://www.google.ru/search?q=6009345-011&amp;newwindow=1&amp;tbm=isch","Еще фото")</f>
        <v>Еще фото</v>
      </c>
      <c r="F5310" s="13"/>
      <c r="G5310" s="11" t="s">
        <v>4404</v>
      </c>
      <c r="H5310" s="11" t="s">
        <v>27</v>
      </c>
      <c r="I5310" s="14" t="s">
        <v>4404</v>
      </c>
      <c r="J5310" s="14" t="s">
        <v>43</v>
      </c>
      <c r="K5310" s="15" t="s">
        <v>30</v>
      </c>
      <c r="L5310" s="14" t="s">
        <v>4657</v>
      </c>
      <c r="M5310" s="14"/>
      <c r="N5310" s="14" t="s">
        <v>62</v>
      </c>
      <c r="O5310" s="14"/>
      <c r="P5310" s="15" t="s">
        <v>120</v>
      </c>
      <c r="Q5310" s="16">
        <v>4299</v>
      </c>
      <c r="R5310" s="17">
        <v>40</v>
      </c>
      <c r="S5310" s="18">
        <v>2966.31</v>
      </c>
      <c r="T5310" s="19" t="s">
        <v>36</v>
      </c>
      <c r="U5310" s="20" t="s">
        <v>39</v>
      </c>
      <c r="V5310" s="21" t="s">
        <v>40</v>
      </c>
      <c r="W5310" s="22">
        <v>1</v>
      </c>
      <c r="X5310" s="23"/>
    </row>
    <row r="5311" spans="1:24" s="1" customFormat="1" ht="108" customHeight="1" x14ac:dyDescent="0.3">
      <c r="A5311" s="11" t="s">
        <v>23</v>
      </c>
      <c r="B5311" s="11" t="s">
        <v>4658</v>
      </c>
      <c r="C5311" s="12" t="s">
        <v>4659</v>
      </c>
      <c r="D5311" s="25"/>
      <c r="E5311" s="41" t="str">
        <f>HYPERLINK("https://www.google.ru/search?q=6009350-001&amp;newwindow=1&amp;tbm=isch","Еще фото")</f>
        <v>Еще фото</v>
      </c>
      <c r="F5311" s="13"/>
      <c r="G5311" s="11" t="s">
        <v>4404</v>
      </c>
      <c r="H5311" s="11" t="s">
        <v>27</v>
      </c>
      <c r="I5311" s="14" t="s">
        <v>4404</v>
      </c>
      <c r="J5311" s="14" t="s">
        <v>43</v>
      </c>
      <c r="K5311" s="15" t="s">
        <v>30</v>
      </c>
      <c r="L5311" s="14" t="s">
        <v>4660</v>
      </c>
      <c r="M5311" s="14"/>
      <c r="N5311" s="14" t="s">
        <v>33</v>
      </c>
      <c r="O5311" s="14"/>
      <c r="P5311" s="15" t="s">
        <v>248</v>
      </c>
      <c r="Q5311" s="16">
        <v>7099</v>
      </c>
      <c r="R5311" s="17">
        <v>40</v>
      </c>
      <c r="S5311" s="18">
        <v>4898.3099999999995</v>
      </c>
      <c r="T5311" s="19" t="s">
        <v>36</v>
      </c>
      <c r="U5311" s="20" t="s">
        <v>86</v>
      </c>
      <c r="V5311" s="21" t="s">
        <v>87</v>
      </c>
      <c r="W5311" s="22">
        <v>1</v>
      </c>
      <c r="X5311" s="23"/>
    </row>
    <row r="5312" spans="1:24" s="1" customFormat="1" ht="108" customHeight="1" x14ac:dyDescent="0.3">
      <c r="A5312" s="11" t="s">
        <v>23</v>
      </c>
      <c r="B5312" s="11" t="s">
        <v>4658</v>
      </c>
      <c r="C5312" s="12" t="s">
        <v>4661</v>
      </c>
      <c r="D5312" s="25"/>
      <c r="E5312" s="41" t="str">
        <f>HYPERLINK("https://www.google.ru/search?q=6009350-100&amp;newwindow=1&amp;tbm=isch","Еще фото")</f>
        <v>Еще фото</v>
      </c>
      <c r="F5312" s="13"/>
      <c r="G5312" s="11" t="s">
        <v>4404</v>
      </c>
      <c r="H5312" s="11" t="s">
        <v>27</v>
      </c>
      <c r="I5312" s="14" t="s">
        <v>4404</v>
      </c>
      <c r="J5312" s="14" t="s">
        <v>43</v>
      </c>
      <c r="K5312" s="15" t="s">
        <v>30</v>
      </c>
      <c r="L5312" s="14" t="s">
        <v>4660</v>
      </c>
      <c r="M5312" s="14"/>
      <c r="N5312" s="14" t="s">
        <v>84</v>
      </c>
      <c r="O5312" s="14"/>
      <c r="P5312" s="15" t="s">
        <v>248</v>
      </c>
      <c r="Q5312" s="16">
        <v>7099</v>
      </c>
      <c r="R5312" s="17">
        <v>40</v>
      </c>
      <c r="S5312" s="18">
        <v>4898.3099999999995</v>
      </c>
      <c r="T5312" s="19" t="s">
        <v>36</v>
      </c>
      <c r="U5312" s="20" t="s">
        <v>86</v>
      </c>
      <c r="V5312" s="21" t="s">
        <v>87</v>
      </c>
      <c r="W5312" s="22">
        <v>1</v>
      </c>
      <c r="X5312" s="23"/>
    </row>
    <row r="5313" spans="1:24" s="1" customFormat="1" ht="14" customHeight="1" x14ac:dyDescent="0.3">
      <c r="A5313" s="11" t="s">
        <v>23</v>
      </c>
      <c r="B5313" s="11" t="s">
        <v>4662</v>
      </c>
      <c r="C5313" s="12" t="s">
        <v>4663</v>
      </c>
      <c r="D5313" s="59"/>
      <c r="E5313" s="41" t="str">
        <f t="shared" ref="E5313:E5319" si="184">HYPERLINK("https://www.google.ru/search?q=6009361-001&amp;newwindow=1&amp;tbm=isch","Еще фото")</f>
        <v>Еще фото</v>
      </c>
      <c r="F5313" s="13" t="s">
        <v>103</v>
      </c>
      <c r="G5313" s="11" t="s">
        <v>4404</v>
      </c>
      <c r="H5313" s="11" t="s">
        <v>27</v>
      </c>
      <c r="I5313" s="14" t="s">
        <v>4404</v>
      </c>
      <c r="J5313" s="14" t="s">
        <v>43</v>
      </c>
      <c r="K5313" s="15" t="s">
        <v>30</v>
      </c>
      <c r="L5313" s="57" t="s">
        <v>4664</v>
      </c>
      <c r="M5313" s="14"/>
      <c r="N5313" s="14" t="s">
        <v>33</v>
      </c>
      <c r="O5313" s="14"/>
      <c r="P5313" s="15" t="s">
        <v>213</v>
      </c>
      <c r="Q5313" s="16">
        <v>7399</v>
      </c>
      <c r="R5313" s="17">
        <v>40</v>
      </c>
      <c r="S5313" s="18">
        <v>5105.3099999999995</v>
      </c>
      <c r="T5313" s="19" t="s">
        <v>36</v>
      </c>
      <c r="U5313" s="20" t="s">
        <v>63</v>
      </c>
      <c r="V5313" s="21" t="s">
        <v>85</v>
      </c>
      <c r="W5313" s="22">
        <v>4</v>
      </c>
      <c r="X5313" s="23"/>
    </row>
    <row r="5314" spans="1:24" s="1" customFormat="1" ht="14" customHeight="1" x14ac:dyDescent="0.3">
      <c r="A5314" s="24" t="s">
        <v>23</v>
      </c>
      <c r="B5314" s="24" t="s">
        <v>4662</v>
      </c>
      <c r="C5314" s="12" t="s">
        <v>4663</v>
      </c>
      <c r="D5314" s="60"/>
      <c r="E5314" s="41" t="str">
        <f t="shared" si="184"/>
        <v>Еще фото</v>
      </c>
      <c r="F5314" s="13" t="s">
        <v>103</v>
      </c>
      <c r="G5314" s="24" t="s">
        <v>4404</v>
      </c>
      <c r="H5314" s="24" t="s">
        <v>27</v>
      </c>
      <c r="I5314" s="24" t="s">
        <v>4404</v>
      </c>
      <c r="J5314" s="14" t="s">
        <v>43</v>
      </c>
      <c r="K5314" s="15" t="s">
        <v>30</v>
      </c>
      <c r="L5314" s="62"/>
      <c r="M5314" s="14"/>
      <c r="N5314" s="14" t="s">
        <v>33</v>
      </c>
      <c r="O5314" s="14"/>
      <c r="P5314" s="15" t="s">
        <v>213</v>
      </c>
      <c r="Q5314" s="16">
        <v>7399</v>
      </c>
      <c r="R5314" s="17">
        <v>40</v>
      </c>
      <c r="S5314" s="18">
        <v>5105.3099999999995</v>
      </c>
      <c r="T5314" s="19" t="s">
        <v>36</v>
      </c>
      <c r="U5314" s="20" t="s">
        <v>37</v>
      </c>
      <c r="V5314" s="21" t="s">
        <v>38</v>
      </c>
      <c r="W5314" s="22">
        <v>11</v>
      </c>
      <c r="X5314" s="23"/>
    </row>
    <row r="5315" spans="1:24" s="1" customFormat="1" ht="14" customHeight="1" x14ac:dyDescent="0.3">
      <c r="A5315" s="24" t="s">
        <v>23</v>
      </c>
      <c r="B5315" s="24" t="s">
        <v>4662</v>
      </c>
      <c r="C5315" s="12" t="s">
        <v>4663</v>
      </c>
      <c r="D5315" s="60"/>
      <c r="E5315" s="41" t="str">
        <f t="shared" si="184"/>
        <v>Еще фото</v>
      </c>
      <c r="F5315" s="13" t="s">
        <v>103</v>
      </c>
      <c r="G5315" s="24" t="s">
        <v>4404</v>
      </c>
      <c r="H5315" s="24" t="s">
        <v>27</v>
      </c>
      <c r="I5315" s="24" t="s">
        <v>4404</v>
      </c>
      <c r="J5315" s="14" t="s">
        <v>43</v>
      </c>
      <c r="K5315" s="15" t="s">
        <v>30</v>
      </c>
      <c r="L5315" s="62"/>
      <c r="M5315" s="14"/>
      <c r="N5315" s="14" t="s">
        <v>33</v>
      </c>
      <c r="O5315" s="14"/>
      <c r="P5315" s="15" t="s">
        <v>213</v>
      </c>
      <c r="Q5315" s="16">
        <v>7399</v>
      </c>
      <c r="R5315" s="17">
        <v>40</v>
      </c>
      <c r="S5315" s="18">
        <v>5105.3099999999995</v>
      </c>
      <c r="T5315" s="19" t="s">
        <v>36</v>
      </c>
      <c r="U5315" s="20" t="s">
        <v>39</v>
      </c>
      <c r="V5315" s="21" t="s">
        <v>40</v>
      </c>
      <c r="W5315" s="22">
        <v>25</v>
      </c>
      <c r="X5315" s="23"/>
    </row>
    <row r="5316" spans="1:24" s="1" customFormat="1" ht="14" customHeight="1" x14ac:dyDescent="0.3">
      <c r="A5316" s="24" t="s">
        <v>23</v>
      </c>
      <c r="B5316" s="24" t="s">
        <v>4662</v>
      </c>
      <c r="C5316" s="12" t="s">
        <v>4663</v>
      </c>
      <c r="D5316" s="60"/>
      <c r="E5316" s="41" t="str">
        <f t="shared" si="184"/>
        <v>Еще фото</v>
      </c>
      <c r="F5316" s="13" t="s">
        <v>103</v>
      </c>
      <c r="G5316" s="24" t="s">
        <v>4404</v>
      </c>
      <c r="H5316" s="24" t="s">
        <v>27</v>
      </c>
      <c r="I5316" s="24" t="s">
        <v>4404</v>
      </c>
      <c r="J5316" s="14" t="s">
        <v>43</v>
      </c>
      <c r="K5316" s="15" t="s">
        <v>30</v>
      </c>
      <c r="L5316" s="62"/>
      <c r="M5316" s="14"/>
      <c r="N5316" s="14" t="s">
        <v>33</v>
      </c>
      <c r="O5316" s="14"/>
      <c r="P5316" s="15" t="s">
        <v>213</v>
      </c>
      <c r="Q5316" s="16">
        <v>7399</v>
      </c>
      <c r="R5316" s="17">
        <v>40</v>
      </c>
      <c r="S5316" s="18">
        <v>5105.3099999999995</v>
      </c>
      <c r="T5316" s="19" t="s">
        <v>36</v>
      </c>
      <c r="U5316" s="20" t="s">
        <v>86</v>
      </c>
      <c r="V5316" s="21" t="s">
        <v>87</v>
      </c>
      <c r="W5316" s="22">
        <v>20</v>
      </c>
      <c r="X5316" s="23"/>
    </row>
    <row r="5317" spans="1:24" s="1" customFormat="1" ht="14" customHeight="1" x14ac:dyDescent="0.3">
      <c r="A5317" s="24" t="s">
        <v>23</v>
      </c>
      <c r="B5317" s="24" t="s">
        <v>4662</v>
      </c>
      <c r="C5317" s="12" t="s">
        <v>4663</v>
      </c>
      <c r="D5317" s="60"/>
      <c r="E5317" s="41" t="str">
        <f t="shared" si="184"/>
        <v>Еще фото</v>
      </c>
      <c r="F5317" s="13" t="s">
        <v>103</v>
      </c>
      <c r="G5317" s="24" t="s">
        <v>4404</v>
      </c>
      <c r="H5317" s="24" t="s">
        <v>27</v>
      </c>
      <c r="I5317" s="24" t="s">
        <v>4404</v>
      </c>
      <c r="J5317" s="14" t="s">
        <v>43</v>
      </c>
      <c r="K5317" s="15" t="s">
        <v>30</v>
      </c>
      <c r="L5317" s="62"/>
      <c r="M5317" s="14"/>
      <c r="N5317" s="14" t="s">
        <v>33</v>
      </c>
      <c r="O5317" s="14"/>
      <c r="P5317" s="15" t="s">
        <v>213</v>
      </c>
      <c r="Q5317" s="16">
        <v>7399</v>
      </c>
      <c r="R5317" s="17">
        <v>40</v>
      </c>
      <c r="S5317" s="18">
        <v>5105.3099999999995</v>
      </c>
      <c r="T5317" s="19" t="s">
        <v>36</v>
      </c>
      <c r="U5317" s="20" t="s">
        <v>88</v>
      </c>
      <c r="V5317" s="21" t="s">
        <v>89</v>
      </c>
      <c r="W5317" s="22">
        <v>14</v>
      </c>
      <c r="X5317" s="23"/>
    </row>
    <row r="5318" spans="1:24" s="1" customFormat="1" ht="14" customHeight="1" x14ac:dyDescent="0.3">
      <c r="A5318" s="24" t="s">
        <v>23</v>
      </c>
      <c r="B5318" s="24" t="s">
        <v>4662</v>
      </c>
      <c r="C5318" s="12" t="s">
        <v>4663</v>
      </c>
      <c r="D5318" s="60"/>
      <c r="E5318" s="41" t="str">
        <f t="shared" si="184"/>
        <v>Еще фото</v>
      </c>
      <c r="F5318" s="13" t="s">
        <v>103</v>
      </c>
      <c r="G5318" s="24" t="s">
        <v>4404</v>
      </c>
      <c r="H5318" s="24" t="s">
        <v>27</v>
      </c>
      <c r="I5318" s="24" t="s">
        <v>4404</v>
      </c>
      <c r="J5318" s="14" t="s">
        <v>43</v>
      </c>
      <c r="K5318" s="15" t="s">
        <v>30</v>
      </c>
      <c r="L5318" s="62"/>
      <c r="M5318" s="14"/>
      <c r="N5318" s="14" t="s">
        <v>33</v>
      </c>
      <c r="O5318" s="14"/>
      <c r="P5318" s="15" t="s">
        <v>213</v>
      </c>
      <c r="Q5318" s="16">
        <v>7399</v>
      </c>
      <c r="R5318" s="17">
        <v>40</v>
      </c>
      <c r="S5318" s="18">
        <v>5105.3099999999995</v>
      </c>
      <c r="T5318" s="19" t="s">
        <v>36</v>
      </c>
      <c r="U5318" s="20" t="s">
        <v>90</v>
      </c>
      <c r="V5318" s="21" t="s">
        <v>91</v>
      </c>
      <c r="W5318" s="22">
        <v>7</v>
      </c>
      <c r="X5318" s="23"/>
    </row>
    <row r="5319" spans="1:24" s="1" customFormat="1" ht="17" customHeight="1" x14ac:dyDescent="0.3">
      <c r="A5319" s="24" t="s">
        <v>23</v>
      </c>
      <c r="B5319" s="24" t="s">
        <v>4662</v>
      </c>
      <c r="C5319" s="12" t="s">
        <v>4663</v>
      </c>
      <c r="D5319" s="61"/>
      <c r="E5319" s="41" t="str">
        <f t="shared" si="184"/>
        <v>Еще фото</v>
      </c>
      <c r="F5319" s="13" t="s">
        <v>103</v>
      </c>
      <c r="G5319" s="24" t="s">
        <v>4404</v>
      </c>
      <c r="H5319" s="24" t="s">
        <v>27</v>
      </c>
      <c r="I5319" s="24" t="s">
        <v>4404</v>
      </c>
      <c r="J5319" s="14" t="s">
        <v>43</v>
      </c>
      <c r="K5319" s="15" t="s">
        <v>30</v>
      </c>
      <c r="L5319" s="58"/>
      <c r="M5319" s="14"/>
      <c r="N5319" s="14" t="s">
        <v>33</v>
      </c>
      <c r="O5319" s="14"/>
      <c r="P5319" s="15" t="s">
        <v>213</v>
      </c>
      <c r="Q5319" s="16">
        <v>7399</v>
      </c>
      <c r="R5319" s="17">
        <v>40</v>
      </c>
      <c r="S5319" s="18">
        <v>5105.3099999999995</v>
      </c>
      <c r="T5319" s="19" t="s">
        <v>36</v>
      </c>
      <c r="U5319" s="20" t="s">
        <v>408</v>
      </c>
      <c r="V5319" s="21" t="s">
        <v>409</v>
      </c>
      <c r="W5319" s="22">
        <v>4</v>
      </c>
      <c r="X5319" s="23"/>
    </row>
    <row r="5320" spans="1:24" s="1" customFormat="1" ht="21" customHeight="1" x14ac:dyDescent="0.3">
      <c r="A5320" s="11" t="s">
        <v>23</v>
      </c>
      <c r="B5320" s="11" t="s">
        <v>4665</v>
      </c>
      <c r="C5320" s="26" t="s">
        <v>4666</v>
      </c>
      <c r="D5320" s="59"/>
      <c r="E5320" s="41" t="str">
        <f>HYPERLINK("https://www.google.ru/search?q=6009498-001&amp;newwindow=1&amp;tbm=isch","Еще фото")</f>
        <v>Еще фото</v>
      </c>
      <c r="F5320" s="13" t="s">
        <v>103</v>
      </c>
      <c r="G5320" s="11" t="s">
        <v>4404</v>
      </c>
      <c r="H5320" s="11" t="s">
        <v>27</v>
      </c>
      <c r="I5320" s="14" t="s">
        <v>4404</v>
      </c>
      <c r="J5320" s="14" t="s">
        <v>29</v>
      </c>
      <c r="K5320" s="15" t="s">
        <v>59</v>
      </c>
      <c r="L5320" s="57" t="s">
        <v>4667</v>
      </c>
      <c r="M5320" s="14"/>
      <c r="N5320" s="14" t="s">
        <v>33</v>
      </c>
      <c r="O5320" s="14"/>
      <c r="P5320" s="15" t="s">
        <v>164</v>
      </c>
      <c r="Q5320" s="16">
        <v>6199</v>
      </c>
      <c r="R5320" s="17">
        <v>40</v>
      </c>
      <c r="S5320" s="18">
        <v>4277.3099999999995</v>
      </c>
      <c r="T5320" s="19" t="s">
        <v>36</v>
      </c>
      <c r="U5320" s="20" t="s">
        <v>63</v>
      </c>
      <c r="V5320" s="21" t="s">
        <v>64</v>
      </c>
      <c r="W5320" s="22">
        <v>14</v>
      </c>
      <c r="X5320" s="23"/>
    </row>
    <row r="5321" spans="1:24" s="1" customFormat="1" ht="21" customHeight="1" x14ac:dyDescent="0.3">
      <c r="A5321" s="24" t="s">
        <v>23</v>
      </c>
      <c r="B5321" s="24" t="s">
        <v>4665</v>
      </c>
      <c r="C5321" s="27" t="s">
        <v>4666</v>
      </c>
      <c r="D5321" s="60"/>
      <c r="E5321" s="41" t="str">
        <f>HYPERLINK("https://www.google.ru/search?q=6009498-001&amp;newwindow=1&amp;tbm=isch","Еще фото")</f>
        <v>Еще фото</v>
      </c>
      <c r="F5321" s="13" t="s">
        <v>103</v>
      </c>
      <c r="G5321" s="24" t="s">
        <v>4404</v>
      </c>
      <c r="H5321" s="24" t="s">
        <v>27</v>
      </c>
      <c r="I5321" s="24" t="s">
        <v>4404</v>
      </c>
      <c r="J5321" s="14" t="s">
        <v>29</v>
      </c>
      <c r="K5321" s="15" t="s">
        <v>59</v>
      </c>
      <c r="L5321" s="62"/>
      <c r="M5321" s="14"/>
      <c r="N5321" s="14" t="s">
        <v>33</v>
      </c>
      <c r="O5321" s="14"/>
      <c r="P5321" s="15" t="s">
        <v>164</v>
      </c>
      <c r="Q5321" s="16">
        <v>6199</v>
      </c>
      <c r="R5321" s="17">
        <v>40</v>
      </c>
      <c r="S5321" s="18">
        <v>4277.3099999999995</v>
      </c>
      <c r="T5321" s="19" t="s">
        <v>36</v>
      </c>
      <c r="U5321" s="20" t="s">
        <v>37</v>
      </c>
      <c r="V5321" s="21" t="s">
        <v>106</v>
      </c>
      <c r="W5321" s="22">
        <v>7</v>
      </c>
      <c r="X5321" s="23"/>
    </row>
    <row r="5322" spans="1:24" s="1" customFormat="1" ht="21" customHeight="1" x14ac:dyDescent="0.3">
      <c r="A5322" s="24" t="s">
        <v>23</v>
      </c>
      <c r="B5322" s="24" t="s">
        <v>4665</v>
      </c>
      <c r="C5322" s="27" t="s">
        <v>4666</v>
      </c>
      <c r="D5322" s="60"/>
      <c r="E5322" s="41" t="str">
        <f>HYPERLINK("https://www.google.ru/search?q=6009498-001&amp;newwindow=1&amp;tbm=isch","Еще фото")</f>
        <v>Еще фото</v>
      </c>
      <c r="F5322" s="13" t="s">
        <v>103</v>
      </c>
      <c r="G5322" s="24" t="s">
        <v>4404</v>
      </c>
      <c r="H5322" s="24" t="s">
        <v>27</v>
      </c>
      <c r="I5322" s="24" t="s">
        <v>4404</v>
      </c>
      <c r="J5322" s="14" t="s">
        <v>29</v>
      </c>
      <c r="K5322" s="15" t="s">
        <v>59</v>
      </c>
      <c r="L5322" s="62"/>
      <c r="M5322" s="14"/>
      <c r="N5322" s="14" t="s">
        <v>33</v>
      </c>
      <c r="O5322" s="14"/>
      <c r="P5322" s="15" t="s">
        <v>164</v>
      </c>
      <c r="Q5322" s="16">
        <v>6199</v>
      </c>
      <c r="R5322" s="17">
        <v>40</v>
      </c>
      <c r="S5322" s="18">
        <v>4277.3099999999995</v>
      </c>
      <c r="T5322" s="19" t="s">
        <v>36</v>
      </c>
      <c r="U5322" s="20" t="s">
        <v>39</v>
      </c>
      <c r="V5322" s="21" t="s">
        <v>85</v>
      </c>
      <c r="W5322" s="22">
        <v>15</v>
      </c>
      <c r="X5322" s="23"/>
    </row>
    <row r="5323" spans="1:24" s="1" customFormat="1" ht="21" customHeight="1" x14ac:dyDescent="0.3">
      <c r="A5323" s="24" t="s">
        <v>23</v>
      </c>
      <c r="B5323" s="24" t="s">
        <v>4665</v>
      </c>
      <c r="C5323" s="27" t="s">
        <v>4666</v>
      </c>
      <c r="D5323" s="60"/>
      <c r="E5323" s="41" t="str">
        <f>HYPERLINK("https://www.google.ru/search?q=6009498-001&amp;newwindow=1&amp;tbm=isch","Еще фото")</f>
        <v>Еще фото</v>
      </c>
      <c r="F5323" s="13" t="s">
        <v>103</v>
      </c>
      <c r="G5323" s="24" t="s">
        <v>4404</v>
      </c>
      <c r="H5323" s="24" t="s">
        <v>27</v>
      </c>
      <c r="I5323" s="24" t="s">
        <v>4404</v>
      </c>
      <c r="J5323" s="14" t="s">
        <v>29</v>
      </c>
      <c r="K5323" s="15" t="s">
        <v>59</v>
      </c>
      <c r="L5323" s="62"/>
      <c r="M5323" s="14"/>
      <c r="N5323" s="14" t="s">
        <v>33</v>
      </c>
      <c r="O5323" s="14"/>
      <c r="P5323" s="15" t="s">
        <v>164</v>
      </c>
      <c r="Q5323" s="16">
        <v>6199</v>
      </c>
      <c r="R5323" s="17">
        <v>40</v>
      </c>
      <c r="S5323" s="18">
        <v>4277.3099999999995</v>
      </c>
      <c r="T5323" s="19" t="s">
        <v>36</v>
      </c>
      <c r="U5323" s="20" t="s">
        <v>86</v>
      </c>
      <c r="V5323" s="21" t="s">
        <v>38</v>
      </c>
      <c r="W5323" s="22">
        <v>5</v>
      </c>
      <c r="X5323" s="23"/>
    </row>
    <row r="5324" spans="1:24" s="1" customFormat="1" ht="32" customHeight="1" x14ac:dyDescent="0.3">
      <c r="A5324" s="24" t="s">
        <v>23</v>
      </c>
      <c r="B5324" s="24" t="s">
        <v>4665</v>
      </c>
      <c r="C5324" s="27" t="s">
        <v>4666</v>
      </c>
      <c r="D5324" s="61"/>
      <c r="E5324" s="41" t="str">
        <f>HYPERLINK("https://www.google.ru/search?q=6009498-001&amp;newwindow=1&amp;tbm=isch","Еще фото")</f>
        <v>Еще фото</v>
      </c>
      <c r="F5324" s="13" t="s">
        <v>103</v>
      </c>
      <c r="G5324" s="24" t="s">
        <v>4404</v>
      </c>
      <c r="H5324" s="24" t="s">
        <v>27</v>
      </c>
      <c r="I5324" s="24" t="s">
        <v>4404</v>
      </c>
      <c r="J5324" s="14" t="s">
        <v>29</v>
      </c>
      <c r="K5324" s="15" t="s">
        <v>59</v>
      </c>
      <c r="L5324" s="58"/>
      <c r="M5324" s="14"/>
      <c r="N5324" s="14" t="s">
        <v>33</v>
      </c>
      <c r="O5324" s="14"/>
      <c r="P5324" s="15" t="s">
        <v>164</v>
      </c>
      <c r="Q5324" s="16">
        <v>6199</v>
      </c>
      <c r="R5324" s="17">
        <v>40</v>
      </c>
      <c r="S5324" s="18">
        <v>4277.3099999999995</v>
      </c>
      <c r="T5324" s="19" t="s">
        <v>36</v>
      </c>
      <c r="U5324" s="20" t="s">
        <v>88</v>
      </c>
      <c r="V5324" s="21" t="s">
        <v>40</v>
      </c>
      <c r="W5324" s="22">
        <v>3</v>
      </c>
      <c r="X5324" s="23"/>
    </row>
    <row r="5325" spans="1:24" s="1" customFormat="1" ht="21" customHeight="1" x14ac:dyDescent="0.3">
      <c r="A5325" s="11" t="s">
        <v>23</v>
      </c>
      <c r="B5325" s="11" t="s">
        <v>4668</v>
      </c>
      <c r="C5325" s="26" t="s">
        <v>4669</v>
      </c>
      <c r="D5325" s="59"/>
      <c r="E5325" s="41" t="str">
        <f>HYPERLINK("https://www.google.ru/search?q=6009519-713&amp;newwindow=1&amp;tbm=isch","Еще фото")</f>
        <v>Еще фото</v>
      </c>
      <c r="F5325" s="13"/>
      <c r="G5325" s="11" t="s">
        <v>4404</v>
      </c>
      <c r="H5325" s="11" t="s">
        <v>27</v>
      </c>
      <c r="I5325" s="14" t="s">
        <v>4404</v>
      </c>
      <c r="J5325" s="14" t="s">
        <v>29</v>
      </c>
      <c r="K5325" s="15" t="s">
        <v>30</v>
      </c>
      <c r="L5325" s="57" t="s">
        <v>4670</v>
      </c>
      <c r="M5325" s="14"/>
      <c r="N5325" s="14" t="s">
        <v>198</v>
      </c>
      <c r="O5325" s="14"/>
      <c r="P5325" s="15" t="s">
        <v>47</v>
      </c>
      <c r="Q5325" s="16">
        <v>6799</v>
      </c>
      <c r="R5325" s="17">
        <v>40</v>
      </c>
      <c r="S5325" s="18">
        <v>4691.3099999999995</v>
      </c>
      <c r="T5325" s="19" t="s">
        <v>36</v>
      </c>
      <c r="U5325" s="20" t="s">
        <v>37</v>
      </c>
      <c r="V5325" s="21" t="s">
        <v>38</v>
      </c>
      <c r="W5325" s="22">
        <v>9</v>
      </c>
      <c r="X5325" s="23"/>
    </row>
    <row r="5326" spans="1:24" s="1" customFormat="1" ht="21" customHeight="1" x14ac:dyDescent="0.3">
      <c r="A5326" s="24" t="s">
        <v>23</v>
      </c>
      <c r="B5326" s="24" t="s">
        <v>4668</v>
      </c>
      <c r="C5326" s="27" t="s">
        <v>4669</v>
      </c>
      <c r="D5326" s="60"/>
      <c r="E5326" s="41" t="str">
        <f>HYPERLINK("https://www.google.ru/search?q=6009519-713&amp;newwindow=1&amp;tbm=isch","Еще фото")</f>
        <v>Еще фото</v>
      </c>
      <c r="F5326" s="13"/>
      <c r="G5326" s="24" t="s">
        <v>4404</v>
      </c>
      <c r="H5326" s="24" t="s">
        <v>27</v>
      </c>
      <c r="I5326" s="24" t="s">
        <v>4404</v>
      </c>
      <c r="J5326" s="14" t="s">
        <v>29</v>
      </c>
      <c r="K5326" s="15" t="s">
        <v>30</v>
      </c>
      <c r="L5326" s="62"/>
      <c r="M5326" s="14"/>
      <c r="N5326" s="14" t="s">
        <v>198</v>
      </c>
      <c r="O5326" s="14"/>
      <c r="P5326" s="15" t="s">
        <v>47</v>
      </c>
      <c r="Q5326" s="16">
        <v>6799</v>
      </c>
      <c r="R5326" s="17">
        <v>40</v>
      </c>
      <c r="S5326" s="18">
        <v>4691.3099999999995</v>
      </c>
      <c r="T5326" s="19" t="s">
        <v>36</v>
      </c>
      <c r="U5326" s="20" t="s">
        <v>39</v>
      </c>
      <c r="V5326" s="21" t="s">
        <v>40</v>
      </c>
      <c r="W5326" s="22">
        <v>19</v>
      </c>
      <c r="X5326" s="23"/>
    </row>
    <row r="5327" spans="1:24" s="1" customFormat="1" ht="21" customHeight="1" x14ac:dyDescent="0.3">
      <c r="A5327" s="24" t="s">
        <v>23</v>
      </c>
      <c r="B5327" s="24" t="s">
        <v>4668</v>
      </c>
      <c r="C5327" s="27" t="s">
        <v>4669</v>
      </c>
      <c r="D5327" s="60"/>
      <c r="E5327" s="41" t="str">
        <f>HYPERLINK("https://www.google.ru/search?q=6009519-713&amp;newwindow=1&amp;tbm=isch","Еще фото")</f>
        <v>Еще фото</v>
      </c>
      <c r="F5327" s="13"/>
      <c r="G5327" s="24" t="s">
        <v>4404</v>
      </c>
      <c r="H5327" s="24" t="s">
        <v>27</v>
      </c>
      <c r="I5327" s="24" t="s">
        <v>4404</v>
      </c>
      <c r="J5327" s="14" t="s">
        <v>29</v>
      </c>
      <c r="K5327" s="15" t="s">
        <v>30</v>
      </c>
      <c r="L5327" s="62"/>
      <c r="M5327" s="14"/>
      <c r="N5327" s="14" t="s">
        <v>198</v>
      </c>
      <c r="O5327" s="14"/>
      <c r="P5327" s="15" t="s">
        <v>47</v>
      </c>
      <c r="Q5327" s="16">
        <v>6799</v>
      </c>
      <c r="R5327" s="17">
        <v>40</v>
      </c>
      <c r="S5327" s="18">
        <v>4691.3099999999995</v>
      </c>
      <c r="T5327" s="19" t="s">
        <v>36</v>
      </c>
      <c r="U5327" s="20" t="s">
        <v>86</v>
      </c>
      <c r="V5327" s="21" t="s">
        <v>87</v>
      </c>
      <c r="W5327" s="22">
        <v>18</v>
      </c>
      <c r="X5327" s="23"/>
    </row>
    <row r="5328" spans="1:24" s="1" customFormat="1" ht="21" customHeight="1" x14ac:dyDescent="0.3">
      <c r="A5328" s="24" t="s">
        <v>23</v>
      </c>
      <c r="B5328" s="24" t="s">
        <v>4668</v>
      </c>
      <c r="C5328" s="27" t="s">
        <v>4669</v>
      </c>
      <c r="D5328" s="60"/>
      <c r="E5328" s="41" t="str">
        <f>HYPERLINK("https://www.google.ru/search?q=6009519-713&amp;newwindow=1&amp;tbm=isch","Еще фото")</f>
        <v>Еще фото</v>
      </c>
      <c r="F5328" s="13"/>
      <c r="G5328" s="24" t="s">
        <v>4404</v>
      </c>
      <c r="H5328" s="24" t="s">
        <v>27</v>
      </c>
      <c r="I5328" s="24" t="s">
        <v>4404</v>
      </c>
      <c r="J5328" s="14" t="s">
        <v>29</v>
      </c>
      <c r="K5328" s="15" t="s">
        <v>30</v>
      </c>
      <c r="L5328" s="62"/>
      <c r="M5328" s="14"/>
      <c r="N5328" s="14" t="s">
        <v>198</v>
      </c>
      <c r="O5328" s="14"/>
      <c r="P5328" s="15" t="s">
        <v>47</v>
      </c>
      <c r="Q5328" s="16">
        <v>6799</v>
      </c>
      <c r="R5328" s="17">
        <v>40</v>
      </c>
      <c r="S5328" s="18">
        <v>4691.3099999999995</v>
      </c>
      <c r="T5328" s="19" t="s">
        <v>36</v>
      </c>
      <c r="U5328" s="20" t="s">
        <v>88</v>
      </c>
      <c r="V5328" s="21" t="s">
        <v>89</v>
      </c>
      <c r="W5328" s="22">
        <v>15</v>
      </c>
      <c r="X5328" s="23"/>
    </row>
    <row r="5329" spans="1:24" s="1" customFormat="1" ht="32" customHeight="1" x14ac:dyDescent="0.3">
      <c r="A5329" s="24" t="s">
        <v>23</v>
      </c>
      <c r="B5329" s="24" t="s">
        <v>4668</v>
      </c>
      <c r="C5329" s="27" t="s">
        <v>4669</v>
      </c>
      <c r="D5329" s="61"/>
      <c r="E5329" s="41" t="str">
        <f>HYPERLINK("https://www.google.ru/search?q=6009519-713&amp;newwindow=1&amp;tbm=isch","Еще фото")</f>
        <v>Еще фото</v>
      </c>
      <c r="F5329" s="13"/>
      <c r="G5329" s="24" t="s">
        <v>4404</v>
      </c>
      <c r="H5329" s="24" t="s">
        <v>27</v>
      </c>
      <c r="I5329" s="24" t="s">
        <v>4404</v>
      </c>
      <c r="J5329" s="14" t="s">
        <v>29</v>
      </c>
      <c r="K5329" s="15" t="s">
        <v>30</v>
      </c>
      <c r="L5329" s="58"/>
      <c r="M5329" s="14"/>
      <c r="N5329" s="14" t="s">
        <v>198</v>
      </c>
      <c r="O5329" s="14"/>
      <c r="P5329" s="15" t="s">
        <v>47</v>
      </c>
      <c r="Q5329" s="16">
        <v>6799</v>
      </c>
      <c r="R5329" s="17">
        <v>40</v>
      </c>
      <c r="S5329" s="18">
        <v>4691.3099999999995</v>
      </c>
      <c r="T5329" s="19" t="s">
        <v>36</v>
      </c>
      <c r="U5329" s="20" t="s">
        <v>90</v>
      </c>
      <c r="V5329" s="21" t="s">
        <v>91</v>
      </c>
      <c r="W5329" s="22">
        <v>11</v>
      </c>
      <c r="X5329" s="23"/>
    </row>
    <row r="5330" spans="1:24" s="1" customFormat="1" ht="26" customHeight="1" x14ac:dyDescent="0.3">
      <c r="A5330" s="11" t="s">
        <v>23</v>
      </c>
      <c r="B5330" s="11" t="s">
        <v>4478</v>
      </c>
      <c r="C5330" s="12" t="s">
        <v>4671</v>
      </c>
      <c r="D5330" s="59"/>
      <c r="E5330" s="41" t="str">
        <f>HYPERLINK("https://www.google.ru/search?q=6009865-338&amp;newwindow=1&amp;tbm=isch","Еще фото")</f>
        <v>Еще фото</v>
      </c>
      <c r="F5330" s="13" t="s">
        <v>103</v>
      </c>
      <c r="G5330" s="11" t="s">
        <v>4404</v>
      </c>
      <c r="H5330" s="11" t="s">
        <v>27</v>
      </c>
      <c r="I5330" s="14" t="s">
        <v>4404</v>
      </c>
      <c r="J5330" s="14" t="s">
        <v>29</v>
      </c>
      <c r="K5330" s="15" t="s">
        <v>30</v>
      </c>
      <c r="L5330" s="57" t="s">
        <v>4480</v>
      </c>
      <c r="M5330" s="14"/>
      <c r="N5330" s="14" t="s">
        <v>127</v>
      </c>
      <c r="O5330" s="14"/>
      <c r="P5330" s="15" t="s">
        <v>47</v>
      </c>
      <c r="Q5330" s="16">
        <v>4999</v>
      </c>
      <c r="R5330" s="17">
        <v>40</v>
      </c>
      <c r="S5330" s="18">
        <v>3449.31</v>
      </c>
      <c r="T5330" s="19" t="s">
        <v>36</v>
      </c>
      <c r="U5330" s="20" t="s">
        <v>37</v>
      </c>
      <c r="V5330" s="21" t="s">
        <v>38</v>
      </c>
      <c r="W5330" s="22">
        <v>5</v>
      </c>
      <c r="X5330" s="23"/>
    </row>
    <row r="5331" spans="1:24" s="1" customFormat="1" ht="26" customHeight="1" x14ac:dyDescent="0.3">
      <c r="A5331" s="24" t="s">
        <v>23</v>
      </c>
      <c r="B5331" s="24" t="s">
        <v>4478</v>
      </c>
      <c r="C5331" s="12" t="s">
        <v>4671</v>
      </c>
      <c r="D5331" s="60"/>
      <c r="E5331" s="41" t="str">
        <f>HYPERLINK("https://www.google.ru/search?q=6009865-338&amp;newwindow=1&amp;tbm=isch","Еще фото")</f>
        <v>Еще фото</v>
      </c>
      <c r="F5331" s="13" t="s">
        <v>103</v>
      </c>
      <c r="G5331" s="24" t="s">
        <v>4404</v>
      </c>
      <c r="H5331" s="24" t="s">
        <v>27</v>
      </c>
      <c r="I5331" s="24" t="s">
        <v>4404</v>
      </c>
      <c r="J5331" s="14" t="s">
        <v>29</v>
      </c>
      <c r="K5331" s="15" t="s">
        <v>30</v>
      </c>
      <c r="L5331" s="62"/>
      <c r="M5331" s="14"/>
      <c r="N5331" s="14" t="s">
        <v>127</v>
      </c>
      <c r="O5331" s="14"/>
      <c r="P5331" s="15" t="s">
        <v>47</v>
      </c>
      <c r="Q5331" s="16">
        <v>4999</v>
      </c>
      <c r="R5331" s="17">
        <v>40</v>
      </c>
      <c r="S5331" s="18">
        <v>3449.31</v>
      </c>
      <c r="T5331" s="19" t="s">
        <v>36</v>
      </c>
      <c r="U5331" s="20" t="s">
        <v>39</v>
      </c>
      <c r="V5331" s="21" t="s">
        <v>40</v>
      </c>
      <c r="W5331" s="22">
        <v>6</v>
      </c>
      <c r="X5331" s="23"/>
    </row>
    <row r="5332" spans="1:24" s="1" customFormat="1" ht="26" customHeight="1" x14ac:dyDescent="0.3">
      <c r="A5332" s="24" t="s">
        <v>23</v>
      </c>
      <c r="B5332" s="24" t="s">
        <v>4478</v>
      </c>
      <c r="C5332" s="12" t="s">
        <v>4671</v>
      </c>
      <c r="D5332" s="60"/>
      <c r="E5332" s="41" t="str">
        <f>HYPERLINK("https://www.google.ru/search?q=6009865-338&amp;newwindow=1&amp;tbm=isch","Еще фото")</f>
        <v>Еще фото</v>
      </c>
      <c r="F5332" s="13" t="s">
        <v>103</v>
      </c>
      <c r="G5332" s="24" t="s">
        <v>4404</v>
      </c>
      <c r="H5332" s="24" t="s">
        <v>27</v>
      </c>
      <c r="I5332" s="24" t="s">
        <v>4404</v>
      </c>
      <c r="J5332" s="14" t="s">
        <v>29</v>
      </c>
      <c r="K5332" s="15" t="s">
        <v>30</v>
      </c>
      <c r="L5332" s="62"/>
      <c r="M5332" s="14"/>
      <c r="N5332" s="14" t="s">
        <v>127</v>
      </c>
      <c r="O5332" s="14"/>
      <c r="P5332" s="15" t="s">
        <v>47</v>
      </c>
      <c r="Q5332" s="16">
        <v>4999</v>
      </c>
      <c r="R5332" s="17">
        <v>40</v>
      </c>
      <c r="S5332" s="18">
        <v>3449.31</v>
      </c>
      <c r="T5332" s="19" t="s">
        <v>36</v>
      </c>
      <c r="U5332" s="20" t="s">
        <v>88</v>
      </c>
      <c r="V5332" s="21" t="s">
        <v>89</v>
      </c>
      <c r="W5332" s="22">
        <v>11</v>
      </c>
      <c r="X5332" s="23"/>
    </row>
    <row r="5333" spans="1:24" s="1" customFormat="1" ht="26" customHeight="1" x14ac:dyDescent="0.3">
      <c r="A5333" s="24" t="s">
        <v>23</v>
      </c>
      <c r="B5333" s="24" t="s">
        <v>4478</v>
      </c>
      <c r="C5333" s="12" t="s">
        <v>4671</v>
      </c>
      <c r="D5333" s="61"/>
      <c r="E5333" s="41" t="str">
        <f>HYPERLINK("https://www.google.ru/search?q=6009865-338&amp;newwindow=1&amp;tbm=isch","Еще фото")</f>
        <v>Еще фото</v>
      </c>
      <c r="F5333" s="13" t="s">
        <v>103</v>
      </c>
      <c r="G5333" s="24" t="s">
        <v>4404</v>
      </c>
      <c r="H5333" s="24" t="s">
        <v>27</v>
      </c>
      <c r="I5333" s="24" t="s">
        <v>4404</v>
      </c>
      <c r="J5333" s="14" t="s">
        <v>29</v>
      </c>
      <c r="K5333" s="15" t="s">
        <v>30</v>
      </c>
      <c r="L5333" s="58"/>
      <c r="M5333" s="14"/>
      <c r="N5333" s="14" t="s">
        <v>127</v>
      </c>
      <c r="O5333" s="14"/>
      <c r="P5333" s="15" t="s">
        <v>47</v>
      </c>
      <c r="Q5333" s="16">
        <v>4999</v>
      </c>
      <c r="R5333" s="17">
        <v>40</v>
      </c>
      <c r="S5333" s="18">
        <v>3449.31</v>
      </c>
      <c r="T5333" s="19" t="s">
        <v>36</v>
      </c>
      <c r="U5333" s="20" t="s">
        <v>90</v>
      </c>
      <c r="V5333" s="21" t="s">
        <v>91</v>
      </c>
      <c r="W5333" s="22">
        <v>6</v>
      </c>
      <c r="X5333" s="23"/>
    </row>
    <row r="5334" spans="1:24" s="1" customFormat="1" ht="21" customHeight="1" x14ac:dyDescent="0.3">
      <c r="A5334" s="11" t="s">
        <v>23</v>
      </c>
      <c r="B5334" s="11" t="s">
        <v>4428</v>
      </c>
      <c r="C5334" s="26" t="s">
        <v>4672</v>
      </c>
      <c r="D5334" s="59"/>
      <c r="E5334" s="41" t="str">
        <f>HYPERLINK("https://www.google.ru/search?q=6009896-410&amp;newwindow=1&amp;tbm=isch","Еще фото")</f>
        <v>Еще фото</v>
      </c>
      <c r="F5334" s="13" t="s">
        <v>103</v>
      </c>
      <c r="G5334" s="11" t="s">
        <v>4404</v>
      </c>
      <c r="H5334" s="11" t="s">
        <v>27</v>
      </c>
      <c r="I5334" s="14" t="s">
        <v>4404</v>
      </c>
      <c r="J5334" s="14" t="s">
        <v>311</v>
      </c>
      <c r="K5334" s="15" t="s">
        <v>30</v>
      </c>
      <c r="L5334" s="57" t="s">
        <v>4430</v>
      </c>
      <c r="M5334" s="14"/>
      <c r="N5334" s="14" t="s">
        <v>115</v>
      </c>
      <c r="O5334" s="14"/>
      <c r="P5334" s="15" t="s">
        <v>47</v>
      </c>
      <c r="Q5334" s="16">
        <v>3199</v>
      </c>
      <c r="R5334" s="17">
        <v>40</v>
      </c>
      <c r="S5334" s="18">
        <v>2207.31</v>
      </c>
      <c r="T5334" s="19" t="s">
        <v>36</v>
      </c>
      <c r="U5334" s="20" t="s">
        <v>37</v>
      </c>
      <c r="V5334" s="21" t="s">
        <v>38</v>
      </c>
      <c r="W5334" s="22">
        <v>4</v>
      </c>
      <c r="X5334" s="23"/>
    </row>
    <row r="5335" spans="1:24" s="1" customFormat="1" ht="21" customHeight="1" x14ac:dyDescent="0.3">
      <c r="A5335" s="24" t="s">
        <v>23</v>
      </c>
      <c r="B5335" s="24" t="s">
        <v>4428</v>
      </c>
      <c r="C5335" s="27" t="s">
        <v>4672</v>
      </c>
      <c r="D5335" s="60"/>
      <c r="E5335" s="41" t="str">
        <f>HYPERLINK("https://www.google.ru/search?q=6009896-410&amp;newwindow=1&amp;tbm=isch","Еще фото")</f>
        <v>Еще фото</v>
      </c>
      <c r="F5335" s="13" t="s">
        <v>103</v>
      </c>
      <c r="G5335" s="24" t="s">
        <v>4404</v>
      </c>
      <c r="H5335" s="24" t="s">
        <v>27</v>
      </c>
      <c r="I5335" s="24" t="s">
        <v>4404</v>
      </c>
      <c r="J5335" s="14" t="s">
        <v>311</v>
      </c>
      <c r="K5335" s="15" t="s">
        <v>30</v>
      </c>
      <c r="L5335" s="62"/>
      <c r="M5335" s="14"/>
      <c r="N5335" s="14" t="s">
        <v>115</v>
      </c>
      <c r="O5335" s="14"/>
      <c r="P5335" s="15" t="s">
        <v>47</v>
      </c>
      <c r="Q5335" s="16">
        <v>3199</v>
      </c>
      <c r="R5335" s="17">
        <v>40</v>
      </c>
      <c r="S5335" s="18">
        <v>2207.31</v>
      </c>
      <c r="T5335" s="19" t="s">
        <v>36</v>
      </c>
      <c r="U5335" s="20" t="s">
        <v>39</v>
      </c>
      <c r="V5335" s="21" t="s">
        <v>40</v>
      </c>
      <c r="W5335" s="22">
        <v>18</v>
      </c>
      <c r="X5335" s="23"/>
    </row>
    <row r="5336" spans="1:24" s="1" customFormat="1" ht="21" customHeight="1" x14ac:dyDescent="0.3">
      <c r="A5336" s="24" t="s">
        <v>23</v>
      </c>
      <c r="B5336" s="24" t="s">
        <v>4428</v>
      </c>
      <c r="C5336" s="27" t="s">
        <v>4672</v>
      </c>
      <c r="D5336" s="60"/>
      <c r="E5336" s="41" t="str">
        <f>HYPERLINK("https://www.google.ru/search?q=6009896-410&amp;newwindow=1&amp;tbm=isch","Еще фото")</f>
        <v>Еще фото</v>
      </c>
      <c r="F5336" s="13" t="s">
        <v>103</v>
      </c>
      <c r="G5336" s="24" t="s">
        <v>4404</v>
      </c>
      <c r="H5336" s="24" t="s">
        <v>27</v>
      </c>
      <c r="I5336" s="24" t="s">
        <v>4404</v>
      </c>
      <c r="J5336" s="14" t="s">
        <v>311</v>
      </c>
      <c r="K5336" s="15" t="s">
        <v>30</v>
      </c>
      <c r="L5336" s="62"/>
      <c r="M5336" s="14"/>
      <c r="N5336" s="14" t="s">
        <v>115</v>
      </c>
      <c r="O5336" s="14"/>
      <c r="P5336" s="15" t="s">
        <v>47</v>
      </c>
      <c r="Q5336" s="16">
        <v>3199</v>
      </c>
      <c r="R5336" s="17">
        <v>40</v>
      </c>
      <c r="S5336" s="18">
        <v>2207.31</v>
      </c>
      <c r="T5336" s="19" t="s">
        <v>36</v>
      </c>
      <c r="U5336" s="20" t="s">
        <v>86</v>
      </c>
      <c r="V5336" s="21" t="s">
        <v>87</v>
      </c>
      <c r="W5336" s="22">
        <v>15</v>
      </c>
      <c r="X5336" s="23"/>
    </row>
    <row r="5337" spans="1:24" s="1" customFormat="1" ht="21" customHeight="1" x14ac:dyDescent="0.3">
      <c r="A5337" s="24" t="s">
        <v>23</v>
      </c>
      <c r="B5337" s="24" t="s">
        <v>4428</v>
      </c>
      <c r="C5337" s="27" t="s">
        <v>4672</v>
      </c>
      <c r="D5337" s="60"/>
      <c r="E5337" s="41" t="str">
        <f>HYPERLINK("https://www.google.ru/search?q=6009896-410&amp;newwindow=1&amp;tbm=isch","Еще фото")</f>
        <v>Еще фото</v>
      </c>
      <c r="F5337" s="13" t="s">
        <v>103</v>
      </c>
      <c r="G5337" s="24" t="s">
        <v>4404</v>
      </c>
      <c r="H5337" s="24" t="s">
        <v>27</v>
      </c>
      <c r="I5337" s="24" t="s">
        <v>4404</v>
      </c>
      <c r="J5337" s="14" t="s">
        <v>311</v>
      </c>
      <c r="K5337" s="15" t="s">
        <v>30</v>
      </c>
      <c r="L5337" s="62"/>
      <c r="M5337" s="14"/>
      <c r="N5337" s="14" t="s">
        <v>115</v>
      </c>
      <c r="O5337" s="14"/>
      <c r="P5337" s="15" t="s">
        <v>47</v>
      </c>
      <c r="Q5337" s="16">
        <v>3199</v>
      </c>
      <c r="R5337" s="17">
        <v>40</v>
      </c>
      <c r="S5337" s="18">
        <v>2207.31</v>
      </c>
      <c r="T5337" s="19" t="s">
        <v>36</v>
      </c>
      <c r="U5337" s="20" t="s">
        <v>88</v>
      </c>
      <c r="V5337" s="21" t="s">
        <v>89</v>
      </c>
      <c r="W5337" s="22">
        <v>10</v>
      </c>
      <c r="X5337" s="23"/>
    </row>
    <row r="5338" spans="1:24" s="1" customFormat="1" ht="32" customHeight="1" x14ac:dyDescent="0.3">
      <c r="A5338" s="24" t="s">
        <v>23</v>
      </c>
      <c r="B5338" s="24" t="s">
        <v>4428</v>
      </c>
      <c r="C5338" s="27" t="s">
        <v>4672</v>
      </c>
      <c r="D5338" s="61"/>
      <c r="E5338" s="41" t="str">
        <f>HYPERLINK("https://www.google.ru/search?q=6009896-410&amp;newwindow=1&amp;tbm=isch","Еще фото")</f>
        <v>Еще фото</v>
      </c>
      <c r="F5338" s="13" t="s">
        <v>103</v>
      </c>
      <c r="G5338" s="24" t="s">
        <v>4404</v>
      </c>
      <c r="H5338" s="24" t="s">
        <v>27</v>
      </c>
      <c r="I5338" s="24" t="s">
        <v>4404</v>
      </c>
      <c r="J5338" s="14" t="s">
        <v>311</v>
      </c>
      <c r="K5338" s="15" t="s">
        <v>30</v>
      </c>
      <c r="L5338" s="58"/>
      <c r="M5338" s="14"/>
      <c r="N5338" s="14" t="s">
        <v>115</v>
      </c>
      <c r="O5338" s="14"/>
      <c r="P5338" s="15" t="s">
        <v>47</v>
      </c>
      <c r="Q5338" s="16">
        <v>3199</v>
      </c>
      <c r="R5338" s="17">
        <v>40</v>
      </c>
      <c r="S5338" s="18">
        <v>2207.31</v>
      </c>
      <c r="T5338" s="19" t="s">
        <v>36</v>
      </c>
      <c r="U5338" s="20" t="s">
        <v>90</v>
      </c>
      <c r="V5338" s="21" t="s">
        <v>91</v>
      </c>
      <c r="W5338" s="22">
        <v>9</v>
      </c>
      <c r="X5338" s="23"/>
    </row>
    <row r="5339" spans="1:24" s="1" customFormat="1" ht="21" customHeight="1" x14ac:dyDescent="0.3">
      <c r="A5339" s="11" t="s">
        <v>23</v>
      </c>
      <c r="B5339" s="11" t="s">
        <v>4673</v>
      </c>
      <c r="C5339" s="26" t="s">
        <v>4674</v>
      </c>
      <c r="D5339" s="59"/>
      <c r="E5339" s="41" t="str">
        <f>HYPERLINK("https://www.google.ru/search?q=6010858-001&amp;newwindow=1&amp;tbm=isch","Еще фото")</f>
        <v>Еще фото</v>
      </c>
      <c r="F5339" s="13"/>
      <c r="G5339" s="11" t="s">
        <v>4404</v>
      </c>
      <c r="H5339" s="11" t="s">
        <v>27</v>
      </c>
      <c r="I5339" s="14" t="s">
        <v>4404</v>
      </c>
      <c r="J5339" s="14" t="s">
        <v>29</v>
      </c>
      <c r="K5339" s="15" t="s">
        <v>30</v>
      </c>
      <c r="L5339" s="57" t="s">
        <v>4675</v>
      </c>
      <c r="M5339" s="14"/>
      <c r="N5339" s="14" t="s">
        <v>33</v>
      </c>
      <c r="O5339" s="14"/>
      <c r="P5339" s="15" t="s">
        <v>213</v>
      </c>
      <c r="Q5339" s="16">
        <v>5899</v>
      </c>
      <c r="R5339" s="17">
        <v>40</v>
      </c>
      <c r="S5339" s="18">
        <v>4070.31</v>
      </c>
      <c r="T5339" s="19" t="s">
        <v>36</v>
      </c>
      <c r="U5339" s="20" t="s">
        <v>37</v>
      </c>
      <c r="V5339" s="21" t="s">
        <v>38</v>
      </c>
      <c r="W5339" s="22">
        <v>10</v>
      </c>
      <c r="X5339" s="23"/>
    </row>
    <row r="5340" spans="1:24" s="1" customFormat="1" ht="21" customHeight="1" x14ac:dyDescent="0.3">
      <c r="A5340" s="24" t="s">
        <v>23</v>
      </c>
      <c r="B5340" s="24" t="s">
        <v>4673</v>
      </c>
      <c r="C5340" s="27" t="s">
        <v>4674</v>
      </c>
      <c r="D5340" s="60"/>
      <c r="E5340" s="41" t="str">
        <f>HYPERLINK("https://www.google.ru/search?q=6010858-001&amp;newwindow=1&amp;tbm=isch","Еще фото")</f>
        <v>Еще фото</v>
      </c>
      <c r="F5340" s="13"/>
      <c r="G5340" s="24" t="s">
        <v>4404</v>
      </c>
      <c r="H5340" s="24" t="s">
        <v>27</v>
      </c>
      <c r="I5340" s="24" t="s">
        <v>4404</v>
      </c>
      <c r="J5340" s="14" t="s">
        <v>29</v>
      </c>
      <c r="K5340" s="15" t="s">
        <v>30</v>
      </c>
      <c r="L5340" s="62"/>
      <c r="M5340" s="14"/>
      <c r="N5340" s="14" t="s">
        <v>33</v>
      </c>
      <c r="O5340" s="14"/>
      <c r="P5340" s="15" t="s">
        <v>213</v>
      </c>
      <c r="Q5340" s="16">
        <v>5899</v>
      </c>
      <c r="R5340" s="17">
        <v>40</v>
      </c>
      <c r="S5340" s="18">
        <v>4070.31</v>
      </c>
      <c r="T5340" s="19" t="s">
        <v>36</v>
      </c>
      <c r="U5340" s="20" t="s">
        <v>39</v>
      </c>
      <c r="V5340" s="21" t="s">
        <v>40</v>
      </c>
      <c r="W5340" s="22">
        <v>16</v>
      </c>
      <c r="X5340" s="23"/>
    </row>
    <row r="5341" spans="1:24" s="1" customFormat="1" ht="21" customHeight="1" x14ac:dyDescent="0.3">
      <c r="A5341" s="24" t="s">
        <v>23</v>
      </c>
      <c r="B5341" s="24" t="s">
        <v>4673</v>
      </c>
      <c r="C5341" s="27" t="s">
        <v>4674</v>
      </c>
      <c r="D5341" s="60"/>
      <c r="E5341" s="41" t="str">
        <f>HYPERLINK("https://www.google.ru/search?q=6010858-001&amp;newwindow=1&amp;tbm=isch","Еще фото")</f>
        <v>Еще фото</v>
      </c>
      <c r="F5341" s="13"/>
      <c r="G5341" s="24" t="s">
        <v>4404</v>
      </c>
      <c r="H5341" s="24" t="s">
        <v>27</v>
      </c>
      <c r="I5341" s="24" t="s">
        <v>4404</v>
      </c>
      <c r="J5341" s="14" t="s">
        <v>29</v>
      </c>
      <c r="K5341" s="15" t="s">
        <v>30</v>
      </c>
      <c r="L5341" s="62"/>
      <c r="M5341" s="14"/>
      <c r="N5341" s="14" t="s">
        <v>33</v>
      </c>
      <c r="O5341" s="14"/>
      <c r="P5341" s="15" t="s">
        <v>213</v>
      </c>
      <c r="Q5341" s="16">
        <v>5899</v>
      </c>
      <c r="R5341" s="17">
        <v>40</v>
      </c>
      <c r="S5341" s="18">
        <v>4070.31</v>
      </c>
      <c r="T5341" s="19" t="s">
        <v>36</v>
      </c>
      <c r="U5341" s="20" t="s">
        <v>86</v>
      </c>
      <c r="V5341" s="21" t="s">
        <v>87</v>
      </c>
      <c r="W5341" s="22">
        <v>13</v>
      </c>
      <c r="X5341" s="23"/>
    </row>
    <row r="5342" spans="1:24" s="1" customFormat="1" ht="21" customHeight="1" x14ac:dyDescent="0.3">
      <c r="A5342" s="24" t="s">
        <v>23</v>
      </c>
      <c r="B5342" s="24" t="s">
        <v>4673</v>
      </c>
      <c r="C5342" s="27" t="s">
        <v>4674</v>
      </c>
      <c r="D5342" s="60"/>
      <c r="E5342" s="41" t="str">
        <f>HYPERLINK("https://www.google.ru/search?q=6010858-001&amp;newwindow=1&amp;tbm=isch","Еще фото")</f>
        <v>Еще фото</v>
      </c>
      <c r="F5342" s="13"/>
      <c r="G5342" s="24" t="s">
        <v>4404</v>
      </c>
      <c r="H5342" s="24" t="s">
        <v>27</v>
      </c>
      <c r="I5342" s="24" t="s">
        <v>4404</v>
      </c>
      <c r="J5342" s="14" t="s">
        <v>29</v>
      </c>
      <c r="K5342" s="15" t="s">
        <v>30</v>
      </c>
      <c r="L5342" s="62"/>
      <c r="M5342" s="14"/>
      <c r="N5342" s="14" t="s">
        <v>33</v>
      </c>
      <c r="O5342" s="14"/>
      <c r="P5342" s="15" t="s">
        <v>213</v>
      </c>
      <c r="Q5342" s="16">
        <v>5899</v>
      </c>
      <c r="R5342" s="17">
        <v>40</v>
      </c>
      <c r="S5342" s="18">
        <v>4070.31</v>
      </c>
      <c r="T5342" s="19" t="s">
        <v>36</v>
      </c>
      <c r="U5342" s="20" t="s">
        <v>88</v>
      </c>
      <c r="V5342" s="21" t="s">
        <v>89</v>
      </c>
      <c r="W5342" s="22">
        <v>8</v>
      </c>
      <c r="X5342" s="23"/>
    </row>
    <row r="5343" spans="1:24" s="1" customFormat="1" ht="32" customHeight="1" x14ac:dyDescent="0.3">
      <c r="A5343" s="24" t="s">
        <v>23</v>
      </c>
      <c r="B5343" s="24" t="s">
        <v>4673</v>
      </c>
      <c r="C5343" s="27" t="s">
        <v>4674</v>
      </c>
      <c r="D5343" s="61"/>
      <c r="E5343" s="41" t="str">
        <f>HYPERLINK("https://www.google.ru/search?q=6010858-001&amp;newwindow=1&amp;tbm=isch","Еще фото")</f>
        <v>Еще фото</v>
      </c>
      <c r="F5343" s="13"/>
      <c r="G5343" s="24" t="s">
        <v>4404</v>
      </c>
      <c r="H5343" s="24" t="s">
        <v>27</v>
      </c>
      <c r="I5343" s="24" t="s">
        <v>4404</v>
      </c>
      <c r="J5343" s="14" t="s">
        <v>29</v>
      </c>
      <c r="K5343" s="15" t="s">
        <v>30</v>
      </c>
      <c r="L5343" s="58"/>
      <c r="M5343" s="14"/>
      <c r="N5343" s="14" t="s">
        <v>33</v>
      </c>
      <c r="O5343" s="14"/>
      <c r="P5343" s="15" t="s">
        <v>213</v>
      </c>
      <c r="Q5343" s="16">
        <v>5899</v>
      </c>
      <c r="R5343" s="17">
        <v>40</v>
      </c>
      <c r="S5343" s="18">
        <v>4070.31</v>
      </c>
      <c r="T5343" s="19" t="s">
        <v>36</v>
      </c>
      <c r="U5343" s="20" t="s">
        <v>90</v>
      </c>
      <c r="V5343" s="21" t="s">
        <v>91</v>
      </c>
      <c r="W5343" s="22">
        <v>6</v>
      </c>
      <c r="X5343" s="23"/>
    </row>
    <row r="5344" spans="1:24" s="1" customFormat="1" ht="21" customHeight="1" x14ac:dyDescent="0.3">
      <c r="A5344" s="11" t="s">
        <v>23</v>
      </c>
      <c r="B5344" s="11" t="s">
        <v>4673</v>
      </c>
      <c r="C5344" s="26" t="s">
        <v>4676</v>
      </c>
      <c r="D5344" s="59"/>
      <c r="E5344" s="41" t="str">
        <f>HYPERLINK("https://www.google.ru/search?q=6010858-410&amp;newwindow=1&amp;tbm=isch","Еще фото")</f>
        <v>Еще фото</v>
      </c>
      <c r="F5344" s="13"/>
      <c r="G5344" s="11" t="s">
        <v>4404</v>
      </c>
      <c r="H5344" s="11" t="s">
        <v>27</v>
      </c>
      <c r="I5344" s="14" t="s">
        <v>4404</v>
      </c>
      <c r="J5344" s="14" t="s">
        <v>29</v>
      </c>
      <c r="K5344" s="15" t="s">
        <v>30</v>
      </c>
      <c r="L5344" s="57" t="s">
        <v>4675</v>
      </c>
      <c r="M5344" s="14"/>
      <c r="N5344" s="14" t="s">
        <v>115</v>
      </c>
      <c r="O5344" s="14"/>
      <c r="P5344" s="15" t="s">
        <v>213</v>
      </c>
      <c r="Q5344" s="16">
        <v>5899</v>
      </c>
      <c r="R5344" s="17">
        <v>40</v>
      </c>
      <c r="S5344" s="18">
        <v>4070.31</v>
      </c>
      <c r="T5344" s="19" t="s">
        <v>36</v>
      </c>
      <c r="U5344" s="20" t="s">
        <v>37</v>
      </c>
      <c r="V5344" s="21" t="s">
        <v>38</v>
      </c>
      <c r="W5344" s="22">
        <v>4</v>
      </c>
      <c r="X5344" s="23"/>
    </row>
    <row r="5345" spans="1:24" s="1" customFormat="1" ht="21" customHeight="1" x14ac:dyDescent="0.3">
      <c r="A5345" s="24" t="s">
        <v>23</v>
      </c>
      <c r="B5345" s="24" t="s">
        <v>4673</v>
      </c>
      <c r="C5345" s="27" t="s">
        <v>4676</v>
      </c>
      <c r="D5345" s="60"/>
      <c r="E5345" s="41" t="str">
        <f>HYPERLINK("https://www.google.ru/search?q=6010858-410&amp;newwindow=1&amp;tbm=isch","Еще фото")</f>
        <v>Еще фото</v>
      </c>
      <c r="F5345" s="13"/>
      <c r="G5345" s="24" t="s">
        <v>4404</v>
      </c>
      <c r="H5345" s="24" t="s">
        <v>27</v>
      </c>
      <c r="I5345" s="24" t="s">
        <v>4404</v>
      </c>
      <c r="J5345" s="14" t="s">
        <v>29</v>
      </c>
      <c r="K5345" s="15" t="s">
        <v>30</v>
      </c>
      <c r="L5345" s="62"/>
      <c r="M5345" s="14"/>
      <c r="N5345" s="14" t="s">
        <v>115</v>
      </c>
      <c r="O5345" s="14"/>
      <c r="P5345" s="15" t="s">
        <v>213</v>
      </c>
      <c r="Q5345" s="16">
        <v>5899</v>
      </c>
      <c r="R5345" s="17">
        <v>40</v>
      </c>
      <c r="S5345" s="18">
        <v>4070.31</v>
      </c>
      <c r="T5345" s="19" t="s">
        <v>36</v>
      </c>
      <c r="U5345" s="20" t="s">
        <v>39</v>
      </c>
      <c r="V5345" s="21" t="s">
        <v>40</v>
      </c>
      <c r="W5345" s="22">
        <v>17</v>
      </c>
      <c r="X5345" s="23"/>
    </row>
    <row r="5346" spans="1:24" s="1" customFormat="1" ht="21" customHeight="1" x14ac:dyDescent="0.3">
      <c r="A5346" s="24" t="s">
        <v>23</v>
      </c>
      <c r="B5346" s="24" t="s">
        <v>4673</v>
      </c>
      <c r="C5346" s="27" t="s">
        <v>4676</v>
      </c>
      <c r="D5346" s="60"/>
      <c r="E5346" s="41" t="str">
        <f>HYPERLINK("https://www.google.ru/search?q=6010858-410&amp;newwindow=1&amp;tbm=isch","Еще фото")</f>
        <v>Еще фото</v>
      </c>
      <c r="F5346" s="13"/>
      <c r="G5346" s="24" t="s">
        <v>4404</v>
      </c>
      <c r="H5346" s="24" t="s">
        <v>27</v>
      </c>
      <c r="I5346" s="24" t="s">
        <v>4404</v>
      </c>
      <c r="J5346" s="14" t="s">
        <v>29</v>
      </c>
      <c r="K5346" s="15" t="s">
        <v>30</v>
      </c>
      <c r="L5346" s="62"/>
      <c r="M5346" s="14"/>
      <c r="N5346" s="14" t="s">
        <v>115</v>
      </c>
      <c r="O5346" s="14"/>
      <c r="P5346" s="15" t="s">
        <v>213</v>
      </c>
      <c r="Q5346" s="16">
        <v>5899</v>
      </c>
      <c r="R5346" s="17">
        <v>40</v>
      </c>
      <c r="S5346" s="18">
        <v>4070.31</v>
      </c>
      <c r="T5346" s="19" t="s">
        <v>36</v>
      </c>
      <c r="U5346" s="20" t="s">
        <v>86</v>
      </c>
      <c r="V5346" s="21" t="s">
        <v>87</v>
      </c>
      <c r="W5346" s="22">
        <v>16</v>
      </c>
      <c r="X5346" s="23"/>
    </row>
    <row r="5347" spans="1:24" s="1" customFormat="1" ht="21" customHeight="1" x14ac:dyDescent="0.3">
      <c r="A5347" s="24" t="s">
        <v>23</v>
      </c>
      <c r="B5347" s="24" t="s">
        <v>4673</v>
      </c>
      <c r="C5347" s="27" t="s">
        <v>4676</v>
      </c>
      <c r="D5347" s="60"/>
      <c r="E5347" s="41" t="str">
        <f>HYPERLINK("https://www.google.ru/search?q=6010858-410&amp;newwindow=1&amp;tbm=isch","Еще фото")</f>
        <v>Еще фото</v>
      </c>
      <c r="F5347" s="13"/>
      <c r="G5347" s="24" t="s">
        <v>4404</v>
      </c>
      <c r="H5347" s="24" t="s">
        <v>27</v>
      </c>
      <c r="I5347" s="24" t="s">
        <v>4404</v>
      </c>
      <c r="J5347" s="14" t="s">
        <v>29</v>
      </c>
      <c r="K5347" s="15" t="s">
        <v>30</v>
      </c>
      <c r="L5347" s="62"/>
      <c r="M5347" s="14"/>
      <c r="N5347" s="14" t="s">
        <v>115</v>
      </c>
      <c r="O5347" s="14"/>
      <c r="P5347" s="15" t="s">
        <v>213</v>
      </c>
      <c r="Q5347" s="16">
        <v>5899</v>
      </c>
      <c r="R5347" s="17">
        <v>40</v>
      </c>
      <c r="S5347" s="18">
        <v>4070.31</v>
      </c>
      <c r="T5347" s="19" t="s">
        <v>36</v>
      </c>
      <c r="U5347" s="20" t="s">
        <v>88</v>
      </c>
      <c r="V5347" s="21" t="s">
        <v>89</v>
      </c>
      <c r="W5347" s="22">
        <v>12</v>
      </c>
      <c r="X5347" s="23"/>
    </row>
    <row r="5348" spans="1:24" s="1" customFormat="1" ht="32" customHeight="1" x14ac:dyDescent="0.3">
      <c r="A5348" s="24" t="s">
        <v>23</v>
      </c>
      <c r="B5348" s="24" t="s">
        <v>4673</v>
      </c>
      <c r="C5348" s="27" t="s">
        <v>4676</v>
      </c>
      <c r="D5348" s="61"/>
      <c r="E5348" s="41" t="str">
        <f>HYPERLINK("https://www.google.ru/search?q=6010858-410&amp;newwindow=1&amp;tbm=isch","Еще фото")</f>
        <v>Еще фото</v>
      </c>
      <c r="F5348" s="13"/>
      <c r="G5348" s="24" t="s">
        <v>4404</v>
      </c>
      <c r="H5348" s="24" t="s">
        <v>27</v>
      </c>
      <c r="I5348" s="24" t="s">
        <v>4404</v>
      </c>
      <c r="J5348" s="14" t="s">
        <v>29</v>
      </c>
      <c r="K5348" s="15" t="s">
        <v>30</v>
      </c>
      <c r="L5348" s="58"/>
      <c r="M5348" s="14"/>
      <c r="N5348" s="14" t="s">
        <v>115</v>
      </c>
      <c r="O5348" s="14"/>
      <c r="P5348" s="15" t="s">
        <v>213</v>
      </c>
      <c r="Q5348" s="16">
        <v>5899</v>
      </c>
      <c r="R5348" s="17">
        <v>40</v>
      </c>
      <c r="S5348" s="18">
        <v>4070.31</v>
      </c>
      <c r="T5348" s="19" t="s">
        <v>36</v>
      </c>
      <c r="U5348" s="20" t="s">
        <v>90</v>
      </c>
      <c r="V5348" s="21" t="s">
        <v>91</v>
      </c>
      <c r="W5348" s="22">
        <v>10</v>
      </c>
      <c r="X5348" s="23"/>
    </row>
    <row r="5349" spans="1:24" s="1" customFormat="1" ht="108" customHeight="1" x14ac:dyDescent="0.3">
      <c r="A5349" s="11" t="s">
        <v>23</v>
      </c>
      <c r="B5349" s="11" t="s">
        <v>4677</v>
      </c>
      <c r="C5349" s="12" t="s">
        <v>4678</v>
      </c>
      <c r="D5349" s="25"/>
      <c r="E5349" s="41" t="str">
        <f>HYPERLINK("https://www.google.ru/search?q=6011164-008&amp;newwindow=1&amp;tbm=isch","Еще фото")</f>
        <v>Еще фото</v>
      </c>
      <c r="F5349" s="13"/>
      <c r="G5349" s="11" t="s">
        <v>4404</v>
      </c>
      <c r="H5349" s="11" t="s">
        <v>27</v>
      </c>
      <c r="I5349" s="14" t="s">
        <v>4404</v>
      </c>
      <c r="J5349" s="14" t="s">
        <v>43</v>
      </c>
      <c r="K5349" s="15" t="s">
        <v>59</v>
      </c>
      <c r="L5349" s="14" t="s">
        <v>4679</v>
      </c>
      <c r="M5349" s="14"/>
      <c r="N5349" s="14" t="s">
        <v>33</v>
      </c>
      <c r="O5349" s="14"/>
      <c r="P5349" s="15" t="s">
        <v>4680</v>
      </c>
      <c r="Q5349" s="16">
        <v>6599</v>
      </c>
      <c r="R5349" s="17">
        <v>40</v>
      </c>
      <c r="S5349" s="18">
        <v>4553.3099999999995</v>
      </c>
      <c r="T5349" s="19" t="s">
        <v>36</v>
      </c>
      <c r="U5349" s="20" t="s">
        <v>39</v>
      </c>
      <c r="V5349" s="21" t="s">
        <v>85</v>
      </c>
      <c r="W5349" s="22">
        <v>10</v>
      </c>
      <c r="X5349" s="23"/>
    </row>
    <row r="5350" spans="1:24" s="1" customFormat="1" ht="26" customHeight="1" x14ac:dyDescent="0.3">
      <c r="A5350" s="11" t="s">
        <v>23</v>
      </c>
      <c r="B5350" s="11" t="s">
        <v>4681</v>
      </c>
      <c r="C5350" s="12" t="s">
        <v>4682</v>
      </c>
      <c r="D5350" s="59"/>
      <c r="E5350" s="41" t="str">
        <f>HYPERLINK("https://www.google.ru/search?q=1387538-002&amp;newwindow=1&amp;tbm=isch","Еще фото")</f>
        <v>Еще фото</v>
      </c>
      <c r="F5350" s="13" t="s">
        <v>103</v>
      </c>
      <c r="G5350" s="11" t="s">
        <v>4683</v>
      </c>
      <c r="H5350" s="11" t="s">
        <v>27</v>
      </c>
      <c r="I5350" s="14" t="s">
        <v>4684</v>
      </c>
      <c r="J5350" s="14" t="s">
        <v>29</v>
      </c>
      <c r="K5350" s="15" t="s">
        <v>59</v>
      </c>
      <c r="L5350" s="57" t="s">
        <v>4685</v>
      </c>
      <c r="M5350" s="14"/>
      <c r="N5350" s="14" t="s">
        <v>33</v>
      </c>
      <c r="O5350" s="14"/>
      <c r="P5350" s="15" t="s">
        <v>508</v>
      </c>
      <c r="Q5350" s="16">
        <v>6199</v>
      </c>
      <c r="R5350" s="17">
        <v>40</v>
      </c>
      <c r="S5350" s="18">
        <v>4277.3099999999995</v>
      </c>
      <c r="T5350" s="19" t="s">
        <v>36</v>
      </c>
      <c r="U5350" s="20" t="s">
        <v>37</v>
      </c>
      <c r="V5350" s="21" t="s">
        <v>106</v>
      </c>
      <c r="W5350" s="22">
        <v>16</v>
      </c>
      <c r="X5350" s="23"/>
    </row>
    <row r="5351" spans="1:24" s="1" customFormat="1" ht="26" customHeight="1" x14ac:dyDescent="0.3">
      <c r="A5351" s="24" t="s">
        <v>23</v>
      </c>
      <c r="B5351" s="24" t="s">
        <v>4681</v>
      </c>
      <c r="C5351" s="12" t="s">
        <v>4682</v>
      </c>
      <c r="D5351" s="60"/>
      <c r="E5351" s="41" t="str">
        <f>HYPERLINK("https://www.google.ru/search?q=1387538-002&amp;newwindow=1&amp;tbm=isch","Еще фото")</f>
        <v>Еще фото</v>
      </c>
      <c r="F5351" s="13" t="s">
        <v>103</v>
      </c>
      <c r="G5351" s="24" t="s">
        <v>4683</v>
      </c>
      <c r="H5351" s="24" t="s">
        <v>27</v>
      </c>
      <c r="I5351" s="24" t="s">
        <v>4684</v>
      </c>
      <c r="J5351" s="14" t="s">
        <v>29</v>
      </c>
      <c r="K5351" s="15" t="s">
        <v>59</v>
      </c>
      <c r="L5351" s="62"/>
      <c r="M5351" s="14"/>
      <c r="N5351" s="14" t="s">
        <v>33</v>
      </c>
      <c r="O5351" s="14"/>
      <c r="P5351" s="15" t="s">
        <v>508</v>
      </c>
      <c r="Q5351" s="16">
        <v>6199</v>
      </c>
      <c r="R5351" s="17">
        <v>40</v>
      </c>
      <c r="S5351" s="18">
        <v>4277.3099999999995</v>
      </c>
      <c r="T5351" s="19" t="s">
        <v>36</v>
      </c>
      <c r="U5351" s="20" t="s">
        <v>63</v>
      </c>
      <c r="V5351" s="21" t="s">
        <v>64</v>
      </c>
      <c r="W5351" s="22">
        <v>14</v>
      </c>
      <c r="X5351" s="23"/>
    </row>
    <row r="5352" spans="1:24" s="1" customFormat="1" ht="26" customHeight="1" x14ac:dyDescent="0.3">
      <c r="A5352" s="24" t="s">
        <v>23</v>
      </c>
      <c r="B5352" s="24" t="s">
        <v>4681</v>
      </c>
      <c r="C5352" s="12" t="s">
        <v>4682</v>
      </c>
      <c r="D5352" s="60"/>
      <c r="E5352" s="41" t="str">
        <f>HYPERLINK("https://www.google.ru/search?q=1387538-002&amp;newwindow=1&amp;tbm=isch","Еще фото")</f>
        <v>Еще фото</v>
      </c>
      <c r="F5352" s="13" t="s">
        <v>103</v>
      </c>
      <c r="G5352" s="24" t="s">
        <v>4683</v>
      </c>
      <c r="H5352" s="24" t="s">
        <v>27</v>
      </c>
      <c r="I5352" s="24" t="s">
        <v>4684</v>
      </c>
      <c r="J5352" s="14" t="s">
        <v>29</v>
      </c>
      <c r="K5352" s="15" t="s">
        <v>59</v>
      </c>
      <c r="L5352" s="62"/>
      <c r="M5352" s="14"/>
      <c r="N5352" s="14" t="s">
        <v>33</v>
      </c>
      <c r="O5352" s="14"/>
      <c r="P5352" s="15" t="s">
        <v>508</v>
      </c>
      <c r="Q5352" s="16">
        <v>6199</v>
      </c>
      <c r="R5352" s="17">
        <v>40</v>
      </c>
      <c r="S5352" s="18">
        <v>4277.3099999999995</v>
      </c>
      <c r="T5352" s="19" t="s">
        <v>36</v>
      </c>
      <c r="U5352" s="20" t="s">
        <v>39</v>
      </c>
      <c r="V5352" s="21" t="s">
        <v>85</v>
      </c>
      <c r="W5352" s="22">
        <v>17</v>
      </c>
      <c r="X5352" s="23"/>
    </row>
    <row r="5353" spans="1:24" s="1" customFormat="1" ht="26" customHeight="1" x14ac:dyDescent="0.3">
      <c r="A5353" s="24" t="s">
        <v>23</v>
      </c>
      <c r="B5353" s="24" t="s">
        <v>4681</v>
      </c>
      <c r="C5353" s="12" t="s">
        <v>4682</v>
      </c>
      <c r="D5353" s="61"/>
      <c r="E5353" s="41" t="str">
        <f>HYPERLINK("https://www.google.ru/search?q=1387538-002&amp;newwindow=1&amp;tbm=isch","Еще фото")</f>
        <v>Еще фото</v>
      </c>
      <c r="F5353" s="13" t="s">
        <v>103</v>
      </c>
      <c r="G5353" s="24" t="s">
        <v>4683</v>
      </c>
      <c r="H5353" s="24" t="s">
        <v>27</v>
      </c>
      <c r="I5353" s="24" t="s">
        <v>4684</v>
      </c>
      <c r="J5353" s="14" t="s">
        <v>29</v>
      </c>
      <c r="K5353" s="15" t="s">
        <v>59</v>
      </c>
      <c r="L5353" s="58"/>
      <c r="M5353" s="14"/>
      <c r="N5353" s="14" t="s">
        <v>33</v>
      </c>
      <c r="O5353" s="14"/>
      <c r="P5353" s="15" t="s">
        <v>508</v>
      </c>
      <c r="Q5353" s="16">
        <v>6199</v>
      </c>
      <c r="R5353" s="17">
        <v>40</v>
      </c>
      <c r="S5353" s="18">
        <v>4277.3099999999995</v>
      </c>
      <c r="T5353" s="19" t="s">
        <v>36</v>
      </c>
      <c r="U5353" s="20" t="s">
        <v>86</v>
      </c>
      <c r="V5353" s="21" t="s">
        <v>38</v>
      </c>
      <c r="W5353" s="22">
        <v>8</v>
      </c>
      <c r="X5353" s="23"/>
    </row>
  </sheetData>
  <autoFilter ref="A3:X5353" xr:uid="{00000000-0009-0000-0000-000000000000}"/>
  <mergeCells count="2250">
    <mergeCell ref="D4:D5"/>
    <mergeCell ref="L4:L5"/>
    <mergeCell ref="D9:D10"/>
    <mergeCell ref="L9:L10"/>
    <mergeCell ref="D12:D17"/>
    <mergeCell ref="L12:L17"/>
    <mergeCell ref="D19:D20"/>
    <mergeCell ref="L19:L20"/>
    <mergeCell ref="D21:D24"/>
    <mergeCell ref="L21:L24"/>
    <mergeCell ref="D25:D28"/>
    <mergeCell ref="L25:L28"/>
    <mergeCell ref="D29:D30"/>
    <mergeCell ref="L29:L30"/>
    <mergeCell ref="D31:D34"/>
    <mergeCell ref="L31:L34"/>
    <mergeCell ref="D35:D38"/>
    <mergeCell ref="L35:L38"/>
    <mergeCell ref="D39:D43"/>
    <mergeCell ref="L39:L43"/>
    <mergeCell ref="D46:D51"/>
    <mergeCell ref="L46:L51"/>
    <mergeCell ref="D53:D57"/>
    <mergeCell ref="L53:L57"/>
    <mergeCell ref="D58:D62"/>
    <mergeCell ref="L58:L62"/>
    <mergeCell ref="D63:D67"/>
    <mergeCell ref="L63:L67"/>
    <mergeCell ref="D83:D87"/>
    <mergeCell ref="L83:L87"/>
    <mergeCell ref="D88:D96"/>
    <mergeCell ref="L88:L96"/>
    <mergeCell ref="D97:D105"/>
    <mergeCell ref="L97:L105"/>
    <mergeCell ref="D106:D114"/>
    <mergeCell ref="L106:L114"/>
    <mergeCell ref="D115:D119"/>
    <mergeCell ref="L115:L119"/>
    <mergeCell ref="D120:D124"/>
    <mergeCell ref="L120:L124"/>
    <mergeCell ref="D125:D129"/>
    <mergeCell ref="L125:L129"/>
    <mergeCell ref="D130:D134"/>
    <mergeCell ref="L130:L134"/>
    <mergeCell ref="D135:D139"/>
    <mergeCell ref="L135:L139"/>
    <mergeCell ref="D140:D144"/>
    <mergeCell ref="L140:L144"/>
    <mergeCell ref="D145:D149"/>
    <mergeCell ref="L145:L149"/>
    <mergeCell ref="D150:D154"/>
    <mergeCell ref="L150:L154"/>
    <mergeCell ref="D155:D159"/>
    <mergeCell ref="L155:L159"/>
    <mergeCell ref="D160:D164"/>
    <mergeCell ref="L160:L164"/>
    <mergeCell ref="D165:D169"/>
    <mergeCell ref="L165:L169"/>
    <mergeCell ref="D170:D174"/>
    <mergeCell ref="L170:L174"/>
    <mergeCell ref="D175:D179"/>
    <mergeCell ref="L175:L179"/>
    <mergeCell ref="D206:D209"/>
    <mergeCell ref="L206:L209"/>
    <mergeCell ref="D210:D214"/>
    <mergeCell ref="L210:L214"/>
    <mergeCell ref="D220:D224"/>
    <mergeCell ref="L220:L224"/>
    <mergeCell ref="D225:D226"/>
    <mergeCell ref="L225:L226"/>
    <mergeCell ref="D227:D229"/>
    <mergeCell ref="L227:L229"/>
    <mergeCell ref="D230:D234"/>
    <mergeCell ref="L230:L234"/>
    <mergeCell ref="D235:D240"/>
    <mergeCell ref="L235:L240"/>
    <mergeCell ref="D241:D242"/>
    <mergeCell ref="L241:L242"/>
    <mergeCell ref="D243:D244"/>
    <mergeCell ref="L243:L244"/>
    <mergeCell ref="D246:D247"/>
    <mergeCell ref="L246:L247"/>
    <mergeCell ref="D251:D252"/>
    <mergeCell ref="L251:L252"/>
    <mergeCell ref="D254:D259"/>
    <mergeCell ref="L254:L259"/>
    <mergeCell ref="D260:D263"/>
    <mergeCell ref="L260:L263"/>
    <mergeCell ref="D264:D268"/>
    <mergeCell ref="L264:L268"/>
    <mergeCell ref="D270:D273"/>
    <mergeCell ref="L270:L273"/>
    <mergeCell ref="D274:D275"/>
    <mergeCell ref="L274:L275"/>
    <mergeCell ref="D276:D280"/>
    <mergeCell ref="L276:L280"/>
    <mergeCell ref="D282:D291"/>
    <mergeCell ref="L282:L291"/>
    <mergeCell ref="D292:D305"/>
    <mergeCell ref="L292:L305"/>
    <mergeCell ref="D306:D313"/>
    <mergeCell ref="L306:L313"/>
    <mergeCell ref="D314:D320"/>
    <mergeCell ref="L314:L320"/>
    <mergeCell ref="D321:D322"/>
    <mergeCell ref="L321:L322"/>
    <mergeCell ref="D323:D324"/>
    <mergeCell ref="L323:L324"/>
    <mergeCell ref="D326:D327"/>
    <mergeCell ref="L326:L327"/>
    <mergeCell ref="D328:D331"/>
    <mergeCell ref="L328:L331"/>
    <mergeCell ref="D332:D333"/>
    <mergeCell ref="L332:L333"/>
    <mergeCell ref="D334:D335"/>
    <mergeCell ref="L334:L335"/>
    <mergeCell ref="D336:D338"/>
    <mergeCell ref="L336:L338"/>
    <mergeCell ref="D340:D341"/>
    <mergeCell ref="L340:L341"/>
    <mergeCell ref="D344:D345"/>
    <mergeCell ref="L344:L345"/>
    <mergeCell ref="D346:D347"/>
    <mergeCell ref="L346:L347"/>
    <mergeCell ref="D348:D349"/>
    <mergeCell ref="L348:L349"/>
    <mergeCell ref="D352:D353"/>
    <mergeCell ref="L352:L353"/>
    <mergeCell ref="D355:D356"/>
    <mergeCell ref="L355:L356"/>
    <mergeCell ref="D357:D362"/>
    <mergeCell ref="L357:L362"/>
    <mergeCell ref="D363:D367"/>
    <mergeCell ref="L363:L367"/>
    <mergeCell ref="D369:D370"/>
    <mergeCell ref="L369:L370"/>
    <mergeCell ref="D372:D373"/>
    <mergeCell ref="L372:L373"/>
    <mergeCell ref="D374:D377"/>
    <mergeCell ref="L374:L377"/>
    <mergeCell ref="D378:D380"/>
    <mergeCell ref="L378:L380"/>
    <mergeCell ref="D381:D385"/>
    <mergeCell ref="L381:L385"/>
    <mergeCell ref="D386:D390"/>
    <mergeCell ref="L386:L390"/>
    <mergeCell ref="D391:D395"/>
    <mergeCell ref="L391:L395"/>
    <mergeCell ref="D397:D404"/>
    <mergeCell ref="L397:L404"/>
    <mergeCell ref="D405:D407"/>
    <mergeCell ref="L405:L407"/>
    <mergeCell ref="D408:D410"/>
    <mergeCell ref="L408:L410"/>
    <mergeCell ref="D411:D413"/>
    <mergeCell ref="L411:L413"/>
    <mergeCell ref="D416:D418"/>
    <mergeCell ref="L416:L418"/>
    <mergeCell ref="D419:D420"/>
    <mergeCell ref="L419:L420"/>
    <mergeCell ref="D421:D422"/>
    <mergeCell ref="L421:L422"/>
    <mergeCell ref="D424:D427"/>
    <mergeCell ref="L424:L427"/>
    <mergeCell ref="D429:D430"/>
    <mergeCell ref="L429:L430"/>
    <mergeCell ref="D431:D435"/>
    <mergeCell ref="L431:L435"/>
    <mergeCell ref="D436:D440"/>
    <mergeCell ref="L436:L440"/>
    <mergeCell ref="D442:D446"/>
    <mergeCell ref="L442:L446"/>
    <mergeCell ref="D448:D449"/>
    <mergeCell ref="L448:L449"/>
    <mergeCell ref="D452:D453"/>
    <mergeCell ref="L452:L453"/>
    <mergeCell ref="D454:D456"/>
    <mergeCell ref="L454:L456"/>
    <mergeCell ref="D457:D461"/>
    <mergeCell ref="L457:L461"/>
    <mergeCell ref="D462:D464"/>
    <mergeCell ref="L462:L464"/>
    <mergeCell ref="D465:D467"/>
    <mergeCell ref="L465:L467"/>
    <mergeCell ref="D470:D472"/>
    <mergeCell ref="L470:L472"/>
    <mergeCell ref="D473:D475"/>
    <mergeCell ref="L473:L475"/>
    <mergeCell ref="D476:D477"/>
    <mergeCell ref="L476:L477"/>
    <mergeCell ref="D478:D479"/>
    <mergeCell ref="L478:L479"/>
    <mergeCell ref="D480:D483"/>
    <mergeCell ref="L480:L483"/>
    <mergeCell ref="D484:D485"/>
    <mergeCell ref="L484:L485"/>
    <mergeCell ref="D487:D488"/>
    <mergeCell ref="L487:L488"/>
    <mergeCell ref="D489:D493"/>
    <mergeCell ref="L489:L493"/>
    <mergeCell ref="D494:D499"/>
    <mergeCell ref="L494:L499"/>
    <mergeCell ref="D501:D504"/>
    <mergeCell ref="L501:L504"/>
    <mergeCell ref="D505:D508"/>
    <mergeCell ref="L505:L508"/>
    <mergeCell ref="D509:D510"/>
    <mergeCell ref="L509:L510"/>
    <mergeCell ref="D511:D515"/>
    <mergeCell ref="L511:L515"/>
    <mergeCell ref="D517:D519"/>
    <mergeCell ref="L517:L519"/>
    <mergeCell ref="D520:D521"/>
    <mergeCell ref="L520:L521"/>
    <mergeCell ref="D522:D523"/>
    <mergeCell ref="L522:L523"/>
    <mergeCell ref="D526:D528"/>
    <mergeCell ref="L526:L528"/>
    <mergeCell ref="D529:D536"/>
    <mergeCell ref="L529:L536"/>
    <mergeCell ref="D537:D538"/>
    <mergeCell ref="L537:L538"/>
    <mergeCell ref="D539:D543"/>
    <mergeCell ref="L539:L543"/>
    <mergeCell ref="D544:D548"/>
    <mergeCell ref="L544:L548"/>
    <mergeCell ref="D549:D551"/>
    <mergeCell ref="L549:L551"/>
    <mergeCell ref="D552:D553"/>
    <mergeCell ref="L552:L553"/>
    <mergeCell ref="D555:D557"/>
    <mergeCell ref="L555:L557"/>
    <mergeCell ref="D558:D563"/>
    <mergeCell ref="L558:L563"/>
    <mergeCell ref="D564:D568"/>
    <mergeCell ref="L564:L568"/>
    <mergeCell ref="D569:D571"/>
    <mergeCell ref="L569:L571"/>
    <mergeCell ref="D572:D576"/>
    <mergeCell ref="L572:L576"/>
    <mergeCell ref="D578:D579"/>
    <mergeCell ref="L578:L579"/>
    <mergeCell ref="D580:D583"/>
    <mergeCell ref="L580:L583"/>
    <mergeCell ref="D584:D585"/>
    <mergeCell ref="L584:L585"/>
    <mergeCell ref="D586:D590"/>
    <mergeCell ref="L586:L590"/>
    <mergeCell ref="D591:D594"/>
    <mergeCell ref="L591:L594"/>
    <mergeCell ref="D595:D596"/>
    <mergeCell ref="L595:L596"/>
    <mergeCell ref="D597:D601"/>
    <mergeCell ref="L597:L601"/>
    <mergeCell ref="D602:D604"/>
    <mergeCell ref="L602:L604"/>
    <mergeCell ref="D606:D607"/>
    <mergeCell ref="L606:L607"/>
    <mergeCell ref="D608:D612"/>
    <mergeCell ref="L608:L612"/>
    <mergeCell ref="D613:D616"/>
    <mergeCell ref="L613:L616"/>
    <mergeCell ref="D617:D618"/>
    <mergeCell ref="L617:L618"/>
    <mergeCell ref="D619:D620"/>
    <mergeCell ref="L619:L620"/>
    <mergeCell ref="D622:D624"/>
    <mergeCell ref="L622:L624"/>
    <mergeCell ref="D625:D628"/>
    <mergeCell ref="L625:L628"/>
    <mergeCell ref="D629:D633"/>
    <mergeCell ref="L629:L633"/>
    <mergeCell ref="D634:D637"/>
    <mergeCell ref="L634:L637"/>
    <mergeCell ref="D638:D643"/>
    <mergeCell ref="L638:L643"/>
    <mergeCell ref="D644:D647"/>
    <mergeCell ref="L644:L647"/>
    <mergeCell ref="D648:D650"/>
    <mergeCell ref="L648:L650"/>
    <mergeCell ref="D651:D653"/>
    <mergeCell ref="L651:L653"/>
    <mergeCell ref="D654:D657"/>
    <mergeCell ref="L654:L657"/>
    <mergeCell ref="D658:D660"/>
    <mergeCell ref="L658:L660"/>
    <mergeCell ref="D661:D665"/>
    <mergeCell ref="L661:L665"/>
    <mergeCell ref="D667:D670"/>
    <mergeCell ref="L667:L670"/>
    <mergeCell ref="D671:D674"/>
    <mergeCell ref="L671:L674"/>
    <mergeCell ref="D675:D679"/>
    <mergeCell ref="L675:L679"/>
    <mergeCell ref="D680:D684"/>
    <mergeCell ref="L680:L684"/>
    <mergeCell ref="D685:D687"/>
    <mergeCell ref="L685:L687"/>
    <mergeCell ref="D689:D690"/>
    <mergeCell ref="L689:L690"/>
    <mergeCell ref="D691:D692"/>
    <mergeCell ref="L691:L692"/>
    <mergeCell ref="D693:D702"/>
    <mergeCell ref="L693:L702"/>
    <mergeCell ref="D704:D711"/>
    <mergeCell ref="L704:L711"/>
    <mergeCell ref="D734:D737"/>
    <mergeCell ref="L734:L737"/>
    <mergeCell ref="D746:D747"/>
    <mergeCell ref="L746:L747"/>
    <mergeCell ref="D748:D749"/>
    <mergeCell ref="L748:L749"/>
    <mergeCell ref="D750:D752"/>
    <mergeCell ref="L750:L752"/>
    <mergeCell ref="D753:D754"/>
    <mergeCell ref="L753:L754"/>
    <mergeCell ref="D755:D757"/>
    <mergeCell ref="L755:L757"/>
    <mergeCell ref="D758:D762"/>
    <mergeCell ref="L758:L762"/>
    <mergeCell ref="D763:D764"/>
    <mergeCell ref="L763:L764"/>
    <mergeCell ref="D765:D768"/>
    <mergeCell ref="L765:L768"/>
    <mergeCell ref="D769:D770"/>
    <mergeCell ref="L769:L770"/>
    <mergeCell ref="D771:D774"/>
    <mergeCell ref="L771:L774"/>
    <mergeCell ref="D775:D779"/>
    <mergeCell ref="L775:L779"/>
    <mergeCell ref="D780:D782"/>
    <mergeCell ref="L780:L782"/>
    <mergeCell ref="D783:D787"/>
    <mergeCell ref="L783:L787"/>
    <mergeCell ref="D788:D789"/>
    <mergeCell ref="L788:L789"/>
    <mergeCell ref="D790:D792"/>
    <mergeCell ref="L790:L792"/>
    <mergeCell ref="D793:D796"/>
    <mergeCell ref="L793:L796"/>
    <mergeCell ref="D806:D809"/>
    <mergeCell ref="L806:L809"/>
    <mergeCell ref="D811:D812"/>
    <mergeCell ref="L811:L812"/>
    <mergeCell ref="D813:D814"/>
    <mergeCell ref="L813:L814"/>
    <mergeCell ref="D815:D817"/>
    <mergeCell ref="L815:L817"/>
    <mergeCell ref="D818:D819"/>
    <mergeCell ref="L818:L819"/>
    <mergeCell ref="D822:D823"/>
    <mergeCell ref="L822:L823"/>
    <mergeCell ref="D825:D826"/>
    <mergeCell ref="L825:L826"/>
    <mergeCell ref="D828:D829"/>
    <mergeCell ref="L828:L829"/>
    <mergeCell ref="D830:D834"/>
    <mergeCell ref="L830:L834"/>
    <mergeCell ref="D835:D839"/>
    <mergeCell ref="L835:L839"/>
    <mergeCell ref="D840:D841"/>
    <mergeCell ref="L840:L841"/>
    <mergeCell ref="D842:D844"/>
    <mergeCell ref="L842:L844"/>
    <mergeCell ref="D845:D848"/>
    <mergeCell ref="L845:L848"/>
    <mergeCell ref="D849:D850"/>
    <mergeCell ref="L849:L850"/>
    <mergeCell ref="D851:D855"/>
    <mergeCell ref="L851:L855"/>
    <mergeCell ref="D856:D857"/>
    <mergeCell ref="L856:L857"/>
    <mergeCell ref="D858:D859"/>
    <mergeCell ref="L858:L859"/>
    <mergeCell ref="D860:D865"/>
    <mergeCell ref="L860:L865"/>
    <mergeCell ref="D867:D871"/>
    <mergeCell ref="L867:L871"/>
    <mergeCell ref="D872:D876"/>
    <mergeCell ref="L872:L876"/>
    <mergeCell ref="D877:D881"/>
    <mergeCell ref="L877:L881"/>
    <mergeCell ref="D883:D886"/>
    <mergeCell ref="L883:L886"/>
    <mergeCell ref="D887:D891"/>
    <mergeCell ref="L887:L891"/>
    <mergeCell ref="D892:D895"/>
    <mergeCell ref="L892:L895"/>
    <mergeCell ref="D896:D900"/>
    <mergeCell ref="L896:L900"/>
    <mergeCell ref="D901:D905"/>
    <mergeCell ref="L901:L905"/>
    <mergeCell ref="D906:D909"/>
    <mergeCell ref="L906:L909"/>
    <mergeCell ref="D910:D911"/>
    <mergeCell ref="L910:L911"/>
    <mergeCell ref="D912:D915"/>
    <mergeCell ref="L912:L915"/>
    <mergeCell ref="D916:D921"/>
    <mergeCell ref="L916:L921"/>
    <mergeCell ref="D922:D926"/>
    <mergeCell ref="L922:L926"/>
    <mergeCell ref="D927:D931"/>
    <mergeCell ref="L927:L931"/>
    <mergeCell ref="D932:D936"/>
    <mergeCell ref="L932:L936"/>
    <mergeCell ref="D937:D941"/>
    <mergeCell ref="L937:L941"/>
    <mergeCell ref="D942:D947"/>
    <mergeCell ref="L942:L947"/>
    <mergeCell ref="D948:D949"/>
    <mergeCell ref="L948:L949"/>
    <mergeCell ref="D950:D953"/>
    <mergeCell ref="L950:L953"/>
    <mergeCell ref="D954:D958"/>
    <mergeCell ref="L954:L958"/>
    <mergeCell ref="D959:D964"/>
    <mergeCell ref="L959:L964"/>
    <mergeCell ref="D965:D970"/>
    <mergeCell ref="L965:L970"/>
    <mergeCell ref="D971:D972"/>
    <mergeCell ref="L971:L972"/>
    <mergeCell ref="D973:D978"/>
    <mergeCell ref="L973:L978"/>
    <mergeCell ref="D979:D984"/>
    <mergeCell ref="L979:L984"/>
    <mergeCell ref="D985:D989"/>
    <mergeCell ref="L985:L989"/>
    <mergeCell ref="D990:D995"/>
    <mergeCell ref="L990:L995"/>
    <mergeCell ref="D997:D1000"/>
    <mergeCell ref="L997:L1000"/>
    <mergeCell ref="D1001:D1005"/>
    <mergeCell ref="L1001:L1005"/>
    <mergeCell ref="D1006:D1010"/>
    <mergeCell ref="L1006:L1010"/>
    <mergeCell ref="D1011:D1015"/>
    <mergeCell ref="L1011:L1015"/>
    <mergeCell ref="D1016:D1021"/>
    <mergeCell ref="L1016:L1021"/>
    <mergeCell ref="D1022:D1025"/>
    <mergeCell ref="L1022:L1025"/>
    <mergeCell ref="D1026:D1031"/>
    <mergeCell ref="L1026:L1031"/>
    <mergeCell ref="D1036:D1040"/>
    <mergeCell ref="L1036:L1040"/>
    <mergeCell ref="D1042:D1045"/>
    <mergeCell ref="L1042:L1045"/>
    <mergeCell ref="D1046:D1049"/>
    <mergeCell ref="L1046:L1049"/>
    <mergeCell ref="D1050:D1054"/>
    <mergeCell ref="L1050:L1054"/>
    <mergeCell ref="D1055:D1059"/>
    <mergeCell ref="L1055:L1059"/>
    <mergeCell ref="D1060:D1062"/>
    <mergeCell ref="L1060:L1062"/>
    <mergeCell ref="D1063:D1065"/>
    <mergeCell ref="L1063:L1065"/>
    <mergeCell ref="D1066:D1068"/>
    <mergeCell ref="L1066:L1068"/>
    <mergeCell ref="D1069:D1071"/>
    <mergeCell ref="L1069:L1071"/>
    <mergeCell ref="D1072:D1074"/>
    <mergeCell ref="L1072:L1074"/>
    <mergeCell ref="D1079:D1080"/>
    <mergeCell ref="L1079:L1080"/>
    <mergeCell ref="D1081:D1083"/>
    <mergeCell ref="L1081:L1083"/>
    <mergeCell ref="D1084:D1086"/>
    <mergeCell ref="L1084:L1086"/>
    <mergeCell ref="D1087:D1088"/>
    <mergeCell ref="L1087:L1088"/>
    <mergeCell ref="D1091:D1093"/>
    <mergeCell ref="L1091:L1093"/>
    <mergeCell ref="D1102:D1105"/>
    <mergeCell ref="L1102:L1105"/>
    <mergeCell ref="D1106:D1108"/>
    <mergeCell ref="L1106:L1108"/>
    <mergeCell ref="D1109:D1113"/>
    <mergeCell ref="L1109:L1113"/>
    <mergeCell ref="D1114:D1120"/>
    <mergeCell ref="L1114:L1120"/>
    <mergeCell ref="D1121:D1124"/>
    <mergeCell ref="L1121:L1124"/>
    <mergeCell ref="D1125:D1127"/>
    <mergeCell ref="L1125:L1127"/>
    <mergeCell ref="D1128:D1131"/>
    <mergeCell ref="L1128:L1131"/>
    <mergeCell ref="D1132:D1134"/>
    <mergeCell ref="L1132:L1134"/>
    <mergeCell ref="D1135:D1136"/>
    <mergeCell ref="L1135:L1136"/>
    <mergeCell ref="D1138:D1143"/>
    <mergeCell ref="L1138:L1143"/>
    <mergeCell ref="D1145:D1151"/>
    <mergeCell ref="L1145:L1151"/>
    <mergeCell ref="D1152:D1157"/>
    <mergeCell ref="L1152:L1157"/>
    <mergeCell ref="D1158:D1161"/>
    <mergeCell ref="L1158:L1161"/>
    <mergeCell ref="D1162:D1166"/>
    <mergeCell ref="L1162:L1166"/>
    <mergeCell ref="D1167:D1170"/>
    <mergeCell ref="L1167:L1170"/>
    <mergeCell ref="D1171:D1174"/>
    <mergeCell ref="L1171:L1174"/>
    <mergeCell ref="D1175:D1178"/>
    <mergeCell ref="L1175:L1178"/>
    <mergeCell ref="D1179:D1184"/>
    <mergeCell ref="L1179:L1184"/>
    <mergeCell ref="D1185:D1186"/>
    <mergeCell ref="L1185:L1186"/>
    <mergeCell ref="D1188:D1189"/>
    <mergeCell ref="L1188:L1189"/>
    <mergeCell ref="D1191:D1195"/>
    <mergeCell ref="L1191:L1195"/>
    <mergeCell ref="D1196:D1201"/>
    <mergeCell ref="L1196:L1201"/>
    <mergeCell ref="D1202:D1204"/>
    <mergeCell ref="L1202:L1204"/>
    <mergeCell ref="D1205:D1207"/>
    <mergeCell ref="L1205:L1207"/>
    <mergeCell ref="D1208:D1214"/>
    <mergeCell ref="L1208:L1214"/>
    <mergeCell ref="D1215:D1220"/>
    <mergeCell ref="L1215:L1220"/>
    <mergeCell ref="D1221:D1222"/>
    <mergeCell ref="L1221:L1222"/>
    <mergeCell ref="D1223:D1227"/>
    <mergeCell ref="L1223:L1227"/>
    <mergeCell ref="D1228:D1236"/>
    <mergeCell ref="L1228:L1236"/>
    <mergeCell ref="D1237:D1239"/>
    <mergeCell ref="L1237:L1239"/>
    <mergeCell ref="D1241:D1244"/>
    <mergeCell ref="L1241:L1244"/>
    <mergeCell ref="D1245:D1246"/>
    <mergeCell ref="L1245:L1246"/>
    <mergeCell ref="D1247:D1250"/>
    <mergeCell ref="L1247:L1250"/>
    <mergeCell ref="D1251:D1261"/>
    <mergeCell ref="L1251:L1261"/>
    <mergeCell ref="D1262:D1265"/>
    <mergeCell ref="L1262:L1265"/>
    <mergeCell ref="D1266:D1272"/>
    <mergeCell ref="L1266:L1272"/>
    <mergeCell ref="D1273:D1279"/>
    <mergeCell ref="L1273:L1279"/>
    <mergeCell ref="D1280:D1284"/>
    <mergeCell ref="L1280:L1284"/>
    <mergeCell ref="D1286:D1288"/>
    <mergeCell ref="L1286:L1288"/>
    <mergeCell ref="D1289:D1292"/>
    <mergeCell ref="L1289:L1292"/>
    <mergeCell ref="D1293:D1296"/>
    <mergeCell ref="L1293:L1296"/>
    <mergeCell ref="D1297:D1300"/>
    <mergeCell ref="L1297:L1300"/>
    <mergeCell ref="D1301:D1302"/>
    <mergeCell ref="L1301:L1302"/>
    <mergeCell ref="D1303:D1305"/>
    <mergeCell ref="L1303:L1305"/>
    <mergeCell ref="D1306:D1311"/>
    <mergeCell ref="L1306:L1311"/>
    <mergeCell ref="D1312:D1318"/>
    <mergeCell ref="L1312:L1318"/>
    <mergeCell ref="D1319:D1320"/>
    <mergeCell ref="L1319:L1320"/>
    <mergeCell ref="D1321:D1325"/>
    <mergeCell ref="L1321:L1325"/>
    <mergeCell ref="D1326:D1329"/>
    <mergeCell ref="L1326:L1329"/>
    <mergeCell ref="D1331:D1334"/>
    <mergeCell ref="L1331:L1334"/>
    <mergeCell ref="D1335:D1339"/>
    <mergeCell ref="L1335:L1339"/>
    <mergeCell ref="D1340:D1342"/>
    <mergeCell ref="L1340:L1342"/>
    <mergeCell ref="D1343:D1347"/>
    <mergeCell ref="L1343:L1347"/>
    <mergeCell ref="D1348:D1351"/>
    <mergeCell ref="L1348:L1351"/>
    <mergeCell ref="D1355:D1357"/>
    <mergeCell ref="L1355:L1357"/>
    <mergeCell ref="D1359:D1364"/>
    <mergeCell ref="L1359:L1364"/>
    <mergeCell ref="D1365:D1367"/>
    <mergeCell ref="L1365:L1367"/>
    <mergeCell ref="D1368:D1371"/>
    <mergeCell ref="L1368:L1371"/>
    <mergeCell ref="D1372:D1374"/>
    <mergeCell ref="L1372:L1374"/>
    <mergeCell ref="D1375:D1378"/>
    <mergeCell ref="L1375:L1378"/>
    <mergeCell ref="D1380:D1387"/>
    <mergeCell ref="L1380:L1387"/>
    <mergeCell ref="D1388:D1396"/>
    <mergeCell ref="L1388:L1396"/>
    <mergeCell ref="D1397:D1399"/>
    <mergeCell ref="L1397:L1399"/>
    <mergeCell ref="D1400:D1403"/>
    <mergeCell ref="L1400:L1403"/>
    <mergeCell ref="D1404:D1410"/>
    <mergeCell ref="L1404:L1410"/>
    <mergeCell ref="D1411:D1421"/>
    <mergeCell ref="L1411:L1421"/>
    <mergeCell ref="D1422:D1426"/>
    <mergeCell ref="L1422:L1426"/>
    <mergeCell ref="D1427:D1431"/>
    <mergeCell ref="L1427:L1431"/>
    <mergeCell ref="D1433:D1434"/>
    <mergeCell ref="L1433:L1434"/>
    <mergeCell ref="D1440:D1441"/>
    <mergeCell ref="L1440:L1441"/>
    <mergeCell ref="D1442:D1443"/>
    <mergeCell ref="L1442:L1443"/>
    <mergeCell ref="D1444:D1448"/>
    <mergeCell ref="L1444:L1448"/>
    <mergeCell ref="D1449:D1453"/>
    <mergeCell ref="L1449:L1453"/>
    <mergeCell ref="D1454:D1459"/>
    <mergeCell ref="L1454:L1459"/>
    <mergeCell ref="D1460:D1465"/>
    <mergeCell ref="L1460:L1465"/>
    <mergeCell ref="D1466:D1471"/>
    <mergeCell ref="L1466:L1471"/>
    <mergeCell ref="D1474:D1479"/>
    <mergeCell ref="L1474:L1479"/>
    <mergeCell ref="D1480:D1485"/>
    <mergeCell ref="L1480:L1485"/>
    <mergeCell ref="D1486:D1490"/>
    <mergeCell ref="L1486:L1490"/>
    <mergeCell ref="D1491:D1492"/>
    <mergeCell ref="L1491:L1492"/>
    <mergeCell ref="D1493:D1498"/>
    <mergeCell ref="L1493:L1498"/>
    <mergeCell ref="D1499:D1504"/>
    <mergeCell ref="L1499:L1504"/>
    <mergeCell ref="D1505:D1511"/>
    <mergeCell ref="L1505:L1511"/>
    <mergeCell ref="D1512:D1519"/>
    <mergeCell ref="L1512:L1519"/>
    <mergeCell ref="D1520:D1526"/>
    <mergeCell ref="L1520:L1526"/>
    <mergeCell ref="D1527:D1532"/>
    <mergeCell ref="L1527:L1532"/>
    <mergeCell ref="D1533:D1538"/>
    <mergeCell ref="L1533:L1538"/>
    <mergeCell ref="D1539:D1544"/>
    <mergeCell ref="L1539:L1544"/>
    <mergeCell ref="D1545:D1550"/>
    <mergeCell ref="L1545:L1550"/>
    <mergeCell ref="D1560:D1562"/>
    <mergeCell ref="L1560:L1562"/>
    <mergeCell ref="D1563:D1565"/>
    <mergeCell ref="L1563:L1565"/>
    <mergeCell ref="D1567:D1569"/>
    <mergeCell ref="L1567:L1569"/>
    <mergeCell ref="D1577:D1578"/>
    <mergeCell ref="L1577:L1578"/>
    <mergeCell ref="D1579:D1580"/>
    <mergeCell ref="L1579:L1580"/>
    <mergeCell ref="D1581:D1582"/>
    <mergeCell ref="L1581:L1582"/>
    <mergeCell ref="D1585:D1586"/>
    <mergeCell ref="L1585:L1586"/>
    <mergeCell ref="D1589:D1591"/>
    <mergeCell ref="L1589:L1591"/>
    <mergeCell ref="D1609:D1610"/>
    <mergeCell ref="L1609:L1610"/>
    <mergeCell ref="D1614:D1615"/>
    <mergeCell ref="L1614:L1615"/>
    <mergeCell ref="D1616:D1617"/>
    <mergeCell ref="L1616:L1617"/>
    <mergeCell ref="D1620:D1621"/>
    <mergeCell ref="L1620:L1621"/>
    <mergeCell ref="D1625:D1627"/>
    <mergeCell ref="L1625:L1627"/>
    <mergeCell ref="D1628:D1629"/>
    <mergeCell ref="L1628:L1629"/>
    <mergeCell ref="D1631:D1632"/>
    <mergeCell ref="L1631:L1632"/>
    <mergeCell ref="D1636:D1637"/>
    <mergeCell ref="L1636:L1637"/>
    <mergeCell ref="D1638:D1639"/>
    <mergeCell ref="L1638:L1639"/>
    <mergeCell ref="D1644:D1645"/>
    <mergeCell ref="L1644:L1645"/>
    <mergeCell ref="D1649:D1651"/>
    <mergeCell ref="L1649:L1651"/>
    <mergeCell ref="D1660:D1661"/>
    <mergeCell ref="L1660:L1661"/>
    <mergeCell ref="D1672:D1673"/>
    <mergeCell ref="L1672:L1673"/>
    <mergeCell ref="D1676:D1681"/>
    <mergeCell ref="L1676:L1681"/>
    <mergeCell ref="D1682:D1683"/>
    <mergeCell ref="L1682:L1683"/>
    <mergeCell ref="D1684:D1688"/>
    <mergeCell ref="L1684:L1688"/>
    <mergeCell ref="D1689:D1690"/>
    <mergeCell ref="L1689:L1690"/>
    <mergeCell ref="D1698:D1702"/>
    <mergeCell ref="L1698:L1702"/>
    <mergeCell ref="D1703:D1704"/>
    <mergeCell ref="L1703:L1704"/>
    <mergeCell ref="D1705:D1710"/>
    <mergeCell ref="L1705:L1710"/>
    <mergeCell ref="D1711:D1714"/>
    <mergeCell ref="L1711:L1714"/>
    <mergeCell ref="D1715:D1726"/>
    <mergeCell ref="L1715:L1726"/>
    <mergeCell ref="D1727:D1731"/>
    <mergeCell ref="L1727:L1731"/>
    <mergeCell ref="D1732:D1735"/>
    <mergeCell ref="L1732:L1735"/>
    <mergeCell ref="D1736:D1737"/>
    <mergeCell ref="L1736:L1737"/>
    <mergeCell ref="D1739:D1743"/>
    <mergeCell ref="L1739:L1743"/>
    <mergeCell ref="D1744:D1746"/>
    <mergeCell ref="L1744:L1746"/>
    <mergeCell ref="D1747:D1751"/>
    <mergeCell ref="L1747:L1751"/>
    <mergeCell ref="D1752:D1753"/>
    <mergeCell ref="L1752:L1753"/>
    <mergeCell ref="D1755:D1759"/>
    <mergeCell ref="L1755:L1759"/>
    <mergeCell ref="D1760:D1763"/>
    <mergeCell ref="L1760:L1763"/>
    <mergeCell ref="D1764:D1767"/>
    <mergeCell ref="L1764:L1767"/>
    <mergeCell ref="D1768:D1769"/>
    <mergeCell ref="L1768:L1769"/>
    <mergeCell ref="D1770:D1773"/>
    <mergeCell ref="L1770:L1773"/>
    <mergeCell ref="D1774:D1775"/>
    <mergeCell ref="L1774:L1775"/>
    <mergeCell ref="D1776:D1783"/>
    <mergeCell ref="L1776:L1783"/>
    <mergeCell ref="D1784:D1786"/>
    <mergeCell ref="L1784:L1786"/>
    <mergeCell ref="D1787:D1791"/>
    <mergeCell ref="L1787:L1791"/>
    <mergeCell ref="D1792:D1795"/>
    <mergeCell ref="L1792:L1795"/>
    <mergeCell ref="D1796:D1800"/>
    <mergeCell ref="L1796:L1800"/>
    <mergeCell ref="D1802:D1804"/>
    <mergeCell ref="L1802:L1804"/>
    <mergeCell ref="D1805:D1807"/>
    <mergeCell ref="L1805:L1807"/>
    <mergeCell ref="D1809:D1811"/>
    <mergeCell ref="L1809:L1811"/>
    <mergeCell ref="D1812:D1815"/>
    <mergeCell ref="L1812:L1815"/>
    <mergeCell ref="D1816:D1820"/>
    <mergeCell ref="L1816:L1820"/>
    <mergeCell ref="D1821:D1822"/>
    <mergeCell ref="L1821:L1822"/>
    <mergeCell ref="D1823:D1825"/>
    <mergeCell ref="L1823:L1825"/>
    <mergeCell ref="D1826:D1828"/>
    <mergeCell ref="L1826:L1828"/>
    <mergeCell ref="D1829:D1833"/>
    <mergeCell ref="L1829:L1833"/>
    <mergeCell ref="D1834:D1839"/>
    <mergeCell ref="L1834:L1839"/>
    <mergeCell ref="D1840:D1842"/>
    <mergeCell ref="L1840:L1842"/>
    <mergeCell ref="D1844:D1845"/>
    <mergeCell ref="L1844:L1845"/>
    <mergeCell ref="D1846:D1851"/>
    <mergeCell ref="L1846:L1851"/>
    <mergeCell ref="D1852:D1855"/>
    <mergeCell ref="L1852:L1855"/>
    <mergeCell ref="D1856:D1861"/>
    <mergeCell ref="L1856:L1861"/>
    <mergeCell ref="D1862:D1865"/>
    <mergeCell ref="L1862:L1865"/>
    <mergeCell ref="D1866:D1868"/>
    <mergeCell ref="L1866:L1868"/>
    <mergeCell ref="D1870:D1871"/>
    <mergeCell ref="L1870:L1871"/>
    <mergeCell ref="D1872:D1873"/>
    <mergeCell ref="L1872:L1873"/>
    <mergeCell ref="D1874:D1875"/>
    <mergeCell ref="L1874:L1875"/>
    <mergeCell ref="D1876:D1878"/>
    <mergeCell ref="L1876:L1878"/>
    <mergeCell ref="D1879:D1882"/>
    <mergeCell ref="L1879:L1882"/>
    <mergeCell ref="D1885:D1891"/>
    <mergeCell ref="L1885:L1891"/>
    <mergeCell ref="D1892:D1893"/>
    <mergeCell ref="L1892:L1893"/>
    <mergeCell ref="D1894:D1897"/>
    <mergeCell ref="L1894:L1897"/>
    <mergeCell ref="D1898:D1902"/>
    <mergeCell ref="L1898:L1902"/>
    <mergeCell ref="D1903:D1906"/>
    <mergeCell ref="L1903:L1906"/>
    <mergeCell ref="D1907:D1909"/>
    <mergeCell ref="L1907:L1909"/>
    <mergeCell ref="D1911:D1914"/>
    <mergeCell ref="L1911:L1914"/>
    <mergeCell ref="D1915:D1921"/>
    <mergeCell ref="L1915:L1921"/>
    <mergeCell ref="D1922:D1927"/>
    <mergeCell ref="L1922:L1927"/>
    <mergeCell ref="D1929:D1930"/>
    <mergeCell ref="L1929:L1930"/>
    <mergeCell ref="D1932:D1933"/>
    <mergeCell ref="L1932:L1933"/>
    <mergeCell ref="D1934:D1935"/>
    <mergeCell ref="L1934:L1935"/>
    <mergeCell ref="D1936:D1937"/>
    <mergeCell ref="L1936:L1937"/>
    <mergeCell ref="D1938:D1939"/>
    <mergeCell ref="L1938:L1939"/>
    <mergeCell ref="D1941:D1942"/>
    <mergeCell ref="L1941:L1942"/>
    <mergeCell ref="D1944:D1945"/>
    <mergeCell ref="L1944:L1945"/>
    <mergeCell ref="D1946:D1950"/>
    <mergeCell ref="L1946:L1950"/>
    <mergeCell ref="D1951:D1953"/>
    <mergeCell ref="L1951:L1953"/>
    <mergeCell ref="D1954:D1956"/>
    <mergeCell ref="L1954:L1956"/>
    <mergeCell ref="D1957:D1960"/>
    <mergeCell ref="L1957:L1960"/>
    <mergeCell ref="D1961:D1967"/>
    <mergeCell ref="L1961:L1967"/>
    <mergeCell ref="D1968:D1970"/>
    <mergeCell ref="L1968:L1970"/>
    <mergeCell ref="D1971:D1974"/>
    <mergeCell ref="L1971:L1974"/>
    <mergeCell ref="D1975:D1978"/>
    <mergeCell ref="L1975:L1978"/>
    <mergeCell ref="D1979:D1982"/>
    <mergeCell ref="L1979:L1982"/>
    <mergeCell ref="D1983:D1984"/>
    <mergeCell ref="L1983:L1984"/>
    <mergeCell ref="D1989:D1992"/>
    <mergeCell ref="L1989:L1992"/>
    <mergeCell ref="D1995:D2003"/>
    <mergeCell ref="L1995:L2003"/>
    <mergeCell ref="D2004:D2008"/>
    <mergeCell ref="L2004:L2008"/>
    <mergeCell ref="D2009:D2011"/>
    <mergeCell ref="L2009:L2011"/>
    <mergeCell ref="D2012:D2021"/>
    <mergeCell ref="L2012:L2021"/>
    <mergeCell ref="D2022:D2029"/>
    <mergeCell ref="L2022:L2029"/>
    <mergeCell ref="D2030:D2033"/>
    <mergeCell ref="L2030:L2033"/>
    <mergeCell ref="D2035:D2039"/>
    <mergeCell ref="L2035:L2039"/>
    <mergeCell ref="D2041:D2045"/>
    <mergeCell ref="L2041:L2045"/>
    <mergeCell ref="D2046:D2047"/>
    <mergeCell ref="L2046:L2047"/>
    <mergeCell ref="D2049:D2050"/>
    <mergeCell ref="L2049:L2050"/>
    <mergeCell ref="D2051:D2054"/>
    <mergeCell ref="L2051:L2054"/>
    <mergeCell ref="D2055:D2056"/>
    <mergeCell ref="L2055:L2056"/>
    <mergeCell ref="D2057:D2059"/>
    <mergeCell ref="L2057:L2059"/>
    <mergeCell ref="D2060:D2064"/>
    <mergeCell ref="L2060:L2064"/>
    <mergeCell ref="D2065:D2066"/>
    <mergeCell ref="L2065:L2066"/>
    <mergeCell ref="D2068:D2072"/>
    <mergeCell ref="L2068:L2072"/>
    <mergeCell ref="D2073:D2080"/>
    <mergeCell ref="L2073:L2080"/>
    <mergeCell ref="D2081:D2082"/>
    <mergeCell ref="L2081:L2082"/>
    <mergeCell ref="D2083:D2085"/>
    <mergeCell ref="L2083:L2085"/>
    <mergeCell ref="D2086:D2088"/>
    <mergeCell ref="L2086:L2088"/>
    <mergeCell ref="D2089:D2096"/>
    <mergeCell ref="L2089:L2096"/>
    <mergeCell ref="D2097:D2099"/>
    <mergeCell ref="L2097:L2099"/>
    <mergeCell ref="D2100:D2102"/>
    <mergeCell ref="L2100:L2102"/>
    <mergeCell ref="D2103:D2109"/>
    <mergeCell ref="L2103:L2109"/>
    <mergeCell ref="D2110:D2115"/>
    <mergeCell ref="L2110:L2115"/>
    <mergeCell ref="D2116:D2117"/>
    <mergeCell ref="L2116:L2117"/>
    <mergeCell ref="D2118:D2121"/>
    <mergeCell ref="L2118:L2121"/>
    <mergeCell ref="D2122:D2127"/>
    <mergeCell ref="L2122:L2127"/>
    <mergeCell ref="D2128:D2133"/>
    <mergeCell ref="L2128:L2133"/>
    <mergeCell ref="D2135:D2136"/>
    <mergeCell ref="L2135:L2136"/>
    <mergeCell ref="D2137:D2138"/>
    <mergeCell ref="L2137:L2138"/>
    <mergeCell ref="D2139:D2140"/>
    <mergeCell ref="L2139:L2140"/>
    <mergeCell ref="D2141:D2143"/>
    <mergeCell ref="L2141:L2143"/>
    <mergeCell ref="D2145:D2147"/>
    <mergeCell ref="L2145:L2147"/>
    <mergeCell ref="D2148:D2149"/>
    <mergeCell ref="L2148:L2149"/>
    <mergeCell ref="D2150:D2153"/>
    <mergeCell ref="L2150:L2153"/>
    <mergeCell ref="D2155:D2162"/>
    <mergeCell ref="L2155:L2162"/>
    <mergeCell ref="D2163:D2173"/>
    <mergeCell ref="L2163:L2173"/>
    <mergeCell ref="D2174:D2181"/>
    <mergeCell ref="L2174:L2181"/>
    <mergeCell ref="D2182:D2192"/>
    <mergeCell ref="L2182:L2192"/>
    <mergeCell ref="D2193:D2202"/>
    <mergeCell ref="L2193:L2202"/>
    <mergeCell ref="D2205:D2209"/>
    <mergeCell ref="L2205:L2209"/>
    <mergeCell ref="D2210:D2213"/>
    <mergeCell ref="L2210:L2213"/>
    <mergeCell ref="D2214:D2217"/>
    <mergeCell ref="L2214:L2217"/>
    <mergeCell ref="D2218:D2219"/>
    <mergeCell ref="L2218:L2219"/>
    <mergeCell ref="D2220:D2221"/>
    <mergeCell ref="L2220:L2221"/>
    <mergeCell ref="D2223:D2226"/>
    <mergeCell ref="L2223:L2226"/>
    <mergeCell ref="D2228:D2229"/>
    <mergeCell ref="L2228:L2229"/>
    <mergeCell ref="D2230:D2233"/>
    <mergeCell ref="L2230:L2233"/>
    <mergeCell ref="D2234:D2237"/>
    <mergeCell ref="L2234:L2237"/>
    <mergeCell ref="D2239:D2244"/>
    <mergeCell ref="L2239:L2244"/>
    <mergeCell ref="D2245:D2248"/>
    <mergeCell ref="L2245:L2248"/>
    <mergeCell ref="D2250:D2258"/>
    <mergeCell ref="L2250:L2258"/>
    <mergeCell ref="D2259:D2262"/>
    <mergeCell ref="L2259:L2262"/>
    <mergeCell ref="D2265:D2266"/>
    <mergeCell ref="L2265:L2266"/>
    <mergeCell ref="D2267:D2268"/>
    <mergeCell ref="L2267:L2268"/>
    <mergeCell ref="D2269:D2270"/>
    <mergeCell ref="L2269:L2270"/>
    <mergeCell ref="D2271:D2274"/>
    <mergeCell ref="L2271:L2274"/>
    <mergeCell ref="D2275:D2280"/>
    <mergeCell ref="L2275:L2280"/>
    <mergeCell ref="D2281:D2288"/>
    <mergeCell ref="L2281:L2288"/>
    <mergeCell ref="D2289:D2295"/>
    <mergeCell ref="L2289:L2295"/>
    <mergeCell ref="D2296:D2299"/>
    <mergeCell ref="L2296:L2299"/>
    <mergeCell ref="D2300:D2301"/>
    <mergeCell ref="L2300:L2301"/>
    <mergeCell ref="D2302:D2304"/>
    <mergeCell ref="L2302:L2304"/>
    <mergeCell ref="D2305:D2306"/>
    <mergeCell ref="L2305:L2306"/>
    <mergeCell ref="D2308:D2313"/>
    <mergeCell ref="L2308:L2313"/>
    <mergeCell ref="D2314:D2315"/>
    <mergeCell ref="L2314:L2315"/>
    <mergeCell ref="D2316:D2318"/>
    <mergeCell ref="L2316:L2318"/>
    <mergeCell ref="D2319:D2320"/>
    <mergeCell ref="L2319:L2320"/>
    <mergeCell ref="D2321:D2324"/>
    <mergeCell ref="L2321:L2324"/>
    <mergeCell ref="D2325:D2331"/>
    <mergeCell ref="L2325:L2331"/>
    <mergeCell ref="D2332:D2334"/>
    <mergeCell ref="L2332:L2334"/>
    <mergeCell ref="D2335:D2337"/>
    <mergeCell ref="L2335:L2337"/>
    <mergeCell ref="D2338:D2344"/>
    <mergeCell ref="L2338:L2344"/>
    <mergeCell ref="D2345:D2347"/>
    <mergeCell ref="L2345:L2347"/>
    <mergeCell ref="D2348:D2349"/>
    <mergeCell ref="L2348:L2349"/>
    <mergeCell ref="D2350:D2351"/>
    <mergeCell ref="L2350:L2351"/>
    <mergeCell ref="D2352:D2354"/>
    <mergeCell ref="L2352:L2354"/>
    <mergeCell ref="D2356:D2357"/>
    <mergeCell ref="L2356:L2357"/>
    <mergeCell ref="D2358:D2360"/>
    <mergeCell ref="L2358:L2360"/>
    <mergeCell ref="D2361:D2369"/>
    <mergeCell ref="L2361:L2369"/>
    <mergeCell ref="D2370:D2379"/>
    <mergeCell ref="L2370:L2379"/>
    <mergeCell ref="D2381:D2383"/>
    <mergeCell ref="L2381:L2383"/>
    <mergeCell ref="D2384:D2385"/>
    <mergeCell ref="L2384:L2385"/>
    <mergeCell ref="D2386:D2388"/>
    <mergeCell ref="L2386:L2388"/>
    <mergeCell ref="D2389:D2391"/>
    <mergeCell ref="L2389:L2391"/>
    <mergeCell ref="D2392:D2396"/>
    <mergeCell ref="L2392:L2396"/>
    <mergeCell ref="D2397:D2403"/>
    <mergeCell ref="L2397:L2403"/>
    <mergeCell ref="D2405:D2409"/>
    <mergeCell ref="L2405:L2409"/>
    <mergeCell ref="D2410:D2416"/>
    <mergeCell ref="L2410:L2416"/>
    <mergeCell ref="D2417:D2423"/>
    <mergeCell ref="L2417:L2423"/>
    <mergeCell ref="D2424:D2430"/>
    <mergeCell ref="L2424:L2430"/>
    <mergeCell ref="D2431:D2434"/>
    <mergeCell ref="L2431:L2434"/>
    <mergeCell ref="D2435:D2438"/>
    <mergeCell ref="L2435:L2438"/>
    <mergeCell ref="D2439:D2440"/>
    <mergeCell ref="L2439:L2440"/>
    <mergeCell ref="D2441:D2444"/>
    <mergeCell ref="L2441:L2444"/>
    <mergeCell ref="D2445:D2447"/>
    <mergeCell ref="L2445:L2447"/>
    <mergeCell ref="D2448:D2449"/>
    <mergeCell ref="L2448:L2449"/>
    <mergeCell ref="D2451:D2457"/>
    <mergeCell ref="L2451:L2457"/>
    <mergeCell ref="D2458:D2469"/>
    <mergeCell ref="L2458:L2469"/>
    <mergeCell ref="D2471:D2473"/>
    <mergeCell ref="L2471:L2473"/>
    <mergeCell ref="D2474:D2479"/>
    <mergeCell ref="L2474:L2479"/>
    <mergeCell ref="D2480:D2486"/>
    <mergeCell ref="L2480:L2486"/>
    <mergeCell ref="D2487:D2494"/>
    <mergeCell ref="L2487:L2494"/>
    <mergeCell ref="D2495:D2497"/>
    <mergeCell ref="L2495:L2497"/>
    <mergeCell ref="D2498:D2504"/>
    <mergeCell ref="L2498:L2504"/>
    <mergeCell ref="D2505:D2508"/>
    <mergeCell ref="L2505:L2508"/>
    <mergeCell ref="D2509:D2510"/>
    <mergeCell ref="L2509:L2510"/>
    <mergeCell ref="D2511:D2518"/>
    <mergeCell ref="L2511:L2518"/>
    <mergeCell ref="D2519:D2522"/>
    <mergeCell ref="L2519:L2522"/>
    <mergeCell ref="D2523:D2533"/>
    <mergeCell ref="L2523:L2533"/>
    <mergeCell ref="D2534:D2543"/>
    <mergeCell ref="L2534:L2543"/>
    <mergeCell ref="D2544:D2554"/>
    <mergeCell ref="L2544:L2554"/>
    <mergeCell ref="D2555:D2563"/>
    <mergeCell ref="L2555:L2563"/>
    <mergeCell ref="D2564:D2574"/>
    <mergeCell ref="L2564:L2574"/>
    <mergeCell ref="D2575:D2588"/>
    <mergeCell ref="L2575:L2588"/>
    <mergeCell ref="D2589:D2598"/>
    <mergeCell ref="L2589:L2598"/>
    <mergeCell ref="D2599:D2606"/>
    <mergeCell ref="L2599:L2606"/>
    <mergeCell ref="D2607:D2614"/>
    <mergeCell ref="L2607:L2614"/>
    <mergeCell ref="D2615:D2616"/>
    <mergeCell ref="L2615:L2616"/>
    <mergeCell ref="D2617:D2629"/>
    <mergeCell ref="L2617:L2629"/>
    <mergeCell ref="D2630:D2641"/>
    <mergeCell ref="L2630:L2641"/>
    <mergeCell ref="D2642:D2649"/>
    <mergeCell ref="L2642:L2649"/>
    <mergeCell ref="D2650:D2656"/>
    <mergeCell ref="L2650:L2656"/>
    <mergeCell ref="D2658:D2661"/>
    <mergeCell ref="L2658:L2661"/>
    <mergeCell ref="D2662:D2665"/>
    <mergeCell ref="L2662:L2665"/>
    <mergeCell ref="D2666:D2670"/>
    <mergeCell ref="L2666:L2670"/>
    <mergeCell ref="D2671:D2673"/>
    <mergeCell ref="L2671:L2673"/>
    <mergeCell ref="D2674:D2684"/>
    <mergeCell ref="L2674:L2684"/>
    <mergeCell ref="D2685:D2695"/>
    <mergeCell ref="L2685:L2695"/>
    <mergeCell ref="D2696:D2703"/>
    <mergeCell ref="L2696:L2703"/>
    <mergeCell ref="D2704:D2709"/>
    <mergeCell ref="L2704:L2709"/>
    <mergeCell ref="D2710:D2711"/>
    <mergeCell ref="L2710:L2711"/>
    <mergeCell ref="D2712:D2718"/>
    <mergeCell ref="L2712:L2718"/>
    <mergeCell ref="D2719:D2723"/>
    <mergeCell ref="L2719:L2723"/>
    <mergeCell ref="D2724:D2726"/>
    <mergeCell ref="L2724:L2726"/>
    <mergeCell ref="D2727:D2730"/>
    <mergeCell ref="L2727:L2730"/>
    <mergeCell ref="D2731:D2732"/>
    <mergeCell ref="L2731:L2732"/>
    <mergeCell ref="D2733:D2734"/>
    <mergeCell ref="L2733:L2734"/>
    <mergeCell ref="D2736:D2737"/>
    <mergeCell ref="L2736:L2737"/>
    <mergeCell ref="D2738:D2744"/>
    <mergeCell ref="L2738:L2744"/>
    <mergeCell ref="D2746:D2752"/>
    <mergeCell ref="L2746:L2752"/>
    <mergeCell ref="D2753:D2754"/>
    <mergeCell ref="L2753:L2754"/>
    <mergeCell ref="D2755:D2757"/>
    <mergeCell ref="L2755:L2757"/>
    <mergeCell ref="D2758:D2759"/>
    <mergeCell ref="L2758:L2759"/>
    <mergeCell ref="D2763:D2770"/>
    <mergeCell ref="L2763:L2770"/>
    <mergeCell ref="D2771:D2774"/>
    <mergeCell ref="L2771:L2774"/>
    <mergeCell ref="D2775:D2779"/>
    <mergeCell ref="L2775:L2779"/>
    <mergeCell ref="D2792:D2793"/>
    <mergeCell ref="L2792:L2793"/>
    <mergeCell ref="D2796:D2797"/>
    <mergeCell ref="L2796:L2797"/>
    <mergeCell ref="D2799:D2802"/>
    <mergeCell ref="L2799:L2802"/>
    <mergeCell ref="D2804:D2806"/>
    <mergeCell ref="L2804:L2806"/>
    <mergeCell ref="D2807:D2813"/>
    <mergeCell ref="L2807:L2813"/>
    <mergeCell ref="D2816:D2830"/>
    <mergeCell ref="L2816:L2830"/>
    <mergeCell ref="D2831:D2832"/>
    <mergeCell ref="L2831:L2832"/>
    <mergeCell ref="D2834:D2837"/>
    <mergeCell ref="L2834:L2837"/>
    <mergeCell ref="D2840:D2843"/>
    <mergeCell ref="L2840:L2843"/>
    <mergeCell ref="D2844:D2845"/>
    <mergeCell ref="L2844:L2845"/>
    <mergeCell ref="D2846:D2853"/>
    <mergeCell ref="L2846:L2853"/>
    <mergeCell ref="D2854:D2865"/>
    <mergeCell ref="L2854:L2865"/>
    <mergeCell ref="D2866:D2873"/>
    <mergeCell ref="L2866:L2873"/>
    <mergeCell ref="D2874:D2876"/>
    <mergeCell ref="L2874:L2876"/>
    <mergeCell ref="D2877:D2882"/>
    <mergeCell ref="L2877:L2882"/>
    <mergeCell ref="D2883:D2890"/>
    <mergeCell ref="L2883:L2890"/>
    <mergeCell ref="D2891:D2900"/>
    <mergeCell ref="L2891:L2900"/>
    <mergeCell ref="D2901:D2913"/>
    <mergeCell ref="L2901:L2913"/>
    <mergeCell ref="D2916:D2926"/>
    <mergeCell ref="L2916:L2926"/>
    <mergeCell ref="D2927:D2937"/>
    <mergeCell ref="L2927:L2937"/>
    <mergeCell ref="D2938:D2946"/>
    <mergeCell ref="L2938:L2946"/>
    <mergeCell ref="D2947:D2958"/>
    <mergeCell ref="L2947:L2958"/>
    <mergeCell ref="D2959:D2967"/>
    <mergeCell ref="L2959:L2967"/>
    <mergeCell ref="D2968:D2975"/>
    <mergeCell ref="L2968:L2975"/>
    <mergeCell ref="D2976:D2982"/>
    <mergeCell ref="L2976:L2982"/>
    <mergeCell ref="D2983:D2989"/>
    <mergeCell ref="L2983:L2989"/>
    <mergeCell ref="D2991:D2999"/>
    <mergeCell ref="L2991:L2999"/>
    <mergeCell ref="D3000:D3007"/>
    <mergeCell ref="L3000:L3007"/>
    <mergeCell ref="D3008:D3011"/>
    <mergeCell ref="L3008:L3011"/>
    <mergeCell ref="D3012:D3021"/>
    <mergeCell ref="L3012:L3021"/>
    <mergeCell ref="D3022:D3024"/>
    <mergeCell ref="L3022:L3024"/>
    <mergeCell ref="D3025:D3026"/>
    <mergeCell ref="L3025:L3026"/>
    <mergeCell ref="D3027:D3030"/>
    <mergeCell ref="L3027:L3030"/>
    <mergeCell ref="D3031:D3032"/>
    <mergeCell ref="L3031:L3032"/>
    <mergeCell ref="D3036:D3038"/>
    <mergeCell ref="L3036:L3038"/>
    <mergeCell ref="D3040:D3041"/>
    <mergeCell ref="L3040:L3041"/>
    <mergeCell ref="D3042:D3046"/>
    <mergeCell ref="L3042:L3046"/>
    <mergeCell ref="D3077:D3078"/>
    <mergeCell ref="L3077:L3078"/>
    <mergeCell ref="D3079:D3080"/>
    <mergeCell ref="L3079:L3080"/>
    <mergeCell ref="D3082:D3084"/>
    <mergeCell ref="L3082:L3084"/>
    <mergeCell ref="D3085:D3088"/>
    <mergeCell ref="L3085:L3088"/>
    <mergeCell ref="D3092:D3094"/>
    <mergeCell ref="L3092:L3094"/>
    <mergeCell ref="D3096:D3097"/>
    <mergeCell ref="L3096:L3097"/>
    <mergeCell ref="D3098:D3100"/>
    <mergeCell ref="L3098:L3100"/>
    <mergeCell ref="D3102:D3103"/>
    <mergeCell ref="L3102:L3103"/>
    <mergeCell ref="D3104:D3107"/>
    <mergeCell ref="L3104:L3107"/>
    <mergeCell ref="D3109:D3111"/>
    <mergeCell ref="L3109:L3111"/>
    <mergeCell ref="D3113:D3114"/>
    <mergeCell ref="L3113:L3114"/>
    <mergeCell ref="D3116:D3119"/>
    <mergeCell ref="L3116:L3119"/>
    <mergeCell ref="D3120:D3122"/>
    <mergeCell ref="L3120:L3122"/>
    <mergeCell ref="D3124:D3125"/>
    <mergeCell ref="L3124:L3125"/>
    <mergeCell ref="D3126:D3132"/>
    <mergeCell ref="L3126:L3132"/>
    <mergeCell ref="D3134:D3136"/>
    <mergeCell ref="L3134:L3136"/>
    <mergeCell ref="D3137:D3138"/>
    <mergeCell ref="L3137:L3138"/>
    <mergeCell ref="D3141:D3145"/>
    <mergeCell ref="L3141:L3145"/>
    <mergeCell ref="D3146:D3150"/>
    <mergeCell ref="L3146:L3150"/>
    <mergeCell ref="D3151:D3155"/>
    <mergeCell ref="L3151:L3155"/>
    <mergeCell ref="D3156:D3157"/>
    <mergeCell ref="L3156:L3157"/>
    <mergeCell ref="D3158:D3160"/>
    <mergeCell ref="L3158:L3160"/>
    <mergeCell ref="D3161:D3162"/>
    <mergeCell ref="L3161:L3162"/>
    <mergeCell ref="D3163:D3167"/>
    <mergeCell ref="L3163:L3167"/>
    <mergeCell ref="D3169:D3172"/>
    <mergeCell ref="L3169:L3172"/>
    <mergeCell ref="D3174:D3176"/>
    <mergeCell ref="L3174:L3176"/>
    <mergeCell ref="D3177:D3179"/>
    <mergeCell ref="L3177:L3179"/>
    <mergeCell ref="D3182:D3185"/>
    <mergeCell ref="L3182:L3185"/>
    <mergeCell ref="D3186:D3187"/>
    <mergeCell ref="L3186:L3187"/>
    <mergeCell ref="D3188:D3189"/>
    <mergeCell ref="L3188:L3189"/>
    <mergeCell ref="D3190:D3192"/>
    <mergeCell ref="L3190:L3192"/>
    <mergeCell ref="D3193:D3194"/>
    <mergeCell ref="L3193:L3194"/>
    <mergeCell ref="D3195:D3197"/>
    <mergeCell ref="L3195:L3197"/>
    <mergeCell ref="D3198:D3201"/>
    <mergeCell ref="L3198:L3201"/>
    <mergeCell ref="D3202:D3206"/>
    <mergeCell ref="L3202:L3206"/>
    <mergeCell ref="D3223:D3227"/>
    <mergeCell ref="L3223:L3227"/>
    <mergeCell ref="D3229:D3232"/>
    <mergeCell ref="L3229:L3232"/>
    <mergeCell ref="D3238:D3239"/>
    <mergeCell ref="L3238:L3239"/>
    <mergeCell ref="D3243:D3244"/>
    <mergeCell ref="L3243:L3244"/>
    <mergeCell ref="D3245:D3247"/>
    <mergeCell ref="L3245:L3247"/>
    <mergeCell ref="D3248:D3249"/>
    <mergeCell ref="L3248:L3249"/>
    <mergeCell ref="D3250:D3251"/>
    <mergeCell ref="L3250:L3251"/>
    <mergeCell ref="D3252:D3253"/>
    <mergeCell ref="L3252:L3253"/>
    <mergeCell ref="D3255:D3258"/>
    <mergeCell ref="L3255:L3258"/>
    <mergeCell ref="D3259:D3260"/>
    <mergeCell ref="L3259:L3260"/>
    <mergeCell ref="D3261:D3264"/>
    <mergeCell ref="L3261:L3264"/>
    <mergeCell ref="D3266:D3267"/>
    <mergeCell ref="L3266:L3267"/>
    <mergeCell ref="D3268:D3269"/>
    <mergeCell ref="L3268:L3269"/>
    <mergeCell ref="D3272:D3274"/>
    <mergeCell ref="L3272:L3274"/>
    <mergeCell ref="D3276:D3280"/>
    <mergeCell ref="L3276:L3280"/>
    <mergeCell ref="D3281:D3282"/>
    <mergeCell ref="L3281:L3282"/>
    <mergeCell ref="D3283:D3285"/>
    <mergeCell ref="L3283:L3285"/>
    <mergeCell ref="D3286:D3287"/>
    <mergeCell ref="L3286:L3287"/>
    <mergeCell ref="D3288:D3290"/>
    <mergeCell ref="L3288:L3290"/>
    <mergeCell ref="D3291:D3295"/>
    <mergeCell ref="L3291:L3295"/>
    <mergeCell ref="D3296:D3297"/>
    <mergeCell ref="L3296:L3297"/>
    <mergeCell ref="D3298:D3301"/>
    <mergeCell ref="L3298:L3301"/>
    <mergeCell ref="D3302:D3304"/>
    <mergeCell ref="L3302:L3304"/>
    <mergeCell ref="D3305:D3306"/>
    <mergeCell ref="L3305:L3306"/>
    <mergeCell ref="D3307:D3310"/>
    <mergeCell ref="L3307:L3310"/>
    <mergeCell ref="D3311:D3315"/>
    <mergeCell ref="L3311:L3315"/>
    <mergeCell ref="D3316:D3318"/>
    <mergeCell ref="L3316:L3318"/>
    <mergeCell ref="D3320:D3323"/>
    <mergeCell ref="L3320:L3323"/>
    <mergeCell ref="D3324:D3325"/>
    <mergeCell ref="L3324:L3325"/>
    <mergeCell ref="D3326:D3327"/>
    <mergeCell ref="L3326:L3327"/>
    <mergeCell ref="D3329:D3333"/>
    <mergeCell ref="L3329:L3333"/>
    <mergeCell ref="D3334:D3335"/>
    <mergeCell ref="L3334:L3335"/>
    <mergeCell ref="D3336:D3337"/>
    <mergeCell ref="L3336:L3337"/>
    <mergeCell ref="D3338:D3341"/>
    <mergeCell ref="L3338:L3341"/>
    <mergeCell ref="D3342:D3345"/>
    <mergeCell ref="L3342:L3345"/>
    <mergeCell ref="D3346:D3348"/>
    <mergeCell ref="L3346:L3348"/>
    <mergeCell ref="D3349:D3350"/>
    <mergeCell ref="L3349:L3350"/>
    <mergeCell ref="D3351:D3355"/>
    <mergeCell ref="L3351:L3355"/>
    <mergeCell ref="D3356:D3360"/>
    <mergeCell ref="L3356:L3360"/>
    <mergeCell ref="D3361:D3362"/>
    <mergeCell ref="L3361:L3362"/>
    <mergeCell ref="D3363:D3365"/>
    <mergeCell ref="L3363:L3365"/>
    <mergeCell ref="D3366:D3368"/>
    <mergeCell ref="L3366:L3368"/>
    <mergeCell ref="D3369:D3371"/>
    <mergeCell ref="L3369:L3371"/>
    <mergeCell ref="D3372:D3373"/>
    <mergeCell ref="L3372:L3373"/>
    <mergeCell ref="D3377:D3380"/>
    <mergeCell ref="L3377:L3380"/>
    <mergeCell ref="D3381:D3385"/>
    <mergeCell ref="L3381:L3385"/>
    <mergeCell ref="D3386:D3390"/>
    <mergeCell ref="L3386:L3390"/>
    <mergeCell ref="D3391:D3394"/>
    <mergeCell ref="L3391:L3394"/>
    <mergeCell ref="D3395:D3397"/>
    <mergeCell ref="L3395:L3397"/>
    <mergeCell ref="D3398:D3401"/>
    <mergeCell ref="L3398:L3401"/>
    <mergeCell ref="D3402:D3406"/>
    <mergeCell ref="L3402:L3406"/>
    <mergeCell ref="D3407:D3411"/>
    <mergeCell ref="L3407:L3411"/>
    <mergeCell ref="D3412:D3416"/>
    <mergeCell ref="L3412:L3416"/>
    <mergeCell ref="D3436:D3437"/>
    <mergeCell ref="L3436:L3437"/>
    <mergeCell ref="D3442:D3443"/>
    <mergeCell ref="L3442:L3443"/>
    <mergeCell ref="D3460:D3461"/>
    <mergeCell ref="L3460:L3461"/>
    <mergeCell ref="D3462:D3464"/>
    <mergeCell ref="L3462:L3464"/>
    <mergeCell ref="D3466:D3469"/>
    <mergeCell ref="L3466:L3469"/>
    <mergeCell ref="D3470:D3471"/>
    <mergeCell ref="L3470:L3471"/>
    <mergeCell ref="D3472:D3475"/>
    <mergeCell ref="L3472:L3475"/>
    <mergeCell ref="D3477:D3481"/>
    <mergeCell ref="L3477:L3481"/>
    <mergeCell ref="D3482:D3486"/>
    <mergeCell ref="L3482:L3486"/>
    <mergeCell ref="D3487:D3491"/>
    <mergeCell ref="L3487:L3491"/>
    <mergeCell ref="D3492:D3493"/>
    <mergeCell ref="L3492:L3493"/>
    <mergeCell ref="D3495:D3497"/>
    <mergeCell ref="L3495:L3497"/>
    <mergeCell ref="D3498:D3501"/>
    <mergeCell ref="L3498:L3501"/>
    <mergeCell ref="D3502:D3506"/>
    <mergeCell ref="L3502:L3506"/>
    <mergeCell ref="D3507:D3510"/>
    <mergeCell ref="L3507:L3510"/>
    <mergeCell ref="D3512:D3513"/>
    <mergeCell ref="L3512:L3513"/>
    <mergeCell ref="D3516:D3517"/>
    <mergeCell ref="L3516:L3517"/>
    <mergeCell ref="D3521:D3523"/>
    <mergeCell ref="L3521:L3523"/>
    <mergeCell ref="D3525:D3526"/>
    <mergeCell ref="L3525:L3526"/>
    <mergeCell ref="D3530:D3531"/>
    <mergeCell ref="L3530:L3531"/>
    <mergeCell ref="D3532:D3533"/>
    <mergeCell ref="L3532:L3533"/>
    <mergeCell ref="D3536:D3538"/>
    <mergeCell ref="L3536:L3538"/>
    <mergeCell ref="D3539:D3543"/>
    <mergeCell ref="L3539:L3543"/>
    <mergeCell ref="D3544:D3546"/>
    <mergeCell ref="L3544:L3546"/>
    <mergeCell ref="D3547:D3548"/>
    <mergeCell ref="L3547:L3548"/>
    <mergeCell ref="D3549:D3552"/>
    <mergeCell ref="L3549:L3552"/>
    <mergeCell ref="D3553:D3557"/>
    <mergeCell ref="L3553:L3557"/>
    <mergeCell ref="D3561:D3565"/>
    <mergeCell ref="L3561:L3565"/>
    <mergeCell ref="D3566:D3572"/>
    <mergeCell ref="L3566:L3572"/>
    <mergeCell ref="D3573:D3577"/>
    <mergeCell ref="L3573:L3577"/>
    <mergeCell ref="D3578:D3582"/>
    <mergeCell ref="L3578:L3582"/>
    <mergeCell ref="D3583:D3586"/>
    <mergeCell ref="L3583:L3586"/>
    <mergeCell ref="D3587:D3589"/>
    <mergeCell ref="L3587:L3589"/>
    <mergeCell ref="D3590:D3594"/>
    <mergeCell ref="L3590:L3594"/>
    <mergeCell ref="D3595:D3597"/>
    <mergeCell ref="L3595:L3597"/>
    <mergeCell ref="D3598:D3600"/>
    <mergeCell ref="L3598:L3600"/>
    <mergeCell ref="D3601:D3603"/>
    <mergeCell ref="L3601:L3603"/>
    <mergeCell ref="D3604:D3610"/>
    <mergeCell ref="L3604:L3610"/>
    <mergeCell ref="D3611:D3612"/>
    <mergeCell ref="L3611:L3612"/>
    <mergeCell ref="D3613:D3617"/>
    <mergeCell ref="L3613:L3617"/>
    <mergeCell ref="D3618:D3623"/>
    <mergeCell ref="L3618:L3623"/>
    <mergeCell ref="D3624:D3626"/>
    <mergeCell ref="L3624:L3626"/>
    <mergeCell ref="D3633:D3634"/>
    <mergeCell ref="L3633:L3634"/>
    <mergeCell ref="D3638:D3641"/>
    <mergeCell ref="L3638:L3641"/>
    <mergeCell ref="D3642:D3646"/>
    <mergeCell ref="L3642:L3646"/>
    <mergeCell ref="D3648:D3651"/>
    <mergeCell ref="L3648:L3651"/>
    <mergeCell ref="D3652:D3655"/>
    <mergeCell ref="L3652:L3655"/>
    <mergeCell ref="D3658:D3660"/>
    <mergeCell ref="L3658:L3660"/>
    <mergeCell ref="D3661:D3665"/>
    <mergeCell ref="L3661:L3665"/>
    <mergeCell ref="D3666:D3668"/>
    <mergeCell ref="L3666:L3668"/>
    <mergeCell ref="D3669:D3673"/>
    <mergeCell ref="L3669:L3673"/>
    <mergeCell ref="D3675:D3678"/>
    <mergeCell ref="L3675:L3678"/>
    <mergeCell ref="D3679:D3680"/>
    <mergeCell ref="L3679:L3680"/>
    <mergeCell ref="D3682:D3685"/>
    <mergeCell ref="L3682:L3685"/>
    <mergeCell ref="D3686:D3690"/>
    <mergeCell ref="L3686:L3690"/>
    <mergeCell ref="D3691:D3695"/>
    <mergeCell ref="L3691:L3695"/>
    <mergeCell ref="D3696:D3698"/>
    <mergeCell ref="L3696:L3698"/>
    <mergeCell ref="D3699:D3703"/>
    <mergeCell ref="L3699:L3703"/>
    <mergeCell ref="D3705:D3709"/>
    <mergeCell ref="L3705:L3709"/>
    <mergeCell ref="D3712:D3716"/>
    <mergeCell ref="L3712:L3716"/>
    <mergeCell ref="D3717:D3719"/>
    <mergeCell ref="L3717:L3719"/>
    <mergeCell ref="D3720:D3724"/>
    <mergeCell ref="L3720:L3724"/>
    <mergeCell ref="D3725:D3726"/>
    <mergeCell ref="L3725:L3726"/>
    <mergeCell ref="D3727:D3728"/>
    <mergeCell ref="L3727:L3728"/>
    <mergeCell ref="D3729:D3733"/>
    <mergeCell ref="L3729:L3733"/>
    <mergeCell ref="D3734:D3736"/>
    <mergeCell ref="L3734:L3736"/>
    <mergeCell ref="D3738:D3739"/>
    <mergeCell ref="L3738:L3739"/>
    <mergeCell ref="D3740:D3744"/>
    <mergeCell ref="L3740:L3744"/>
    <mergeCell ref="D3745:D3747"/>
    <mergeCell ref="L3745:L3747"/>
    <mergeCell ref="D3748:D3751"/>
    <mergeCell ref="L3748:L3751"/>
    <mergeCell ref="D3752:D3756"/>
    <mergeCell ref="L3752:L3756"/>
    <mergeCell ref="D3758:D3762"/>
    <mergeCell ref="L3758:L3762"/>
    <mergeCell ref="D3763:D3767"/>
    <mergeCell ref="L3763:L3767"/>
    <mergeCell ref="D3768:D3769"/>
    <mergeCell ref="L3768:L3769"/>
    <mergeCell ref="D3770:D3771"/>
    <mergeCell ref="L3770:L3771"/>
    <mergeCell ref="D3773:D3775"/>
    <mergeCell ref="L3773:L3775"/>
    <mergeCell ref="D3776:D3777"/>
    <mergeCell ref="L3776:L3777"/>
    <mergeCell ref="D3778:D3779"/>
    <mergeCell ref="L3778:L3779"/>
    <mergeCell ref="D3781:D3782"/>
    <mergeCell ref="L3781:L3782"/>
    <mergeCell ref="D3783:D3787"/>
    <mergeCell ref="L3783:L3787"/>
    <mergeCell ref="D3789:D3793"/>
    <mergeCell ref="L3789:L3793"/>
    <mergeCell ref="D3794:D3796"/>
    <mergeCell ref="L3794:L3796"/>
    <mergeCell ref="D3798:D3802"/>
    <mergeCell ref="L3798:L3802"/>
    <mergeCell ref="D3803:D3807"/>
    <mergeCell ref="L3803:L3807"/>
    <mergeCell ref="D3808:D3810"/>
    <mergeCell ref="L3808:L3810"/>
    <mergeCell ref="D3813:D3815"/>
    <mergeCell ref="L3813:L3815"/>
    <mergeCell ref="D3816:D3817"/>
    <mergeCell ref="L3816:L3817"/>
    <mergeCell ref="D3818:D3819"/>
    <mergeCell ref="L3818:L3819"/>
    <mergeCell ref="D3820:D3821"/>
    <mergeCell ref="L3820:L3821"/>
    <mergeCell ref="D3823:D3824"/>
    <mergeCell ref="L3823:L3824"/>
    <mergeCell ref="D3825:D3829"/>
    <mergeCell ref="L3825:L3829"/>
    <mergeCell ref="D3830:D3833"/>
    <mergeCell ref="L3830:L3833"/>
    <mergeCell ref="D3834:D3838"/>
    <mergeCell ref="L3834:L3838"/>
    <mergeCell ref="D3839:D3843"/>
    <mergeCell ref="L3839:L3843"/>
    <mergeCell ref="D3845:D3848"/>
    <mergeCell ref="L3845:L3848"/>
    <mergeCell ref="D3849:D3854"/>
    <mergeCell ref="L3849:L3854"/>
    <mergeCell ref="D3855:D3860"/>
    <mergeCell ref="L3855:L3860"/>
    <mergeCell ref="D3861:D3865"/>
    <mergeCell ref="L3861:L3865"/>
    <mergeCell ref="D3866:D3867"/>
    <mergeCell ref="L3866:L3867"/>
    <mergeCell ref="D3868:D3872"/>
    <mergeCell ref="L3868:L3872"/>
    <mergeCell ref="D3873:D3876"/>
    <mergeCell ref="L3873:L3876"/>
    <mergeCell ref="D3877:D3881"/>
    <mergeCell ref="L3877:L3881"/>
    <mergeCell ref="D3882:D3883"/>
    <mergeCell ref="L3882:L3883"/>
    <mergeCell ref="D3885:D3886"/>
    <mergeCell ref="L3885:L3886"/>
    <mergeCell ref="D3887:D3888"/>
    <mergeCell ref="L3887:L3888"/>
    <mergeCell ref="D3889:D3893"/>
    <mergeCell ref="L3889:L3893"/>
    <mergeCell ref="D3894:D3898"/>
    <mergeCell ref="L3894:L3898"/>
    <mergeCell ref="D3899:D3903"/>
    <mergeCell ref="L3899:L3903"/>
    <mergeCell ref="D3904:D3907"/>
    <mergeCell ref="L3904:L3907"/>
    <mergeCell ref="D3908:D3911"/>
    <mergeCell ref="L3908:L3911"/>
    <mergeCell ref="D3912:D3917"/>
    <mergeCell ref="L3912:L3917"/>
    <mergeCell ref="D3918:D3921"/>
    <mergeCell ref="L3918:L3921"/>
    <mergeCell ref="D3922:D3925"/>
    <mergeCell ref="L3922:L3925"/>
    <mergeCell ref="D3926:D3930"/>
    <mergeCell ref="L3926:L3930"/>
    <mergeCell ref="D3931:D3935"/>
    <mergeCell ref="L3931:L3935"/>
    <mergeCell ref="D3936:D3939"/>
    <mergeCell ref="L3936:L3939"/>
    <mergeCell ref="D3940:D3943"/>
    <mergeCell ref="L3940:L3943"/>
    <mergeCell ref="D3944:D3948"/>
    <mergeCell ref="L3944:L3948"/>
    <mergeCell ref="D3949:D3953"/>
    <mergeCell ref="L3949:L3953"/>
    <mergeCell ref="D3954:D3958"/>
    <mergeCell ref="L3954:L3958"/>
    <mergeCell ref="D3959:D3962"/>
    <mergeCell ref="L3959:L3962"/>
    <mergeCell ref="D3963:D3967"/>
    <mergeCell ref="L3963:L3967"/>
    <mergeCell ref="D3968:D3971"/>
    <mergeCell ref="L3968:L3971"/>
    <mergeCell ref="D3972:D3975"/>
    <mergeCell ref="L3972:L3975"/>
    <mergeCell ref="D3976:D3979"/>
    <mergeCell ref="L3976:L3979"/>
    <mergeCell ref="D3980:D3984"/>
    <mergeCell ref="L3980:L3984"/>
    <mergeCell ref="D3985:D3989"/>
    <mergeCell ref="L3985:L3989"/>
    <mergeCell ref="D3990:D3994"/>
    <mergeCell ref="L3990:L3994"/>
    <mergeCell ref="D3995:D3999"/>
    <mergeCell ref="L3995:L3999"/>
    <mergeCell ref="D4000:D4003"/>
    <mergeCell ref="L4000:L4003"/>
    <mergeCell ref="D4004:D4006"/>
    <mergeCell ref="L4004:L4006"/>
    <mergeCell ref="D4007:D4010"/>
    <mergeCell ref="L4007:L4010"/>
    <mergeCell ref="D4011:D4015"/>
    <mergeCell ref="L4011:L4015"/>
    <mergeCell ref="D4016:D4020"/>
    <mergeCell ref="L4016:L4020"/>
    <mergeCell ref="D4021:D4025"/>
    <mergeCell ref="L4021:L4025"/>
    <mergeCell ref="D4026:D4027"/>
    <mergeCell ref="L4026:L4027"/>
    <mergeCell ref="D4028:D4029"/>
    <mergeCell ref="L4028:L4029"/>
    <mergeCell ref="D4030:D4031"/>
    <mergeCell ref="L4030:L4031"/>
    <mergeCell ref="D4033:D4035"/>
    <mergeCell ref="L4033:L4035"/>
    <mergeCell ref="D4036:D4038"/>
    <mergeCell ref="L4036:L4038"/>
    <mergeCell ref="D4039:D4041"/>
    <mergeCell ref="L4039:L4041"/>
    <mergeCell ref="D4042:D4044"/>
    <mergeCell ref="L4042:L4044"/>
    <mergeCell ref="D4045:D4047"/>
    <mergeCell ref="L4045:L4047"/>
    <mergeCell ref="D4049:D4050"/>
    <mergeCell ref="L4049:L4050"/>
    <mergeCell ref="D4053:D4054"/>
    <mergeCell ref="L4053:L4054"/>
    <mergeCell ref="D4055:D4056"/>
    <mergeCell ref="L4055:L4056"/>
    <mergeCell ref="D4098:D4101"/>
    <mergeCell ref="L4098:L4101"/>
    <mergeCell ref="D4102:D4106"/>
    <mergeCell ref="L4102:L4106"/>
    <mergeCell ref="D4107:D4111"/>
    <mergeCell ref="L4107:L4111"/>
    <mergeCell ref="D4112:D4115"/>
    <mergeCell ref="L4112:L4115"/>
    <mergeCell ref="D4116:D4120"/>
    <mergeCell ref="L4116:L4120"/>
    <mergeCell ref="D4121:D4124"/>
    <mergeCell ref="L4121:L4124"/>
    <mergeCell ref="D4125:D4129"/>
    <mergeCell ref="L4125:L4129"/>
    <mergeCell ref="D4130:D4134"/>
    <mergeCell ref="L4130:L4134"/>
    <mergeCell ref="D4135:D4139"/>
    <mergeCell ref="L4135:L4139"/>
    <mergeCell ref="D4140:D4144"/>
    <mergeCell ref="L4140:L4144"/>
    <mergeCell ref="D4145:D4149"/>
    <mergeCell ref="L4145:L4149"/>
    <mergeCell ref="D4150:D4154"/>
    <mergeCell ref="L4150:L4154"/>
    <mergeCell ref="D4184:D4185"/>
    <mergeCell ref="L4184:L4185"/>
    <mergeCell ref="D4187:D4191"/>
    <mergeCell ref="L4187:L4191"/>
    <mergeCell ref="D4192:D4196"/>
    <mergeCell ref="L4192:L4196"/>
    <mergeCell ref="D4197:D4201"/>
    <mergeCell ref="L4197:L4201"/>
    <mergeCell ref="D4202:D4205"/>
    <mergeCell ref="L4202:L4205"/>
    <mergeCell ref="D4206:D4208"/>
    <mergeCell ref="L4206:L4208"/>
    <mergeCell ref="D4209:D4211"/>
    <mergeCell ref="L4209:L4211"/>
    <mergeCell ref="D4212:D4213"/>
    <mergeCell ref="L4212:L4213"/>
    <mergeCell ref="D4214:D4216"/>
    <mergeCell ref="L4214:L4216"/>
    <mergeCell ref="D4217:D4220"/>
    <mergeCell ref="L4217:L4220"/>
    <mergeCell ref="D4221:D4225"/>
    <mergeCell ref="L4221:L4225"/>
    <mergeCell ref="D4226:D4229"/>
    <mergeCell ref="L4226:L4229"/>
    <mergeCell ref="D4231:D4233"/>
    <mergeCell ref="L4231:L4233"/>
    <mergeCell ref="D4234:D4235"/>
    <mergeCell ref="L4234:L4235"/>
    <mergeCell ref="D4237:D4238"/>
    <mergeCell ref="L4237:L4238"/>
    <mergeCell ref="D4239:D4243"/>
    <mergeCell ref="L4239:L4243"/>
    <mergeCell ref="D4244:D4245"/>
    <mergeCell ref="L4244:L4245"/>
    <mergeCell ref="D4247:D4248"/>
    <mergeCell ref="L4247:L4248"/>
    <mergeCell ref="D4249:D4250"/>
    <mergeCell ref="L4249:L4250"/>
    <mergeCell ref="D4252:D4253"/>
    <mergeCell ref="L4252:L4253"/>
    <mergeCell ref="D4254:D4255"/>
    <mergeCell ref="L4254:L4255"/>
    <mergeCell ref="D4256:D4258"/>
    <mergeCell ref="L4256:L4258"/>
    <mergeCell ref="D4259:D4260"/>
    <mergeCell ref="L4259:L4260"/>
    <mergeCell ref="D4262:D4264"/>
    <mergeCell ref="L4262:L4264"/>
    <mergeCell ref="D4265:D4266"/>
    <mergeCell ref="L4265:L4266"/>
    <mergeCell ref="D4270:D4273"/>
    <mergeCell ref="L4270:L4273"/>
    <mergeCell ref="D4277:D4280"/>
    <mergeCell ref="L4277:L4280"/>
    <mergeCell ref="D4281:D4284"/>
    <mergeCell ref="L4281:L4284"/>
    <mergeCell ref="D4285:D4288"/>
    <mergeCell ref="L4285:L4288"/>
    <mergeCell ref="D4289:D4290"/>
    <mergeCell ref="L4289:L4290"/>
    <mergeCell ref="D4298:D4299"/>
    <mergeCell ref="L4298:L4299"/>
    <mergeCell ref="D4300:D4301"/>
    <mergeCell ref="L4300:L4301"/>
    <mergeCell ref="D4302:D4305"/>
    <mergeCell ref="L4302:L4305"/>
    <mergeCell ref="D4306:D4310"/>
    <mergeCell ref="L4306:L4310"/>
    <mergeCell ref="D4311:D4313"/>
    <mergeCell ref="L4311:L4313"/>
    <mergeCell ref="D4314:D4316"/>
    <mergeCell ref="L4314:L4316"/>
    <mergeCell ref="D4317:D4320"/>
    <mergeCell ref="L4317:L4320"/>
    <mergeCell ref="D4322:D4325"/>
    <mergeCell ref="L4322:L4325"/>
    <mergeCell ref="D4327:D4328"/>
    <mergeCell ref="L4327:L4328"/>
    <mergeCell ref="D4329:D4330"/>
    <mergeCell ref="L4329:L4330"/>
    <mergeCell ref="D4334:D4339"/>
    <mergeCell ref="L4334:L4339"/>
    <mergeCell ref="D4340:D4346"/>
    <mergeCell ref="L4340:L4346"/>
    <mergeCell ref="D4347:D4354"/>
    <mergeCell ref="L4347:L4354"/>
    <mergeCell ref="D4355:D4359"/>
    <mergeCell ref="L4355:L4359"/>
    <mergeCell ref="D4360:D4361"/>
    <mergeCell ref="L4360:L4361"/>
    <mergeCell ref="D4363:D4367"/>
    <mergeCell ref="L4363:L4367"/>
    <mergeCell ref="D4368:D4369"/>
    <mergeCell ref="L4368:L4369"/>
    <mergeCell ref="D4372:D4376"/>
    <mergeCell ref="L4372:L4376"/>
    <mergeCell ref="D4377:D4381"/>
    <mergeCell ref="L4377:L4381"/>
    <mergeCell ref="D4382:D4386"/>
    <mergeCell ref="L4382:L4386"/>
    <mergeCell ref="D4387:D4391"/>
    <mergeCell ref="L4387:L4391"/>
    <mergeCell ref="D4392:D4397"/>
    <mergeCell ref="L4392:L4397"/>
    <mergeCell ref="D4398:D4402"/>
    <mergeCell ref="L4398:L4402"/>
    <mergeCell ref="D4403:D4408"/>
    <mergeCell ref="L4403:L4408"/>
    <mergeCell ref="D4410:D4412"/>
    <mergeCell ref="L4410:L4412"/>
    <mergeCell ref="D4413:D4417"/>
    <mergeCell ref="L4413:L4417"/>
    <mergeCell ref="D4418:D4422"/>
    <mergeCell ref="L4418:L4422"/>
    <mergeCell ref="D4423:D4429"/>
    <mergeCell ref="L4423:L4429"/>
    <mergeCell ref="D4430:D4434"/>
    <mergeCell ref="L4430:L4434"/>
    <mergeCell ref="D4436:D4437"/>
    <mergeCell ref="L4436:L4437"/>
    <mergeCell ref="D4438:D4439"/>
    <mergeCell ref="L4438:L4439"/>
    <mergeCell ref="D4440:D4444"/>
    <mergeCell ref="L4440:L4444"/>
    <mergeCell ref="D4445:D4446"/>
    <mergeCell ref="L4445:L4446"/>
    <mergeCell ref="D4447:D4449"/>
    <mergeCell ref="L4447:L4449"/>
    <mergeCell ref="D4450:D4452"/>
    <mergeCell ref="L4450:L4452"/>
    <mergeCell ref="D4455:D4456"/>
    <mergeCell ref="L4455:L4456"/>
    <mergeCell ref="D4458:D4459"/>
    <mergeCell ref="L4458:L4459"/>
    <mergeCell ref="D4460:D4461"/>
    <mergeCell ref="L4460:L4461"/>
    <mergeCell ref="D4462:D4464"/>
    <mergeCell ref="L4462:L4464"/>
    <mergeCell ref="D4465:D4470"/>
    <mergeCell ref="L4465:L4470"/>
    <mergeCell ref="D4471:D4473"/>
    <mergeCell ref="L4471:L4473"/>
    <mergeCell ref="D4475:D4476"/>
    <mergeCell ref="L4475:L4476"/>
    <mergeCell ref="D4479:D4482"/>
    <mergeCell ref="L4479:L4482"/>
    <mergeCell ref="D4483:D4485"/>
    <mergeCell ref="L4483:L4485"/>
    <mergeCell ref="D4486:D4488"/>
    <mergeCell ref="L4486:L4488"/>
    <mergeCell ref="D4490:D4491"/>
    <mergeCell ref="L4490:L4491"/>
    <mergeCell ref="D4492:D4494"/>
    <mergeCell ref="L4492:L4494"/>
    <mergeCell ref="D4495:D4499"/>
    <mergeCell ref="L4495:L4499"/>
    <mergeCell ref="D4500:D4503"/>
    <mergeCell ref="L4500:L4503"/>
    <mergeCell ref="D4504:D4505"/>
    <mergeCell ref="L4504:L4505"/>
    <mergeCell ref="D4507:D4510"/>
    <mergeCell ref="L4507:L4510"/>
    <mergeCell ref="D4512:D4516"/>
    <mergeCell ref="L4512:L4516"/>
    <mergeCell ref="D4517:D4522"/>
    <mergeCell ref="L4517:L4522"/>
    <mergeCell ref="D4523:D4525"/>
    <mergeCell ref="L4523:L4525"/>
    <mergeCell ref="D4526:D4529"/>
    <mergeCell ref="L4526:L4529"/>
    <mergeCell ref="D4530:D4531"/>
    <mergeCell ref="L4530:L4531"/>
    <mergeCell ref="D4532:D4533"/>
    <mergeCell ref="L4532:L4533"/>
    <mergeCell ref="D4535:D4536"/>
    <mergeCell ref="L4535:L4536"/>
    <mergeCell ref="D4537:D4540"/>
    <mergeCell ref="L4537:L4540"/>
    <mergeCell ref="D4541:D4543"/>
    <mergeCell ref="L4541:L4543"/>
    <mergeCell ref="D4544:D4547"/>
    <mergeCell ref="L4544:L4547"/>
    <mergeCell ref="D4549:D4550"/>
    <mergeCell ref="L4549:L4550"/>
    <mergeCell ref="D4551:D4556"/>
    <mergeCell ref="L4551:L4556"/>
    <mergeCell ref="D4557:D4562"/>
    <mergeCell ref="L4557:L4562"/>
    <mergeCell ref="D4563:D4568"/>
    <mergeCell ref="L4563:L4568"/>
    <mergeCell ref="D4570:D4572"/>
    <mergeCell ref="L4570:L4572"/>
    <mergeCell ref="D4575:D4579"/>
    <mergeCell ref="L4575:L4579"/>
    <mergeCell ref="D4580:D4584"/>
    <mergeCell ref="L4580:L4584"/>
    <mergeCell ref="D4585:D4586"/>
    <mergeCell ref="L4585:L4586"/>
    <mergeCell ref="D4587:D4591"/>
    <mergeCell ref="L4587:L4591"/>
    <mergeCell ref="D4593:D4597"/>
    <mergeCell ref="L4593:L4597"/>
    <mergeCell ref="D4598:D4602"/>
    <mergeCell ref="L4598:L4602"/>
    <mergeCell ref="D4603:D4606"/>
    <mergeCell ref="L4603:L4606"/>
    <mergeCell ref="D4607:D4610"/>
    <mergeCell ref="L4607:L4610"/>
    <mergeCell ref="D4612:D4615"/>
    <mergeCell ref="L4612:L4615"/>
    <mergeCell ref="D4616:D4617"/>
    <mergeCell ref="L4616:L4617"/>
    <mergeCell ref="D4618:D4622"/>
    <mergeCell ref="L4618:L4622"/>
    <mergeCell ref="D4623:D4626"/>
    <mergeCell ref="L4623:L4626"/>
    <mergeCell ref="D4627:D4631"/>
    <mergeCell ref="L4627:L4631"/>
    <mergeCell ref="D4632:D4633"/>
    <mergeCell ref="L4632:L4633"/>
    <mergeCell ref="D4634:D4636"/>
    <mergeCell ref="L4634:L4636"/>
    <mergeCell ref="D4638:D4642"/>
    <mergeCell ref="L4638:L4642"/>
    <mergeCell ref="D4643:D4648"/>
    <mergeCell ref="L4643:L4648"/>
    <mergeCell ref="D4649:D4655"/>
    <mergeCell ref="L4649:L4655"/>
    <mergeCell ref="D4658:D4660"/>
    <mergeCell ref="L4658:L4660"/>
    <mergeCell ref="D4663:D4667"/>
    <mergeCell ref="L4663:L4667"/>
    <mergeCell ref="D4668:D4672"/>
    <mergeCell ref="L4668:L4672"/>
    <mergeCell ref="D4673:D4676"/>
    <mergeCell ref="L4673:L4676"/>
    <mergeCell ref="D4677:D4681"/>
    <mergeCell ref="L4677:L4681"/>
    <mergeCell ref="D4682:D4685"/>
    <mergeCell ref="L4682:L4685"/>
    <mergeCell ref="D4686:D4689"/>
    <mergeCell ref="L4686:L4689"/>
    <mergeCell ref="D4690:D4693"/>
    <mergeCell ref="L4690:L4693"/>
    <mergeCell ref="D4694:D4698"/>
    <mergeCell ref="L4694:L4698"/>
    <mergeCell ref="D4699:D4700"/>
    <mergeCell ref="L4699:L4700"/>
    <mergeCell ref="D4701:D4707"/>
    <mergeCell ref="L4701:L4707"/>
    <mergeCell ref="D4708:D4713"/>
    <mergeCell ref="L4708:L4713"/>
    <mergeCell ref="D4714:D4719"/>
    <mergeCell ref="L4714:L4719"/>
    <mergeCell ref="D4720:D4725"/>
    <mergeCell ref="L4720:L4725"/>
    <mergeCell ref="D4726:D4728"/>
    <mergeCell ref="L4726:L4728"/>
    <mergeCell ref="D4729:D4733"/>
    <mergeCell ref="L4729:L4733"/>
    <mergeCell ref="D4734:D4738"/>
    <mergeCell ref="L4734:L4738"/>
    <mergeCell ref="D4739:D4743"/>
    <mergeCell ref="L4739:L4743"/>
    <mergeCell ref="D4744:D4749"/>
    <mergeCell ref="L4744:L4749"/>
    <mergeCell ref="D4750:D4755"/>
    <mergeCell ref="L4750:L4755"/>
    <mergeCell ref="D4756:D4760"/>
    <mergeCell ref="L4756:L4760"/>
    <mergeCell ref="D4762:D4765"/>
    <mergeCell ref="L4762:L4765"/>
    <mergeCell ref="D4766:D4769"/>
    <mergeCell ref="L4766:L4769"/>
    <mergeCell ref="D4770:D4774"/>
    <mergeCell ref="L4770:L4774"/>
    <mergeCell ref="D4775:D4779"/>
    <mergeCell ref="L4775:L4779"/>
    <mergeCell ref="D4780:D4784"/>
    <mergeCell ref="L4780:L4784"/>
    <mergeCell ref="D4785:D4789"/>
    <mergeCell ref="L4785:L4789"/>
    <mergeCell ref="D4790:D4795"/>
    <mergeCell ref="L4790:L4795"/>
    <mergeCell ref="D4796:D4800"/>
    <mergeCell ref="L4796:L4800"/>
    <mergeCell ref="D4801:D4805"/>
    <mergeCell ref="L4801:L4805"/>
    <mergeCell ref="D4806:D4811"/>
    <mergeCell ref="L4806:L4811"/>
    <mergeCell ref="D4812:D4816"/>
    <mergeCell ref="L4812:L4816"/>
    <mergeCell ref="D4817:D4820"/>
    <mergeCell ref="L4817:L4820"/>
    <mergeCell ref="D4821:D4824"/>
    <mergeCell ref="L4821:L4824"/>
    <mergeCell ref="D4825:D4828"/>
    <mergeCell ref="L4825:L4828"/>
    <mergeCell ref="D4829:D4832"/>
    <mergeCell ref="L4829:L4832"/>
    <mergeCell ref="D4833:D4834"/>
    <mergeCell ref="L4833:L4834"/>
    <mergeCell ref="D4835:D4837"/>
    <mergeCell ref="L4835:L4837"/>
    <mergeCell ref="D4838:D4842"/>
    <mergeCell ref="L4838:L4842"/>
    <mergeCell ref="D4843:D4847"/>
    <mergeCell ref="L4843:L4847"/>
    <mergeCell ref="D4848:D4849"/>
    <mergeCell ref="L4848:L4849"/>
    <mergeCell ref="D4850:D4851"/>
    <mergeCell ref="L4850:L4851"/>
    <mergeCell ref="D4852:D4853"/>
    <mergeCell ref="L4852:L4853"/>
    <mergeCell ref="D4854:D4856"/>
    <mergeCell ref="L4854:L4856"/>
    <mergeCell ref="D4857:D4861"/>
    <mergeCell ref="L4857:L4861"/>
    <mergeCell ref="D4863:D4866"/>
    <mergeCell ref="L4863:L4866"/>
    <mergeCell ref="D4867:D4870"/>
    <mergeCell ref="L4867:L4870"/>
    <mergeCell ref="D4871:D4875"/>
    <mergeCell ref="L4871:L4875"/>
    <mergeCell ref="D4876:D4880"/>
    <mergeCell ref="L4876:L4880"/>
    <mergeCell ref="D4881:D4882"/>
    <mergeCell ref="L4881:L4882"/>
    <mergeCell ref="D4883:D4885"/>
    <mergeCell ref="L4883:L4885"/>
    <mergeCell ref="D4886:D4888"/>
    <mergeCell ref="L4886:L4888"/>
    <mergeCell ref="D4889:D4892"/>
    <mergeCell ref="L4889:L4892"/>
    <mergeCell ref="D4893:D4897"/>
    <mergeCell ref="L4893:L4897"/>
    <mergeCell ref="D4898:D4901"/>
    <mergeCell ref="L4898:L4901"/>
    <mergeCell ref="D4902:D4906"/>
    <mergeCell ref="L4902:L4906"/>
    <mergeCell ref="D4907:D4908"/>
    <mergeCell ref="L4907:L4908"/>
    <mergeCell ref="D4909:D4911"/>
    <mergeCell ref="L4909:L4911"/>
    <mergeCell ref="D4912:D4913"/>
    <mergeCell ref="L4912:L4913"/>
    <mergeCell ref="D4916:D4918"/>
    <mergeCell ref="L4916:L4918"/>
    <mergeCell ref="D4919:D4924"/>
    <mergeCell ref="L4919:L4924"/>
    <mergeCell ref="D4925:D4926"/>
    <mergeCell ref="L4925:L4926"/>
    <mergeCell ref="D4927:D4931"/>
    <mergeCell ref="L4927:L4931"/>
    <mergeCell ref="D4932:D4935"/>
    <mergeCell ref="L4932:L4935"/>
    <mergeCell ref="D4936:D4938"/>
    <mergeCell ref="L4936:L4938"/>
    <mergeCell ref="D4940:D4941"/>
    <mergeCell ref="L4940:L4941"/>
    <mergeCell ref="D4942:D4945"/>
    <mergeCell ref="L4942:L4945"/>
    <mergeCell ref="D4946:D4950"/>
    <mergeCell ref="L4946:L4950"/>
    <mergeCell ref="D4951:D4954"/>
    <mergeCell ref="L4951:L4954"/>
    <mergeCell ref="D4970:D4972"/>
    <mergeCell ref="L4970:L4972"/>
    <mergeCell ref="D4973:D4975"/>
    <mergeCell ref="L4973:L4975"/>
    <mergeCell ref="D4976:D4979"/>
    <mergeCell ref="L4976:L4979"/>
    <mergeCell ref="D4980:D4981"/>
    <mergeCell ref="L4980:L4981"/>
    <mergeCell ref="D4982:D4985"/>
    <mergeCell ref="L4982:L4985"/>
    <mergeCell ref="D4986:D4987"/>
    <mergeCell ref="L4986:L4987"/>
    <mergeCell ref="D4988:D4992"/>
    <mergeCell ref="L4988:L4992"/>
    <mergeCell ref="D4993:D4994"/>
    <mergeCell ref="L4993:L4994"/>
    <mergeCell ref="D4995:D4999"/>
    <mergeCell ref="L4995:L4999"/>
    <mergeCell ref="D5003:D5006"/>
    <mergeCell ref="L5003:L5006"/>
    <mergeCell ref="D5007:D5011"/>
    <mergeCell ref="L5007:L5011"/>
    <mergeCell ref="D5012:D5016"/>
    <mergeCell ref="L5012:L5016"/>
    <mergeCell ref="D5017:D5021"/>
    <mergeCell ref="L5017:L5021"/>
    <mergeCell ref="D5022:D5030"/>
    <mergeCell ref="L5022:L5030"/>
    <mergeCell ref="D5031:D5034"/>
    <mergeCell ref="L5031:L5034"/>
    <mergeCell ref="D5035:D5039"/>
    <mergeCell ref="L5035:L5039"/>
    <mergeCell ref="D5040:D5044"/>
    <mergeCell ref="L5040:L5044"/>
    <mergeCell ref="D5045:D5049"/>
    <mergeCell ref="L5045:L5049"/>
    <mergeCell ref="D5050:D5054"/>
    <mergeCell ref="L5050:L5054"/>
    <mergeCell ref="D5055:D5059"/>
    <mergeCell ref="L5055:L5059"/>
    <mergeCell ref="D5060:D5064"/>
    <mergeCell ref="L5060:L5064"/>
    <mergeCell ref="D5065:D5069"/>
    <mergeCell ref="L5065:L5069"/>
    <mergeCell ref="D5070:D5074"/>
    <mergeCell ref="L5070:L5074"/>
    <mergeCell ref="D5075:D5079"/>
    <mergeCell ref="L5075:L5079"/>
    <mergeCell ref="D5090:D5091"/>
    <mergeCell ref="L5090:L5091"/>
    <mergeCell ref="D5092:D5097"/>
    <mergeCell ref="L5092:L5097"/>
    <mergeCell ref="D5098:D5101"/>
    <mergeCell ref="L5098:L5101"/>
    <mergeCell ref="D5102:D5106"/>
    <mergeCell ref="L5102:L5106"/>
    <mergeCell ref="D5107:D5108"/>
    <mergeCell ref="L5107:L5108"/>
    <mergeCell ref="D5110:D5111"/>
    <mergeCell ref="L5110:L5111"/>
    <mergeCell ref="D5112:D5115"/>
    <mergeCell ref="L5112:L5115"/>
    <mergeCell ref="D5116:D5117"/>
    <mergeCell ref="L5116:L5117"/>
    <mergeCell ref="D5118:D5122"/>
    <mergeCell ref="L5118:L5122"/>
    <mergeCell ref="D5123:D5127"/>
    <mergeCell ref="L5123:L5127"/>
    <mergeCell ref="D5128:D5130"/>
    <mergeCell ref="L5128:L5130"/>
    <mergeCell ref="D5131:D5134"/>
    <mergeCell ref="L5131:L5134"/>
    <mergeCell ref="D5135:D5136"/>
    <mergeCell ref="L5135:L5136"/>
    <mergeCell ref="D5138:D5139"/>
    <mergeCell ref="L5138:L5139"/>
    <mergeCell ref="D5141:D5142"/>
    <mergeCell ref="L5141:L5142"/>
    <mergeCell ref="D5144:D5145"/>
    <mergeCell ref="L5144:L5145"/>
    <mergeCell ref="D5146:D5147"/>
    <mergeCell ref="L5146:L5147"/>
    <mergeCell ref="D5148:D5150"/>
    <mergeCell ref="L5148:L5150"/>
    <mergeCell ref="D5152:D5153"/>
    <mergeCell ref="L5152:L5153"/>
    <mergeCell ref="D5154:D5155"/>
    <mergeCell ref="L5154:L5155"/>
    <mergeCell ref="D5156:D5159"/>
    <mergeCell ref="L5156:L5159"/>
    <mergeCell ref="D5160:D5162"/>
    <mergeCell ref="L5160:L5162"/>
    <mergeCell ref="D5163:D5167"/>
    <mergeCell ref="L5163:L5167"/>
    <mergeCell ref="D5169:D5173"/>
    <mergeCell ref="L5169:L5173"/>
    <mergeCell ref="D5174:D5176"/>
    <mergeCell ref="L5174:L5176"/>
    <mergeCell ref="D5179:D5180"/>
    <mergeCell ref="L5179:L5180"/>
    <mergeCell ref="D5181:D5182"/>
    <mergeCell ref="L5181:L5182"/>
    <mergeCell ref="D5183:D5186"/>
    <mergeCell ref="L5183:L5186"/>
    <mergeCell ref="D5189:D5193"/>
    <mergeCell ref="L5189:L5193"/>
    <mergeCell ref="D5194:D5198"/>
    <mergeCell ref="L5194:L5198"/>
    <mergeCell ref="D5203:D5204"/>
    <mergeCell ref="L5203:L5204"/>
    <mergeCell ref="D5205:D5212"/>
    <mergeCell ref="L5205:L5212"/>
    <mergeCell ref="D5213:D5220"/>
    <mergeCell ref="L5213:L5220"/>
    <mergeCell ref="D5221:D5227"/>
    <mergeCell ref="L5221:L5227"/>
    <mergeCell ref="D5229:D5233"/>
    <mergeCell ref="L5229:L5233"/>
    <mergeCell ref="D5234:D5238"/>
    <mergeCell ref="L5234:L5238"/>
    <mergeCell ref="D5239:D5243"/>
    <mergeCell ref="L5239:L5243"/>
    <mergeCell ref="D5244:D5248"/>
    <mergeCell ref="L5244:L5248"/>
    <mergeCell ref="D5249:D5252"/>
    <mergeCell ref="L5249:L5252"/>
    <mergeCell ref="D5253:D5258"/>
    <mergeCell ref="L5253:L5258"/>
    <mergeCell ref="D5259:D5261"/>
    <mergeCell ref="L5259:L5261"/>
    <mergeCell ref="D5262:D5263"/>
    <mergeCell ref="L5262:L5263"/>
    <mergeCell ref="D5264:D5267"/>
    <mergeCell ref="L5264:L5267"/>
    <mergeCell ref="D5268:D5272"/>
    <mergeCell ref="L5268:L5272"/>
    <mergeCell ref="D5273:D5274"/>
    <mergeCell ref="L5273:L5274"/>
    <mergeCell ref="D5275:D5278"/>
    <mergeCell ref="L5275:L5278"/>
    <mergeCell ref="D5279:D5282"/>
    <mergeCell ref="L5279:L5282"/>
    <mergeCell ref="D5283:D5284"/>
    <mergeCell ref="L5283:L5284"/>
    <mergeCell ref="D5285:D5286"/>
    <mergeCell ref="L5285:L5286"/>
    <mergeCell ref="D5288:D5291"/>
    <mergeCell ref="L5288:L5291"/>
    <mergeCell ref="D5292:D5293"/>
    <mergeCell ref="L5292:L5293"/>
    <mergeCell ref="D5294:D5297"/>
    <mergeCell ref="L5294:L5297"/>
    <mergeCell ref="D5298:D5299"/>
    <mergeCell ref="L5298:L5299"/>
    <mergeCell ref="D5300:D5302"/>
    <mergeCell ref="L5300:L5302"/>
    <mergeCell ref="D5303:D5305"/>
    <mergeCell ref="L5303:L5305"/>
    <mergeCell ref="D5308:D5309"/>
    <mergeCell ref="L5308:L5309"/>
    <mergeCell ref="D5313:D5319"/>
    <mergeCell ref="L5313:L5319"/>
    <mergeCell ref="D5320:D5324"/>
    <mergeCell ref="L5320:L5324"/>
    <mergeCell ref="D5325:D5329"/>
    <mergeCell ref="L5325:L5329"/>
    <mergeCell ref="D5330:D5333"/>
    <mergeCell ref="L5330:L5333"/>
    <mergeCell ref="D5334:D5338"/>
    <mergeCell ref="L5334:L5338"/>
    <mergeCell ref="D5339:D5343"/>
    <mergeCell ref="L5339:L5343"/>
    <mergeCell ref="D5344:D5348"/>
    <mergeCell ref="L5344:L5348"/>
    <mergeCell ref="D5350:D5353"/>
    <mergeCell ref="L5350:L5353"/>
  </mergeCells>
  <dataValidations count="70">
    <dataValidation type="whole" operator="lessThanOrEqual" allowBlank="1" showErrorMessage="1" errorTitle="Неверно" error="Заказ не может быть больше Наличия" sqref="X4 X5352 X5345 X5216 X5171 X5100 X5053 X5026:X5027 X4920 X4910 X4903 X4872 X4864:X4865 X4823 X4786:X4787 X4777 X4710 X4501:X4502 X4437 X4414 X4394 X4318:X4319 X4211 X4143 X4138 X3974 X3944 X3933 X3923 X3921 X3752 X3643 X3641 X3485 X3405 X3394 X3370 X3269 X3235 X3151 X3048 X2749 X2700 X2579:X2581 X2482 X2398 X2184 X2168 X2088 X1255 X1231 X1004 X988 X974 X966 X955 X930 X890 X784 X771 X731 X689 X673 X652 X645:X646 X565 X492 X489 X388 X351 X260 X221:X222 X178" xr:uid="{00000000-0002-0000-0000-000000000000}">
      <formula1>17</formula1>
    </dataValidation>
    <dataValidation type="whole" operator="lessThanOrEqual" allowBlank="1" showErrorMessage="1" errorTitle="Неверно" error="Заказ не может быть больше Наличия" sqref="X5 X5315 X5245:X5246 X4957 X4704 X4671 X3804 X3800 X3765 X3694 X3688 X3591 X3218 X3171 X3117:X3118 X2810:X2811 X2397 X1104 X1071 X1028 X1002 X956 X903 X513 X438" xr:uid="{00000000-0002-0000-0000-000001000000}">
      <formula1>25</formula1>
    </dataValidation>
    <dataValidation type="whole" operator="lessThanOrEqual" allowBlank="1" showErrorMessage="1" errorTitle="Неверно" error="Заказ не может быть больше Наличия" sqref="X6 X5307 X5288 X5285:X5286 X5233 X5220:X5221 X5188 X5180 X5160 X5158 X5155 X5140:X5142 X5134:X5135 X5128 X5111 X5083 X5062 X4998:X4999 X4991:X4992 X4988 X4980 X4971 X4967 X4951 X4941 X4937 X4935 X4926 X4918 X4900 X4886 X4862 X4851 X4847 X4839 X4835 X4726 X4660:X4661 X4658 X4632 X4622 X4616 X4613 X4600 X4591 X4588 X4574 X4564 X4551:X4552 X4547 X4532 X4514 X4509 X4507 X4499 X4484 X4478 X4474 X4461 X4442 X4435 X4409 X4370:X4371 X4320 X4311 X4289 X4273 X4265 X4229 X4172 X4095 X4085 X4083 X4081 X4078 X4062 X4050 X4041 X4039 X4031 X4025:X4026 X4004 X3967 X3915:X3916 X3829 X3819 X3817 X3812 X3794 X3788 X3779 X3777 X3771 X3768 X3746 X3734 X3697 X3685 X3675 X3666 X3647 X3627 X3610:X3611 X3595 X3586 X3565 X3552 X3543 X3537 X3533:X3535 X3530:X3531 X3528 X3517 X3501 X3492 X3471 X3466 X3454 X3433 X3430:X3431 X3385 X3376 X3372 X3354 X3349:X3350 X3328:X3329 X3326 X3317 X3301 X3297 X3292 X3280 X3272 X3270 X3249 X3229 X3201 X3198 X3194 X3184 X3168 X3156 X3115 X3111 X3105:X3108 X3095 X3090 X3080 X3040:X3041 X3031 X3004 X2989 X2981 X2967 X2962 X2954 X2947 X2943 X2939 X2934 X2888:X2889 X2831:X2832 X2806 X2772:X2773 X2766:X2767 X2745 X2726 X2723 X2719 X2707 X2705 X2655 X2649 X2642 X2629 X2583 X2562 X2520 X2507:X2508 X2502 X2496 X2474:X2475 X2468:X2469 X2453:X2456 X2448:X2449 X2445 X2441 X2434 X2407 X2405 X2393:X2395 X2389 X2359 X2334 X2323 X2313:X2314 X2306 X2302:X2303 X2291 X2279 X2275 X2271 X2263 X2257 X2255 X2252 X2250 X2246 X2244 X2236 X2231 X2225 X2220:X2221 X2216 X2211 X2204:X2207 X2149 X2146 X2135 X2132 X2128:X2130 X2117:X2119 X2083 X2061:X2063 X2055 X2048 X2043:X2044 X2037:X2038 X2034:X2035 X2032 X2028 X1996:X1997 X1985 X1977 X1967 X1945 X1941:X1942 X1938 X1932 X1927 X1922 X1920 X1916:X1917 X1914 X1912 X1909 X1898 X1887:X1888 X1885 X1882:X1883 X1875 X1863 X1860 X1857 X1852 X1849 X1830 X1828 X1810 X1800:X1801 X1791 X1771:X1772 X1769 X1761 X1759 X1757 X1754 X1750 X1747 X1735:X1737 X1730:X1731 X1726:X1727 X1709 X1702:X1703 X1689 X1681:X1682 X1661 X1659 X1647:X1648 X1645 X1641 X1636 X1634 X1624 X1618 X1591 X1582 X1580 X1568 X1557 X1551:X1552 X1519 X1511 X1497 X1484 X1481:X1482 X1478 X1475 X1472 X1455 X1446 X1434:X1435 X1410 X1402:X1403 X1376 X1370 X1367 X1357 X1349:X1350 X1333 X1322 X1301 X1286 X1266 X1247 X1245 X1240:X1241 X1236:X1237 X1229 X1224 X1222 X1220 X1216:X1217 X1209 X1205:X1206 X1189 X1179 X1161 X1156:X1157 X1144:X1145 X1137 X1127 X1101 X1094 X1076 X1045 X1041 X1032 X1030 X952 X864:X866 X839 X818 X816 X813 X811 X809 X801 X719 X717 X679 X657 X622:X623 X620 X607 X561 X556 X541 X536 X532 X516 X510 X506 X485:X488 X483 X478 X473:X475 X470 X450 X447 X442 X425:X426 X423 X418 X416 X413 X397 X370 X352 X338 X324 X319:X320 X316 X310 X304 X299 X281 X274:X275 X259 X243 X226 X218 X214 X205 X196 X193 X191 X187 X182 X155 X112 X95 X62 X56 X51 X48 X24 X18 X13 X9" xr:uid="{00000000-0002-0000-0000-000002000000}">
      <formula1>2</formula1>
    </dataValidation>
    <dataValidation type="whole" operator="lessThanOrEqual" allowBlank="1" showErrorMessage="1" errorTitle="Неверно" error="Заказ не может быть больше Наличия" sqref="X7 X5341 X5270 X5265 X5210 X5195 X5183:X5184 X5172 X4977 X4904 X4879 X4840 X4825 X4793 X4783 X4685 X4583 X4578 X4468 X4455 X4419 X4415 X4350 X4341 X4336 X4285 X4281 X4195 X4128 X4105 X4030 X4021 X4001 X3988 X3972 X3906 X3902 X3853 X3827 X3798 X3774 X3766 X3750 X3740 X3705 X3691 X3686 X3613 X3583 X3515 X3503 X3425 X3378 X3308 X3199 X3197 X3190:X3191 X3158 X3005 X2997 X2739 X2680 X2677:X2678 X2527 X2499 X2489:X2490 X2462:X2463 X2423 X2368 X2283 X2193 X2166 X2068 X1720 X1523 X1401 X1183 X1103 X1092 X1085 X1077 X1014 X764 X681 X667 X660 X655 X650:X651 X613:X614 X609 X460 X455 X407 X387 X330 X326 X277 X269 X238 X223 X158 X128 X80 X52 X44 X25 X14" xr:uid="{00000000-0002-0000-0000-000003000000}">
      <formula1>13</formula1>
    </dataValidation>
    <dataValidation type="whole" operator="lessThanOrEqual" allowBlank="1" showErrorMessage="1" errorTitle="Неверно" error="Заказ не может быть больше Наличия" sqref="X8 X5335 X5327 X5102 X5078 X5073 X5048 X4947 X4928 X4826:X4827 X4822 X4818:X4819 X4764 X4717 X4711 X4651:X4652 X4629 X4577 X4528 X4518:X4519 X4420 X4313 X4200 X3969 X3960 X3954 X3649:X3650 X3619 X3614:X3615 X3602 X3589 X3490 X3480 X3399 X3382 X3348 X3303 X3285 X3214 X3149 X3136 X3130:X3131 X2729 X2699 X2653 X2419:X2420 X2286 X1315 X1173 X1108 X1083 X1057 X1011 X986 X945 X902 X714 X677 X566 X357 X236 X173 X168 X163 X133 X47" xr:uid="{00000000-0002-0000-0000-000004000000}">
      <formula1>18</formula1>
    </dataValidation>
    <dataValidation type="whole" operator="lessThanOrEqual" allowBlank="1" showErrorMessage="1" errorTitle="Неверно" error="Заказ не может быть больше Наличия" sqref="X10 X5310:X5312 X5305:X5306 X5303 X5298 X5287 X5283:X5284 X5274 X5261 X5258 X5228 X5201 X5199 X5182 X5177 X5168 X5166 X5163 X5161 X5159 X5156:X5157 X5153:X5154 X5144:X5147 X5136:X5139 X5129 X5116 X5107:X5109 X5103 X5097 X5087:X5091 X5084 X5081:X5082 X5031 X5000:X5002 X4993 X4986 X4975 X4972 X4970 X4966 X4938 X4931 X4929 X4925 X4917 X4915 X4908 X4906 X4887 X4882 X4855:X4856 X4849 X4833 X4811 X4803 X4801 X4761 X4693 X4662 X4659 X4656:X4657 X4648 X4644 X4637 X4611 X4602 X4592 X4586 X4569:X4573 X4556 X4549 X4543 X4531 X4525 X4522 X4508 X4494 X4488 X4485 X4476 X4460 X4456:X4457 X4410 X4369 X4367 X4361:X4362 X4332:X4334 X4329:X4330 X4326 X4321 X4297:X4301 X4295 X4291:X4293 X4276 X4266:X4267 X4261 X4258 X4252:X4253 X4250 X4248 X4246 X4236 X4230 X4225 X4213 X4181:X4186 X4179 X4176 X4174 X4169:X4171 X4158:X4167 X4155:X4156 X4127 X4100 X4096:X4097 X4093 X4091 X4089 X4080 X4073:X4077 X4071 X4066:X4068 X4063:X4064 X4061 X4059 X4057 X4049 X4044 X4034:X4035 X4027 X4024 X4010 X4008 X4005 X4003 X3966 X3917 X3892 X3885:X3886 X3882 X3876 X3866 X3844 X3838 X3836 X3822 X3818 X3815:X3816 X3813 X3797 X3780:X3782 X3778 X3776 X3772 X3757 X3719 X3710:X3711 X3704 X3698 X3696 X3676:X3681 X3674 X3660 X3656:X3657 X3634:X3636 X3628:X3629 X3625:X3626 X3603:X3604 X3572 X3566 X3560 X3558 X3544:X3548 X3538:X3540 X3536 X3532 X3529 X3527 X3523 X3520 X3516 X3514 X3510:X3511 X3506 X3498 X3493:X3495 X3475:X3476 X3472 X3468:X3470 X3459:X3461 X3455:X3456 X3453 X3446:X3449 X3438:X3444 X3435:X3436 X3432 X3429 X3426 X3421:X3423 X3419 X3417 X3396:X3397 X3373 X3368 X3366 X3361 X3355 X3341 X3338 X3336 X3331:X3333 X3322:X3323 X3320 X3304 X3296 X3293:X3294 X3290:X3291 X3288 X3275 X3266 X3263:X3264 X3255:X3256 X3250:X3251 X3247:X3248 X3236:X3242 X3234 X3227:X3228 X3204 X3195 X3193 X3185:X3186 X3181 X3179 X3177 X3169 X3162 X3160 X3145 X3139:X3140 X3123 X3120:X3121 X3102:X3104 X3063 X3046 X3030 X3027 X3019:X3024 X3014 X2990 X2975 X2965:X2966 X2963 X2956:X2957 X2948 X2944:X2946 X2941:X2942 X2938 X2933 X2928 X2922 X2914:X2915 X2898:X2899 X2887 X2884 X2881:X2882 X2875:X2876 X2870:X2871 X2848 X2843:X2845 X2841 X2836:X2838 X2833:X2834 X2822 X2820 X2814 X2803 X2800 X2797 X2787:X2795 X2780:X2785 X2768:X2770 X2761:X2765 X2758 X2753:X2754 X2730 X2724 X2711 X2708:X2709 X2660:X2673 X2657 X2646 X2643 X2615:X2616 X2585 X2554 X2544 X2540 X2521 X2518:X2519 X2509:X2510 X2505:X2506 X2497 X2473 X2470:X2471 X2457 X2450:X2452 X2446 X2444 X2435:X2440 X2431 X2429 X2408 X2404 X2396 X2390:X2392 X2384:X2388 X2380 X2360 X2354:X2358 X2350:X2352 X2345:X2347 X2335:X2337 X2330 X2324 X2315:X2317 X2311 X2307 X2304 X2299:X2300 X2293:X2297 X2289 X2280 X2276:X2277 X2273 X2264:X2268 X2258:X2262 X2249 X2245 X2237 X2232:X2234 X2230 X2226:X2228 X2222:X2224 X2217:X2218 X2215 X2209:X2210 X2203 X2174 X2162 X2150:X2155 X2147:X2148 X2145 X2139:X2142 X2136:X2137 X2133:X2134 X2131 X2126:X2127 X2122:X2124 X2103 X2099 X2089 X2084:X2085 X2082 X2079 X2065:X2066 X2056:X2058 X2053:X2054 X2049:X2051 X2045:X2047 X2039:X2041 X2036 X2033 X2029:X2031 X2027 X2011 X2009 X2002:X2003 X1990:X1994 X1986 X1983:X1984 X1980 X1978 X1974 X1968:X1971 X1954:X1962 X1946:X1950 X1943:X1944 X1939:X1940 X1935:X1937 X1930:X1931 X1924:X1926 X1919 X1915 X1910:X1911 X1903:X1908 X1897 X1890:X1895 X1884 X1879:X1881 X1876 X1872:X1873 X1870 X1864:X1868 X1861:X1862 X1858 X1856 X1851 X1848 X1846 X1842:X1844 X1838:X1839 X1831:X1833 X1829 X1825:X1827 X1820:X1823 X1816 X1812:X1813 X1808 X1804:X1805 X1794:X1795 X1790 X1782:X1784 X1773 X1768 X1764 X1760 X1758 X1756 X1746 X1744 X1738:X1740 X1733:X1734 X1728 X1710 X1704 X1692:X1701 X1690 X1688 X1683 X1676 X1673:X1674 X1666:X1671 X1663 X1660 X1652:X1658 X1646 X1642:X1644 X1637:X1640 X1635 X1632:X1633 X1627:X1630 X1619:X1623 X1615:X1617 X1611:X1613 X1599:X1609 X1597 X1592:X1595 X1584:X1590 X1581 X1569:X1578 X1566 X1563 X1558:X1559 X1556 X1553:X1554 X1526 X1512 X1503:X1504 X1498:X1499 X1493:X1494 X1490 X1485 X1483 X1479:X1480 X1473:X1474 X1448 X1439:X1444 X1436:X1437 X1432 X1425:X1427 X1422 X1398:X1399 X1377:X1379 X1373:X1375 X1364 X1352:X1354 X1347 X1345 X1343 X1334 X1330 X1327 X1311 X1307 X1305 X1302:X1303 X1300 X1296:X1297 X1287:X1292 X1284:X1285 X1279 X1262:X1265 X1248:X1250 X1246 X1244 X1239 X1218 X1215 X1210 X1207:X1208 X1202 X1196 X1190:X1191 X1187 X1180 X1176:X1178 X1174 X1172 X1169:X1170 X1160 X1158 X1150 X1138 X1135 X1132 X1129 X1124 X1113 X1109 X1105 X1059 X1049 X1033:X1035 X1010 X972 X958 X910:X911 X850 X844 X841:X842 X819:X824 X815 X812 X810 X802:X805 X797:X800 X793 X788 X762 X752 X749 X738:X739 X732:X733 X727 X722:X724 X720 X718 X715 X709:X711 X703:X704 X690 X688 X634 X624 X602:X604 X594 X591 X584 X579 X577 X570:X571 X557 X550:X554 X542 X537:X540 X534:X535 X524 X476:X477 X472 X467 X464 X456 X446 X427:X428 X419:X420 X417 X414:X415 X396 X371:X373 X368:X369 X362 X356 X353 X347:X350 X345 X342:X343 X339 X333:X337 X325 X317 X314 X286 X252:X253 X250 X244:X248 X240:X242 X229 X219 X215:X217 X209 X204 X202 X197:X200 X194:X195 X192 X188:X190 X186 X184 X180:X181 X109 X107 X82 X76:X79 X72:X74 X67:X70 X50 X42:X43 X38 X27:X28 X12" xr:uid="{00000000-0002-0000-0000-000006000000}">
      <formula1>1</formula1>
    </dataValidation>
    <dataValidation type="whole" operator="lessThanOrEqual" allowBlank="1" showErrorMessage="1" errorTitle="Неверно" error="Заказ не может быть больше Наличия" sqref="X11 X5344 X5334 X5319 X5313 X5308 X5295 X5281 X5276 X5267 X5252:X5253 X5248:X5249 X5238 X5205 X5200 X5174 X5162 X5131 X5123 X5113 X5106 X5066 X5055 X5029 X4989 X4973 X4969 X4960:X4961 X4946 X4939:X4940 X4932 X4930 X4902 X4896 X4891:X4892 X4853 X4795 X4760 X4720 X4708 X4691:X4692 X4655 X4650 X4643 X4633:X4634 X4631 X4606:X4609 X4598 X4565 X4561 X4540:X4541 X4536 X4526 X4513 X4511 X4506 X4490 X4487 X4477 X4470 X4417 X4411 X4408 X4397 X4376 X4343:X4345 X4288 X4274 X4269 X4255:X4256 X4251 X4243 X4237:X4239 X4231 X4217 X4207 X4197 X4157 X4116 X4112 X4033 X3893 X3889 X3860 X3833 X3758 X3738 X3724 X3716 X3703 X3699:X3700 X3673 X3633 X3630 X3622:X3624 X3598 X3451 X3428 X3345 X3316 X3310 X3289 X3265 X3259 X3202 X3180 X3133 X3124 X3101 X3056 X3013 X3011 X3001:X3002 X2991:X2992 X2983 X2973:X2974 X2971 X2969 X2961 X2959 X2949 X2926 X2916:X2917 X2913 X2905 X2903 X2900:X2901 X2896:X2897 X2894 X2885 X2883 X2874 X2866:X2869 X2856 X2854 X2835 X2823 X2816 X2805 X2802 X2760 X2751 X2743 X2727:X2728 X2717 X2706 X2703:X2704 X2692 X2686:X2687 X2656 X2645 X2641 X2627 X2619 X2617 X2606 X2587:X2588 X2574:X2575 X2567 X2565 X2556 X2551 X2541:X2542 X2532:X2534 X2523 X2503 X2486 X2479:X2480 X2442 X2409 X2406 X2378 X2363 X2340 X2310 X2305 X2292 X2290 X2272 X2251 X2243 X2235 X2192 X2121 X2115:X2116 X2108 X2086 X2075 X2073 X2021:X2022 X2014 X2008 X2004 X1999 X1929 X1889 X1886 X1877:X1878 X1874 X1840 X1835 X1803 X1788 X1785:X1786 X1781 X1777 X1762 X1751 X1748:X1749 X1742 X1725 X1715 X1712:X1713 X1680 X1520 X1501 X1496 X1476 X1461 X1447 X1445 X1430 X1420 X1411 X1405 X1397 X1368:X1369 X1365 X1358 X1348 X1328:X1329 X1325 X1321 X1308:X1309 X1283 X1272 X1269 X1267 X1259 X1235 X1192 X1175 X1162 X1139:X1140 X1115:X1116 X1106 X1102 X1099 X1090 X1063 X1031 X953 X907 X860 X817 X807 X781 X729 X716 X693 X687 X678 X666 X642 X617 X605 X595 X590 X586 X572 X558 X543 X531 X527:X528 X518 X509 X504 X494 X484 X479 X454 X403 X398:X399 X390 X375:X376 X346 X322 X296:X297 X290 X284 X267 X263 X251 X249 X228 X208 X206 X175 X159 X149 X144 X142 X140 X115 X100 X97:X98 X87:X88 X53 X49 X41 X37 X35 X19" xr:uid="{00000000-0002-0000-0000-000007000000}">
      <formula1>4</formula1>
    </dataValidation>
    <dataValidation type="whole" operator="lessThanOrEqual" allowBlank="1" showErrorMessage="1" errorTitle="Неверно" error="Заказ не может быть больше Наличия" sqref="X5353 X5342 X5263 X5257 X5243 X5226 X5213 X5208:X5209 X5192:X5193 X5189 X5120 X5118 X5101 X5096 X5069 X5059 X5036 X5032 X4996 X4982 X4978 X4950 X4944 X4936 X4911 X4909 X4901 X4899 X4888 X4885 X4881 X4860 X4845 X4843 X4770 X4768 X4754 X4748 X4725 X4721 X4719 X4667 X4624 X4595 X4585 X4579 X4558 X4550 X4542 X4524 X4491 X4471 X4433 X4403 X4392 X4377 X4365:X4366 X4325 X4278 X4254 X4218 X4129 X4113 X4109 X4106 X4104 X4084 X4060 X4014 X3989:X3990 X3958 X3930 X3867 X3864 X3854 X3843 X3837 X3747 X3739 X3726 X3720 X3709 X3658 X3631 X3617 X3526 X3474 X3463:X3464 X3384 X3342 X3339 X3307 X3273 X3271 X3225 X3211 X3196 X3150 X3138 X3096 X3089 X3064 X3043 X3038 X3036 X3009 X2994:X2995 X2972 X2952 X2865 X2858 X2826 X2752 X2732:X2734 X2720 X2713 X2691 X2682:X2683 X2675:X2676 X2624 X2622 X2560 X2549 X2526 X2341 X2320 X2248 X2176 X2165 X2156 X2120 X2081 X2072 X2023:X2025 X1799 X1708 X1705 X1522 X1518 X1486 X1464 X1462 X1417:X1418 X1413:X1414 X1361 X1340 X1332 X1282 X1274 X1200 X1186 X1184 X1181 X1167 X1143 X1112 X1107 X1067 X977:X978 X881 X794 X791 X695 X680 X674 X629 X625 X611 X608 X606 X593 X588 X574 X560 X548 X546 X526 X511 X502 X481:X482 X457 X453 X443:X444 X440 X435 X391 X385 X329 X321 X309 X291 X210 X185 X137 X108 X63 X55 X46 X39:X40 X26 X21 X15:X16" xr:uid="{00000000-0002-0000-0000-00000B000000}">
      <formula1>8</formula1>
    </dataValidation>
    <dataValidation type="whole" operator="lessThanOrEqual" allowBlank="1" showErrorMessage="1" errorTitle="Неверно" error="Заказ не может быть больше Наличия" sqref="X17 X5324 X5301:X5302 X5293 X5273 X5259 X5250:X5251 X5229 X5218:X5219 X5203:X5204 X5187 X5181 X5178:X5179 X5175 X5165 X5151:X5152 X5148 X5143 X5115 X5110 X5085 X5033 X5028 X5005:X5006 X5003 X4994 X4985 X4979 X4968 X4965 X4942 X4934 X4916 X4913 X4884 X4861 X4854 X4842 X4810 X4805 X4790 X4707 X4700:X4701 X4698 X4681 X4647 X4642 X4638 X4612 X4605 X4568 X4562:X4563 X4557 X4548 X4516 X4469 X4458:X4459 X4444 X4429 X4421:X4422 X4412:X4413 X4368 X4360 X4316 X4314 X4296 X4294 X4286 X4259 X4249 X4224 X4220 X4212 X4209 X4206 X4204 X4180 X4177 X4175 X4173 X4168 X4092 X4065 X4058 X4056 X4054 X4051 X4040 X4036:X4037 X4032 X3984 X3910 X3890 X3888 X3884 X3825 X3814 X3769 X3762 X3744 X3682 X3637 X3612 X3596 X3559 X3524 X3519 X3509 X3505 X3473 X3467 X3465 X3458 X3445 X3437 X3418 X3411 X3395 X3380 X3374 X3362:X3363 X3360 X3327 X3305 X3295 X3278:X3279 X3261:X3262 X3245 X3226 X3206:X3207 X3176 X3157 X3122 X3084 X3055 X3037 X3029 X3010 X3000 X2988 X2982 X2980 X2968 X2964 X2960 X2958 X2937 X2927 X2924 X2920 X2918 X2904 X2902 X2890 X2877:X2879 X2873 X2857 X2855 X2853 X2846:X2847 X2842 X2840 X2830 X2821 X2817:X2818 X2815 X2798 X2796 X2735 X2722 X2712 X2695 X2684:X2685 X2658 X2648 X2625 X2618 X2572:X2573 X2563:X2564 X2557 X2555 X2543 X2537 X2522 X2517 X2494:X2495 X2472 X2467 X2433 X2369 X2361 X2353 X2348 X2339 X2332 X2321 X2318 X2301 X2278 X2274 X2256 X2254 X2239 X2229 X2219 X2212:X2213 X2208 X2181:X2182 X2172:X2173 X2143:X2144 X2125 X2109:X2110 X2100:X2101 X2080 X2060 X2052 X2042 X2026 X2010 X2006 X1989 X1987 X1981 X1975 X1923 X1902 X1896 X1869 X1853 X1850 X1845 X1837 X1834 X1817:X1818 X1814:X1815 X1802 X1792:X1793 X1789 X1779 X1774:X1775 X1770 X1765 X1763 X1755 X1752 X1745 X1729 X1706 X1672 X1664:X1665 X1649 X1631 X1625 X1610 X1598 X1583 X1579 X1567 X1564:X1565 X1555 X1524 X1495 X1491:X1492 X1489 X1459:X1460 X1454 X1431 X1423:X1424 X1421 X1372 X1366 X1356 X1351 X1346 X1341 X1331 X1326 X1323 X1306 X1304 X1298:X1299 X1293:X1295 X1260:X1261 X1243 X1238 X1227:X1228 X1225 X1221 X1219 X1214 X1204 X1193 X1171 X1168 X1159 X1152 X1147 X1136 X1120 X1093 X1078 X1058 X1056 X996 X920 X859 X857 X845 X843 X840 X825:X827 X806 X790 X787 X783 X773:X774 X769 X754 X721 X702 X643 X637 X621 X618:X619 X592 X578 X564 X555 X549 X533 X525 X522 X519 X508 X505 X499:X500 X471 X468 X451 X449 X441 X429 X424 X412 X401 X386 X377 X374 X360 X355 X344 X318 X315 X312 X308 X302:X303 X300 X292:X293 X289 X285 X280 X278 X203 X201 X183 X120 X93 X89 X81 X57 X45 X30 X23" xr:uid="{00000000-0002-0000-0000-00000D000000}">
      <formula1>3</formula1>
    </dataValidation>
    <dataValidation type="whole" operator="lessThanOrEqual" allowBlank="1" showErrorMessage="1" errorTitle="Неверно" error="Заказ не может быть больше Наличия" sqref="X20 X5332 X5329 X5314 X5300 X5275 X5271 X5260 X5225 X5191 X5173 X5132 X5130 X5126 X5124 X5119 X5104 X5047 X5041 X5039 X5021 X5019 X5014 X5011 X5008:X5009 X4914 X4912 X4880 X4858 X4829 X4816 X4808:X4809 X4806 X4774 X4753 X4743 X4738:X4739 X4733 X4727:X4728 X4724 X4718 X4709 X4706 X4702 X4623 X4537 X4504 X4483 X4479 X4467 X4463:X4464 X4450 X4436 X4374:X4375 X4337 X4308 X4280 X4277 X4264 X4262 X4228 X4223 X4219 X4199 X4194 X4188:X4189 X4141:X4142 X4136:X4137 X4055 X3995 X3963 X3941 X3936 X3855 X3850 X3842 X3826 X3823 X3796 X3751 X3701:X3702 X3661 X3653 X3645 X3618 X3588 X3585 X3578 X3573 X3564 X3481 X3479 X3424 X3408 X3406 X3392 X3387 X3381 X3365 X3352 X3252 X3212 X3178 X3154 X3135 X3126 X3119 X3113 X3082 X3079 X2985 X2970 X2850 X2828 X2813 X2716 X2701 X2696 X2679 X2610:X2611 X2608 X2576:X2577 X2550 X2535 X2524 X2511 X2492 X2427 X2382 X2376 X2242 X2200 X2180 X2169 X2114 X2112 X2107 X2087 X2076 X2070 X2015 X1901 X1798 X1723 X1716 X1707 X1686 X1550 X1531 X1488 X1469 X1449 X1389 X1312:X1313 X1234 X1198 X1148 X1130 X1122 X1118 X1070 X1050 X1046 X1005 X994 X957 X950 X948 X855 X847 X834:X835 X737 X675 X662 X654 X616 X544 X434 X323 X179 X174 X146:X148 X139 X134 X126 X123 X99 X85" xr:uid="{00000000-0002-0000-0000-000010000000}">
      <formula1>11</formula1>
    </dataValidation>
    <dataValidation type="whole" operator="lessThanOrEqual" allowBlank="1" showErrorMessage="1" errorTitle="Неверно" error="Заказ не может быть больше Наличия" sqref="X22 X5330 X5323 X5299 X5289 X5282 X5280 X5278 X5272 X5268 X5211:X5212 X5206 X5198 X5167 X5133 X5127 X5117 X5112 X5067 X5064:X5065 X5060 X5050 X5045 X5030 X5025 X5017 X4997 X4987 X4984 X4954 X4927 X4924 X4889 X4883 X4857 X4837:X4838 X4800 X4796 X4769 X4755 X4749 X4714:X4715 X4649 X4641 X4639 X4621 X4618 X4610 X4603:X4604 X4593 X4553 X4529:X4530 X4496 X4489 X4473 X4451:X4452 X4423 X4391 X4354 X4351:X4352 X4339 X4260 X4257 X4205 X4154 X4150 X4140 X4135 X4130 X4125 X4082 X4079 X4015 X4009 X4002 X3971 X3968 X3965 X3953 X3934 X3907 X3859 X3848 X3834 X3773 X3770 X3745 X3733 X3665 X3609 X3518 X3513 X3508 X3502 X3462 X3457 X3434 X3401 X3386 X3353 X3346 X3330 X3324 X3319 X3315 X3306 X3286 X3276 X3260 X3258 X3253:X3254 X3246 X3244 X3223:X3224 X3200 X3187 X3155 X3137 X3125 X3112 X3109 X3100 X3091 X3081 X3070 X3042 X3032 X3017:X3018 X3015 X3012 X3008 X3006 X2999 X2993 X2984 X2977:X2979 X2955 X2953 X2950 X2940 X2935:X2936 X2930 X2925 X2923 X2912 X2895 X2891:X2892 X2886 X2880 X2872 X2824 X2819 X2804 X2786 X2778 X2774 X2771 X2757 X2755 X2744 X2737 X2693 X2659 X2630:X2631 X2628 X2620 X2613:X2614 X2607 X2586 X2571 X2553 X2545 X2538:X2539 X2536 X2498 X2476 X2458 X2443 X2413 X2379 X2372 X2362 X2344 X2333 X2329 X2309 X2298 X2288 X2281 X2270 X2253 X2214 X2202 X2179 X2171 X2098 X2005 X1988 X1976 X1972 X1963:X1964 X1953 X1933:X1934 X1928 X1900 X1871 X1855 X1847 X1806:X1807 X1796 X1787 X1767 X1691 X1684 X1678 X1650 X1614 X1562 X1560 X1545 X1525 X1505 X1502 X1500 X1487 X1477 X1467 X1457 X1453 X1428 X1419 X1412 X1396 X1388 X1359:X1360 X1338:X1339 X1324 X1318 X1310 X1276 X1273 X1270 X1226 X1223 X1211 X1203 X1201 X1185 X1134 X1125 X1123 X1069 X1060 X1040 X971 X969 X951 X858 X856 X849 X837:X838 X808 X796 X789 X786 X770 X767:X768 X753 X751 X748 X707 X694 X665 X641 X636 X596 X582 X576 X569 X567 X563 X529 X523 X517 X498 X463 X445 X422 X410:X411 X404 X389 X380 X361 X332 X311 X305:X306 X298 X282 X272:X273 X224 X160 X145 X135 X125 X111 X102:X106 X96 X91 X86 X75 X71" xr:uid="{00000000-0002-0000-0000-000012000000}">
      <formula1>5</formula1>
    </dataValidation>
    <dataValidation type="whole" operator="lessThanOrEqual" allowBlank="1" showErrorMessage="1" errorTitle="Неверно" error="Заказ не может быть больше Наличия" sqref="X29 X5321 X5318 X5297 X5231 X5207 X5202 X5149 X5122 X5114 X5061 X5037 X5034 X4983 X4981 X4956 X4933 X4919 X4895 X4859 X4852 X4848 X4807 X4802 X4645 X4640 X4627 X4614 X4601 X4599 X4597 X4545:X4546 X4510 X4486 X4465 X4462 X4453 X4446 X4434 X4430 X4428 X4402 X4396 X4359 X4342 X4327 X4317 X4305:X4306 X4302 X4283 X4232 X4226:X4227 X4216 X4191 X4178 X4134 X4124 X4118 X4115 X4101 X4086 X4043 X4006 X3909 X3903 X3881 X3874 X3858 X3847 X3820 X3811 X3767 X3743 X3728 X3690 X3667 X3616 X3600 X3587 X3525 X3521:X3522 X3507 X3420 X3416 X3398 X3377 X3375 X3369 X3351 X3340 X3337 X3314 X3281 X3277 X3210 X3203 X3188 X3114 X3097 X3087 X3076 X3073 X3059:X3060 X3044 X3016 X2987 X2929 X2907 X2859 X2839 X2829 X2825 X2779 X2756 X2718 X2694 X2688:X2690 X2654 X2644 X2623 X2570 X2546 X2525 X2516 X2487 X2424 X2349 X2338 X2331 X2325 X2240:X2241 X2238 X2163:X2164 X2104 X2078 X2074 X2064 X2001 X1998 X1951 X1899 X1797 X1780 X1778 X1776 X1753 X1732 X1717 X1677 X1626 X1561 X1521 X1470:X1471 X1456 X1438 X1387 X1371 X1319 X1278 X1230 X1212:X1213 X1199 X1188 X1163 X1151 X1146 X1133 X1128 X1119 X1114 X1100 X1097 X882 X846 X828 X814 X782 X706 X685 X670 X633 X627 X615 X612 X589 X575 X520 X501 X462 X313 X307 X301 X294 X288 X143" xr:uid="{00000000-0002-0000-0000-000019000000}">
      <formula1>7</formula1>
    </dataValidation>
    <dataValidation type="whole" operator="lessThanOrEqual" allowBlank="1" showErrorMessage="1" errorTitle="Неверно" error="Заказ не может быть больше Наличия" sqref="X31 X5351 X5320 X5317 X5240 X5222 X5214 X5196 X5125 X5068 X5038 X5020 X5010 X4894 X4832 X4778 X4723 X4567 X4538 X4503 X4500 X4480 X4406 X4373 X4323 X4315 X4303 X4263 X4210 X4190 X4133 X4122 X4094 X4069 X4029 X3993 X3975 X3962 X3931 X3918 X3900 X3897 X3894 X3891 X3861 X3806 X3801 X3786 X3683 X3662 X3651 X3642 X3638 X3415 X3389 X3371 X3347 X3334 X3274 X3268 X3116 X3058 X2932 X2862 X2851:X2852 X2750 X2714 X2652 X2582 X2548 X2528 X2491 X2461 X2425 X2411 X2375 X2326 X2178 X2069 X2016 X2007 X1718 X1651 X1395 X1355 X1317 X1194 X1126 X1064 X1053 X1044 X1009 X1007 X973 X927 X867 X836 X778 X697 X581 X394 X384 X211 X153 X84 X60" xr:uid="{00000000-0002-0000-0000-00001B000000}">
      <formula1>14</formula1>
    </dataValidation>
    <dataValidation type="whole" operator="lessThanOrEqual" allowBlank="1" showErrorMessage="1" errorTitle="Неверно" error="Заказ не может быть больше Наличия" sqref="X32 X5336 X5328 X5322 X5296 X5164 X5099 X5093 X5058 X5024 X4948 X4921 X4874 X4863 X4831 X4824 X4820:X4821 X4817 X4815 X4799 X4788 X4773 X4765 X4742 X4712 X4697 X4689 X4636 X4630 X4628 X4626 X4596 X4559 X4495 X4481 X4399 X4395 X4304 X4148 X4022 X3977 X3959 X3939 X3929 X3925:X3926 X3880 X3877 X3873 X3871 X3764 X3732 X3689 X3671 X3669 X3654 X3652 X3593 X3570 X3504 X3500 X3497 X3356 X3335 X3299 X3283 X3213 X3166 X3134 X3051 X2807 X2715 X2651 X2604 X2600 X2592:X2595 X2500 X2483 X2481 X2464 X2374 X2367 X2284 X2185 X2177 X2175 X1719 X1392 X1390 X1384 X1320 X1314 X1166 X1098 X1089 X1047 X1000 X997 X968 X909 X877 X761 X755 X712 X699:X700 X676 X653 X644 X638 X573 X433 X421 X405 X283 X268 X237 X122 X116:X117 X61 X34" xr:uid="{00000000-0002-0000-0000-00001C000000}">
      <formula1>15</formula1>
    </dataValidation>
    <dataValidation type="whole" operator="lessThanOrEqual" allowBlank="1" showErrorMessage="1" errorTitle="Неверно" error="Заказ не может быть больше Наличия" sqref="X33 X5347 X5247 X5242 X5237 X5230 X5217 X5215 X5197 X5079 X5076:X5077 X5074 X5071:X5072 X5054 X5052 X5049 X5018 X5013 X4898 X4846 X4841 X4767 X4690 X4682 X4590 X4539 X4535 X4533 X4447 X4443 X4427 X4401 X4380 X4284 X4198 X4193 X4146 X4016 X4011 X4007 X3979 X3976 X3950 X3942 X3937:X3938 X3924 X3763 X3736 X3712 X3684 X3672 X3664 X3655 X3648 X3599 X3499 X3491 X3488:X3489 X3486 X3483:X3484 X3478 X3452 X3413 X3403 X3391 X3383 X3359 X3318 X3164 X3159 X3144 X3110 X3085:X3086 X3078 X2908 X2860:X2861 X2827 X2609 X2512 X2488 X2422 X2418 X2415 X2327 X2287 X2269 X2190 X2170 X2158 X2113 X2105 X2071 X2017 X1979 X1824 X1547:X1549 X1541:X1544 X1535:X1538 X1532 X1529:X1530 X1516 X1510 X1507:X1508 X1450 X1415 X1385 X1382 X1337 X1197 X1182 X1088 X1043 X1022 X1016 X1006 X985 X979 X965 X959 X947 X941:X942 X936:X937 X932 X922 X900:X901 X896 X892 X887 X884 X672 X610 X547 X530 X514 X480 X439 X379 X328 X171:X172 X169 X166:X167 X164 X161:X162 X151 X131:X132 X118 X110 X66" xr:uid="{00000000-0002-0000-0000-00001D000000}">
      <formula1>12</formula1>
    </dataValidation>
    <dataValidation type="whole" operator="lessThanOrEqual" allowBlank="1" showErrorMessage="1" errorTitle="Неверно" error="Заказ не может быть больше Наличия" sqref="X36 X5343 X5333 X5331 X5309 X5292 X5266 X5264 X5239 X5227 X5194 X5186 X5176 X5150 X5098 X5075 X5070 X5040 X5035 X5022 X5012 X5007 X5004 X4990 X4964 X4962 X4959 X4953 X4907 X4905 X4897 X4893 X4890 X4871 X4850 X4834 X4804 X4750 X4646 X4615 X4587 X4554:X4555 X4544 X4521 X4515 X4512 X4505 X4493 X4454 X4440 X4407 X4355 X4353 X4346 X4335 X4331 X4328 X4324 X4310 X4290 X4282 X4279 X4235 X4233 X4208 X4203 X4192 X4187 X4145 X4126 X4120 X4114 X4107 X4102 X4098 X4088 X4070 X4052 X4048 X4038 X3964 X3935 X3932 X3912 X3908 X3898 X3887 X3883 X3849 X3832 X3830 X3828 X3821 X3802 X3793 X3775 X3737 X3727 X3725 X3717:X3718 X3668 X3659 X3632 X3601 X3577 X3571 X3561 X3557 X3541:X3542 X3512 X3487 X3482 X3477 X3450 X3412 X3407 X3402 X3367 X3364 X3325 X3321 X3311 X3287 X3282 X3257 X3233 X3209 X3192 X3182 X3173 X3163 X3098:X3099 X3088 X3045 X3026 X3007 X2998 X2976 X2951 X2931 X2921 X2919 X2893 X2849 X2799 X2775:X2777 X2759 X2741 X2738 X2710 X2681 X2674 X2626 X2621 X2589 X2568:X2569 X2566 X2552 X2504 X2485 X2478 X2432 X2370:X2371 X2322 X2312 X2308 X2282 X2191 X2183 X2159:X2161 X2138 X2102 X2097 X2077 X2067 X2059 X2020 X2012:X2013 X1995 X1982 X1965:X1966 X1952 X1913 X1859 X1836 X1819 X1811 X1766 X1743 X1714 X1711 X1687 X1685 X1679 X1662 X1596 X1546 X1539:X1540 X1533:X1534 X1527:X1528 X1466 X1458 X1433 X1409 X1404 X1400 X1380 X1363 X1344 X1335:X1336 X1280:X1281 X1277 X1275 X1271 X1268 X1251:X1253 X1242 X1154:X1155 X1141 X1121 X1096 X1091 X1072 X1066 X1054 X931 X905 X886 X848 X829 X792 X779 X775 X763 X728 X705 X701 X683 X664 X661 X635 X585 X562 X521 X503 X493 X452 X448 X408:X409 X400 X381 X279 X235 X207 X170 X165 X154 X150 X130 X124 X119 X113:X114 X94 X90 X64 X54" xr:uid="{00000000-0002-0000-0000-000020000000}">
      <formula1>6</formula1>
    </dataValidation>
    <dataValidation type="whole" operator="lessThanOrEqual" allowBlank="1" showErrorMessage="1" errorTitle="Неверно" error="Заказ не может быть больше Наличия" sqref="X58 X5269 X4877 X4676 X4426 X4222 X3996 X3946 X3808 X3799 X3713 X3708 X3574 X3033:X3034 X2412 X2167 X1918 X1164 X991 X976 X919 X908 X776 X640 X437" xr:uid="{00000000-0002-0000-0000-000036000000}">
      <formula1>23</formula1>
    </dataValidation>
    <dataValidation type="whole" operator="lessThanOrEqual" allowBlank="1" showErrorMessage="1" errorTitle="Неверно" error="Заказ не может быть больше Наличия" sqref="X59 X4703 X3981 X3945 X3879 X3172 X3128 X2198 X1038 X1013 X1003 X999 X981 X929 X868 X785 X490 X157" xr:uid="{00000000-0002-0000-0000-000037000000}">
      <formula1>28</formula1>
    </dataValidation>
    <dataValidation type="whole" operator="lessThanOrEqual" allowBlank="1" showErrorMessage="1" errorTitle="Неверно" error="Заказ не может быть больше Наличия" sqref="X65 X5326 X5290 X5170 X5095 X4813 X4791 X4782 X4763 X4751 X4740:X4741 X4716 X4688 X4589 X4582 X4576 X4348:X4349 X4012:X4013 X3997 X3978 X3919 X3839 X3742 X3687 X3639 X3620 X3496 X3344 X3309 X3232 X3230 X3189 X3094 X2725 X2094 X1515 X1086 X982 X917 X772 X757 X698 X692 X392 X383 X359 X270 X265" xr:uid="{00000000-0002-0000-0000-00003D000000}">
      <formula1>19</formula1>
    </dataValidation>
    <dataValidation type="whole" operator="lessThanOrEqual" allowBlank="1" showErrorMessage="1" errorTitle="Неверно" error="Заказ не может быть больше Наличия" sqref="X83 X5338 X5325 X5304 X5294 X5277 X5262 X5244 X5234 X5169 X5121 X5086 X5080 X5057 X5046 X5042 X5016 X4995 X4976 X4945 X4875:X4876 X4844 X4794 X4784 X4766 X4744 X4713 X4672:X4673 X4654 X4617 X4594 X4575 X4566 X4534 X4523 X4517 X4497 X4445 X4441 X4424 X4418 X4398 X4386 X4372 X4363 X4340 X4309 X4275 X4271 X4214 X4202 X4196 X4144 X4132 X4121 X4119 X4117 X4111 X4090 X4053 X4023 X4020 X3994 X3980 X3970 X3951 X3948:X3949 X3940 X3922 X3914 X3911 X3904 X3875 X3865 X3807 X3789 X3759 X3735 X3729 X3723 X3597 X3590 X3427 X3410 X3388 X3302 X3300 X3298 X3267 X3243 X3205 X3167 X3132 X3069 X3039 X3025 X3003 X2906 X2863 X2746 X2742 X2740 X2736 X2612 X2605 X2584 X2559 X2547 X2529:X2531 X2477 X2465 X2460 X2447 X2417 X2373 X2364 X2343 X2247 X2157 X2019 X1841 X1809 X1741 X1724 X1514 X1468 X1463 X1406 X1386 X1362 X1254 X1195 X1131 X1042 X1015 X970 X946 X876 X871 X758 X708 X696 X684 X668 X659 X656 X648:X649 X632 X626 X587 X583 X568 X515 X497 X465 X436 X430:X431 X395 X378 X341 X331 X327 X295 X271 X258 X239 X234 X213 X176:X177 X152 X141 X127 X101" xr:uid="{00000000-0002-0000-0000-00004F000000}">
      <formula1>9</formula1>
    </dataValidation>
    <dataValidation type="whole" operator="lessThanOrEqual" allowBlank="1" showErrorMessage="1" errorTitle="Неверно" error="Заказ не может быть больше Наличия" sqref="X92 X5348:X5349 X5339 X5337 X5291 X5279 X5256 X5232 X5223:X5224 X5185 X5063 X5056 X5051 X5044 X4952 X4949 X4943 X4922:X4923 X4836 X4830 X4828 X4812 X4792 X4789 X4785 X4779:X4780 X4775 X4734 X4729 X4683 X4620 X4584 X4580 X4560 X4498 X4492 X4472 X4416 X4387 X4385 X4381:X4382 X4364 X4358 X4347 X4338 X4322 X4287 X4272 X4270 X4242 X4215 X4201 X4149 X4147 X4139 X4131 X4110 X4108 X4103 X4099 X4087 X4042 X3999 X3985 X3983 X3952 X3943 X3913 X3899 X3872 X3835 X3831 X3810 X3795 X3792 X3787 X3755:X3756 X3749 X3695 X3663 X3646 X3594 X3582 X3576 X3414 X3409 X3404 X3390 X3379 X3165 X3092 X3083 X2996 X2986 X2911 X2864 X2721 X2702 X2650 X2647 X2638:X2640 X2632:X2633 X2596:X2599 X2590:X2591 X2578 X2561 X2558 X2501 X2493 X2484 X2466 X2459 X2383 X2381 X2377 X2342 X2319 X2201 X2111 X2106 X2095:X2096 X2018 X2000 X1973 X1921 X1854 X1722 X1675 X1517 X1513 X1509 X1506 X1465 X1429 X1407:X1408 X1394 X1383 X1381 X1342 X1258 X1153 X1149 X1142 X1055 X1020:X1021 X995 X989 X983:X984 X963:X964 X949 X926 X921 X913 X891 X883 X795 X780 X765 X750 X734 X686 X671 X658 X628 X601 X597 X580 X507 X469 X466 X461 X402 X367 X340 X276 X264 X262 X227 X220 X138 X136 X129" xr:uid="{00000000-0002-0000-0000-000058000000}">
      <formula1>10</formula1>
    </dataValidation>
    <dataValidation type="whole" operator="lessThanOrEqual" allowBlank="1" showErrorMessage="1" errorTitle="Неверно" error="Заказ не может быть больше Наличия" sqref="X121 X5350 X5346 X5340 X5255 X5241 X5190 X5043 X5023 X5015 X4974 X4870 X4866:X4867 X4762 X4759 X4756 X4752 X4747 X4737 X4732 X4722 X4699 X4694 X4686 X4684 X4677 X4653 X4625 X4619 X4482 X4432 X4404 X4400 X4393 X4390 X4234 X4153 X4123 X4019 X4000 X3998 X3973 X3961 X3947 X3868 X3845:X3846 X3824 X3803 X3791 X3783 X3761 X3748 X3715 X3621 X3581 X3567 X3393 X3028 X2909:X2910 X2801 X2747:X2748 X2731 X2697 X2634:X2637 X2514 X2421 X2403 X2285 X2188:X2189 X1721 X1416 X1316 X1117 X1052 X1048 X1027 X915 X906 X904 X885 X872 X863 X745 X682 X669 X647 X630 X600 X559 X495 X459 X393" xr:uid="{00000000-0002-0000-0000-000075000000}">
      <formula1>16</formula1>
    </dataValidation>
    <dataValidation type="whole" operator="lessThanOrEqual" allowBlank="1" showErrorMessage="1" errorTitle="Неверно" error="Заказ не может быть больше Наличия" sqref="X156 X5236 X5092 X4958 X4798 X4771 X4383 X4221 X4151 X3992 X3896 X3869 X3862 X3856 X3753 X3231 X3175 X3153 X3129 X3093 X1061 X1025 X1023 X1019 X1017 X967 X960 X943 X940 X928 X925 X923 X870 X833 X663 X432 X212" xr:uid="{00000000-0002-0000-0000-000098000000}">
      <formula1>22</formula1>
    </dataValidation>
    <dataValidation type="whole" operator="lessThanOrEqual" allowBlank="1" showErrorMessage="1" errorTitle="Неверно" error="Заказ не может быть больше Наличия" sqref="X225" xr:uid="{00000000-0002-0000-0000-0000DD000000}">
      <formula1>68</formula1>
    </dataValidation>
    <dataValidation type="whole" operator="lessThanOrEqual" allowBlank="1" showErrorMessage="1" errorTitle="Неверно" error="Заказ не может быть больше Наличия" sqref="X230 X3606 X725" xr:uid="{00000000-0002-0000-0000-0000E2000000}">
      <formula1>67</formula1>
    </dataValidation>
    <dataValidation type="whole" operator="lessThanOrEqual" allowBlank="1" showErrorMessage="1" errorTitle="Неверно" error="Заказ не может быть больше Наличия" sqref="X231" xr:uid="{00000000-0002-0000-0000-0000E3000000}">
      <formula1>96</formula1>
    </dataValidation>
    <dataValidation type="whole" operator="lessThanOrEqual" allowBlank="1" showErrorMessage="1" errorTitle="Неверно" error="Заказ не может быть больше Наличия" sqref="X232 X4664 X3067" xr:uid="{00000000-0002-0000-0000-0000E4000000}">
      <formula1>50</formula1>
    </dataValidation>
    <dataValidation type="whole" operator="lessThanOrEqual" allowBlank="1" showErrorMessage="1" errorTitle="Неверно" error="Заказ не может быть больше Наличия" sqref="X233 X4873 X4797 X4772 X4757:X4758 X4705 X4695:X4696 X4668 X4635 X4581 X4466 X4439 X4425 X4405 X4379 X3991 X3920 X3905 X3857 X3809 X3670 X3644 X3608 X3569 X3312 X3183 X3146 X3127 X3077 X3053 X2812 X2601:X2603 X2515 X2430 X2416 X2366 X2328 X2187 X2090 X1391 X1257 X1233 X1073 X1029 X1012 X980 X962 X954 X766 X746 X743 X545 X512 X496 X287 X261" xr:uid="{00000000-0002-0000-0000-0000E5000000}">
      <formula1>21</formula1>
    </dataValidation>
    <dataValidation type="whole" operator="lessThanOrEqual" allowBlank="1" showErrorMessage="1" errorTitle="Неверно" error="Заказ не может быть больше Наличия" sqref="X254" xr:uid="{00000000-0002-0000-0000-0000FA000000}">
      <formula1>58</formula1>
    </dataValidation>
    <dataValidation type="whole" operator="lessThanOrEqual" allowBlank="1" showErrorMessage="1" errorTitle="Неверно" error="Заказ не может быть больше Наличия" sqref="X255 X3555 X3550 X3071 X3061 X2399:X2400 X879" xr:uid="{00000000-0002-0000-0000-0000FB000000}">
      <formula1>40</formula1>
    </dataValidation>
    <dataValidation type="whole" operator="lessThanOrEqual" allowBlank="1" showErrorMessage="1" errorTitle="Неверно" error="Заказ не может быть больше Наличия" sqref="X256 X4678 X4674 X3343 X2426 X2196 X961 X874 X862 X747 X491" xr:uid="{00000000-0002-0000-0000-0000FC000000}">
      <formula1>33</formula1>
    </dataValidation>
    <dataValidation type="whole" operator="lessThanOrEqual" allowBlank="1" showErrorMessage="1" errorTitle="Неверно" error="Заказ не может быть больше Наличия" sqref="X257 X4746 X3722 X3714 X3693 X3562 X3219 X2410 X1451 X1110 X777 X756" xr:uid="{00000000-0002-0000-0000-0000FD000000}">
      <formula1>30</formula1>
    </dataValidation>
    <dataValidation type="whole" operator="lessThanOrEqual" allowBlank="1" showErrorMessage="1" errorTitle="Неверно" error="Заказ не может быть больше Наличия" sqref="X266 X4028 X4017 X3878 X3805 X3784:X3785 X3754 X3706 X3313 X3147 X3142 X2195 X1080 X1065 X878 X873" xr:uid="{00000000-0002-0000-0000-000006010000}">
      <formula1>27</formula1>
    </dataValidation>
    <dataValidation type="whole" operator="lessThanOrEqual" allowBlank="1" showErrorMessage="1" errorTitle="Неверно" error="Заказ не может быть больше Наличия" sqref="X354 X3851 X3741 X3605 X3221 X3174 X3075 X3057 X975 X914 X851 X736" xr:uid="{00000000-0002-0000-0000-00005E010000}">
      <formula1>29</formula1>
    </dataValidation>
    <dataValidation type="whole" operator="lessThanOrEqual" allowBlank="1" showErrorMessage="1" errorTitle="Неверно" error="Заказ не может быть больше Наличия" sqref="X358 X3047 X1037 X831 X744" xr:uid="{00000000-0002-0000-0000-000062010000}">
      <formula1>37</formula1>
    </dataValidation>
    <dataValidation type="whole" operator="lessThanOrEqual" allowBlank="1" showErrorMessage="1" errorTitle="Неверно" error="Заказ не может быть больше Наличия" sqref="X363 X5316 X5254 X4878 X4868:X4869 X4814 X4781 X4776 X4735:X4736 X4730:X4731 X4687 X4680 X4527 X4520 X4449 X4388:X4389 X4384 X4378 X4356:X4357 X4307 X4152 X3863 X3790 X3730 X3640 X3584 X3556 X3400 X3284 X3143 X3141 X2808 X2698 X2513 X2365 X1393 X1256 X1232 X1051 X1039 X1026 X1001 X998 X993 X990 X916 X912 X888 X875 X861 X639 X631 X598 X458 X406 X382" xr:uid="{00000000-0002-0000-0000-000067010000}">
      <formula1>20</formula1>
    </dataValidation>
    <dataValidation type="whole" operator="lessThanOrEqual" allowBlank="1" showErrorMessage="1" errorTitle="Неверно" error="Заказ не может быть больше Наличия" sqref="X364 X3065 X2401 X2092" xr:uid="{00000000-0002-0000-0000-000068010000}">
      <formula1>44</formula1>
    </dataValidation>
    <dataValidation type="whole" operator="lessThanOrEqual" allowBlank="1" showErrorMessage="1" errorTitle="Неверно" error="Заказ не может быть больше Наличия" sqref="X365 X3692 X2091 X1084 X1082 X1024 X1018 X939 X924 X760" xr:uid="{00000000-0002-0000-0000-000069010000}">
      <formula1>34</formula1>
    </dataValidation>
    <dataValidation type="whole" operator="lessThanOrEqual" allowBlank="1" showErrorMessage="1" errorTitle="Неверно" error="Заказ не может быть больше Наличия" sqref="X366 X5094 X3928 X3901 X3840 X3731 X3579 X3553 X3148 X3052 X3050 X2402 X1452 X1075 X1036 X944 X918 X880 X854 X830 X759 X599" xr:uid="{00000000-0002-0000-0000-00006A010000}">
      <formula1>26</formula1>
    </dataValidation>
    <dataValidation type="whole" operator="lessThanOrEqual" allowBlank="1" showErrorMessage="1" errorTitle="Неверно" error="Заказ не может быть больше Наличия" sqref="X691" xr:uid="{00000000-0002-0000-0000-0000AF020000}">
      <formula1>47</formula1>
    </dataValidation>
    <dataValidation type="whole" operator="lessThanOrEqual" allowBlank="1" showErrorMessage="1" errorTitle="Неверно" error="Заказ не может быть больше Наличия" sqref="X713 X3049 X1081" xr:uid="{00000000-0002-0000-0000-0000C5020000}">
      <formula1>46</formula1>
    </dataValidation>
    <dataValidation type="whole" operator="lessThanOrEqual" allowBlank="1" showErrorMessage="1" errorTitle="Неверно" error="Заказ не может быть больше Наличия" sqref="X726" xr:uid="{00000000-0002-0000-0000-0000D2020000}">
      <formula1>63</formula1>
    </dataValidation>
    <dataValidation type="whole" operator="lessThanOrEqual" allowBlank="1" showErrorMessage="1" errorTitle="Неверно" error="Заказ не может быть больше Наличия" sqref="X730 X3549" xr:uid="{00000000-0002-0000-0000-0000D6020000}">
      <formula1>41</formula1>
    </dataValidation>
    <dataValidation type="whole" operator="lessThanOrEqual" allowBlank="1" showErrorMessage="1" errorTitle="Неверно" error="Заказ не может быть больше Наличия" sqref="X735 X5235 X5105 X4663 X4438 X4431 X4312 X4072 X4018 X3986:X3987 X3957 X3927 X3895 X3870 X3841 X3760 X3721 X3592 X3580 X3575 X3563 X3152 X2809 X2428 X2414 X2199 X2194 X1095 X1068 X938 X935 X933 X899 X897 X895 X893" xr:uid="{00000000-0002-0000-0000-0000DB020000}">
      <formula1>24</formula1>
    </dataValidation>
    <dataValidation type="whole" operator="lessThanOrEqual" allowBlank="1" showErrorMessage="1" errorTitle="Неверно" error="Заказ не может быть больше Наличия" sqref="X740 X3217 X3072" xr:uid="{00000000-0002-0000-0000-0000E0020000}">
      <formula1>53</formula1>
    </dataValidation>
    <dataValidation type="whole" operator="lessThanOrEqual" allowBlank="1" showErrorMessage="1" errorTitle="Неверно" error="Заказ не может быть больше Наличия" sqref="X741 X3551 X987 X934 X898 X894" xr:uid="{00000000-0002-0000-0000-0000E1020000}">
      <formula1>36</formula1>
    </dataValidation>
    <dataValidation type="whole" operator="lessThanOrEqual" allowBlank="1" showErrorMessage="1" errorTitle="Неверно" error="Заказ не может быть больше Наличия" sqref="X742 X4669 X3215" xr:uid="{00000000-0002-0000-0000-0000E2020000}">
      <formula1>39</formula1>
    </dataValidation>
    <dataValidation type="whole" operator="lessThanOrEqual" allowBlank="1" showErrorMessage="1" errorTitle="Неверно" error="Заказ не может быть больше Наличия" sqref="X832 X4745 X4448 X3852 X3568 X3222 X3208 X2197 X2186 X1062 X1008 X992 X869" xr:uid="{00000000-0002-0000-0000-00003C030000}">
      <formula1>31</formula1>
    </dataValidation>
    <dataValidation type="whole" operator="lessThanOrEqual" allowBlank="1" showErrorMessage="1" errorTitle="Неверно" error="Заказ не может быть больше Наличия" sqref="X852" xr:uid="{00000000-0002-0000-0000-000050030000}">
      <formula1>54</formula1>
    </dataValidation>
    <dataValidation type="whole" operator="lessThanOrEqual" allowBlank="1" showErrorMessage="1" errorTitle="Неверно" error="Заказ не может быть больше Наличия" sqref="X853" xr:uid="{00000000-0002-0000-0000-000051030000}">
      <formula1>65</formula1>
    </dataValidation>
    <dataValidation type="whole" operator="lessThanOrEqual" allowBlank="1" showErrorMessage="1" errorTitle="Неверно" error="Заказ не может быть больше Наличия" sqref="X889 X4666 X3982 X3955 X3707 X3357 X1074" xr:uid="{00000000-0002-0000-0000-000075030000}">
      <formula1>32</formula1>
    </dataValidation>
    <dataValidation type="whole" operator="lessThanOrEqual" allowBlank="1" showErrorMessage="1" errorTitle="Неверно" error="Заказ не может быть больше Наличия" sqref="X1079 X4963 X4670 X3956 X3161 X3054" xr:uid="{00000000-0002-0000-0000-000033040000}">
      <formula1>38</formula1>
    </dataValidation>
    <dataValidation type="whole" operator="lessThanOrEqual" allowBlank="1" showErrorMessage="1" errorTitle="Неверно" error="Заказ не может быть больше Наличия" sqref="X1087 X4475 X4244 X3554" xr:uid="{00000000-0002-0000-0000-00003B040000}">
      <formula1>43</formula1>
    </dataValidation>
    <dataValidation type="whole" operator="lessThanOrEqual" allowBlank="1" showErrorMessage="1" errorTitle="Неверно" error="Заказ не может быть больше Наличия" sqref="X1111" xr:uid="{00000000-0002-0000-0000-000053040000}">
      <formula1>100</formula1>
    </dataValidation>
    <dataValidation type="whole" operator="lessThanOrEqual" allowBlank="1" showErrorMessage="1" errorTitle="Неверно" error="Заказ не может быть больше Наличия" sqref="X1165 X4241" xr:uid="{00000000-0002-0000-0000-000089040000}">
      <formula1>35</formula1>
    </dataValidation>
    <dataValidation type="whole" operator="lessThanOrEqual" allowBlank="1" showErrorMessage="1" errorTitle="Неверно" error="Заказ не может быть больше Наличия" sqref="X2093 X4955 X3607" xr:uid="{00000000-0002-0000-0000-000029080000}">
      <formula1>48</formula1>
    </dataValidation>
    <dataValidation type="whole" operator="lessThanOrEqual" allowBlank="1" showErrorMessage="1" errorTitle="Неверно" error="Заказ не может быть больше Наличия" sqref="X3035 X4665 X3074" xr:uid="{00000000-0002-0000-0000-0000D70B0000}">
      <formula1>57</formula1>
    </dataValidation>
    <dataValidation type="whole" operator="lessThanOrEqual" allowBlank="1" showErrorMessage="1" errorTitle="Неверно" error="Заказ не может быть больше Наличия" sqref="X3062" xr:uid="{00000000-0002-0000-0000-0000F20B0000}">
      <formula1>55</formula1>
    </dataValidation>
    <dataValidation type="whole" operator="lessThanOrEqual" allowBlank="1" showErrorMessage="1" errorTitle="Неверно" error="Заказ не может быть больше Наличия" sqref="X3066" xr:uid="{00000000-0002-0000-0000-0000F60B0000}">
      <formula1>64</formula1>
    </dataValidation>
    <dataValidation type="whole" operator="lessThanOrEqual" allowBlank="1" showErrorMessage="1" errorTitle="Неверно" error="Заказ не может быть больше Наличия" sqref="X3068" xr:uid="{00000000-0002-0000-0000-0000F80B0000}">
      <formula1>62</formula1>
    </dataValidation>
    <dataValidation type="whole" operator="lessThanOrEqual" allowBlank="1" showErrorMessage="1" errorTitle="Неверно" error="Заказ не может быть больше Наличия" sqref="X3170" xr:uid="{00000000-0002-0000-0000-00005E0C0000}">
      <formula1>74</formula1>
    </dataValidation>
    <dataValidation type="whole" operator="lessThanOrEqual" allowBlank="1" showErrorMessage="1" errorTitle="Неверно" error="Заказ не может быть больше Наличия" sqref="X3216 X3358" xr:uid="{00000000-0002-0000-0000-00008C0C0000}">
      <formula1>42</formula1>
    </dataValidation>
    <dataValidation type="whole" operator="lessThanOrEqual" allowBlank="1" showErrorMessage="1" errorTitle="Неверно" error="Заказ не может быть больше Наличия" sqref="X3220 X4679 X4268" xr:uid="{00000000-0002-0000-0000-0000900C0000}">
      <formula1>51</formula1>
    </dataValidation>
    <dataValidation type="whole" operator="lessThanOrEqual" allowBlank="1" showErrorMessage="1" errorTitle="Неверно" error="Заказ не может быть больше Наличия" sqref="X4045" xr:uid="{00000000-0002-0000-0000-0000C90F0000}">
      <formula1>79</formula1>
    </dataValidation>
    <dataValidation type="whole" operator="lessThanOrEqual" allowBlank="1" showErrorMessage="1" errorTitle="Неверно" error="Заказ не может быть больше Наличия" sqref="X4046" xr:uid="{00000000-0002-0000-0000-0000CA0F0000}">
      <formula1>152</formula1>
    </dataValidation>
    <dataValidation type="whole" operator="lessThanOrEqual" allowBlank="1" showErrorMessage="1" errorTitle="Неверно" error="Заказ не может быть больше Наличия" sqref="X4047" xr:uid="{00000000-0002-0000-0000-0000CB0F0000}">
      <formula1>95</formula1>
    </dataValidation>
    <dataValidation type="whole" operator="lessThanOrEqual" allowBlank="1" showErrorMessage="1" errorTitle="Неверно" error="Заказ не может быть больше Наличия" sqref="X4240" xr:uid="{00000000-0002-0000-0000-00008C100000}">
      <formula1>60</formula1>
    </dataValidation>
    <dataValidation type="whole" operator="lessThanOrEqual" allowBlank="1" showErrorMessage="1" errorTitle="Неверно" error="Заказ не может быть больше Наличия" sqref="X4245" xr:uid="{00000000-0002-0000-0000-000091100000}">
      <formula1>45</formula1>
    </dataValidation>
    <dataValidation type="whole" operator="lessThanOrEqual" allowBlank="1" showErrorMessage="1" errorTitle="Неверно" error="Заказ не может быть больше Наличия" sqref="X4247" xr:uid="{00000000-0002-0000-0000-000093100000}">
      <formula1>108</formula1>
    </dataValidation>
    <dataValidation type="whole" operator="lessThanOrEqual" allowBlank="1" showErrorMessage="1" errorTitle="Неверно" error="Заказ не может быть больше Наличия" sqref="X4675" xr:uid="{00000000-0002-0000-0000-00003F120000}">
      <formula1>52</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2" customWidth="1"/>
    <col min="2" max="3" width="31.75" style="42" customWidth="1"/>
    <col min="4" max="4" width="2.75" style="42" customWidth="1"/>
    <col min="5" max="5" width="35.75" style="43" customWidth="1"/>
    <col min="6" max="7" width="22.75" style="45" customWidth="1"/>
    <col min="8" max="8" width="2.75" style="43" customWidth="1"/>
    <col min="9" max="9" width="38.75" style="43" customWidth="1"/>
    <col min="10" max="11" width="16.75" style="45" customWidth="1"/>
    <col min="12" max="16384" width="9.1640625" style="42"/>
  </cols>
  <sheetData>
    <row r="1" spans="2:11" x14ac:dyDescent="0.45">
      <c r="E1" s="48" t="s">
        <v>4687</v>
      </c>
      <c r="F1" s="44"/>
      <c r="G1" s="49"/>
    </row>
    <row r="2" spans="2:11" x14ac:dyDescent="0.45">
      <c r="E2" s="46" t="s">
        <v>4688</v>
      </c>
      <c r="F2" s="50">
        <f>SUMPRODUCT(TDSheet!$Q$4:$Q$1048572,TDSheet!$X$4:$X$1048572)</f>
        <v>0</v>
      </c>
      <c r="G2" s="50"/>
      <c r="H2" s="51"/>
      <c r="I2" s="51"/>
      <c r="J2" s="52"/>
      <c r="K2" s="52"/>
    </row>
    <row r="3" spans="2:11" x14ac:dyDescent="0.45">
      <c r="B3" s="65"/>
      <c r="C3" s="65"/>
      <c r="E3" s="46" t="s">
        <v>4689</v>
      </c>
      <c r="F3" s="50" t="e">
        <f>SUMPRODUCT(TDSheet!#REF!,TDSheet!$X$4:$X$1048571)</f>
        <v>#REF!</v>
      </c>
      <c r="G3" s="50"/>
      <c r="H3" s="51"/>
      <c r="I3" s="51"/>
      <c r="J3" s="52"/>
      <c r="K3" s="52"/>
    </row>
    <row r="4" spans="2:11" x14ac:dyDescent="0.45">
      <c r="B4" s="63" t="s">
        <v>4686</v>
      </c>
      <c r="C4" s="64"/>
      <c r="E4" s="47" t="s">
        <v>4690</v>
      </c>
      <c r="F4" s="53" t="s">
        <v>4693</v>
      </c>
      <c r="G4" s="53" t="s">
        <v>4694</v>
      </c>
      <c r="H4" s="51"/>
      <c r="I4" s="53" t="s">
        <v>4695</v>
      </c>
      <c r="J4" s="53" t="s">
        <v>4696</v>
      </c>
      <c r="K4" s="53" t="s">
        <v>4694</v>
      </c>
    </row>
    <row r="5" spans="2:11" x14ac:dyDescent="0.45">
      <c r="B5" s="64"/>
      <c r="C5" s="64"/>
      <c r="E5" s="46" t="s">
        <v>741</v>
      </c>
      <c r="F5" s="50" t="e">
        <f>SUMPRODUCT(- -(TDSheet!$H$4:$H$1048569="Обувь"),TDSheet!#REF!,TDSheet!$X$4:$X$1048569)</f>
        <v>#REF!</v>
      </c>
      <c r="G5" s="50">
        <f>SUMIF(TDSheet!$H$4:$H$1048569,"Обувь",TDSheet!$X$4:$X$1048569)</f>
        <v>0</v>
      </c>
      <c r="H5" s="51"/>
      <c r="I5" s="54" t="s">
        <v>30</v>
      </c>
      <c r="J5" s="50" t="e">
        <f>SUMPRODUCT(- -(TDSheet!$K$4:$K$1048569="Мужчины"),TDSheet!#REF!,TDSheet!$X$4:$X$1048569)</f>
        <v>#REF!</v>
      </c>
      <c r="K5" s="50">
        <f>SUMIF(TDSheet!$K$4:$K$1048569,"Мужчины",TDSheet!$X$4:$X$1048569)</f>
        <v>0</v>
      </c>
    </row>
    <row r="6" spans="2:11" x14ac:dyDescent="0.45">
      <c r="B6" s="64"/>
      <c r="C6" s="64"/>
      <c r="E6" s="46" t="s">
        <v>27</v>
      </c>
      <c r="F6" s="50" t="e">
        <f>SUMPRODUCT(- -(TDSheet!$H$4:$H$1048569="Одежда"),TDSheet!#REF!,TDSheet!$X$4:$X$1048569)</f>
        <v>#REF!</v>
      </c>
      <c r="G6" s="50">
        <f>SUMIF(TDSheet!$H$4:$H$1048569,"Одежда",TDSheet!$X$4:$X$1048569)</f>
        <v>0</v>
      </c>
      <c r="H6" s="51"/>
      <c r="I6" s="54" t="s">
        <v>59</v>
      </c>
      <c r="J6" s="50" t="e">
        <f>SUMPRODUCT(- -(TDSheet!$K$4:$K$1048569="Женщины"),TDSheet!#REF!,TDSheet!$X$4:$X$1048569)</f>
        <v>#REF!</v>
      </c>
      <c r="K6" s="50">
        <f>SUMIF(TDSheet!$K$4:$K$1048569,"Женщины",TDSheet!$X$4:$X$1048569)</f>
        <v>0</v>
      </c>
    </row>
    <row r="7" spans="2:11" x14ac:dyDescent="0.45">
      <c r="B7" s="64"/>
      <c r="C7" s="64"/>
      <c r="E7" s="46" t="s">
        <v>721</v>
      </c>
      <c r="F7" s="50" t="e">
        <f>SUMPRODUCT(- -(TDSheet!$H$4:$H$1048569="Аксессуары"),TDSheet!#REF!,TDSheet!$X$4:$X$1048569)</f>
        <v>#REF!</v>
      </c>
      <c r="G7" s="50">
        <f>SUMIF(TDSheet!$H$4:$H$1048569,"Аксессуары",TDSheet!$X$4:$X$1048569)</f>
        <v>0</v>
      </c>
      <c r="H7" s="51"/>
      <c r="I7" s="54" t="s">
        <v>50</v>
      </c>
      <c r="J7" s="50" t="e">
        <f>SUMPRODUCT(- -(TDSheet!$K$4:$K$1048569="Дети"),TDSheet!#REF!,TDSheet!$X$4:$X$1048569)</f>
        <v>#REF!</v>
      </c>
      <c r="K7" s="50">
        <f>SUMIF(TDSheet!$K$4:$K$1048569,"Дети",TDSheet!$X$4:$X$1048569)</f>
        <v>0</v>
      </c>
    </row>
    <row r="8" spans="2:11" x14ac:dyDescent="0.45">
      <c r="B8" s="64"/>
      <c r="C8" s="64"/>
      <c r="E8" s="46" t="s">
        <v>4691</v>
      </c>
      <c r="F8" s="50" t="e">
        <f>SUMPRODUCT(- -(TDSheet!$H$4:$H$1048569="Спорт. Инвентарь"),TDSheet!#REF!,TDSheet!$X$4:$X$1048569)</f>
        <v>#REF!</v>
      </c>
      <c r="G8" s="50">
        <f>SUMIF(TDSheet!$H$4:$H$1048569,"Спорт. Инвентарь",TDSheet!$X$4:$X$1048569)</f>
        <v>0</v>
      </c>
      <c r="H8" s="51"/>
      <c r="I8" s="54" t="s">
        <v>723</v>
      </c>
      <c r="J8" s="50" t="e">
        <f>SUMPRODUCT(- -(TDSheet!$K$4:$K$1048569="Унисекс"),TDSheet!#REF!,TDSheet!$X$4:$X$1048569)</f>
        <v>#REF!</v>
      </c>
      <c r="K8" s="50">
        <f>SUMIF(TDSheet!$K$4:$K$1048569,"Унисекс",TDSheet!$X$4:$X$1048569)</f>
        <v>0</v>
      </c>
    </row>
    <row r="9" spans="2:11" x14ac:dyDescent="0.45">
      <c r="B9" s="64"/>
      <c r="C9" s="64"/>
      <c r="E9" s="46" t="s">
        <v>2659</v>
      </c>
      <c r="F9" s="50" t="e">
        <f>SUMPRODUCT(- -(TDSheet!$H$4:$H$1048569="Сумки и рюкзаки"),TDSheet!#REF!,TDSheet!$X$4:$X$1048569)</f>
        <v>#REF!</v>
      </c>
      <c r="G9" s="50">
        <f>SUMIF(TDSheet!$H$4:$H$1048569,"Сумки и рюкзаки",TDSheet!$X$4:$X$1048569)</f>
        <v>0</v>
      </c>
      <c r="H9" s="51"/>
      <c r="I9" s="51"/>
      <c r="J9" s="52"/>
      <c r="K9" s="52"/>
    </row>
    <row r="10" spans="2:11" x14ac:dyDescent="0.45">
      <c r="B10" s="64"/>
      <c r="C10" s="64"/>
      <c r="E10" s="46" t="s">
        <v>4692</v>
      </c>
      <c r="F10" s="50" t="e">
        <f>SUM(F5:F9)</f>
        <v>#REF!</v>
      </c>
      <c r="G10" s="50">
        <f>SUM(G5:G9)</f>
        <v>0</v>
      </c>
      <c r="H10" s="51"/>
      <c r="I10" s="51"/>
      <c r="J10" s="52"/>
      <c r="K10" s="52"/>
    </row>
    <row r="11" spans="2:11" x14ac:dyDescent="0.45">
      <c r="B11" s="64"/>
      <c r="C11" s="64"/>
    </row>
    <row r="12" spans="2:11" x14ac:dyDescent="0.45">
      <c r="B12" s="64"/>
      <c r="C12" s="64"/>
    </row>
    <row r="13" spans="2:11" x14ac:dyDescent="0.45">
      <c r="B13" s="64"/>
      <c r="C13" s="64"/>
    </row>
    <row r="14" spans="2:11" x14ac:dyDescent="0.45">
      <c r="B14" s="64"/>
      <c r="C14" s="64"/>
    </row>
    <row r="15" spans="2:11" x14ac:dyDescent="0.45">
      <c r="B15" s="64"/>
      <c r="C15" s="64"/>
    </row>
    <row r="16" spans="2:11" x14ac:dyDescent="0.45">
      <c r="B16" s="65"/>
      <c r="C16" s="65"/>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2026-05-22T09:27:05Z</dcterms:created>
  <dcterms:modified xsi:type="dcterms:W3CDTF">2026-05-23T06:26:08Z</dcterms:modified>
</cp:coreProperties>
</file>